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h-p00n-fls01\F17203000_保健福祉局医療衛生部健康保険課\09保険料班\01_賦課\06_保険料試算ツール\R07\"/>
    </mc:Choice>
  </mc:AlternateContent>
  <xr:revisionPtr revIDLastSave="0" documentId="13_ncr:1_{0DCD7196-EEEF-47C7-9973-4D66529DC41C}" xr6:coauthVersionLast="47" xr6:coauthVersionMax="47" xr10:uidLastSave="{00000000-0000-0000-0000-000000000000}"/>
  <workbookProtection workbookAlgorithmName="SHA-512" workbookHashValue="Zl/XNaK6jzjBLHASC2nNoFEh8sePFWwBOAUQOQvFQe+qjdSmp4qqom4yiImLuIJqmhm6h+VPVBFGN1q0SBaLWg==" workbookSaltValue="Sv061b9+YLzZlV/cBlwCtQ==" workbookSpinCount="100000" lockStructure="1"/>
  <bookViews>
    <workbookView xWindow="-108" yWindow="-108" windowWidth="23256" windowHeight="12456" tabRatio="650" firstSheet="1" activeTab="1" xr2:uid="{83498060-2729-4E9B-BA57-31BA718962B7}"/>
  </bookViews>
  <sheets>
    <sheet name="年度更新" sheetId="9" state="hidden" r:id="rId1"/>
    <sheet name="保険料の計算方法" sheetId="18" r:id="rId2"/>
    <sheet name="このシートの設問に沿って入力してください" sheetId="19" r:id="rId3"/>
    <sheet name="リスト（非表示）" sheetId="20" state="hidden" r:id="rId4"/>
    <sheet name="試算シート転記（非表示）" sheetId="21" state="hidden" r:id="rId5"/>
    <sheet name="試算" sheetId="1" state="hidden" r:id="rId6"/>
    <sheet name="リスト" sheetId="2" state="hidden" r:id="rId7"/>
    <sheet name="給与所得 " sheetId="11" state="hidden" r:id="rId8"/>
    <sheet name="年金（６５歳以上）" sheetId="12" state="hidden" r:id="rId9"/>
    <sheet name="年金（６５歳未満）" sheetId="14" state="hidden" r:id="rId10"/>
    <sheet name="所得額調整控除" sheetId="15" state="hidden" r:id="rId11"/>
    <sheet name="総・軽減所得（給与所得者等人数）" sheetId="16" state="hidden" r:id="rId12"/>
    <sheet name="軽減区分算出" sheetId="17" state="hidden" r:id="rId13"/>
    <sheet name="保険料算出" sheetId="8" state="hidden" r:id="rId14"/>
  </sheets>
  <definedNames>
    <definedName name="_xlnm._FilterDatabase" localSheetId="12" hidden="1">軽減区分算出!$AD$5:$AF$9</definedName>
    <definedName name="_xlnm.Print_Area" localSheetId="5">試算!$A$1:$BM$25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 r="V7" i="1"/>
  <c r="BG10" i="1" l="1"/>
  <c r="V10" i="1"/>
  <c r="BG9" i="1"/>
  <c r="V9" i="1"/>
  <c r="BG8" i="1"/>
  <c r="V8" i="1"/>
  <c r="BG7" i="1"/>
  <c r="BG6" i="1"/>
  <c r="C22" i="21"/>
  <c r="C21" i="21"/>
  <c r="C20" i="21"/>
  <c r="C19" i="21"/>
  <c r="C18" i="21"/>
  <c r="C14" i="21"/>
  <c r="E14" i="21" s="1"/>
  <c r="C13" i="21"/>
  <c r="E13" i="21" s="1"/>
  <c r="I9" i="1" s="1"/>
  <c r="C12" i="21"/>
  <c r="E12" i="21" s="1"/>
  <c r="C11" i="21"/>
  <c r="E11" i="21" s="1"/>
  <c r="I7" i="1" s="1"/>
  <c r="C10" i="21"/>
  <c r="E10" i="21" s="1"/>
  <c r="D10" i="21" s="1"/>
  <c r="C2" i="21"/>
  <c r="D2" i="21" s="1"/>
  <c r="I26" i="19"/>
  <c r="F12" i="21" l="1"/>
  <c r="D12" i="21"/>
  <c r="F11" i="21"/>
  <c r="D11" i="21"/>
  <c r="E18" i="21"/>
  <c r="F18" i="21" s="1"/>
  <c r="I6" i="1"/>
  <c r="F14" i="21"/>
  <c r="M10" i="1" s="1"/>
  <c r="D14" i="21"/>
  <c r="I10" i="1"/>
  <c r="D13" i="21"/>
  <c r="F13" i="21"/>
  <c r="F6" i="1"/>
  <c r="E2" i="21"/>
  <c r="F10" i="21" s="1"/>
  <c r="I8" i="1"/>
  <c r="E19" i="21"/>
  <c r="G10" i="21" l="1"/>
  <c r="O6" i="1" s="1"/>
  <c r="M6" i="1"/>
  <c r="F19" i="21"/>
  <c r="AR7" i="1" s="1"/>
  <c r="G18" i="21"/>
  <c r="BB6" i="1" s="1"/>
  <c r="AR6" i="1"/>
  <c r="E21" i="21"/>
  <c r="F21" i="21" s="1"/>
  <c r="M9" i="1"/>
  <c r="F9" i="1"/>
  <c r="G13" i="21"/>
  <c r="O9" i="1" s="1"/>
  <c r="E20" i="21"/>
  <c r="F20" i="21" s="1"/>
  <c r="G12" i="21"/>
  <c r="O8" i="1" s="1"/>
  <c r="M8" i="1"/>
  <c r="F8" i="1"/>
  <c r="M7" i="1"/>
  <c r="G14" i="21"/>
  <c r="O10" i="1" s="1"/>
  <c r="G11" i="21"/>
  <c r="O7" i="1" s="1"/>
  <c r="F10" i="1"/>
  <c r="E22" i="21"/>
  <c r="F22" i="21" s="1"/>
  <c r="F7" i="1"/>
  <c r="G21" i="21" l="1"/>
  <c r="BB9" i="1" s="1"/>
  <c r="AR9" i="1"/>
  <c r="G19" i="21"/>
  <c r="BB7" i="1" s="1"/>
  <c r="G22" i="21"/>
  <c r="BB10" i="1" s="1"/>
  <c r="AR10" i="1"/>
  <c r="G20" i="21"/>
  <c r="BB8" i="1" s="1"/>
  <c r="AR8" i="1"/>
  <c r="AC26" i="19"/>
  <c r="X26" i="19"/>
  <c r="S26" i="19"/>
  <c r="N26" i="19"/>
  <c r="AD22" i="1" l="1"/>
  <c r="F12" i="1"/>
  <c r="AX27" i="17"/>
  <c r="AX34" i="17" s="1"/>
  <c r="AU27" i="17"/>
  <c r="AU34" i="17" s="1"/>
  <c r="AR27" i="17"/>
  <c r="AR34" i="17" s="1"/>
  <c r="AO27" i="17"/>
  <c r="AO34" i="17" s="1"/>
  <c r="AD9" i="17"/>
  <c r="AD8" i="17"/>
  <c r="AD7" i="17"/>
  <c r="AD6" i="17"/>
  <c r="AD5" i="17"/>
  <c r="R5" i="16"/>
  <c r="R14" i="16" s="1"/>
  <c r="R6" i="16"/>
  <c r="R15" i="16" s="1"/>
  <c r="R7" i="16"/>
  <c r="R16" i="16" s="1"/>
  <c r="R8" i="16"/>
  <c r="R17" i="16" s="1"/>
  <c r="R4" i="16"/>
  <c r="R13" i="16" s="1"/>
  <c r="AD12" i="17" l="1"/>
  <c r="AD14" i="17"/>
  <c r="AD15" i="17"/>
  <c r="AD13" i="17"/>
  <c r="AO29" i="17"/>
  <c r="AO30" i="17"/>
  <c r="AO31" i="17"/>
  <c r="AO32" i="17"/>
  <c r="AO33" i="17"/>
  <c r="AR29" i="17"/>
  <c r="AR30" i="17"/>
  <c r="AR31" i="17"/>
  <c r="AR32" i="17"/>
  <c r="AR33" i="17"/>
  <c r="AU29" i="17"/>
  <c r="AU30" i="17"/>
  <c r="AU31" i="17"/>
  <c r="AU32" i="17"/>
  <c r="AU33" i="17"/>
  <c r="AX29" i="17"/>
  <c r="AX30" i="17"/>
  <c r="AX31" i="17"/>
  <c r="AX32" i="17"/>
  <c r="AX33" i="17"/>
  <c r="O5" i="15"/>
  <c r="O6" i="15"/>
  <c r="O7" i="15"/>
  <c r="O8" i="15"/>
  <c r="O4" i="15"/>
  <c r="AC5" i="11"/>
  <c r="AD5" i="11" s="1"/>
  <c r="AC6" i="11"/>
  <c r="AD6" i="11" s="1"/>
  <c r="AC7" i="11"/>
  <c r="AD7" i="11" s="1"/>
  <c r="AC8" i="11"/>
  <c r="AD8" i="11" s="1"/>
  <c r="AC4" i="11"/>
  <c r="AD4" i="11" s="1"/>
  <c r="AO18" i="17" l="1"/>
  <c r="AD24" i="1"/>
  <c r="AO14" i="17"/>
  <c r="N18" i="8" s="1"/>
  <c r="AD11" i="17"/>
  <c r="AO7" i="17" s="1"/>
  <c r="U43" i="14"/>
  <c r="U44" i="14" s="1"/>
  <c r="W44" i="14" s="1"/>
  <c r="U33" i="14"/>
  <c r="U34" i="14" s="1"/>
  <c r="U23" i="14"/>
  <c r="V23" i="14" s="1"/>
  <c r="X23" i="14" s="1"/>
  <c r="U13" i="14"/>
  <c r="U3" i="14"/>
  <c r="U4" i="14" s="1"/>
  <c r="W4" i="14" s="1"/>
  <c r="U43" i="12"/>
  <c r="U44" i="12" s="1"/>
  <c r="W44" i="12" s="1"/>
  <c r="U33" i="12"/>
  <c r="U34" i="12" s="1"/>
  <c r="W34" i="12" s="1"/>
  <c r="U23" i="12"/>
  <c r="U24" i="12" s="1"/>
  <c r="W24" i="12" s="1"/>
  <c r="U13" i="12"/>
  <c r="U14" i="12" s="1"/>
  <c r="W14" i="12" s="1"/>
  <c r="U3" i="12"/>
  <c r="U4" i="12" s="1"/>
  <c r="W4" i="12" s="1"/>
  <c r="U64" i="11"/>
  <c r="W64" i="11" s="1"/>
  <c r="Y64" i="11" s="1"/>
  <c r="X69" i="11"/>
  <c r="X68" i="11"/>
  <c r="X67" i="11"/>
  <c r="X66" i="11"/>
  <c r="X64" i="11"/>
  <c r="U49" i="11"/>
  <c r="U50" i="11" s="1"/>
  <c r="X54" i="11"/>
  <c r="X53" i="11"/>
  <c r="X52" i="11"/>
  <c r="X51" i="11"/>
  <c r="X49" i="11"/>
  <c r="U33" i="11"/>
  <c r="W33" i="11" s="1"/>
  <c r="Y33" i="11" s="1"/>
  <c r="X38" i="11"/>
  <c r="X37" i="11"/>
  <c r="X36" i="11"/>
  <c r="X35" i="11"/>
  <c r="X33" i="11"/>
  <c r="U18" i="11"/>
  <c r="W18" i="11" s="1"/>
  <c r="Y18" i="11" s="1"/>
  <c r="X23" i="11"/>
  <c r="X22" i="11"/>
  <c r="X21" i="11"/>
  <c r="X20" i="11"/>
  <c r="X18" i="11"/>
  <c r="X6" i="11"/>
  <c r="X7" i="11"/>
  <c r="X8" i="11"/>
  <c r="X5" i="11"/>
  <c r="X3" i="11"/>
  <c r="U3" i="11"/>
  <c r="W3" i="11" s="1"/>
  <c r="V33" i="14" l="1"/>
  <c r="X33" i="14" s="1"/>
  <c r="V13" i="14"/>
  <c r="X13" i="14" s="1"/>
  <c r="U35" i="14"/>
  <c r="W35" i="14" s="1"/>
  <c r="W34" i="14"/>
  <c r="AT14" i="17"/>
  <c r="AD23" i="1"/>
  <c r="AO8" i="17"/>
  <c r="AO21" i="17"/>
  <c r="AO23" i="17" s="1"/>
  <c r="AO20" i="17"/>
  <c r="AO19" i="17"/>
  <c r="V18" i="11"/>
  <c r="V43" i="14"/>
  <c r="X43" i="14" s="1"/>
  <c r="U24" i="14"/>
  <c r="U14" i="14"/>
  <c r="U36" i="14"/>
  <c r="U5" i="14"/>
  <c r="W5" i="14" s="1"/>
  <c r="V4" i="14"/>
  <c r="U45" i="14"/>
  <c r="V3" i="14"/>
  <c r="X3" i="14" s="1"/>
  <c r="V34" i="14"/>
  <c r="V44" i="14"/>
  <c r="X44" i="14" s="1"/>
  <c r="U45" i="12"/>
  <c r="V44" i="12"/>
  <c r="V43" i="12"/>
  <c r="X43" i="12" s="1"/>
  <c r="U35" i="12"/>
  <c r="V34" i="12"/>
  <c r="V33" i="12"/>
  <c r="X33" i="12" s="1"/>
  <c r="U25" i="12"/>
  <c r="V24" i="12"/>
  <c r="V23" i="12"/>
  <c r="X23" i="12" s="1"/>
  <c r="U15" i="12"/>
  <c r="W15" i="12" s="1"/>
  <c r="V14" i="12"/>
  <c r="V13" i="12"/>
  <c r="X13" i="12" s="1"/>
  <c r="U5" i="12"/>
  <c r="U6" i="12" s="1"/>
  <c r="U7" i="12" s="1"/>
  <c r="V3" i="12"/>
  <c r="X3" i="12" s="1"/>
  <c r="V4" i="12"/>
  <c r="V64" i="11"/>
  <c r="U65" i="11"/>
  <c r="W50" i="11"/>
  <c r="U51" i="11"/>
  <c r="V50" i="11"/>
  <c r="X50" i="11"/>
  <c r="V49" i="11"/>
  <c r="W49" i="11"/>
  <c r="Y49" i="11" s="1"/>
  <c r="V33" i="11"/>
  <c r="U34" i="11"/>
  <c r="U19" i="11"/>
  <c r="V3" i="11"/>
  <c r="Y3" i="11"/>
  <c r="U4" i="11"/>
  <c r="V35" i="14" l="1"/>
  <c r="N19" i="8"/>
  <c r="V14" i="14"/>
  <c r="W14" i="14"/>
  <c r="V24" i="14"/>
  <c r="W24" i="14"/>
  <c r="U25" i="14"/>
  <c r="U26" i="14" s="1"/>
  <c r="Y50" i="11"/>
  <c r="U15" i="14"/>
  <c r="U16" i="14" s="1"/>
  <c r="X34" i="14"/>
  <c r="X35" i="14"/>
  <c r="U37" i="14"/>
  <c r="W36" i="14"/>
  <c r="V36" i="14"/>
  <c r="V5" i="14"/>
  <c r="U6" i="14"/>
  <c r="U46" i="14"/>
  <c r="W45" i="14"/>
  <c r="V45" i="14"/>
  <c r="X4" i="14"/>
  <c r="U8" i="12"/>
  <c r="V7" i="12"/>
  <c r="X4" i="12"/>
  <c r="X44" i="12"/>
  <c r="U46" i="12"/>
  <c r="V45" i="12"/>
  <c r="W45" i="12"/>
  <c r="X34" i="12"/>
  <c r="U36" i="12"/>
  <c r="W35" i="12"/>
  <c r="V35" i="12"/>
  <c r="X24" i="12"/>
  <c r="U26" i="12"/>
  <c r="V25" i="12"/>
  <c r="W25" i="12"/>
  <c r="U16" i="12"/>
  <c r="V15" i="12"/>
  <c r="X14" i="12"/>
  <c r="V5" i="12"/>
  <c r="W5" i="12"/>
  <c r="W6" i="12"/>
  <c r="W65" i="11"/>
  <c r="U66" i="11"/>
  <c r="V65" i="11"/>
  <c r="X65" i="11"/>
  <c r="U52" i="11"/>
  <c r="V51" i="11"/>
  <c r="W51" i="11"/>
  <c r="Y51" i="11" s="1"/>
  <c r="W34" i="11"/>
  <c r="U35" i="11"/>
  <c r="V34" i="11"/>
  <c r="X34" i="11"/>
  <c r="W19" i="11"/>
  <c r="U20" i="11"/>
  <c r="V19" i="11"/>
  <c r="X19" i="11"/>
  <c r="X4" i="11"/>
  <c r="V4" i="11"/>
  <c r="U5" i="11"/>
  <c r="V5" i="11" s="1"/>
  <c r="W4" i="11"/>
  <c r="X24" i="14" l="1"/>
  <c r="X14" i="14"/>
  <c r="V25" i="14"/>
  <c r="W25" i="14"/>
  <c r="Y34" i="11"/>
  <c r="V15" i="14"/>
  <c r="W15" i="14"/>
  <c r="X5" i="14"/>
  <c r="V16" i="14"/>
  <c r="U17" i="14"/>
  <c r="W16" i="14"/>
  <c r="U47" i="14"/>
  <c r="W46" i="14"/>
  <c r="V46" i="14"/>
  <c r="X36" i="14"/>
  <c r="V26" i="14"/>
  <c r="W26" i="14"/>
  <c r="U27" i="14"/>
  <c r="X45" i="14"/>
  <c r="W6" i="14"/>
  <c r="U7" i="14"/>
  <c r="V6" i="14"/>
  <c r="X25" i="14"/>
  <c r="U38" i="14"/>
  <c r="W37" i="14"/>
  <c r="V37" i="14"/>
  <c r="X35" i="12"/>
  <c r="U47" i="12"/>
  <c r="W46" i="12"/>
  <c r="V46" i="12"/>
  <c r="X45" i="12"/>
  <c r="U37" i="12"/>
  <c r="V36" i="12"/>
  <c r="W36" i="12"/>
  <c r="U27" i="12"/>
  <c r="V26" i="12"/>
  <c r="W26" i="12"/>
  <c r="X25" i="12"/>
  <c r="X15" i="12"/>
  <c r="U17" i="12"/>
  <c r="V16" i="12"/>
  <c r="W16" i="12"/>
  <c r="X5" i="12"/>
  <c r="V6" i="12"/>
  <c r="X6" i="12" s="1"/>
  <c r="W7" i="12"/>
  <c r="Y65" i="11"/>
  <c r="U67" i="11"/>
  <c r="V66" i="11"/>
  <c r="W66" i="11"/>
  <c r="Y66" i="11" s="1"/>
  <c r="U53" i="11"/>
  <c r="W52" i="11"/>
  <c r="Y52" i="11" s="1"/>
  <c r="V52" i="11"/>
  <c r="U36" i="11"/>
  <c r="V35" i="11"/>
  <c r="W35" i="11"/>
  <c r="Y35" i="11" s="1"/>
  <c r="Y19" i="11"/>
  <c r="U21" i="11"/>
  <c r="V20" i="11"/>
  <c r="W20" i="11"/>
  <c r="Y20" i="11" s="1"/>
  <c r="Y4" i="11"/>
  <c r="U6" i="11"/>
  <c r="V6" i="11" s="1"/>
  <c r="W5" i="11"/>
  <c r="Y5" i="11" s="1"/>
  <c r="X15" i="14" l="1"/>
  <c r="X36" i="12"/>
  <c r="X26" i="14"/>
  <c r="X16" i="14"/>
  <c r="X37" i="14"/>
  <c r="W7" i="14"/>
  <c r="U8" i="14"/>
  <c r="V7" i="14"/>
  <c r="X46" i="14"/>
  <c r="V27" i="14"/>
  <c r="U28" i="14"/>
  <c r="W27" i="14"/>
  <c r="V17" i="14"/>
  <c r="W17" i="14"/>
  <c r="U18" i="14"/>
  <c r="W38" i="14"/>
  <c r="V38" i="14"/>
  <c r="X6" i="14"/>
  <c r="V47" i="14"/>
  <c r="W47" i="14"/>
  <c r="U48" i="14"/>
  <c r="X46" i="12"/>
  <c r="U48" i="12"/>
  <c r="W47" i="12"/>
  <c r="V47" i="12"/>
  <c r="U38" i="12"/>
  <c r="V37" i="12"/>
  <c r="W37" i="12"/>
  <c r="X26" i="12"/>
  <c r="U28" i="12"/>
  <c r="V27" i="12"/>
  <c r="W27" i="12"/>
  <c r="U18" i="12"/>
  <c r="W17" i="12"/>
  <c r="V17" i="12"/>
  <c r="X16" i="12"/>
  <c r="X7" i="12"/>
  <c r="W67" i="11"/>
  <c r="Y67" i="11" s="1"/>
  <c r="U68" i="11"/>
  <c r="V67" i="11"/>
  <c r="V53" i="11"/>
  <c r="W53" i="11"/>
  <c r="Y53" i="11" s="1"/>
  <c r="U54" i="11"/>
  <c r="V36" i="11"/>
  <c r="U37" i="11"/>
  <c r="W36" i="11"/>
  <c r="Y36" i="11" s="1"/>
  <c r="V21" i="11"/>
  <c r="U22" i="11"/>
  <c r="W21" i="11"/>
  <c r="Y21" i="11" s="1"/>
  <c r="U7" i="11"/>
  <c r="V7" i="11" s="1"/>
  <c r="W6" i="11"/>
  <c r="Y6" i="11" s="1"/>
  <c r="P12" i="8"/>
  <c r="X47" i="14" l="1"/>
  <c r="X38" i="14"/>
  <c r="X39" i="14" s="1"/>
  <c r="AA7" i="14" s="1"/>
  <c r="X27" i="14"/>
  <c r="X17" i="14"/>
  <c r="V18" i="14"/>
  <c r="W18" i="14"/>
  <c r="W28" i="14"/>
  <c r="V28" i="14"/>
  <c r="W8" i="14"/>
  <c r="V8" i="14"/>
  <c r="X7" i="14"/>
  <c r="W48" i="14"/>
  <c r="V48" i="14"/>
  <c r="X37" i="12"/>
  <c r="X47" i="12"/>
  <c r="W48" i="12"/>
  <c r="V48" i="12"/>
  <c r="W38" i="12"/>
  <c r="V38" i="12"/>
  <c r="V28" i="12"/>
  <c r="W28" i="12"/>
  <c r="X27" i="12"/>
  <c r="X17" i="12"/>
  <c r="W18" i="12"/>
  <c r="V18" i="12"/>
  <c r="W8" i="12"/>
  <c r="V8" i="12"/>
  <c r="W68" i="11"/>
  <c r="Y68" i="11" s="1"/>
  <c r="U69" i="11"/>
  <c r="V68" i="11"/>
  <c r="W54" i="11"/>
  <c r="Y54" i="11" s="1"/>
  <c r="U55" i="11"/>
  <c r="V54" i="11"/>
  <c r="W37" i="11"/>
  <c r="Y37" i="11" s="1"/>
  <c r="U38" i="11"/>
  <c r="V37" i="11"/>
  <c r="W22" i="11"/>
  <c r="Y22" i="11" s="1"/>
  <c r="U23" i="11"/>
  <c r="V22" i="11"/>
  <c r="U8" i="11"/>
  <c r="V8" i="11" s="1"/>
  <c r="W7" i="11"/>
  <c r="Y7" i="11" s="1"/>
  <c r="N12" i="8"/>
  <c r="X18" i="14" l="1"/>
  <c r="X19" i="14" s="1"/>
  <c r="AA5" i="14" s="1"/>
  <c r="X28" i="14"/>
  <c r="X29" i="14" s="1"/>
  <c r="AA6" i="14" s="1"/>
  <c r="X48" i="14"/>
  <c r="X49" i="14" s="1"/>
  <c r="AA8" i="14" s="1"/>
  <c r="X8" i="14"/>
  <c r="X9" i="14" s="1"/>
  <c r="AA4" i="14" s="1"/>
  <c r="X48" i="12"/>
  <c r="X49" i="12" s="1"/>
  <c r="AA8" i="12" s="1"/>
  <c r="X38" i="12"/>
  <c r="X39" i="12" s="1"/>
  <c r="AA7" i="12" s="1"/>
  <c r="X28" i="12"/>
  <c r="X29" i="12" s="1"/>
  <c r="AA6" i="12" s="1"/>
  <c r="X18" i="12"/>
  <c r="X19" i="12" s="1"/>
  <c r="AA5" i="12" s="1"/>
  <c r="X8" i="12"/>
  <c r="X9" i="12" s="1"/>
  <c r="AA4" i="12" s="1"/>
  <c r="W69" i="11"/>
  <c r="Y69" i="11" s="1"/>
  <c r="U70" i="11"/>
  <c r="V69" i="11"/>
  <c r="U56" i="11"/>
  <c r="V55" i="11"/>
  <c r="X55" i="11" s="1"/>
  <c r="W55" i="11"/>
  <c r="W38" i="11"/>
  <c r="Y38" i="11" s="1"/>
  <c r="U39" i="11"/>
  <c r="V38" i="11"/>
  <c r="W23" i="11"/>
  <c r="Y23" i="11" s="1"/>
  <c r="U24" i="11"/>
  <c r="V23" i="11"/>
  <c r="U9" i="11"/>
  <c r="V9" i="11" s="1"/>
  <c r="X9" i="11" s="1"/>
  <c r="W8" i="11"/>
  <c r="Y8" i="11" s="1"/>
  <c r="P13" i="8"/>
  <c r="P14" i="8"/>
  <c r="P15" i="8"/>
  <c r="P11" i="8"/>
  <c r="N13" i="8"/>
  <c r="N14" i="8"/>
  <c r="N15" i="8"/>
  <c r="N11" i="8"/>
  <c r="J12" i="8"/>
  <c r="J13" i="8"/>
  <c r="J14" i="8"/>
  <c r="J15" i="8"/>
  <c r="J11" i="8"/>
  <c r="G12" i="8"/>
  <c r="G13" i="8"/>
  <c r="G14" i="8"/>
  <c r="G15" i="8"/>
  <c r="G11" i="8"/>
  <c r="D7" i="15" l="1"/>
  <c r="J7" i="15" s="1"/>
  <c r="N7" i="16"/>
  <c r="N16" i="16" s="1"/>
  <c r="U71" i="11"/>
  <c r="V70" i="11"/>
  <c r="X70" i="11" s="1"/>
  <c r="W70" i="11"/>
  <c r="Y55" i="11"/>
  <c r="U57" i="11"/>
  <c r="W56" i="11"/>
  <c r="V56" i="11"/>
  <c r="X56" i="11" s="1"/>
  <c r="U40" i="11"/>
  <c r="V39" i="11"/>
  <c r="X39" i="11" s="1"/>
  <c r="W39" i="11"/>
  <c r="U25" i="11"/>
  <c r="V24" i="11"/>
  <c r="X24" i="11" s="1"/>
  <c r="W24" i="11"/>
  <c r="U10" i="11"/>
  <c r="V10" i="11" s="1"/>
  <c r="X10" i="11" s="1"/>
  <c r="W9" i="11"/>
  <c r="Y9" i="11" s="1"/>
  <c r="N16" i="8"/>
  <c r="P16" i="8"/>
  <c r="BB31" i="8" s="1"/>
  <c r="J4" i="16" l="1"/>
  <c r="J13" i="16" s="1"/>
  <c r="C4" i="15"/>
  <c r="I4" i="15" s="1"/>
  <c r="C8" i="15"/>
  <c r="I8" i="15" s="1"/>
  <c r="J8" i="16"/>
  <c r="J17" i="16" s="1"/>
  <c r="J7" i="16"/>
  <c r="J16" i="16" s="1"/>
  <c r="AC16" i="16" s="1"/>
  <c r="C7" i="15"/>
  <c r="I7" i="15" s="1"/>
  <c r="J5" i="16"/>
  <c r="J14" i="16" s="1"/>
  <c r="C5" i="15"/>
  <c r="I5" i="15" s="1"/>
  <c r="D4" i="15"/>
  <c r="J4" i="15" s="1"/>
  <c r="N4" i="16"/>
  <c r="N13" i="16" s="1"/>
  <c r="J6" i="16"/>
  <c r="J15" i="16" s="1"/>
  <c r="C6" i="15"/>
  <c r="I6" i="15" s="1"/>
  <c r="N5" i="16"/>
  <c r="N14" i="16" s="1"/>
  <c r="D5" i="15"/>
  <c r="J5" i="15" s="1"/>
  <c r="D6" i="15"/>
  <c r="J6" i="15" s="1"/>
  <c r="N6" i="16"/>
  <c r="N15" i="16" s="1"/>
  <c r="D8" i="15"/>
  <c r="J8" i="15" s="1"/>
  <c r="N8" i="16"/>
  <c r="N17" i="16" s="1"/>
  <c r="Y56" i="11"/>
  <c r="Y70" i="11"/>
  <c r="V71" i="11"/>
  <c r="X71" i="11" s="1"/>
  <c r="W71" i="11"/>
  <c r="U72" i="11"/>
  <c r="V57" i="11"/>
  <c r="X57" i="11" s="1"/>
  <c r="W57" i="11"/>
  <c r="U58" i="11"/>
  <c r="Y39" i="11"/>
  <c r="V40" i="11"/>
  <c r="X40" i="11" s="1"/>
  <c r="W40" i="11"/>
  <c r="U41" i="11"/>
  <c r="Y24" i="11"/>
  <c r="V25" i="11"/>
  <c r="X25" i="11" s="1"/>
  <c r="U26" i="11"/>
  <c r="V26" i="11" s="1"/>
  <c r="W25" i="11"/>
  <c r="U11" i="11"/>
  <c r="V11" i="11" s="1"/>
  <c r="X11" i="11" s="1"/>
  <c r="W10" i="11"/>
  <c r="Y10" i="11" s="1"/>
  <c r="BB11" i="8"/>
  <c r="BB21" i="8"/>
  <c r="AC17" i="16" l="1"/>
  <c r="AC13" i="16"/>
  <c r="AC14" i="16"/>
  <c r="AC15" i="16"/>
  <c r="W72" i="11"/>
  <c r="U73" i="11"/>
  <c r="V72" i="11"/>
  <c r="X72" i="11" s="1"/>
  <c r="Y71" i="11"/>
  <c r="Y57" i="11"/>
  <c r="W58" i="11"/>
  <c r="X58" i="11"/>
  <c r="U59" i="11"/>
  <c r="V58" i="11"/>
  <c r="W41" i="11"/>
  <c r="U42" i="11"/>
  <c r="V41" i="11"/>
  <c r="X41" i="11" s="1"/>
  <c r="Y40" i="11"/>
  <c r="Y25" i="11"/>
  <c r="W26" i="11"/>
  <c r="U27" i="11"/>
  <c r="X26" i="11"/>
  <c r="U12" i="11"/>
  <c r="W11" i="11"/>
  <c r="Y11" i="11" s="1"/>
  <c r="Y41" i="11" l="1"/>
  <c r="Y26" i="11"/>
  <c r="Y72" i="11"/>
  <c r="W73" i="11"/>
  <c r="U74" i="11"/>
  <c r="V73" i="11"/>
  <c r="X73" i="11"/>
  <c r="Y58" i="11"/>
  <c r="V59" i="11"/>
  <c r="X59" i="11"/>
  <c r="W59" i="11"/>
  <c r="W42" i="11"/>
  <c r="U43" i="11"/>
  <c r="V42" i="11"/>
  <c r="X42" i="11"/>
  <c r="W27" i="11"/>
  <c r="U28" i="11"/>
  <c r="V27" i="11"/>
  <c r="X27" i="11"/>
  <c r="X12" i="11"/>
  <c r="V12" i="11"/>
  <c r="U13" i="11"/>
  <c r="X13" i="11" s="1"/>
  <c r="W12" i="11"/>
  <c r="Y27" i="11" l="1"/>
  <c r="Y42" i="11"/>
  <c r="V74" i="11"/>
  <c r="W74" i="11"/>
  <c r="X74" i="11"/>
  <c r="Y73" i="11"/>
  <c r="Y59" i="11"/>
  <c r="Y60" i="11" s="1"/>
  <c r="AB7" i="11" s="1"/>
  <c r="V43" i="11"/>
  <c r="X43" i="11"/>
  <c r="W43" i="11"/>
  <c r="V28" i="11"/>
  <c r="W28" i="11"/>
  <c r="X28" i="11"/>
  <c r="W13" i="11"/>
  <c r="Y13" i="11" s="1"/>
  <c r="V13" i="11"/>
  <c r="Y12" i="11"/>
  <c r="Y14" i="11" l="1"/>
  <c r="AB4" i="11" s="1"/>
  <c r="Y28" i="11"/>
  <c r="Y29" i="11" s="1"/>
  <c r="AB5" i="11" s="1"/>
  <c r="Y74" i="11"/>
  <c r="Y75" i="11" s="1"/>
  <c r="AB8" i="11" s="1"/>
  <c r="Y43" i="11"/>
  <c r="Y44" i="11" s="1"/>
  <c r="AB6" i="11" s="1"/>
  <c r="AH14" i="16" l="1"/>
  <c r="AB14" i="16" s="1"/>
  <c r="AD14" i="16" s="1"/>
  <c r="B5" i="15"/>
  <c r="AE5" i="11"/>
  <c r="R5" i="15" s="1"/>
  <c r="B7" i="15"/>
  <c r="H7" i="15" s="1"/>
  <c r="K7" i="15" s="1"/>
  <c r="L7" i="15" s="1"/>
  <c r="AE7" i="11"/>
  <c r="R7" i="15" s="1"/>
  <c r="AH16" i="16"/>
  <c r="AB16" i="16" s="1"/>
  <c r="AH13" i="16"/>
  <c r="AB13" i="16" s="1"/>
  <c r="AD13" i="16" s="1"/>
  <c r="B4" i="15"/>
  <c r="H4" i="15" s="1"/>
  <c r="K4" i="15" s="1"/>
  <c r="L4" i="15" s="1"/>
  <c r="AE4" i="11"/>
  <c r="R4" i="15" s="1"/>
  <c r="AD16" i="16" l="1"/>
  <c r="BL9" i="1" s="1"/>
  <c r="AG8" i="17" s="1"/>
  <c r="E7" i="15"/>
  <c r="G7" i="15" s="1"/>
  <c r="M7" i="15" s="1"/>
  <c r="P7" i="15" s="1"/>
  <c r="AH15" i="16"/>
  <c r="AB15" i="16" s="1"/>
  <c r="AE6" i="11"/>
  <c r="R6" i="15" s="1"/>
  <c r="B6" i="15"/>
  <c r="H6" i="15" s="1"/>
  <c r="K6" i="15" s="1"/>
  <c r="L6" i="15" s="1"/>
  <c r="E4" i="15"/>
  <c r="AH17" i="16"/>
  <c r="AB17" i="16" s="1"/>
  <c r="B8" i="15"/>
  <c r="E8" i="15" s="1"/>
  <c r="G8" i="15" s="1"/>
  <c r="AE8" i="11"/>
  <c r="R8" i="15" s="1"/>
  <c r="E5" i="15"/>
  <c r="G5" i="15" s="1"/>
  <c r="H5" i="15"/>
  <c r="K5" i="15" s="1"/>
  <c r="L5" i="15" s="1"/>
  <c r="H8" i="15" l="1"/>
  <c r="K8" i="15" s="1"/>
  <c r="L8" i="15" s="1"/>
  <c r="M8" i="15" s="1"/>
  <c r="P8" i="15" s="1"/>
  <c r="AD17" i="16"/>
  <c r="BL10" i="1" s="1"/>
  <c r="AG9" i="17" s="1"/>
  <c r="AD15" i="16"/>
  <c r="BL8" i="1" s="1"/>
  <c r="AG7" i="17" s="1"/>
  <c r="G4" i="15"/>
  <c r="M4" i="15" s="1"/>
  <c r="P4" i="15" s="1"/>
  <c r="E6" i="15"/>
  <c r="G6" i="15" s="1"/>
  <c r="M6" i="15" s="1"/>
  <c r="P6" i="15" s="1"/>
  <c r="AB9" i="1"/>
  <c r="S7" i="15"/>
  <c r="AF9" i="1" s="1"/>
  <c r="F7" i="16" s="1"/>
  <c r="M5" i="15"/>
  <c r="P5" i="15" s="1"/>
  <c r="AB6" i="1" l="1"/>
  <c r="S4" i="15"/>
  <c r="W7" i="16"/>
  <c r="F16" i="16"/>
  <c r="W16" i="16" s="1"/>
  <c r="BG18" i="1" s="1"/>
  <c r="AB10" i="1"/>
  <c r="S8" i="15"/>
  <c r="AF10" i="1" s="1"/>
  <c r="F8" i="16" s="1"/>
  <c r="AB8" i="1"/>
  <c r="S6" i="15"/>
  <c r="AF8" i="1" s="1"/>
  <c r="F6" i="16" s="1"/>
  <c r="BL6" i="1"/>
  <c r="AG5" i="17" s="1"/>
  <c r="S5" i="15"/>
  <c r="AF7" i="1" s="1"/>
  <c r="F5" i="16" s="1"/>
  <c r="F14" i="16" s="1"/>
  <c r="AB7" i="1"/>
  <c r="AF6" i="1" l="1"/>
  <c r="F4" i="16" s="1"/>
  <c r="AB7" i="16"/>
  <c r="AW18" i="1"/>
  <c r="W8" i="16"/>
  <c r="F17" i="16"/>
  <c r="W17" i="16" s="1"/>
  <c r="BG19" i="1" s="1"/>
  <c r="F15" i="16"/>
  <c r="W15" i="16" s="1"/>
  <c r="BG17" i="1" s="1"/>
  <c r="W6" i="16"/>
  <c r="W5" i="16"/>
  <c r="W4" i="16" l="1"/>
  <c r="F13" i="16"/>
  <c r="W13" i="16" s="1"/>
  <c r="BG15" i="1" s="1"/>
  <c r="AB8" i="16"/>
  <c r="AW19" i="1"/>
  <c r="R14" i="8"/>
  <c r="V24" i="8" s="1"/>
  <c r="AL24" i="8" s="1"/>
  <c r="BB18" i="1"/>
  <c r="AB6" i="16"/>
  <c r="AW17" i="1"/>
  <c r="AB5" i="16"/>
  <c r="AW16" i="1"/>
  <c r="W14" i="16"/>
  <c r="BL7" i="1"/>
  <c r="AG6" i="17" s="1"/>
  <c r="AG10" i="17" s="1"/>
  <c r="AH10" i="17" s="1"/>
  <c r="V34" i="8" l="1"/>
  <c r="AL34" i="8" s="1"/>
  <c r="AW15" i="1"/>
  <c r="AB4" i="16"/>
  <c r="V14" i="8"/>
  <c r="AL14" i="8" s="1"/>
  <c r="R15" i="8"/>
  <c r="BB19" i="1"/>
  <c r="R13" i="8"/>
  <c r="BB17" i="1"/>
  <c r="AO10" i="17"/>
  <c r="BG16" i="1"/>
  <c r="R12" i="8"/>
  <c r="BB16" i="1"/>
  <c r="AO4" i="17"/>
  <c r="AO6" i="17"/>
  <c r="AO5" i="17"/>
  <c r="AO12" i="17" l="1"/>
  <c r="N12" i="1" s="1"/>
  <c r="R11" i="8"/>
  <c r="BB15" i="1"/>
  <c r="V25" i="8"/>
  <c r="AL25" i="8" s="1"/>
  <c r="V35" i="8"/>
  <c r="AL35" i="8" s="1"/>
  <c r="V15" i="8"/>
  <c r="AL15" i="8" s="1"/>
  <c r="V33" i="8"/>
  <c r="AL33" i="8" s="1"/>
  <c r="V13" i="8"/>
  <c r="AL13" i="8" s="1"/>
  <c r="V23" i="8"/>
  <c r="AL23" i="8" s="1"/>
  <c r="V32" i="8"/>
  <c r="V22" i="8"/>
  <c r="V12" i="8"/>
  <c r="AD21" i="1" l="1"/>
  <c r="Q64" i="19"/>
  <c r="V31" i="8"/>
  <c r="AL31" i="8" s="1"/>
  <c r="V21" i="8"/>
  <c r="AL21" i="8" s="1"/>
  <c r="V11" i="8"/>
  <c r="AL11" i="8" s="1"/>
  <c r="AL12" i="8"/>
  <c r="AL22" i="8"/>
  <c r="AL32" i="8"/>
  <c r="AU38" i="17"/>
  <c r="AU40" i="17" s="1"/>
  <c r="AO38" i="17"/>
  <c r="AO40" i="17" s="1"/>
  <c r="AX38" i="17"/>
  <c r="AX40" i="17" s="1"/>
  <c r="AT12" i="17"/>
  <c r="Z11" i="8" s="1"/>
  <c r="AR38" i="17"/>
  <c r="AR40" i="17" s="1"/>
  <c r="AD11" i="8" l="1"/>
  <c r="AP11" i="8" s="1"/>
  <c r="V36" i="8"/>
  <c r="AL36" i="8"/>
  <c r="AL14" i="1" s="1"/>
  <c r="V26" i="8"/>
  <c r="AL16" i="8"/>
  <c r="AL26" i="8"/>
  <c r="V16" i="8"/>
  <c r="Z13" i="8"/>
  <c r="AD13" i="8" s="1"/>
  <c r="AP13" i="8" s="1"/>
  <c r="Z12" i="8"/>
  <c r="Z33" i="8"/>
  <c r="AD33" i="8" s="1"/>
  <c r="AP33" i="8" s="1"/>
  <c r="Z22" i="8"/>
  <c r="AD22" i="8" s="1"/>
  <c r="AP22" i="8" s="1"/>
  <c r="AH11" i="8"/>
  <c r="AT11" i="8" s="1"/>
  <c r="AT16" i="8" s="1"/>
  <c r="AB16" i="1" s="1"/>
  <c r="Z15" i="8"/>
  <c r="AD15" i="8" s="1"/>
  <c r="AP15" i="8" s="1"/>
  <c r="Z31" i="8"/>
  <c r="Z32" i="8"/>
  <c r="AD32" i="8" s="1"/>
  <c r="AP32" i="8" s="1"/>
  <c r="Z14" i="8"/>
  <c r="AD14" i="8" s="1"/>
  <c r="AP14" i="8" s="1"/>
  <c r="Z34" i="8"/>
  <c r="AD34" i="8" s="1"/>
  <c r="AP34" i="8" s="1"/>
  <c r="Z25" i="8"/>
  <c r="AD25" i="8" s="1"/>
  <c r="AP25" i="8" s="1"/>
  <c r="Z24" i="8"/>
  <c r="Z21" i="8"/>
  <c r="AD21" i="8" s="1"/>
  <c r="AP21" i="8" s="1"/>
  <c r="Z35" i="8"/>
  <c r="AD35" i="8" s="1"/>
  <c r="AP35" i="8" s="1"/>
  <c r="Z23" i="8"/>
  <c r="AD24" i="8"/>
  <c r="AP24" i="8" s="1"/>
  <c r="AB14" i="1" l="1"/>
  <c r="AG14" i="1"/>
  <c r="AD12" i="8"/>
  <c r="AP12" i="8" s="1"/>
  <c r="AH21" i="8"/>
  <c r="AH26" i="8" s="1"/>
  <c r="AH31" i="8"/>
  <c r="AT31" i="8" s="1"/>
  <c r="AT36" i="8" s="1"/>
  <c r="AL16" i="1" s="1"/>
  <c r="AD31" i="8"/>
  <c r="AP31" i="8" s="1"/>
  <c r="AP36" i="8" s="1"/>
  <c r="AH16" i="8"/>
  <c r="AD23" i="8"/>
  <c r="AP23" i="8" s="1"/>
  <c r="AD16" i="8" l="1"/>
  <c r="AP16" i="8"/>
  <c r="AX11" i="8" s="1"/>
  <c r="AH36" i="8"/>
  <c r="AT21" i="8"/>
  <c r="AT26" i="8" s="1"/>
  <c r="AG16" i="1" s="1"/>
  <c r="AD26" i="8"/>
  <c r="AX31" i="8"/>
  <c r="BF31" i="8" s="1"/>
  <c r="BH31" i="8" s="1"/>
  <c r="AD36" i="8"/>
  <c r="AL15" i="1"/>
  <c r="AP26" i="8"/>
  <c r="AG15" i="1" l="1"/>
  <c r="AX21" i="8"/>
  <c r="BF21" i="8" s="1"/>
  <c r="BH21" i="8" s="1"/>
  <c r="AG17" i="1" s="1"/>
  <c r="H63" i="19" s="1"/>
  <c r="AB15" i="1"/>
  <c r="BF11" i="8"/>
  <c r="BH11" i="8" s="1"/>
  <c r="G17" i="1" s="1"/>
  <c r="AL18" i="1"/>
  <c r="Q17" i="1"/>
  <c r="AL17" i="1"/>
  <c r="H64" i="19" s="1"/>
  <c r="AB17" i="1" l="1"/>
  <c r="H62" i="19" s="1"/>
  <c r="H65" i="19" s="1"/>
  <c r="AB18" i="1"/>
  <c r="L17" i="1"/>
  <c r="B17" i="1" s="1"/>
  <c r="A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W2" authorId="0" shapeId="0" xr:uid="{78A682E7-7F48-4D65-881E-115DE33B6E94}">
      <text>
        <r>
          <rPr>
            <b/>
            <sz val="9"/>
            <color indexed="81"/>
            <rFont val="MS P ゴシック"/>
            <family val="3"/>
            <charset val="128"/>
          </rPr>
          <t xml:space="preserve">給与収入が区分に合致する場合「1」、異なる場合は「0」
</t>
        </r>
      </text>
    </comment>
    <comment ref="W17" authorId="0" shapeId="0" xr:uid="{DA3C1AB1-3A31-4DD2-810C-1E05DBCBBFC9}">
      <text>
        <r>
          <rPr>
            <b/>
            <sz val="9"/>
            <color indexed="81"/>
            <rFont val="MS P ゴシック"/>
            <family val="3"/>
            <charset val="128"/>
          </rPr>
          <t xml:space="preserve">給与収入が区分に合致する場合「1」、異なる場合は「0」
</t>
        </r>
      </text>
    </comment>
    <comment ref="W32" authorId="0" shapeId="0" xr:uid="{00E15CA6-2AAA-4DD1-82F8-5381272157CF}">
      <text>
        <r>
          <rPr>
            <b/>
            <sz val="9"/>
            <color indexed="81"/>
            <rFont val="MS P ゴシック"/>
            <family val="3"/>
            <charset val="128"/>
          </rPr>
          <t xml:space="preserve">給与収入が区分に合致する場合「1」、異なる場合は「0」
</t>
        </r>
      </text>
    </comment>
    <comment ref="W48" authorId="0" shapeId="0" xr:uid="{BC5C1C2A-0DB3-4958-99CF-751C968CF070}">
      <text>
        <r>
          <rPr>
            <b/>
            <sz val="9"/>
            <color indexed="81"/>
            <rFont val="MS P ゴシック"/>
            <family val="3"/>
            <charset val="128"/>
          </rPr>
          <t xml:space="preserve">給与収入が区分に合致する場合「1」、異なる場合は「0」
</t>
        </r>
      </text>
    </comment>
    <comment ref="W63" authorId="0" shapeId="0" xr:uid="{7FEE26F0-1EBC-42C8-95C6-39641918970B}">
      <text>
        <r>
          <rPr>
            <b/>
            <sz val="9"/>
            <color indexed="81"/>
            <rFont val="MS P ゴシック"/>
            <family val="3"/>
            <charset val="128"/>
          </rPr>
          <t xml:space="preserve">給与収入が区分に合致する場合「1」、異なる場合は「0」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F3BA20B8-21D9-4F6A-9E45-02EAD9C4D9CA}">
      <text>
        <r>
          <rPr>
            <b/>
            <sz val="9"/>
            <color indexed="81"/>
            <rFont val="MS P ゴシック"/>
            <family val="3"/>
            <charset val="128"/>
          </rPr>
          <t xml:space="preserve">給与収入が区分に合致する場合「1」、異なる場合は「0」
</t>
        </r>
      </text>
    </comment>
    <comment ref="V12" authorId="0" shapeId="0" xr:uid="{F47AA97E-D04C-4A9C-A833-9EE556804277}">
      <text>
        <r>
          <rPr>
            <b/>
            <sz val="9"/>
            <color indexed="81"/>
            <rFont val="MS P ゴシック"/>
            <family val="3"/>
            <charset val="128"/>
          </rPr>
          <t xml:space="preserve">給与収入が区分に合致する場合「1」、異なる場合は「0」
</t>
        </r>
      </text>
    </comment>
    <comment ref="V22" authorId="0" shapeId="0" xr:uid="{5D75C3A2-2A5F-464E-B87A-8E359EBA3E32}">
      <text>
        <r>
          <rPr>
            <b/>
            <sz val="9"/>
            <color indexed="81"/>
            <rFont val="MS P ゴシック"/>
            <family val="3"/>
            <charset val="128"/>
          </rPr>
          <t xml:space="preserve">給与収入が区分に合致する場合「1」、異なる場合は「0」
</t>
        </r>
      </text>
    </comment>
    <comment ref="V32" authorId="0" shapeId="0" xr:uid="{7EECF2F1-9CE4-441D-B435-5C8DC5E8FFBF}">
      <text>
        <r>
          <rPr>
            <b/>
            <sz val="9"/>
            <color indexed="81"/>
            <rFont val="MS P ゴシック"/>
            <family val="3"/>
            <charset val="128"/>
          </rPr>
          <t xml:space="preserve">給与収入が区分に合致する場合「1」、異なる場合は「0」
</t>
        </r>
      </text>
    </comment>
    <comment ref="V42" authorId="0" shapeId="0" xr:uid="{8BBF9B7E-BB31-4954-B0D3-A1B96B6CD4BB}">
      <text>
        <r>
          <rPr>
            <b/>
            <sz val="9"/>
            <color indexed="81"/>
            <rFont val="MS P ゴシック"/>
            <family val="3"/>
            <charset val="128"/>
          </rPr>
          <t xml:space="preserve">給与収入が区分に合致する場合「1」、異なる場合は「0」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4A962893-C4BA-41A5-A299-EF9A0439D016}">
      <text>
        <r>
          <rPr>
            <b/>
            <sz val="9"/>
            <color indexed="81"/>
            <rFont val="MS P ゴシック"/>
            <family val="3"/>
            <charset val="128"/>
          </rPr>
          <t xml:space="preserve">給与収入が区分に合致する場合「1」、異なる場合は「0」
</t>
        </r>
      </text>
    </comment>
    <comment ref="V12" authorId="0" shapeId="0" xr:uid="{7B361D25-EEB3-43AE-8E9E-ECF81F83E419}">
      <text>
        <r>
          <rPr>
            <b/>
            <sz val="9"/>
            <color indexed="81"/>
            <rFont val="MS P ゴシック"/>
            <family val="3"/>
            <charset val="128"/>
          </rPr>
          <t xml:space="preserve">給与収入が区分に合致する場合「1」、異なる場合は「0」
</t>
        </r>
      </text>
    </comment>
    <comment ref="V22" authorId="0" shapeId="0" xr:uid="{AE62D763-354D-4A0E-AD5C-CD4418E94D92}">
      <text>
        <r>
          <rPr>
            <b/>
            <sz val="9"/>
            <color indexed="81"/>
            <rFont val="MS P ゴシック"/>
            <family val="3"/>
            <charset val="128"/>
          </rPr>
          <t xml:space="preserve">給与収入が区分に合致する場合「1」、異なる場合は「0」
</t>
        </r>
      </text>
    </comment>
    <comment ref="V32" authorId="0" shapeId="0" xr:uid="{A6119D1C-E909-4D08-A298-50386B5FB013}">
      <text>
        <r>
          <rPr>
            <b/>
            <sz val="9"/>
            <color indexed="81"/>
            <rFont val="MS P ゴシック"/>
            <family val="3"/>
            <charset val="128"/>
          </rPr>
          <t xml:space="preserve">給与収入が区分に合致する場合「1」、異なる場合は「0」
</t>
        </r>
      </text>
    </comment>
    <comment ref="V42" authorId="0" shapeId="0" xr:uid="{0B8CA922-80A6-48BD-8161-02EBD2E2E444}">
      <text>
        <r>
          <rPr>
            <b/>
            <sz val="9"/>
            <color indexed="81"/>
            <rFont val="MS P ゴシック"/>
            <family val="3"/>
            <charset val="128"/>
          </rPr>
          <t xml:space="preserve">給与収入が区分に合致する場合「1」、異なる場合は「0」
</t>
        </r>
      </text>
    </comment>
  </commentList>
</comments>
</file>

<file path=xl/sharedStrings.xml><?xml version="1.0" encoding="utf-8"?>
<sst xmlns="http://schemas.openxmlformats.org/spreadsheetml/2006/main" count="850" uniqueCount="322">
  <si>
    <t>国民健康保険料　試算</t>
    <rPh sb="0" eb="2">
      <t>コクミン</t>
    </rPh>
    <rPh sb="2" eb="4">
      <t>ケンコウ</t>
    </rPh>
    <rPh sb="4" eb="7">
      <t>ホケンリョウ</t>
    </rPh>
    <rPh sb="8" eb="10">
      <t>シサン</t>
    </rPh>
    <phoneticPr fontId="1"/>
  </si>
  <si>
    <t>※下記の計算結果につきましては試算になります。保険料額につきましては、お手続きいただいたのちに発送します決定（変更）通知をご確認ください。</t>
    <rPh sb="1" eb="3">
      <t>カキ</t>
    </rPh>
    <rPh sb="4" eb="6">
      <t>ケイサン</t>
    </rPh>
    <rPh sb="6" eb="8">
      <t>ケッカ</t>
    </rPh>
    <rPh sb="15" eb="17">
      <t>シサン</t>
    </rPh>
    <rPh sb="23" eb="26">
      <t>ホケンリョウ</t>
    </rPh>
    <rPh sb="26" eb="27">
      <t>ガク</t>
    </rPh>
    <rPh sb="36" eb="38">
      <t>テツヅ</t>
    </rPh>
    <rPh sb="47" eb="49">
      <t>ハッソウ</t>
    </rPh>
    <rPh sb="52" eb="54">
      <t>ケッテイ</t>
    </rPh>
    <rPh sb="55" eb="57">
      <t>ヘンコウ</t>
    </rPh>
    <rPh sb="58" eb="60">
      <t>ツウチ</t>
    </rPh>
    <rPh sb="62" eb="64">
      <t>カクニン</t>
    </rPh>
    <phoneticPr fontId="1"/>
  </si>
  <si>
    <t>世帯構成</t>
    <rPh sb="0" eb="2">
      <t>セタイ</t>
    </rPh>
    <rPh sb="2" eb="4">
      <t>コウセイ</t>
    </rPh>
    <phoneticPr fontId="1"/>
  </si>
  <si>
    <t>世帯主</t>
    <rPh sb="0" eb="3">
      <t>セタイヌシ</t>
    </rPh>
    <phoneticPr fontId="1"/>
  </si>
  <si>
    <t>世帯員</t>
    <rPh sb="0" eb="3">
      <t>セタイイン</t>
    </rPh>
    <phoneticPr fontId="1"/>
  </si>
  <si>
    <t>区分</t>
    <rPh sb="0" eb="2">
      <t>クブン</t>
    </rPh>
    <phoneticPr fontId="1"/>
  </si>
  <si>
    <t>国保被保険者</t>
    <rPh sb="0" eb="2">
      <t>コクホ</t>
    </rPh>
    <rPh sb="2" eb="6">
      <t>ヒホケンシャ</t>
    </rPh>
    <phoneticPr fontId="1"/>
  </si>
  <si>
    <t>区分（世帯主）</t>
    <rPh sb="0" eb="2">
      <t>クブン</t>
    </rPh>
    <rPh sb="3" eb="6">
      <t>セタイヌシ</t>
    </rPh>
    <phoneticPr fontId="1"/>
  </si>
  <si>
    <t>区分（世帯員）</t>
    <rPh sb="0" eb="2">
      <t>クブン</t>
    </rPh>
    <rPh sb="3" eb="6">
      <t>セタイイン</t>
    </rPh>
    <phoneticPr fontId="1"/>
  </si>
  <si>
    <t>擬制世帯主</t>
    <rPh sb="0" eb="2">
      <t>ギセイ</t>
    </rPh>
    <rPh sb="2" eb="5">
      <t>セタイヌシ</t>
    </rPh>
    <phoneticPr fontId="1"/>
  </si>
  <si>
    <t>旧被保険者</t>
    <rPh sb="0" eb="1">
      <t>キュウ</t>
    </rPh>
    <rPh sb="1" eb="5">
      <t>ヒホケンシャ</t>
    </rPh>
    <phoneticPr fontId="1"/>
  </si>
  <si>
    <t>旧被扶養者</t>
    <rPh sb="0" eb="1">
      <t>キュウ</t>
    </rPh>
    <rPh sb="1" eb="5">
      <t>ヒフヨウシャ</t>
    </rPh>
    <phoneticPr fontId="1"/>
  </si>
  <si>
    <t>年齢</t>
    <rPh sb="0" eb="2">
      <t>ネンレイ</t>
    </rPh>
    <phoneticPr fontId="1"/>
  </si>
  <si>
    <t>年齢</t>
    <rPh sb="0" eb="2">
      <t>ネンレイ</t>
    </rPh>
    <phoneticPr fontId="1"/>
  </si>
  <si>
    <t>国保加
入月数</t>
    <rPh sb="0" eb="2">
      <t>コクホ</t>
    </rPh>
    <rPh sb="2" eb="3">
      <t>カ</t>
    </rPh>
    <rPh sb="4" eb="5">
      <t>ニュウ</t>
    </rPh>
    <rPh sb="5" eb="6">
      <t>ツキ</t>
    </rPh>
    <rPh sb="6" eb="7">
      <t>スウ</t>
    </rPh>
    <phoneticPr fontId="1"/>
  </si>
  <si>
    <t>介護加入月数</t>
    <rPh sb="0" eb="2">
      <t>カイゴ</t>
    </rPh>
    <rPh sb="2" eb="4">
      <t>カニュウ</t>
    </rPh>
    <rPh sb="4" eb="5">
      <t>ツキ</t>
    </rPh>
    <rPh sb="5" eb="6">
      <t>スウ</t>
    </rPh>
    <phoneticPr fontId="1"/>
  </si>
  <si>
    <t>加入月数</t>
    <rPh sb="0" eb="2">
      <t>カニュウ</t>
    </rPh>
    <rPh sb="2" eb="4">
      <t>ツキスウ</t>
    </rPh>
    <phoneticPr fontId="1"/>
  </si>
  <si>
    <t>40歳未満</t>
    <rPh sb="2" eb="3">
      <t>サイ</t>
    </rPh>
    <rPh sb="3" eb="5">
      <t>ミマン</t>
    </rPh>
    <phoneticPr fontId="1"/>
  </si>
  <si>
    <t>40歳以上～65歳未満</t>
    <rPh sb="2" eb="3">
      <t>サイ</t>
    </rPh>
    <rPh sb="3" eb="5">
      <t>イジョウ</t>
    </rPh>
    <rPh sb="8" eb="9">
      <t>サイ</t>
    </rPh>
    <rPh sb="9" eb="11">
      <t>ミマン</t>
    </rPh>
    <phoneticPr fontId="1"/>
  </si>
  <si>
    <t>65歳以上</t>
    <rPh sb="2" eb="3">
      <t>サイ</t>
    </rPh>
    <rPh sb="3" eb="5">
      <t>イジョウ</t>
    </rPh>
    <phoneticPr fontId="1"/>
  </si>
  <si>
    <t>収入金額</t>
    <rPh sb="0" eb="2">
      <t>シュウニュウ</t>
    </rPh>
    <rPh sb="2" eb="4">
      <t>キンガク</t>
    </rPh>
    <phoneticPr fontId="1"/>
  </si>
  <si>
    <t>所得金額</t>
    <rPh sb="0" eb="2">
      <t>ショトク</t>
    </rPh>
    <rPh sb="2" eb="4">
      <t>キンガク</t>
    </rPh>
    <phoneticPr fontId="1"/>
  </si>
  <si>
    <t>給与</t>
    <rPh sb="0" eb="2">
      <t>キュウヨ</t>
    </rPh>
    <phoneticPr fontId="1"/>
  </si>
  <si>
    <t>年金（６５歳以上）</t>
    <rPh sb="0" eb="2">
      <t>ネンキン</t>
    </rPh>
    <rPh sb="5" eb="6">
      <t>サイ</t>
    </rPh>
    <rPh sb="6" eb="8">
      <t>イジョウ</t>
    </rPh>
    <phoneticPr fontId="1"/>
  </si>
  <si>
    <t>年金（６５歳未満）</t>
    <rPh sb="0" eb="2">
      <t>ネンキン</t>
    </rPh>
    <rPh sb="5" eb="6">
      <t>サイ</t>
    </rPh>
    <rPh sb="6" eb="8">
      <t>ミマン</t>
    </rPh>
    <phoneticPr fontId="1"/>
  </si>
  <si>
    <t>その他所得</t>
    <rPh sb="2" eb="3">
      <t>タ</t>
    </rPh>
    <rPh sb="3" eb="5">
      <t>ショトク</t>
    </rPh>
    <phoneticPr fontId="1"/>
  </si>
  <si>
    <t>世帯加入月数</t>
    <rPh sb="0" eb="2">
      <t>セタイ</t>
    </rPh>
    <rPh sb="2" eb="4">
      <t>カニュウ</t>
    </rPh>
    <rPh sb="4" eb="6">
      <t>ツキスウ</t>
    </rPh>
    <phoneticPr fontId="1"/>
  </si>
  <si>
    <t>ヵ月</t>
    <rPh sb="1" eb="2">
      <t>ゲツ</t>
    </rPh>
    <phoneticPr fontId="1"/>
  </si>
  <si>
    <t>世帯軽減区分</t>
    <rPh sb="0" eb="2">
      <t>セタイ</t>
    </rPh>
    <rPh sb="2" eb="4">
      <t>ケイゲン</t>
    </rPh>
    <rPh sb="4" eb="6">
      <t>クブン</t>
    </rPh>
    <phoneticPr fontId="1"/>
  </si>
  <si>
    <t>非自発</t>
    <rPh sb="0" eb="1">
      <t>ヒ</t>
    </rPh>
    <rPh sb="1" eb="3">
      <t>ジハツ</t>
    </rPh>
    <phoneticPr fontId="1"/>
  </si>
  <si>
    <t>所得割額</t>
    <rPh sb="0" eb="2">
      <t>ショトク</t>
    </rPh>
    <rPh sb="2" eb="3">
      <t>ワリ</t>
    </rPh>
    <rPh sb="3" eb="4">
      <t>ガク</t>
    </rPh>
    <phoneticPr fontId="1"/>
  </si>
  <si>
    <t>（</t>
    <phoneticPr fontId="1"/>
  </si>
  <si>
    <t>年度</t>
    <rPh sb="0" eb="2">
      <t>ネンド</t>
    </rPh>
    <phoneticPr fontId="1"/>
  </si>
  <si>
    <t>）</t>
    <phoneticPr fontId="1"/>
  </si>
  <si>
    <t>保険料算定額</t>
    <rPh sb="0" eb="3">
      <t>ホケンリョウ</t>
    </rPh>
    <rPh sb="3" eb="5">
      <t>サンテイ</t>
    </rPh>
    <rPh sb="5" eb="6">
      <t>ガク</t>
    </rPh>
    <phoneticPr fontId="1"/>
  </si>
  <si>
    <t>合計</t>
    <rPh sb="0" eb="2">
      <t>ゴウケイ</t>
    </rPh>
    <phoneticPr fontId="1"/>
  </si>
  <si>
    <t>医療</t>
    <rPh sb="0" eb="2">
      <t>イリョウ</t>
    </rPh>
    <phoneticPr fontId="1"/>
  </si>
  <si>
    <t>支援</t>
    <rPh sb="0" eb="2">
      <t>シエン</t>
    </rPh>
    <phoneticPr fontId="1"/>
  </si>
  <si>
    <t>介護</t>
    <rPh sb="0" eb="2">
      <t>カイゴ</t>
    </rPh>
    <phoneticPr fontId="1"/>
  </si>
  <si>
    <t>円</t>
    <rPh sb="0" eb="1">
      <t>エン</t>
    </rPh>
    <phoneticPr fontId="1"/>
  </si>
  <si>
    <t>～</t>
    <phoneticPr fontId="1"/>
  </si>
  <si>
    <t>控除後給与所得の計算方法</t>
    <rPh sb="0" eb="2">
      <t>コウジョ</t>
    </rPh>
    <rPh sb="2" eb="3">
      <t>ゴ</t>
    </rPh>
    <rPh sb="3" eb="5">
      <t>キュウヨ</t>
    </rPh>
    <rPh sb="5" eb="7">
      <t>ショトク</t>
    </rPh>
    <rPh sb="8" eb="10">
      <t>ケイサン</t>
    </rPh>
    <rPh sb="10" eb="12">
      <t>ホウホウ</t>
    </rPh>
    <phoneticPr fontId="1"/>
  </si>
  <si>
    <t>以下</t>
    <rPh sb="0" eb="2">
      <t>イカ</t>
    </rPh>
    <phoneticPr fontId="1"/>
  </si>
  <si>
    <t>給与所得</t>
    <rPh sb="0" eb="2">
      <t>キュウヨ</t>
    </rPh>
    <rPh sb="2" eb="4">
      <t>ショトク</t>
    </rPh>
    <phoneticPr fontId="1"/>
  </si>
  <si>
    <t>年金（65未満）</t>
    <rPh sb="0" eb="2">
      <t>ネンキン</t>
    </rPh>
    <rPh sb="5" eb="7">
      <t>ミマン</t>
    </rPh>
    <phoneticPr fontId="1"/>
  </si>
  <si>
    <t>年金（65以上）</t>
    <rPh sb="0" eb="2">
      <t>ネンキン</t>
    </rPh>
    <rPh sb="5" eb="7">
      <t>イジョウ</t>
    </rPh>
    <phoneticPr fontId="1"/>
  </si>
  <si>
    <t>賦課基準額</t>
    <rPh sb="0" eb="2">
      <t>フカ</t>
    </rPh>
    <rPh sb="2" eb="4">
      <t>キジュン</t>
    </rPh>
    <rPh sb="4" eb="5">
      <t>ガク</t>
    </rPh>
    <phoneticPr fontId="1"/>
  </si>
  <si>
    <t>【賦課基準額の算出】</t>
    <rPh sb="1" eb="3">
      <t>フカ</t>
    </rPh>
    <rPh sb="3" eb="5">
      <t>キジュン</t>
    </rPh>
    <rPh sb="5" eb="6">
      <t>ガク</t>
    </rPh>
    <rPh sb="7" eb="9">
      <t>サンシュツ</t>
    </rPh>
    <phoneticPr fontId="1"/>
  </si>
  <si>
    <t>【軽減判定所得の算出】</t>
    <rPh sb="1" eb="3">
      <t>ケイゲン</t>
    </rPh>
    <rPh sb="3" eb="5">
      <t>ハンテイ</t>
    </rPh>
    <rPh sb="5" eb="7">
      <t>ショトク</t>
    </rPh>
    <rPh sb="8" eb="10">
      <t>サンシュツ</t>
    </rPh>
    <phoneticPr fontId="1"/>
  </si>
  <si>
    <t>※公的年金控除△15万円</t>
    <rPh sb="1" eb="3">
      <t>コウテキ</t>
    </rPh>
    <rPh sb="3" eb="5">
      <t>ネンキン</t>
    </rPh>
    <rPh sb="5" eb="7">
      <t>コウジョ</t>
    </rPh>
    <rPh sb="10" eb="11">
      <t>マン</t>
    </rPh>
    <rPh sb="11" eb="12">
      <t>エン</t>
    </rPh>
    <phoneticPr fontId="1"/>
  </si>
  <si>
    <t>軽減判定所得</t>
    <rPh sb="0" eb="2">
      <t>ケイゲン</t>
    </rPh>
    <rPh sb="2" eb="4">
      <t>ハンテイ</t>
    </rPh>
    <rPh sb="4" eb="6">
      <t>ショトク</t>
    </rPh>
    <phoneticPr fontId="1"/>
  </si>
  <si>
    <t>〇</t>
    <phoneticPr fontId="1"/>
  </si>
  <si>
    <t>【世帯軽減判定】</t>
    <rPh sb="1" eb="3">
      <t>セタイ</t>
    </rPh>
    <rPh sb="3" eb="5">
      <t>ケイゲン</t>
    </rPh>
    <rPh sb="5" eb="7">
      <t>ハンテイ</t>
    </rPh>
    <phoneticPr fontId="1"/>
  </si>
  <si>
    <t>軽減区分</t>
    <rPh sb="0" eb="2">
      <t>ケイゲン</t>
    </rPh>
    <rPh sb="2" eb="4">
      <t>クブン</t>
    </rPh>
    <phoneticPr fontId="1"/>
  </si>
  <si>
    <t>法定軽減</t>
    <rPh sb="0" eb="2">
      <t>ホウテイ</t>
    </rPh>
    <rPh sb="2" eb="4">
      <t>ケイゲン</t>
    </rPh>
    <phoneticPr fontId="1"/>
  </si>
  <si>
    <t>７割</t>
    <rPh sb="1" eb="2">
      <t>ワリ</t>
    </rPh>
    <phoneticPr fontId="1"/>
  </si>
  <si>
    <t>５割</t>
    <rPh sb="1" eb="2">
      <t>ワリ</t>
    </rPh>
    <phoneticPr fontId="1"/>
  </si>
  <si>
    <t>２割</t>
    <rPh sb="1" eb="2">
      <t>ワリ</t>
    </rPh>
    <phoneticPr fontId="1"/>
  </si>
  <si>
    <t>経過措置</t>
    <rPh sb="0" eb="2">
      <t>ケイカ</t>
    </rPh>
    <rPh sb="2" eb="4">
      <t>ソチ</t>
    </rPh>
    <phoneticPr fontId="1"/>
  </si>
  <si>
    <t>市減免</t>
    <rPh sb="0" eb="1">
      <t>シ</t>
    </rPh>
    <rPh sb="1" eb="3">
      <t>ゲンメン</t>
    </rPh>
    <phoneticPr fontId="1"/>
  </si>
  <si>
    <t>基準額</t>
    <rPh sb="0" eb="2">
      <t>キジュン</t>
    </rPh>
    <rPh sb="2" eb="3">
      <t>ガク</t>
    </rPh>
    <phoneticPr fontId="1"/>
  </si>
  <si>
    <t>加算（×被保数）</t>
    <rPh sb="0" eb="2">
      <t>カサン</t>
    </rPh>
    <rPh sb="4" eb="5">
      <t>ヒ</t>
    </rPh>
    <rPh sb="5" eb="6">
      <t>ホ</t>
    </rPh>
    <rPh sb="6" eb="7">
      <t>スウ</t>
    </rPh>
    <phoneticPr fontId="1"/>
  </si>
  <si>
    <t>未満</t>
    <rPh sb="0" eb="2">
      <t>ミマン</t>
    </rPh>
    <phoneticPr fontId="1"/>
  </si>
  <si>
    <t>軽減判定人数</t>
    <rPh sb="0" eb="2">
      <t>ケイゲン</t>
    </rPh>
    <rPh sb="2" eb="4">
      <t>ハンテイ</t>
    </rPh>
    <rPh sb="4" eb="6">
      <t>ニンズウ</t>
    </rPh>
    <phoneticPr fontId="1"/>
  </si>
  <si>
    <t>この世帯の軽減判定所得</t>
    <rPh sb="2" eb="4">
      <t>セタイ</t>
    </rPh>
    <rPh sb="5" eb="7">
      <t>ケイゲン</t>
    </rPh>
    <rPh sb="7" eb="9">
      <t>ハンテイ</t>
    </rPh>
    <rPh sb="9" eb="11">
      <t>ショトク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</si>
  <si>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</si>
  <si>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</si>
  <si>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</si>
  <si>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市独自２割減免</t>
    <rPh sb="0" eb="1">
      <t>シ</t>
    </rPh>
    <rPh sb="1" eb="3">
      <t>ドクジ</t>
    </rPh>
    <rPh sb="4" eb="5">
      <t>ワリ</t>
    </rPh>
    <rPh sb="5" eb="7">
      <t>ゲンメン</t>
    </rPh>
    <phoneticPr fontId="1"/>
  </si>
  <si>
    <t>【保険料率】</t>
    <rPh sb="1" eb="4">
      <t>ホケンリョウ</t>
    </rPh>
    <rPh sb="4" eb="5">
      <t>リツ</t>
    </rPh>
    <phoneticPr fontId="1"/>
  </si>
  <si>
    <t>所得割</t>
    <rPh sb="0" eb="2">
      <t>ショトク</t>
    </rPh>
    <rPh sb="2" eb="3">
      <t>ワリ</t>
    </rPh>
    <phoneticPr fontId="1"/>
  </si>
  <si>
    <t>被保険者均等割</t>
    <rPh sb="0" eb="4">
      <t>ヒホケンシャ</t>
    </rPh>
    <rPh sb="4" eb="7">
      <t>キントウワ</t>
    </rPh>
    <phoneticPr fontId="1"/>
  </si>
  <si>
    <t>世帯別平等割</t>
    <rPh sb="0" eb="2">
      <t>セタイ</t>
    </rPh>
    <rPh sb="2" eb="3">
      <t>ベツ</t>
    </rPh>
    <rPh sb="3" eb="5">
      <t>ビョウドウ</t>
    </rPh>
    <rPh sb="5" eb="6">
      <t>ワリ</t>
    </rPh>
    <phoneticPr fontId="1"/>
  </si>
  <si>
    <t>世帯割</t>
    <rPh sb="0" eb="2">
      <t>セタイ</t>
    </rPh>
    <rPh sb="2" eb="3">
      <t>ワリ</t>
    </rPh>
    <phoneticPr fontId="1"/>
  </si>
  <si>
    <t>被保割</t>
    <rPh sb="0" eb="1">
      <t>ヒ</t>
    </rPh>
    <rPh sb="1" eb="2">
      <t>ホ</t>
    </rPh>
    <rPh sb="2" eb="3">
      <t>ワリ</t>
    </rPh>
    <phoneticPr fontId="1"/>
  </si>
  <si>
    <t>１年間保険料算出（限度考慮前）</t>
    <rPh sb="1" eb="3">
      <t>ネンカン</t>
    </rPh>
    <rPh sb="3" eb="6">
      <t>ホケンリョウ</t>
    </rPh>
    <rPh sb="6" eb="8">
      <t>サンシュツ</t>
    </rPh>
    <rPh sb="9" eb="11">
      <t>ゲンド</t>
    </rPh>
    <rPh sb="11" eb="13">
      <t>コウリョ</t>
    </rPh>
    <rPh sb="13" eb="14">
      <t>マエ</t>
    </rPh>
    <phoneticPr fontId="1"/>
  </si>
  <si>
    <t>限度額</t>
    <rPh sb="0" eb="2">
      <t>ゲンド</t>
    </rPh>
    <rPh sb="2" eb="3">
      <t>ガク</t>
    </rPh>
    <phoneticPr fontId="1"/>
  </si>
  <si>
    <t>医療</t>
    <rPh sb="0" eb="2">
      <t>イリョウ</t>
    </rPh>
    <phoneticPr fontId="1"/>
  </si>
  <si>
    <t>最大加入数→</t>
    <rPh sb="0" eb="2">
      <t>サイダイ</t>
    </rPh>
    <rPh sb="2" eb="4">
      <t>カニュウ</t>
    </rPh>
    <rPh sb="4" eb="5">
      <t>スウ</t>
    </rPh>
    <phoneticPr fontId="1"/>
  </si>
  <si>
    <t>月割保険料算出（限度考慮前）</t>
    <rPh sb="0" eb="1">
      <t>ツキ</t>
    </rPh>
    <rPh sb="1" eb="2">
      <t>ワリ</t>
    </rPh>
    <rPh sb="2" eb="5">
      <t>ホケンリョウ</t>
    </rPh>
    <rPh sb="5" eb="7">
      <t>サンシュツ</t>
    </rPh>
    <rPh sb="8" eb="10">
      <t>ゲンド</t>
    </rPh>
    <rPh sb="10" eb="12">
      <t>コウリョ</t>
    </rPh>
    <rPh sb="12" eb="13">
      <t>マエ</t>
    </rPh>
    <phoneticPr fontId="1"/>
  </si>
  <si>
    <t>限度額</t>
    <rPh sb="0" eb="2">
      <t>ゲンド</t>
    </rPh>
    <rPh sb="2" eb="3">
      <t>ガク</t>
    </rPh>
    <phoneticPr fontId="1"/>
  </si>
  <si>
    <t>限度
判定</t>
    <rPh sb="0" eb="2">
      <t>ゲンド</t>
    </rPh>
    <rPh sb="3" eb="5">
      <t>ハンテイ</t>
    </rPh>
    <phoneticPr fontId="1"/>
  </si>
  <si>
    <t>保険料</t>
    <rPh sb="0" eb="3">
      <t>ホケンリョウ</t>
    </rPh>
    <phoneticPr fontId="1"/>
  </si>
  <si>
    <t>保険料
（限度後）</t>
    <rPh sb="0" eb="3">
      <t>ホケンリョウ</t>
    </rPh>
    <rPh sb="5" eb="7">
      <t>ゲンド</t>
    </rPh>
    <rPh sb="7" eb="8">
      <t>ゴ</t>
    </rPh>
    <phoneticPr fontId="1"/>
  </si>
  <si>
    <t>旧国保減免判定</t>
    <rPh sb="0" eb="1">
      <t>キュウ</t>
    </rPh>
    <rPh sb="1" eb="3">
      <t>コクホ</t>
    </rPh>
    <rPh sb="3" eb="5">
      <t>ゲンメン</t>
    </rPh>
    <rPh sb="5" eb="7">
      <t>ハンテイ</t>
    </rPh>
    <phoneticPr fontId="1"/>
  </si>
  <si>
    <t>旧国減免</t>
    <rPh sb="0" eb="1">
      <t>キュウ</t>
    </rPh>
    <rPh sb="1" eb="2">
      <t>コク</t>
    </rPh>
    <rPh sb="2" eb="4">
      <t>ゲンメン</t>
    </rPh>
    <phoneticPr fontId="1"/>
  </si>
  <si>
    <t>【保険料合計の内訳】</t>
    <rPh sb="1" eb="4">
      <t>ホケンリョウ</t>
    </rPh>
    <rPh sb="4" eb="6">
      <t>ゴウケイ</t>
    </rPh>
    <rPh sb="7" eb="9">
      <t>ウチワケ</t>
    </rPh>
    <phoneticPr fontId="1"/>
  </si>
  <si>
    <t>所得割額</t>
    <rPh sb="0" eb="2">
      <t>ショトク</t>
    </rPh>
    <rPh sb="2" eb="3">
      <t>ワリ</t>
    </rPh>
    <rPh sb="3" eb="4">
      <t>ガク</t>
    </rPh>
    <phoneticPr fontId="1"/>
  </si>
  <si>
    <t>被保割額</t>
    <rPh sb="0" eb="1">
      <t>ヒ</t>
    </rPh>
    <rPh sb="1" eb="2">
      <t>ホ</t>
    </rPh>
    <rPh sb="2" eb="3">
      <t>ワリ</t>
    </rPh>
    <rPh sb="3" eb="4">
      <t>ガク</t>
    </rPh>
    <phoneticPr fontId="1"/>
  </si>
  <si>
    <t>世帯割額</t>
    <rPh sb="0" eb="2">
      <t>セタイ</t>
    </rPh>
    <rPh sb="2" eb="3">
      <t>ワリ</t>
    </rPh>
    <rPh sb="3" eb="4">
      <t>ガク</t>
    </rPh>
    <phoneticPr fontId="1"/>
  </si>
  <si>
    <t>保険料額</t>
    <rPh sb="0" eb="3">
      <t>ホケンリョウ</t>
    </rPh>
    <rPh sb="3" eb="4">
      <t>ガク</t>
    </rPh>
    <phoneticPr fontId="1"/>
  </si>
  <si>
    <t>限度額判定</t>
    <rPh sb="0" eb="2">
      <t>ゲンド</t>
    </rPh>
    <rPh sb="2" eb="3">
      <t>ガク</t>
    </rPh>
    <rPh sb="3" eb="5">
      <t>ハンテイ</t>
    </rPh>
    <phoneticPr fontId="1"/>
  </si>
  <si>
    <t>【軽減・減免等の適用】</t>
    <rPh sb="1" eb="3">
      <t>ケイゲン</t>
    </rPh>
    <rPh sb="4" eb="6">
      <t>ゲンメン</t>
    </rPh>
    <rPh sb="6" eb="7">
      <t>ナド</t>
    </rPh>
    <rPh sb="8" eb="10">
      <t>テキヨウ</t>
    </rPh>
    <phoneticPr fontId="1"/>
  </si>
  <si>
    <t>軽減・減免区分</t>
    <rPh sb="0" eb="2">
      <t>ケイゲン</t>
    </rPh>
    <rPh sb="3" eb="5">
      <t>ゲンメン</t>
    </rPh>
    <rPh sb="5" eb="7">
      <t>クブン</t>
    </rPh>
    <phoneticPr fontId="1"/>
  </si>
  <si>
    <t>非自発適用</t>
    <rPh sb="0" eb="1">
      <t>ヒ</t>
    </rPh>
    <rPh sb="1" eb="3">
      <t>ジハツ</t>
    </rPh>
    <rPh sb="3" eb="5">
      <t>テキヨウ</t>
    </rPh>
    <phoneticPr fontId="1"/>
  </si>
  <si>
    <t>旧被保険者適用</t>
    <rPh sb="0" eb="1">
      <t>キュウ</t>
    </rPh>
    <rPh sb="1" eb="5">
      <t>ヒホケンシャ</t>
    </rPh>
    <rPh sb="5" eb="7">
      <t>テキヨウ</t>
    </rPh>
    <phoneticPr fontId="1"/>
  </si>
  <si>
    <t>旧被扶養者減免</t>
    <rPh sb="0" eb="1">
      <t>キュウ</t>
    </rPh>
    <rPh sb="1" eb="5">
      <t>ヒフヨウシャ</t>
    </rPh>
    <rPh sb="5" eb="7">
      <t>ゲンメン</t>
    </rPh>
    <phoneticPr fontId="1"/>
  </si>
  <si>
    <t>【旧被扶養者減免の判定】</t>
    <rPh sb="1" eb="2">
      <t>キュウ</t>
    </rPh>
    <rPh sb="2" eb="6">
      <t>ヒフヨウシャ</t>
    </rPh>
    <rPh sb="6" eb="8">
      <t>ゲンメン</t>
    </rPh>
    <rPh sb="9" eb="11">
      <t>ハンテイ</t>
    </rPh>
    <phoneticPr fontId="1"/>
  </si>
  <si>
    <t>旧被扶養者減免の有無</t>
    <rPh sb="0" eb="1">
      <t>キュウ</t>
    </rPh>
    <rPh sb="1" eb="5">
      <t>ヒフヨウシャ</t>
    </rPh>
    <rPh sb="5" eb="7">
      <t>ゲンメン</t>
    </rPh>
    <rPh sb="8" eb="10">
      <t>ウム</t>
    </rPh>
    <phoneticPr fontId="1"/>
  </si>
  <si>
    <t>被保険者割</t>
    <rPh sb="0" eb="4">
      <t>ヒホケンシャ</t>
    </rPh>
    <rPh sb="4" eb="5">
      <t>ワリ</t>
    </rPh>
    <phoneticPr fontId="1"/>
  </si>
  <si>
    <t>被保＋世帯割</t>
    <rPh sb="0" eb="1">
      <t>ヒ</t>
    </rPh>
    <rPh sb="1" eb="2">
      <t>ホ</t>
    </rPh>
    <rPh sb="3" eb="5">
      <t>セタイ</t>
    </rPh>
    <rPh sb="5" eb="6">
      <t>ワリ</t>
    </rPh>
    <phoneticPr fontId="1"/>
  </si>
  <si>
    <t>軽減する割合</t>
    <rPh sb="0" eb="2">
      <t>ケイゲン</t>
    </rPh>
    <rPh sb="4" eb="6">
      <t>ワリアイ</t>
    </rPh>
    <phoneticPr fontId="1"/>
  </si>
  <si>
    <t>世帯に旧被扶以外あり</t>
    <rPh sb="0" eb="2">
      <t>セタイ</t>
    </rPh>
    <rPh sb="3" eb="4">
      <t>キュウ</t>
    </rPh>
    <rPh sb="4" eb="5">
      <t>ヒ</t>
    </rPh>
    <rPh sb="5" eb="6">
      <t>フ</t>
    </rPh>
    <rPh sb="6" eb="8">
      <t>イガイ</t>
    </rPh>
    <phoneticPr fontId="1"/>
  </si>
  <si>
    <t>世帯に旧被扶のみ</t>
    <rPh sb="0" eb="2">
      <t>セタイ</t>
    </rPh>
    <rPh sb="3" eb="4">
      <t>キュウ</t>
    </rPh>
    <rPh sb="4" eb="5">
      <t>ヒ</t>
    </rPh>
    <rPh sb="5" eb="6">
      <t>フ</t>
    </rPh>
    <phoneticPr fontId="1"/>
  </si>
  <si>
    <t>旧被扶A減免</t>
    <rPh sb="0" eb="1">
      <t>キュウ</t>
    </rPh>
    <rPh sb="1" eb="2">
      <t>ヒ</t>
    </rPh>
    <rPh sb="2" eb="3">
      <t>フ</t>
    </rPh>
    <rPh sb="4" eb="6">
      <t>ゲンメン</t>
    </rPh>
    <phoneticPr fontId="1"/>
  </si>
  <si>
    <t>旧被扶B減免</t>
    <rPh sb="0" eb="1">
      <t>キュウ</t>
    </rPh>
    <rPh sb="1" eb="2">
      <t>ヒ</t>
    </rPh>
    <rPh sb="2" eb="3">
      <t>フ</t>
    </rPh>
    <rPh sb="4" eb="6">
      <t>ゲンメン</t>
    </rPh>
    <phoneticPr fontId="1"/>
  </si>
  <si>
    <t>区分表記</t>
    <rPh sb="0" eb="2">
      <t>クブン</t>
    </rPh>
    <rPh sb="2" eb="4">
      <t>ヒョウキ</t>
    </rPh>
    <phoneticPr fontId="1"/>
  </si>
  <si>
    <t>旧被扶養者減免区分</t>
    <rPh sb="0" eb="1">
      <t>キュウ</t>
    </rPh>
    <rPh sb="1" eb="5">
      <t>ヒフヨウシャ</t>
    </rPh>
    <rPh sb="5" eb="7">
      <t>ゲンメン</t>
    </rPh>
    <rPh sb="7" eb="9">
      <t>クブン</t>
    </rPh>
    <phoneticPr fontId="1"/>
  </si>
  <si>
    <t>軽減</t>
    <rPh sb="0" eb="2">
      <t>ケイゲン</t>
    </rPh>
    <phoneticPr fontId="1"/>
  </si>
  <si>
    <t>旧被扶</t>
    <rPh sb="0" eb="1">
      <t>キュウ</t>
    </rPh>
    <rPh sb="1" eb="2">
      <t>ヒ</t>
    </rPh>
    <rPh sb="2" eb="3">
      <t>フ</t>
    </rPh>
    <phoneticPr fontId="1"/>
  </si>
  <si>
    <t>保険料率</t>
    <rPh sb="0" eb="3">
      <t>ホケンリョウ</t>
    </rPh>
    <rPh sb="3" eb="4">
      <t>リツ</t>
    </rPh>
    <phoneticPr fontId="1"/>
  </si>
  <si>
    <t>軽減減免なし</t>
    <rPh sb="0" eb="2">
      <t>ケイゲン</t>
    </rPh>
    <rPh sb="2" eb="4">
      <t>ゲンメン</t>
    </rPh>
    <phoneticPr fontId="1"/>
  </si>
  <si>
    <t>減免なし</t>
    <rPh sb="0" eb="2">
      <t>ゲンメン</t>
    </rPh>
    <phoneticPr fontId="1"/>
  </si>
  <si>
    <t>旧被扶養者減免</t>
    <rPh sb="0" eb="1">
      <t>キュウ</t>
    </rPh>
    <rPh sb="1" eb="5">
      <t>ヒフヨウシャ</t>
    </rPh>
    <rPh sb="5" eb="7">
      <t>ゲンメン</t>
    </rPh>
    <phoneticPr fontId="1"/>
  </si>
  <si>
    <t>令和</t>
    <rPh sb="0" eb="2">
      <t>レイワ</t>
    </rPh>
    <phoneticPr fontId="1"/>
  </si>
  <si>
    <t>年度を変更する。</t>
    <rPh sb="0" eb="1">
      <t>ネン</t>
    </rPh>
    <rPh sb="1" eb="2">
      <t>ド</t>
    </rPh>
    <rPh sb="3" eb="5">
      <t>ヘンコウ</t>
    </rPh>
    <phoneticPr fontId="1"/>
  </si>
  <si>
    <t>軽減区分とかを変更する。</t>
    <rPh sb="0" eb="2">
      <t>ケイゲン</t>
    </rPh>
    <rPh sb="2" eb="4">
      <t>クブン</t>
    </rPh>
    <rPh sb="7" eb="9">
      <t>ヘンコウ</t>
    </rPh>
    <phoneticPr fontId="1"/>
  </si>
  <si>
    <t>料率を変更する。</t>
    <rPh sb="0" eb="2">
      <t>リョウリツ</t>
    </rPh>
    <rPh sb="3" eb="5">
      <t>ヘンコウ</t>
    </rPh>
    <phoneticPr fontId="1"/>
  </si>
  <si>
    <t>注意！！この試算ツール、年金とか給与所得計算とか変更したら絶対修正できない・・・・まして、軽減計算方法が変わったら絶対無理・・・
その時は、１から作った方がいいと思います～</t>
    <rPh sb="0" eb="2">
      <t>チュウイ</t>
    </rPh>
    <rPh sb="6" eb="8">
      <t>シサン</t>
    </rPh>
    <rPh sb="12" eb="14">
      <t>ネンキン</t>
    </rPh>
    <rPh sb="16" eb="18">
      <t>キュウヨ</t>
    </rPh>
    <rPh sb="18" eb="20">
      <t>ショトク</t>
    </rPh>
    <rPh sb="20" eb="22">
      <t>ケイサン</t>
    </rPh>
    <rPh sb="24" eb="26">
      <t>ヘンコウ</t>
    </rPh>
    <rPh sb="29" eb="31">
      <t>ゼッタイ</t>
    </rPh>
    <rPh sb="31" eb="33">
      <t>シュウセイ</t>
    </rPh>
    <rPh sb="45" eb="47">
      <t>ケイゲン</t>
    </rPh>
    <rPh sb="47" eb="49">
      <t>ケイサン</t>
    </rPh>
    <rPh sb="49" eb="51">
      <t>ホウホウ</t>
    </rPh>
    <rPh sb="52" eb="53">
      <t>カ</t>
    </rPh>
    <rPh sb="57" eb="59">
      <t>ゼッタイ</t>
    </rPh>
    <rPh sb="59" eb="61">
      <t>ムリ</t>
    </rPh>
    <rPh sb="67" eb="68">
      <t>トキ</t>
    </rPh>
    <rPh sb="73" eb="74">
      <t>ツク</t>
    </rPh>
    <rPh sb="76" eb="77">
      <t>ホウ</t>
    </rPh>
    <rPh sb="81" eb="82">
      <t>オモ</t>
    </rPh>
    <phoneticPr fontId="1"/>
  </si>
  <si>
    <t>調整控除額</t>
    <rPh sb="0" eb="2">
      <t>チョウセイ</t>
    </rPh>
    <rPh sb="2" eb="4">
      <t>コウジョ</t>
    </rPh>
    <rPh sb="4" eb="5">
      <t>ガク</t>
    </rPh>
    <phoneticPr fontId="1"/>
  </si>
  <si>
    <t>A － 550,000</t>
    <phoneticPr fontId="1"/>
  </si>
  <si>
    <t>B × 2.4 ＋ 100,000</t>
    <phoneticPr fontId="1"/>
  </si>
  <si>
    <t>B × 2.8 － 80,000</t>
    <phoneticPr fontId="1"/>
  </si>
  <si>
    <t>B × 3.2 － 440,000</t>
    <phoneticPr fontId="1"/>
  </si>
  <si>
    <t>A × 0.9 － 1,100,000</t>
    <phoneticPr fontId="1"/>
  </si>
  <si>
    <t>A － 1,950,000</t>
    <phoneticPr fontId="1"/>
  </si>
  <si>
    <t>A ÷４＝（B）　　（千円未満切捨）</t>
    <phoneticPr fontId="1"/>
  </si>
  <si>
    <t>計算対象者の給与収入</t>
    <rPh sb="0" eb="2">
      <t>ケイサン</t>
    </rPh>
    <rPh sb="2" eb="5">
      <t>タイショウシャ</t>
    </rPh>
    <rPh sb="6" eb="8">
      <t>キュウヨ</t>
    </rPh>
    <rPh sb="8" eb="10">
      <t>シュウニュウ</t>
    </rPh>
    <phoneticPr fontId="1"/>
  </si>
  <si>
    <t>世帯主</t>
    <rPh sb="0" eb="3">
      <t>セタイヌシ</t>
    </rPh>
    <phoneticPr fontId="1"/>
  </si>
  <si>
    <t>算出区分</t>
    <rPh sb="0" eb="2">
      <t>サンシュツ</t>
    </rPh>
    <rPh sb="2" eb="4">
      <t>クブン</t>
    </rPh>
    <phoneticPr fontId="1"/>
  </si>
  <si>
    <t>給与所得の算出</t>
    <rPh sb="0" eb="2">
      <t>キュウヨ</t>
    </rPh>
    <rPh sb="2" eb="4">
      <t>ショトク</t>
    </rPh>
    <rPh sb="5" eb="7">
      <t>サンシュツ</t>
    </rPh>
    <phoneticPr fontId="1"/>
  </si>
  <si>
    <t>A ÷４（千円未満切捨）</t>
    <phoneticPr fontId="1"/>
  </si>
  <si>
    <t>給与所得</t>
    <rPh sb="0" eb="2">
      <t>キュウヨ</t>
    </rPh>
    <rPh sb="2" eb="4">
      <t>ショトク</t>
    </rPh>
    <phoneticPr fontId="1"/>
  </si>
  <si>
    <t>世帯員①</t>
    <rPh sb="0" eb="2">
      <t>セタイ</t>
    </rPh>
    <rPh sb="2" eb="3">
      <t>イン</t>
    </rPh>
    <phoneticPr fontId="1"/>
  </si>
  <si>
    <t>世帯員②</t>
    <rPh sb="0" eb="2">
      <t>セタイ</t>
    </rPh>
    <rPh sb="2" eb="3">
      <t>イン</t>
    </rPh>
    <phoneticPr fontId="1"/>
  </si>
  <si>
    <t>世帯員③</t>
    <rPh sb="0" eb="2">
      <t>セタイ</t>
    </rPh>
    <rPh sb="2" eb="3">
      <t>イン</t>
    </rPh>
    <phoneticPr fontId="1"/>
  </si>
  <si>
    <t>世帯員①</t>
    <rPh sb="0" eb="3">
      <t>セタイイン</t>
    </rPh>
    <phoneticPr fontId="1"/>
  </si>
  <si>
    <t>世帯員②</t>
    <rPh sb="0" eb="3">
      <t>セタイイン</t>
    </rPh>
    <phoneticPr fontId="1"/>
  </si>
  <si>
    <t>世帯員③</t>
    <rPh sb="0" eb="3">
      <t>セタイイン</t>
    </rPh>
    <phoneticPr fontId="1"/>
  </si>
  <si>
    <t>世帯員④</t>
    <rPh sb="0" eb="3">
      <t>セタイイン</t>
    </rPh>
    <phoneticPr fontId="1"/>
  </si>
  <si>
    <t>世帯員④</t>
    <rPh sb="0" eb="2">
      <t>セタイ</t>
    </rPh>
    <rPh sb="2" eb="3">
      <t>イン</t>
    </rPh>
    <phoneticPr fontId="1"/>
  </si>
  <si>
    <t>給与所得金額</t>
    <rPh sb="0" eb="2">
      <t>キュウヨ</t>
    </rPh>
    <rPh sb="2" eb="4">
      <t>ショトク</t>
    </rPh>
    <rPh sb="4" eb="6">
      <t>キンガク</t>
    </rPh>
    <phoneticPr fontId="1"/>
  </si>
  <si>
    <t>公的年金所得</t>
    <rPh sb="0" eb="2">
      <t>コウテキ</t>
    </rPh>
    <rPh sb="2" eb="4">
      <t>ネンキン</t>
    </rPh>
    <rPh sb="4" eb="6">
      <t>ショトク</t>
    </rPh>
    <phoneticPr fontId="1"/>
  </si>
  <si>
    <t>A－600,000円</t>
    <rPh sb="9" eb="10">
      <t>エン</t>
    </rPh>
    <phoneticPr fontId="1"/>
  </si>
  <si>
    <t>A×0.75－275,000円</t>
    <phoneticPr fontId="1"/>
  </si>
  <si>
    <t>A×0.85－685,000円</t>
    <phoneticPr fontId="1"/>
  </si>
  <si>
    <t>A×0.95－1,455,000円</t>
    <phoneticPr fontId="1"/>
  </si>
  <si>
    <t>A－1,100,000円</t>
    <rPh sb="11" eb="12">
      <t>エン</t>
    </rPh>
    <phoneticPr fontId="1"/>
  </si>
  <si>
    <t>A－1,955,000円</t>
    <phoneticPr fontId="1"/>
  </si>
  <si>
    <t>計算対象者の年金収入</t>
    <rPh sb="0" eb="2">
      <t>ケイサン</t>
    </rPh>
    <rPh sb="2" eb="5">
      <t>タイショウシャ</t>
    </rPh>
    <rPh sb="6" eb="8">
      <t>ネンキン</t>
    </rPh>
    <rPh sb="8" eb="10">
      <t>シュウニュウ</t>
    </rPh>
    <phoneticPr fontId="1"/>
  </si>
  <si>
    <t>年金所得の算出</t>
    <rPh sb="0" eb="2">
      <t>ネンキン</t>
    </rPh>
    <rPh sb="2" eb="4">
      <t>ショトク</t>
    </rPh>
    <rPh sb="5" eb="7">
      <t>サンシュツ</t>
    </rPh>
    <phoneticPr fontId="1"/>
  </si>
  <si>
    <t>年金所得</t>
    <rPh sb="0" eb="2">
      <t>ネンキン</t>
    </rPh>
    <rPh sb="2" eb="4">
      <t>ショトク</t>
    </rPh>
    <phoneticPr fontId="1"/>
  </si>
  <si>
    <t>非自発適用の有無</t>
    <rPh sb="0" eb="1">
      <t>ヒ</t>
    </rPh>
    <rPh sb="1" eb="3">
      <t>ジハツ</t>
    </rPh>
    <rPh sb="3" eb="5">
      <t>テキヨウ</t>
    </rPh>
    <rPh sb="6" eb="8">
      <t>ウム</t>
    </rPh>
    <phoneticPr fontId="1"/>
  </si>
  <si>
    <t>非自発適用後給与所得</t>
    <rPh sb="0" eb="1">
      <t>ヒ</t>
    </rPh>
    <rPh sb="1" eb="3">
      <t>ジハツ</t>
    </rPh>
    <rPh sb="3" eb="5">
      <t>テキヨウ</t>
    </rPh>
    <rPh sb="5" eb="6">
      <t>ゴ</t>
    </rPh>
    <rPh sb="6" eb="8">
      <t>キュウヨ</t>
    </rPh>
    <rPh sb="8" eb="10">
      <t>ショトク</t>
    </rPh>
    <phoneticPr fontId="1"/>
  </si>
  <si>
    <t>年金所得（65以上）</t>
    <rPh sb="0" eb="2">
      <t>ネンキン</t>
    </rPh>
    <rPh sb="2" eb="4">
      <t>ショトク</t>
    </rPh>
    <rPh sb="7" eb="9">
      <t>イジョウ</t>
    </rPh>
    <phoneticPr fontId="1"/>
  </si>
  <si>
    <t>年金所得（65未満）</t>
    <rPh sb="0" eb="2">
      <t>ネンキン</t>
    </rPh>
    <rPh sb="2" eb="4">
      <t>ショトク</t>
    </rPh>
    <rPh sb="7" eb="9">
      <t>ミマン</t>
    </rPh>
    <phoneticPr fontId="1"/>
  </si>
  <si>
    <t>該当有無</t>
    <rPh sb="0" eb="2">
      <t>ガイトウ</t>
    </rPh>
    <rPh sb="2" eb="4">
      <t>ウム</t>
    </rPh>
    <phoneticPr fontId="1"/>
  </si>
  <si>
    <t>給与＋年金</t>
    <rPh sb="0" eb="2">
      <t>キュウヨ</t>
    </rPh>
    <rPh sb="3" eb="5">
      <t>ネンキン</t>
    </rPh>
    <phoneticPr fontId="1"/>
  </si>
  <si>
    <t>判断基準</t>
    <rPh sb="0" eb="2">
      <t>ハンダン</t>
    </rPh>
    <rPh sb="2" eb="4">
      <t>キジュン</t>
    </rPh>
    <phoneticPr fontId="1"/>
  </si>
  <si>
    <t>年金65↑</t>
    <rPh sb="0" eb="2">
      <t>ネンキン</t>
    </rPh>
    <phoneticPr fontId="1"/>
  </si>
  <si>
    <t>年金65↓</t>
    <rPh sb="0" eb="2">
      <t>ネンキン</t>
    </rPh>
    <phoneticPr fontId="1"/>
  </si>
  <si>
    <t>調整控除</t>
    <rPh sb="0" eb="2">
      <t>チョウセイ</t>
    </rPh>
    <rPh sb="2" eb="4">
      <t>コウジョ</t>
    </rPh>
    <phoneticPr fontId="1"/>
  </si>
  <si>
    <t>適用調整控除</t>
    <rPh sb="0" eb="2">
      <t>テキヨウ</t>
    </rPh>
    <rPh sb="2" eb="4">
      <t>チョウセイ</t>
    </rPh>
    <rPh sb="4" eb="6">
      <t>コウジョ</t>
    </rPh>
    <phoneticPr fontId="1"/>
  </si>
  <si>
    <t>手動入力</t>
    <rPh sb="0" eb="2">
      <t>シュドウ</t>
    </rPh>
    <rPh sb="2" eb="4">
      <t>ニュウリョク</t>
    </rPh>
    <phoneticPr fontId="1"/>
  </si>
  <si>
    <t>調整控除</t>
    <rPh sb="0" eb="2">
      <t>チョウセイ</t>
    </rPh>
    <rPh sb="2" eb="4">
      <t>コウジョ</t>
    </rPh>
    <phoneticPr fontId="1"/>
  </si>
  <si>
    <t>最終的に用いる調整控除</t>
    <rPh sb="0" eb="2">
      <t>サイシュウ</t>
    </rPh>
    <rPh sb="2" eb="3">
      <t>テキ</t>
    </rPh>
    <rPh sb="4" eb="5">
      <t>モチ</t>
    </rPh>
    <rPh sb="7" eb="9">
      <t>チョウセイ</t>
    </rPh>
    <rPh sb="9" eb="11">
      <t>コウジョ</t>
    </rPh>
    <phoneticPr fontId="1"/>
  </si>
  <si>
    <t>非自発的失業後給与所得</t>
    <rPh sb="0" eb="1">
      <t>ヒ</t>
    </rPh>
    <rPh sb="1" eb="3">
      <t>ジハツ</t>
    </rPh>
    <rPh sb="3" eb="4">
      <t>テキ</t>
    </rPh>
    <rPh sb="4" eb="6">
      <t>シツギョウ</t>
    </rPh>
    <rPh sb="6" eb="7">
      <t>ゴ</t>
    </rPh>
    <rPh sb="7" eb="9">
      <t>キュウヨ</t>
    </rPh>
    <rPh sb="9" eb="11">
      <t>ショトク</t>
    </rPh>
    <phoneticPr fontId="1"/>
  </si>
  <si>
    <t>所得金額
（非自発・調整後）</t>
    <rPh sb="0" eb="2">
      <t>ショトク</t>
    </rPh>
    <rPh sb="2" eb="4">
      <t>キンガク</t>
    </rPh>
    <rPh sb="6" eb="7">
      <t>ヒ</t>
    </rPh>
    <rPh sb="7" eb="9">
      <t>ジハツ</t>
    </rPh>
    <rPh sb="10" eb="12">
      <t>チョウセイ</t>
    </rPh>
    <rPh sb="12" eb="13">
      <t>ゴ</t>
    </rPh>
    <phoneticPr fontId="1"/>
  </si>
  <si>
    <t>適用調整後給与所得</t>
    <rPh sb="0" eb="2">
      <t>テキヨウ</t>
    </rPh>
    <rPh sb="2" eb="4">
      <t>チョウセイ</t>
    </rPh>
    <rPh sb="4" eb="5">
      <t>ゴ</t>
    </rPh>
    <rPh sb="5" eb="7">
      <t>キュウヨ</t>
    </rPh>
    <rPh sb="7" eb="9">
      <t>ショトク</t>
    </rPh>
    <phoneticPr fontId="1"/>
  </si>
  <si>
    <t>給与所得
（非自発・調整控除適用）</t>
    <rPh sb="0" eb="2">
      <t>キュウヨ</t>
    </rPh>
    <rPh sb="2" eb="4">
      <t>ショトク</t>
    </rPh>
    <rPh sb="6" eb="7">
      <t>ヒ</t>
    </rPh>
    <rPh sb="7" eb="9">
      <t>ジハツ</t>
    </rPh>
    <rPh sb="10" eb="12">
      <t>チョウセイ</t>
    </rPh>
    <rPh sb="12" eb="14">
      <t>コウジョ</t>
    </rPh>
    <rPh sb="14" eb="16">
      <t>テキヨウ</t>
    </rPh>
    <phoneticPr fontId="1"/>
  </si>
  <si>
    <t>総所得金額</t>
    <rPh sb="0" eb="3">
      <t>ソウショトク</t>
    </rPh>
    <rPh sb="3" eb="5">
      <t>キンガク</t>
    </rPh>
    <phoneticPr fontId="1"/>
  </si>
  <si>
    <t>賦課基準</t>
    <rPh sb="0" eb="2">
      <t>フカ</t>
    </rPh>
    <rPh sb="2" eb="4">
      <t>キジュン</t>
    </rPh>
    <phoneticPr fontId="1"/>
  </si>
  <si>
    <t>年金</t>
    <rPh sb="0" eb="2">
      <t>ネンキン</t>
    </rPh>
    <phoneticPr fontId="1"/>
  </si>
  <si>
    <t>判定</t>
    <rPh sb="0" eb="2">
      <t>ハンテイ</t>
    </rPh>
    <phoneticPr fontId="1"/>
  </si>
  <si>
    <t>給与所得
（非自発・調整控除適用前）</t>
    <rPh sb="0" eb="2">
      <t>キュウヨ</t>
    </rPh>
    <rPh sb="2" eb="4">
      <t>ショトク</t>
    </rPh>
    <rPh sb="6" eb="7">
      <t>ヒ</t>
    </rPh>
    <rPh sb="7" eb="9">
      <t>ジハツ</t>
    </rPh>
    <rPh sb="10" eb="12">
      <t>チョウセイ</t>
    </rPh>
    <rPh sb="12" eb="14">
      <t>コウジョ</t>
    </rPh>
    <rPh sb="14" eb="16">
      <t>テキヨウ</t>
    </rPh>
    <rPh sb="16" eb="17">
      <t>マエ</t>
    </rPh>
    <phoneticPr fontId="1"/>
  </si>
  <si>
    <t>加算（×有所得者数-1）</t>
    <rPh sb="0" eb="2">
      <t>カサン</t>
    </rPh>
    <rPh sb="4" eb="5">
      <t>ユウ</t>
    </rPh>
    <rPh sb="5" eb="7">
      <t>ショトク</t>
    </rPh>
    <rPh sb="7" eb="8">
      <t>シャ</t>
    </rPh>
    <rPh sb="8" eb="9">
      <t>スウ</t>
    </rPh>
    <phoneticPr fontId="1"/>
  </si>
  <si>
    <t>給与所得者等判定</t>
    <rPh sb="0" eb="2">
      <t>キュウヨ</t>
    </rPh>
    <rPh sb="2" eb="4">
      <t>ショトク</t>
    </rPh>
    <rPh sb="4" eb="5">
      <t>シャ</t>
    </rPh>
    <rPh sb="5" eb="6">
      <t>ナド</t>
    </rPh>
    <rPh sb="6" eb="8">
      <t>ハンテイ</t>
    </rPh>
    <phoneticPr fontId="1"/>
  </si>
  <si>
    <t>有所得</t>
    <rPh sb="0" eb="1">
      <t>ユウ</t>
    </rPh>
    <rPh sb="1" eb="3">
      <t>ショトク</t>
    </rPh>
    <phoneticPr fontId="1"/>
  </si>
  <si>
    <t>3％減免（経過措置）</t>
    <rPh sb="2" eb="4">
      <t>ゲンメン</t>
    </rPh>
    <rPh sb="5" eb="7">
      <t>ケイカ</t>
    </rPh>
    <rPh sb="7" eb="9">
      <t>ソチ</t>
    </rPh>
    <phoneticPr fontId="1"/>
  </si>
  <si>
    <t>総所得金額等
非自発・調整後</t>
    <rPh sb="0" eb="3">
      <t>ソウショトク</t>
    </rPh>
    <rPh sb="3" eb="5">
      <t>キンガク</t>
    </rPh>
    <rPh sb="5" eb="6">
      <t>ナド</t>
    </rPh>
    <rPh sb="7" eb="8">
      <t>ヒ</t>
    </rPh>
    <rPh sb="8" eb="10">
      <t>ジハツ</t>
    </rPh>
    <rPh sb="11" eb="13">
      <t>チョウセイ</t>
    </rPh>
    <rPh sb="13" eb="14">
      <t>ゴ</t>
    </rPh>
    <phoneticPr fontId="1"/>
  </si>
  <si>
    <t>軽減判定時所得</t>
    <rPh sb="0" eb="2">
      <t>ケイゲン</t>
    </rPh>
    <rPh sb="2" eb="4">
      <t>ハンテイ</t>
    </rPh>
    <rPh sb="4" eb="5">
      <t>ジ</t>
    </rPh>
    <rPh sb="5" eb="7">
      <t>ショトク</t>
    </rPh>
    <phoneticPr fontId="1"/>
  </si>
  <si>
    <t>未就学児</t>
    <rPh sb="0" eb="4">
      <t>ミシュウガクジ</t>
    </rPh>
    <phoneticPr fontId="1"/>
  </si>
  <si>
    <t>千葉市国民健康保険料の計算方法について</t>
    <rPh sb="0" eb="3">
      <t>チバシ</t>
    </rPh>
    <rPh sb="3" eb="5">
      <t>コクミン</t>
    </rPh>
    <rPh sb="5" eb="7">
      <t>ケンコウ</t>
    </rPh>
    <rPh sb="7" eb="10">
      <t>ホケンリョウ</t>
    </rPh>
    <rPh sb="11" eb="13">
      <t>ケイサン</t>
    </rPh>
    <rPh sb="13" eb="15">
      <t>ホウホウ</t>
    </rPh>
    <phoneticPr fontId="1"/>
  </si>
  <si>
    <t>所得割額（Ａ）</t>
    <rPh sb="0" eb="2">
      <t>ショトク</t>
    </rPh>
    <rPh sb="2" eb="3">
      <t>ワリ</t>
    </rPh>
    <rPh sb="3" eb="4">
      <t>ガク</t>
    </rPh>
    <phoneticPr fontId="1"/>
  </si>
  <si>
    <t>＋</t>
    <phoneticPr fontId="1"/>
  </si>
  <si>
    <t>被保険者均等割額（Ｂ）</t>
    <rPh sb="0" eb="4">
      <t>ヒホケンシャ</t>
    </rPh>
    <rPh sb="4" eb="6">
      <t>キントウ</t>
    </rPh>
    <rPh sb="6" eb="7">
      <t>ワリ</t>
    </rPh>
    <rPh sb="7" eb="8">
      <t>ガク</t>
    </rPh>
    <phoneticPr fontId="1"/>
  </si>
  <si>
    <t>世帯別平等割額（Ｃ）</t>
    <rPh sb="0" eb="2">
      <t>セタイ</t>
    </rPh>
    <rPh sb="2" eb="3">
      <t>ベツ</t>
    </rPh>
    <rPh sb="3" eb="5">
      <t>ビョウドウ</t>
    </rPh>
    <rPh sb="5" eb="6">
      <t>ワリ</t>
    </rPh>
    <rPh sb="6" eb="7">
      <t>ガク</t>
    </rPh>
    <phoneticPr fontId="1"/>
  </si>
  <si>
    <t>＝</t>
    <phoneticPr fontId="1"/>
  </si>
  <si>
    <t>算出額（10円未満切捨て）</t>
    <rPh sb="0" eb="2">
      <t>サンシュツ</t>
    </rPh>
    <rPh sb="2" eb="3">
      <t>ガク</t>
    </rPh>
    <rPh sb="6" eb="7">
      <t>エン</t>
    </rPh>
    <rPh sb="7" eb="9">
      <t>ミマン</t>
    </rPh>
    <rPh sb="9" eb="11">
      <t>キリス</t>
    </rPh>
    <phoneticPr fontId="1"/>
  </si>
  <si>
    <t>医療分保険料</t>
    <rPh sb="0" eb="2">
      <t>イリョウ</t>
    </rPh>
    <rPh sb="2" eb="3">
      <t>ブン</t>
    </rPh>
    <rPh sb="3" eb="6">
      <t>ホケンリョウ</t>
    </rPh>
    <phoneticPr fontId="1"/>
  </si>
  <si>
    <t>賦課
基準</t>
    <rPh sb="0" eb="2">
      <t>フカ</t>
    </rPh>
    <rPh sb="3" eb="5">
      <t>キジュン</t>
    </rPh>
    <phoneticPr fontId="1"/>
  </si>
  <si>
    <t>×</t>
    <phoneticPr fontId="1"/>
  </si>
  <si>
    <t>％</t>
    <phoneticPr fontId="1"/>
  </si>
  <si>
    <t>被保険者数</t>
    <rPh sb="0" eb="4">
      <t>ヒホケンシャ</t>
    </rPh>
    <rPh sb="4" eb="5">
      <t>スウ</t>
    </rPh>
    <phoneticPr fontId="1"/>
  </si>
  <si>
    <t>１世帯当たり</t>
    <rPh sb="1" eb="3">
      <t>セタイ</t>
    </rPh>
    <rPh sb="3" eb="4">
      <t>ア</t>
    </rPh>
    <phoneticPr fontId="1"/>
  </si>
  <si>
    <t>円</t>
    <rPh sb="0" eb="1">
      <t>エ</t>
    </rPh>
    <phoneticPr fontId="1"/>
  </si>
  <si>
    <t>（Ａ）＋（Ｂ）＋（Ｃ）</t>
    <phoneticPr fontId="1"/>
  </si>
  <si>
    <t>支援金分保険料</t>
    <rPh sb="0" eb="3">
      <t>シエンキン</t>
    </rPh>
    <rPh sb="3" eb="4">
      <t>ブン</t>
    </rPh>
    <rPh sb="4" eb="7">
      <t>ホケンリョウ</t>
    </rPh>
    <phoneticPr fontId="1"/>
  </si>
  <si>
    <t>支援金分保険料</t>
    <rPh sb="0" eb="2">
      <t>シエン</t>
    </rPh>
    <rPh sb="2" eb="3">
      <t>キン</t>
    </rPh>
    <rPh sb="3" eb="4">
      <t>ブン</t>
    </rPh>
    <rPh sb="4" eb="7">
      <t>ホケンリョウ</t>
    </rPh>
    <phoneticPr fontId="1"/>
  </si>
  <si>
    <t>介護分保険料</t>
    <rPh sb="0" eb="2">
      <t>カイゴ</t>
    </rPh>
    <rPh sb="2" eb="3">
      <t>ブン</t>
    </rPh>
    <rPh sb="3" eb="6">
      <t>ホケンリョウ</t>
    </rPh>
    <phoneticPr fontId="1"/>
  </si>
  <si>
    <t>医療分</t>
    <rPh sb="0" eb="2">
      <t>イリョウ</t>
    </rPh>
    <rPh sb="2" eb="3">
      <t>ブン</t>
    </rPh>
    <phoneticPr fontId="1"/>
  </si>
  <si>
    <t>：</t>
    <phoneticPr fontId="1"/>
  </si>
  <si>
    <t>国保被保険者の医療給付費の費用に充てられる保険料です。全ての被保険者が対象です。</t>
    <rPh sb="16" eb="17">
      <t>ア</t>
    </rPh>
    <phoneticPr fontId="1"/>
  </si>
  <si>
    <t>支援金分</t>
    <rPh sb="0" eb="3">
      <t>シエンキン</t>
    </rPh>
    <rPh sb="3" eb="4">
      <t>ブン</t>
    </rPh>
    <phoneticPr fontId="1"/>
  </si>
  <si>
    <t>後期高齢者医療制度の被保険者の医療給付費を支援するための保険料です。全ての被保険者が対象です。</t>
    <phoneticPr fontId="1"/>
  </si>
  <si>
    <t>介護分</t>
    <rPh sb="0" eb="2">
      <t>カイゴ</t>
    </rPh>
    <rPh sb="2" eb="3">
      <t>ブン</t>
    </rPh>
    <phoneticPr fontId="1"/>
  </si>
  <si>
    <t>介護保険の第2号被保険者としての保険料です。40歳以上65歳未満の被保険者のみが対象です。</t>
    <phoneticPr fontId="1"/>
  </si>
  <si>
    <t>賦課基準の算出方法</t>
    <rPh sb="0" eb="2">
      <t>フカ</t>
    </rPh>
    <rPh sb="2" eb="4">
      <t>キジュン</t>
    </rPh>
    <rPh sb="5" eb="7">
      <t>サンシュツ</t>
    </rPh>
    <rPh sb="7" eb="9">
      <t>ホウホウ</t>
    </rPh>
    <phoneticPr fontId="1"/>
  </si>
  <si>
    <t>賦課限度額</t>
    <rPh sb="0" eb="2">
      <t>フカ</t>
    </rPh>
    <rPh sb="2" eb="4">
      <t>ゲンド</t>
    </rPh>
    <rPh sb="4" eb="5">
      <t>ガク</t>
    </rPh>
    <phoneticPr fontId="1"/>
  </si>
  <si>
    <t>所得</t>
    <rPh sb="0" eb="2">
      <t>ショトク</t>
    </rPh>
    <phoneticPr fontId="1"/>
  </si>
  <si>
    <t>―</t>
    <phoneticPr fontId="1"/>
  </si>
  <si>
    <t>基礎控除</t>
    <rPh sb="0" eb="2">
      <t>キソ</t>
    </rPh>
    <rPh sb="2" eb="4">
      <t>コウジョ</t>
    </rPh>
    <phoneticPr fontId="1"/>
  </si>
  <si>
    <t>１世帯当たりの保険料賦課限度額は次のとおりとなります。</t>
    <rPh sb="1" eb="3">
      <t>セタイ</t>
    </rPh>
    <rPh sb="3" eb="4">
      <t>ア</t>
    </rPh>
    <rPh sb="7" eb="10">
      <t>ホケンリョウ</t>
    </rPh>
    <rPh sb="10" eb="12">
      <t>フカ</t>
    </rPh>
    <rPh sb="12" eb="14">
      <t>ゲンド</t>
    </rPh>
    <rPh sb="14" eb="15">
      <t>ガク</t>
    </rPh>
    <rPh sb="16" eb="17">
      <t>ツギ</t>
    </rPh>
    <phoneticPr fontId="1"/>
  </si>
  <si>
    <t>（前年1月～12月）</t>
    <rPh sb="1" eb="2">
      <t>マエ</t>
    </rPh>
    <rPh sb="2" eb="3">
      <t>ネン</t>
    </rPh>
    <rPh sb="4" eb="5">
      <t>ガツ</t>
    </rPh>
    <rPh sb="8" eb="9">
      <t>ガツ</t>
    </rPh>
    <phoneticPr fontId="1"/>
  </si>
  <si>
    <t>43万円</t>
    <rPh sb="2" eb="4">
      <t>マンエン</t>
    </rPh>
    <phoneticPr fontId="1"/>
  </si>
  <si>
    <t>（100円未満切捨て）</t>
    <rPh sb="4" eb="5">
      <t>エン</t>
    </rPh>
    <rPh sb="5" eb="7">
      <t>ミマン</t>
    </rPh>
    <rPh sb="7" eb="9">
      <t>キリス</t>
    </rPh>
    <phoneticPr fontId="1"/>
  </si>
  <si>
    <t>加入者ごとに算出して世帯で合算したものが賦課基準となります。</t>
    <rPh sb="0" eb="2">
      <t>カニュウ</t>
    </rPh>
    <rPh sb="2" eb="3">
      <t>シャ</t>
    </rPh>
    <rPh sb="6" eb="8">
      <t>サンシュツ</t>
    </rPh>
    <rPh sb="10" eb="12">
      <t>セタイ</t>
    </rPh>
    <rPh sb="13" eb="15">
      <t>ガッサン</t>
    </rPh>
    <rPh sb="20" eb="22">
      <t>フカ</t>
    </rPh>
    <rPh sb="22" eb="24">
      <t>キジュン</t>
    </rPh>
    <phoneticPr fontId="1"/>
  </si>
  <si>
    <t>上記の計算式以外で、世帯の総所得等に応じて保険料が軽減・減免されることがあります。</t>
    <rPh sb="0" eb="2">
      <t>ジョウキ</t>
    </rPh>
    <rPh sb="3" eb="5">
      <t>ケイサン</t>
    </rPh>
    <rPh sb="5" eb="6">
      <t>シキ</t>
    </rPh>
    <rPh sb="6" eb="8">
      <t>イガイ</t>
    </rPh>
    <rPh sb="10" eb="12">
      <t>セタイ</t>
    </rPh>
    <rPh sb="13" eb="16">
      <t>ソウショトク</t>
    </rPh>
    <rPh sb="16" eb="17">
      <t>ナド</t>
    </rPh>
    <rPh sb="18" eb="19">
      <t>オウ</t>
    </rPh>
    <rPh sb="21" eb="24">
      <t>ホケンリョウ</t>
    </rPh>
    <rPh sb="25" eb="27">
      <t>ケイゲン</t>
    </rPh>
    <rPh sb="28" eb="30">
      <t>ゲンメン</t>
    </rPh>
    <phoneticPr fontId="1"/>
  </si>
  <si>
    <t>詳しくは、千葉市役所ホームページで公開しています「国保のしおり」をご覧ください。</t>
    <rPh sb="0" eb="1">
      <t>クワ</t>
    </rPh>
    <rPh sb="5" eb="8">
      <t>チバシ</t>
    </rPh>
    <rPh sb="8" eb="10">
      <t>ヤクショ</t>
    </rPh>
    <rPh sb="17" eb="19">
      <t>コウカイ</t>
    </rPh>
    <rPh sb="25" eb="27">
      <t>コクホ</t>
    </rPh>
    <rPh sb="34" eb="35">
      <t>ラン</t>
    </rPh>
    <phoneticPr fontId="1"/>
  </si>
  <si>
    <t>千葉市　国保のしおり</t>
    <rPh sb="0" eb="3">
      <t>チバシ</t>
    </rPh>
    <rPh sb="4" eb="6">
      <t>コクホ</t>
    </rPh>
    <phoneticPr fontId="1"/>
  </si>
  <si>
    <t>検索</t>
    <rPh sb="0" eb="2">
      <t>ケンサク</t>
    </rPh>
    <phoneticPr fontId="1"/>
  </si>
  <si>
    <t>【保険料の試算をする前に必ずご確認ください。】</t>
    <rPh sb="1" eb="4">
      <t>ホケンリョウ</t>
    </rPh>
    <rPh sb="5" eb="7">
      <t>シサン</t>
    </rPh>
    <rPh sb="10" eb="11">
      <t>マエ</t>
    </rPh>
    <rPh sb="12" eb="13">
      <t>カナラ</t>
    </rPh>
    <rPh sb="15" eb="17">
      <t>カクニン</t>
    </rPh>
    <phoneticPr fontId="1"/>
  </si>
  <si>
    <t>●</t>
    <phoneticPr fontId="1"/>
  </si>
  <si>
    <t>試算結果は、実際の保険料と異なる場合があります。</t>
    <rPh sb="0" eb="2">
      <t>シサン</t>
    </rPh>
    <rPh sb="2" eb="4">
      <t>ケッカ</t>
    </rPh>
    <rPh sb="6" eb="8">
      <t>ジッサイ</t>
    </rPh>
    <rPh sb="9" eb="12">
      <t>ホケンリョウ</t>
    </rPh>
    <rPh sb="13" eb="14">
      <t>コト</t>
    </rPh>
    <rPh sb="16" eb="18">
      <t>バアイ</t>
    </rPh>
    <phoneticPr fontId="1"/>
  </si>
  <si>
    <t>より詳しく保険料について確認されたい場合は、お住まいの区の区役所市民総合窓口課へお問い合わせください。</t>
    <rPh sb="2" eb="3">
      <t>クワ</t>
    </rPh>
    <rPh sb="5" eb="8">
      <t>ホケンリョウ</t>
    </rPh>
    <rPh sb="12" eb="14">
      <t>カクニン</t>
    </rPh>
    <rPh sb="18" eb="20">
      <t>バアイ</t>
    </rPh>
    <rPh sb="23" eb="24">
      <t>ス</t>
    </rPh>
    <rPh sb="27" eb="28">
      <t>ク</t>
    </rPh>
    <rPh sb="29" eb="32">
      <t>クヤクショ</t>
    </rPh>
    <rPh sb="30" eb="32">
      <t>ヤクショ</t>
    </rPh>
    <rPh sb="32" eb="34">
      <t>シミン</t>
    </rPh>
    <rPh sb="34" eb="36">
      <t>ソウゴウ</t>
    </rPh>
    <rPh sb="36" eb="38">
      <t>マドグチ</t>
    </rPh>
    <rPh sb="38" eb="39">
      <t>カ</t>
    </rPh>
    <rPh sb="41" eb="42">
      <t>ト</t>
    </rPh>
    <rPh sb="43" eb="44">
      <t>ア</t>
    </rPh>
    <phoneticPr fontId="1"/>
  </si>
  <si>
    <t>険料通知書」を送付しますので、そちらをご確認ください。</t>
    <rPh sb="7" eb="9">
      <t>ソウフ</t>
    </rPh>
    <rPh sb="20" eb="22">
      <t>カクニン</t>
    </rPh>
    <phoneticPr fontId="1"/>
  </si>
  <si>
    <t>【お問い合わせ先】　各区役所　市民総合窓口課　国民健康保険班</t>
    <rPh sb="2" eb="3">
      <t>ト</t>
    </rPh>
    <rPh sb="4" eb="5">
      <t>ア</t>
    </rPh>
    <rPh sb="7" eb="8">
      <t>サキ</t>
    </rPh>
    <rPh sb="10" eb="11">
      <t>カク</t>
    </rPh>
    <rPh sb="11" eb="14">
      <t>クヤクショ</t>
    </rPh>
    <rPh sb="15" eb="17">
      <t>シミン</t>
    </rPh>
    <rPh sb="17" eb="19">
      <t>ソウゴウ</t>
    </rPh>
    <rPh sb="19" eb="21">
      <t>マドグチ</t>
    </rPh>
    <rPh sb="21" eb="22">
      <t>カ</t>
    </rPh>
    <rPh sb="23" eb="25">
      <t>コクミン</t>
    </rPh>
    <rPh sb="25" eb="27">
      <t>ケンコウ</t>
    </rPh>
    <rPh sb="27" eb="29">
      <t>ホケン</t>
    </rPh>
    <rPh sb="29" eb="30">
      <t>ハン</t>
    </rPh>
    <phoneticPr fontId="1"/>
  </si>
  <si>
    <t>中央区にお住まいの方</t>
    <rPh sb="0" eb="3">
      <t>チュウオウク</t>
    </rPh>
    <rPh sb="5" eb="6">
      <t>ス</t>
    </rPh>
    <rPh sb="9" eb="10">
      <t>カタ</t>
    </rPh>
    <phoneticPr fontId="1"/>
  </si>
  <si>
    <t>221-2131</t>
    <phoneticPr fontId="1"/>
  </si>
  <si>
    <t>花見川区にお住まいの方</t>
    <rPh sb="0" eb="4">
      <t>ハ</t>
    </rPh>
    <rPh sb="6" eb="7">
      <t>ス</t>
    </rPh>
    <rPh sb="10" eb="11">
      <t>カタ</t>
    </rPh>
    <phoneticPr fontId="1"/>
  </si>
  <si>
    <t>275-6255</t>
    <phoneticPr fontId="1"/>
  </si>
  <si>
    <t>稲毛区にお住まいの方</t>
    <rPh sb="0" eb="3">
      <t>イ</t>
    </rPh>
    <rPh sb="2" eb="3">
      <t>ク</t>
    </rPh>
    <rPh sb="5" eb="6">
      <t>ス</t>
    </rPh>
    <rPh sb="9" eb="10">
      <t>カタ</t>
    </rPh>
    <phoneticPr fontId="1"/>
  </si>
  <si>
    <t>284-6119</t>
    <phoneticPr fontId="1"/>
  </si>
  <si>
    <t>若葉区にお住まいの方</t>
    <rPh sb="0" eb="3">
      <t>ワ</t>
    </rPh>
    <rPh sb="5" eb="6">
      <t>ス</t>
    </rPh>
    <rPh sb="9" eb="10">
      <t>カタ</t>
    </rPh>
    <phoneticPr fontId="1"/>
  </si>
  <si>
    <t>233-8131</t>
    <phoneticPr fontId="1"/>
  </si>
  <si>
    <t>緑区にお住まいの方</t>
    <rPh sb="0" eb="2">
      <t>ミドリク</t>
    </rPh>
    <rPh sb="4" eb="5">
      <t>ス</t>
    </rPh>
    <rPh sb="8" eb="9">
      <t>カタ</t>
    </rPh>
    <phoneticPr fontId="1"/>
  </si>
  <si>
    <t>292-8119</t>
    <phoneticPr fontId="1"/>
  </si>
  <si>
    <t>美浜区にお住まいの方</t>
    <rPh sb="0" eb="3">
      <t>ミハマク</t>
    </rPh>
    <rPh sb="5" eb="6">
      <t>ス</t>
    </rPh>
    <rPh sb="9" eb="10">
      <t>カタ</t>
    </rPh>
    <phoneticPr fontId="1"/>
  </si>
  <si>
    <t>270-3131</t>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</si>
  <si>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</si>
  <si>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</si>
  <si>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</si>
  <si>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</si>
  <si>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①</t>
    <phoneticPr fontId="1"/>
  </si>
  <si>
    <t>国民健康保険加入の状況</t>
    <rPh sb="0" eb="2">
      <t>コクミン</t>
    </rPh>
    <rPh sb="2" eb="4">
      <t>ケンコウ</t>
    </rPh>
    <rPh sb="4" eb="6">
      <t>ホケン</t>
    </rPh>
    <rPh sb="6" eb="8">
      <t>カニュウ</t>
    </rPh>
    <rPh sb="9" eb="11">
      <t>ジョウキョウ</t>
    </rPh>
    <phoneticPr fontId="1"/>
  </si>
  <si>
    <t>②</t>
    <phoneticPr fontId="1"/>
  </si>
  <si>
    <t>年齢区分</t>
    <rPh sb="0" eb="2">
      <t>ネンレイ</t>
    </rPh>
    <rPh sb="2" eb="4">
      <t>クブン</t>
    </rPh>
    <phoneticPr fontId="1"/>
  </si>
  <si>
    <t>③</t>
    <phoneticPr fontId="1"/>
  </si>
  <si>
    <t>　　所得の状況について</t>
    <rPh sb="2" eb="4">
      <t>ショトク</t>
    </rPh>
    <rPh sb="5" eb="7">
      <t>ジョウキョウ</t>
    </rPh>
    <phoneticPr fontId="1"/>
  </si>
  <si>
    <t>公的年金等所得</t>
    <rPh sb="0" eb="2">
      <t>コウテキ</t>
    </rPh>
    <rPh sb="2" eb="4">
      <t>ネンキン</t>
    </rPh>
    <rPh sb="4" eb="5">
      <t>ナド</t>
    </rPh>
    <rPh sb="5" eb="7">
      <t>ショトク</t>
    </rPh>
    <phoneticPr fontId="1"/>
  </si>
  <si>
    <t>その他所得</t>
    <rPh sb="2" eb="3">
      <t>ホカ</t>
    </rPh>
    <rPh sb="3" eb="5">
      <t>ショトク</t>
    </rPh>
    <phoneticPr fontId="1"/>
  </si>
  <si>
    <t>「①国民健康保険加入の状況」について</t>
    <phoneticPr fontId="1"/>
  </si>
  <si>
    <t>世帯主の所得は国民健康保険に加入していなくても保険料軽減・減免の判定に影響します。</t>
    <phoneticPr fontId="1"/>
  </si>
  <si>
    <t>国民健康保険に加入する場合には「加入」、加入しない場合には「加入しない」を選択してください。</t>
    <rPh sb="0" eb="2">
      <t>コクミン</t>
    </rPh>
    <rPh sb="2" eb="4">
      <t>ケンコウ</t>
    </rPh>
    <rPh sb="4" eb="6">
      <t>ホケン</t>
    </rPh>
    <rPh sb="7" eb="9">
      <t>カニュウ</t>
    </rPh>
    <rPh sb="11" eb="13">
      <t>バアイ</t>
    </rPh>
    <rPh sb="16" eb="18">
      <t>カニュウ</t>
    </rPh>
    <rPh sb="20" eb="22">
      <t>カニュウ</t>
    </rPh>
    <rPh sb="25" eb="27">
      <t>バアイ</t>
    </rPh>
    <rPh sb="30" eb="32">
      <t>カニュウ</t>
    </rPh>
    <rPh sb="37" eb="39">
      <t>センタク</t>
    </rPh>
    <phoneticPr fontId="1"/>
  </si>
  <si>
    <t>「②年齢区分」について</t>
    <rPh sb="2" eb="4">
      <t>ネンレイ</t>
    </rPh>
    <rPh sb="4" eb="6">
      <t>クブン</t>
    </rPh>
    <phoneticPr fontId="1"/>
  </si>
  <si>
    <t>「③所得状況について」について</t>
    <rPh sb="2" eb="4">
      <t>ショトク</t>
    </rPh>
    <rPh sb="4" eb="6">
      <t>ジョウキョウ</t>
    </rPh>
    <phoneticPr fontId="1"/>
  </si>
  <si>
    <t>給与所得について</t>
    <rPh sb="0" eb="2">
      <t>キュウヨ</t>
    </rPh>
    <rPh sb="2" eb="4">
      <t>ショトク</t>
    </rPh>
    <phoneticPr fontId="1"/>
  </si>
  <si>
    <t>※下記の条件に該当する所得金額調整控除がある場合には適用後の金額を入力してください。</t>
    <rPh sb="1" eb="3">
      <t>カキ</t>
    </rPh>
    <rPh sb="4" eb="6">
      <t>ジョウケン</t>
    </rPh>
    <rPh sb="7" eb="9">
      <t>ガイトウ</t>
    </rPh>
    <rPh sb="11" eb="13">
      <t>ショトク</t>
    </rPh>
    <rPh sb="13" eb="15">
      <t>キンガク</t>
    </rPh>
    <rPh sb="15" eb="17">
      <t>チョウセイ</t>
    </rPh>
    <rPh sb="17" eb="19">
      <t>コウジョ</t>
    </rPh>
    <rPh sb="22" eb="24">
      <t>バアイ</t>
    </rPh>
    <rPh sb="26" eb="28">
      <t>テキヨウ</t>
    </rPh>
    <rPh sb="28" eb="29">
      <t>ゴ</t>
    </rPh>
    <rPh sb="30" eb="32">
      <t>キンガク</t>
    </rPh>
    <rPh sb="33" eb="35">
      <t>ニュウリョク</t>
    </rPh>
    <phoneticPr fontId="1"/>
  </si>
  <si>
    <t>給与等の収入金額が850万円を超え、次のいずれかに該当する。</t>
    <rPh sb="0" eb="2">
      <t>キュウヨ</t>
    </rPh>
    <rPh sb="2" eb="3">
      <t>ナド</t>
    </rPh>
    <rPh sb="4" eb="6">
      <t>シュウニュウ</t>
    </rPh>
    <rPh sb="6" eb="8">
      <t>キンガク</t>
    </rPh>
    <rPh sb="12" eb="14">
      <t>マンエン</t>
    </rPh>
    <rPh sb="15" eb="16">
      <t>コ</t>
    </rPh>
    <rPh sb="18" eb="19">
      <t>ツギ</t>
    </rPh>
    <rPh sb="25" eb="27">
      <t>ガイトウ</t>
    </rPh>
    <phoneticPr fontId="1"/>
  </si>
  <si>
    <t>・特別障害者に該当する　・年齢23歳未満の扶養親族を有する　　</t>
    <rPh sb="1" eb="3">
      <t>トクベツ</t>
    </rPh>
    <rPh sb="3" eb="6">
      <t>ショウガイシャ</t>
    </rPh>
    <rPh sb="7" eb="9">
      <t>ガイトウ</t>
    </rPh>
    <rPh sb="13" eb="15">
      <t>ネンレイ</t>
    </rPh>
    <rPh sb="17" eb="18">
      <t>サイ</t>
    </rPh>
    <rPh sb="18" eb="20">
      <t>ミマン</t>
    </rPh>
    <rPh sb="21" eb="23">
      <t>フヨウ</t>
    </rPh>
    <rPh sb="23" eb="25">
      <t>シンゾク</t>
    </rPh>
    <rPh sb="26" eb="27">
      <t>ユウ</t>
    </rPh>
    <phoneticPr fontId="1"/>
  </si>
  <si>
    <t>・特別障害者である同一生計配偶者若しくは扶養親族を有する</t>
    <phoneticPr fontId="1"/>
  </si>
  <si>
    <t>※国民健康保険加入者で非自発的失業者の適用がある場合には、給与所得を100分の30として計算してください。</t>
    <rPh sb="1" eb="3">
      <t>コクミン</t>
    </rPh>
    <rPh sb="3" eb="5">
      <t>ケンコウ</t>
    </rPh>
    <rPh sb="5" eb="7">
      <t>ホケン</t>
    </rPh>
    <rPh sb="7" eb="9">
      <t>カニュウ</t>
    </rPh>
    <rPh sb="9" eb="10">
      <t>シャ</t>
    </rPh>
    <rPh sb="11" eb="12">
      <t>ヒ</t>
    </rPh>
    <rPh sb="12" eb="15">
      <t>ジハツテキ</t>
    </rPh>
    <rPh sb="15" eb="18">
      <t>シツギョウシャ</t>
    </rPh>
    <rPh sb="19" eb="21">
      <t>テキヨウ</t>
    </rPh>
    <rPh sb="24" eb="26">
      <t>バアイ</t>
    </rPh>
    <rPh sb="29" eb="31">
      <t>キュウヨ</t>
    </rPh>
    <rPh sb="31" eb="33">
      <t>ショトク</t>
    </rPh>
    <rPh sb="37" eb="38">
      <t>ブン</t>
    </rPh>
    <rPh sb="44" eb="46">
      <t>ケイサン</t>
    </rPh>
    <phoneticPr fontId="1"/>
  </si>
  <si>
    <t>その他所得について</t>
    <rPh sb="2" eb="3">
      <t>タ</t>
    </rPh>
    <rPh sb="3" eb="5">
      <t>ショトク</t>
    </rPh>
    <phoneticPr fontId="1"/>
  </si>
  <si>
    <t>※下記に該当する所得の合算額を入力してください。</t>
    <rPh sb="1" eb="3">
      <t>カキ</t>
    </rPh>
    <rPh sb="4" eb="6">
      <t>ガイトウ</t>
    </rPh>
    <rPh sb="8" eb="10">
      <t>ショトク</t>
    </rPh>
    <rPh sb="11" eb="13">
      <t>ガッサン</t>
    </rPh>
    <rPh sb="13" eb="14">
      <t>ガク</t>
    </rPh>
    <rPh sb="15" eb="17">
      <t>ニュウリョク</t>
    </rPh>
    <phoneticPr fontId="1"/>
  </si>
  <si>
    <t>【入力する所得について】</t>
    <rPh sb="1" eb="3">
      <t>ニュウリョク</t>
    </rPh>
    <rPh sb="5" eb="7">
      <t>ショトク</t>
    </rPh>
    <phoneticPr fontId="1"/>
  </si>
  <si>
    <t>山林所得</t>
    <rPh sb="0" eb="2">
      <t>サンリン</t>
    </rPh>
    <rPh sb="2" eb="4">
      <t>ショトク</t>
    </rPh>
    <phoneticPr fontId="1"/>
  </si>
  <si>
    <t>雑所得（公的年金以外）</t>
    <rPh sb="0" eb="3">
      <t>ザツショトク</t>
    </rPh>
    <rPh sb="4" eb="6">
      <t>コウテキ</t>
    </rPh>
    <rPh sb="6" eb="8">
      <t>ネンキン</t>
    </rPh>
    <rPh sb="8" eb="10">
      <t>イガイ</t>
    </rPh>
    <phoneticPr fontId="1"/>
  </si>
  <si>
    <t>事業所得</t>
    <rPh sb="0" eb="2">
      <t>ジギョウ</t>
    </rPh>
    <rPh sb="2" eb="4">
      <t>ショトク</t>
    </rPh>
    <phoneticPr fontId="1"/>
  </si>
  <si>
    <t>不動産所得</t>
    <rPh sb="0" eb="3">
      <t>フドウサン</t>
    </rPh>
    <rPh sb="3" eb="5">
      <t>ショトク</t>
    </rPh>
    <phoneticPr fontId="1"/>
  </si>
  <si>
    <t>利子所得</t>
    <rPh sb="0" eb="2">
      <t>リシ</t>
    </rPh>
    <rPh sb="2" eb="4">
      <t>ショトク</t>
    </rPh>
    <phoneticPr fontId="1"/>
  </si>
  <si>
    <t>配当所得</t>
    <rPh sb="0" eb="2">
      <t>ハイトウ</t>
    </rPh>
    <rPh sb="2" eb="4">
      <t>ショトク</t>
    </rPh>
    <phoneticPr fontId="1"/>
  </si>
  <si>
    <t>株式の配当等</t>
    <rPh sb="0" eb="2">
      <t>カブシキ</t>
    </rPh>
    <rPh sb="3" eb="5">
      <t>ハイトウ</t>
    </rPh>
    <rPh sb="5" eb="6">
      <t>ナド</t>
    </rPh>
    <phoneticPr fontId="1"/>
  </si>
  <si>
    <t>総合短期譲渡所得</t>
    <rPh sb="0" eb="2">
      <t>ソウゴウ</t>
    </rPh>
    <rPh sb="2" eb="4">
      <t>タンキ</t>
    </rPh>
    <rPh sb="4" eb="6">
      <t>ジョウト</t>
    </rPh>
    <rPh sb="6" eb="8">
      <t>ショトク</t>
    </rPh>
    <phoneticPr fontId="1"/>
  </si>
  <si>
    <t>総合長期譲渡所得（土地や建物以外の財産を売った時の所得）</t>
    <rPh sb="0" eb="2">
      <t>ソウゴウ</t>
    </rPh>
    <rPh sb="2" eb="4">
      <t>チョウキ</t>
    </rPh>
    <rPh sb="4" eb="6">
      <t>ジョウト</t>
    </rPh>
    <rPh sb="6" eb="8">
      <t>ショトク</t>
    </rPh>
    <rPh sb="9" eb="11">
      <t>トチ</t>
    </rPh>
    <rPh sb="12" eb="14">
      <t>タテモノ</t>
    </rPh>
    <rPh sb="14" eb="16">
      <t>イガイ</t>
    </rPh>
    <rPh sb="17" eb="19">
      <t>ザイサン</t>
    </rPh>
    <rPh sb="20" eb="21">
      <t>ウ</t>
    </rPh>
    <rPh sb="23" eb="24">
      <t>トキ</t>
    </rPh>
    <rPh sb="25" eb="27">
      <t>ショトク</t>
    </rPh>
    <phoneticPr fontId="1"/>
  </si>
  <si>
    <t>分離短期譲渡所得</t>
    <rPh sb="0" eb="2">
      <t>ブンリ</t>
    </rPh>
    <rPh sb="2" eb="4">
      <t>タンキ</t>
    </rPh>
    <rPh sb="4" eb="6">
      <t>ジョウト</t>
    </rPh>
    <rPh sb="6" eb="8">
      <t>ショトク</t>
    </rPh>
    <phoneticPr fontId="1"/>
  </si>
  <si>
    <t>分離長期譲渡所得（土地や建物を売った時の所得）</t>
    <rPh sb="0" eb="2">
      <t>ブンリ</t>
    </rPh>
    <rPh sb="2" eb="4">
      <t>チョウキ</t>
    </rPh>
    <rPh sb="4" eb="6">
      <t>ジョウト</t>
    </rPh>
    <rPh sb="6" eb="8">
      <t>ショトク</t>
    </rPh>
    <rPh sb="9" eb="11">
      <t>トチ</t>
    </rPh>
    <rPh sb="12" eb="14">
      <t>タテモノ</t>
    </rPh>
    <rPh sb="15" eb="16">
      <t>ウ</t>
    </rPh>
    <rPh sb="18" eb="19">
      <t>トキ</t>
    </rPh>
    <rPh sb="20" eb="22">
      <t>ショトク</t>
    </rPh>
    <phoneticPr fontId="1"/>
  </si>
  <si>
    <t>株式譲渡所得</t>
    <rPh sb="0" eb="2">
      <t>カブシキ</t>
    </rPh>
    <rPh sb="2" eb="4">
      <t>ジョウト</t>
    </rPh>
    <rPh sb="4" eb="6">
      <t>ショトク</t>
    </rPh>
    <phoneticPr fontId="1"/>
  </si>
  <si>
    <t>申告分離の上場株式等の配当所得</t>
    <rPh sb="0" eb="2">
      <t>シンコク</t>
    </rPh>
    <rPh sb="2" eb="4">
      <t>ブンリ</t>
    </rPh>
    <rPh sb="5" eb="7">
      <t>ジョウジョウ</t>
    </rPh>
    <rPh sb="7" eb="9">
      <t>カブシキ</t>
    </rPh>
    <rPh sb="9" eb="10">
      <t>ナド</t>
    </rPh>
    <rPh sb="11" eb="13">
      <t>ハイトウ</t>
    </rPh>
    <rPh sb="13" eb="15">
      <t>ショトク</t>
    </rPh>
    <phoneticPr fontId="1"/>
  </si>
  <si>
    <t>一時所得（懸賞金等継続性のない一時的所得）</t>
    <rPh sb="0" eb="2">
      <t>イチジ</t>
    </rPh>
    <rPh sb="2" eb="4">
      <t>ショトク</t>
    </rPh>
    <rPh sb="5" eb="8">
      <t>ケンショウキン</t>
    </rPh>
    <rPh sb="8" eb="9">
      <t>ナド</t>
    </rPh>
    <rPh sb="9" eb="11">
      <t>ケイゾク</t>
    </rPh>
    <rPh sb="11" eb="12">
      <t>セイ</t>
    </rPh>
    <rPh sb="15" eb="18">
      <t>イチジテキ</t>
    </rPh>
    <rPh sb="18" eb="20">
      <t>ショトク</t>
    </rPh>
    <phoneticPr fontId="1"/>
  </si>
  <si>
    <t>その他の注意点</t>
    <rPh sb="2" eb="3">
      <t>ホカ</t>
    </rPh>
    <rPh sb="4" eb="7">
      <t>チュウイテン</t>
    </rPh>
    <phoneticPr fontId="1"/>
  </si>
  <si>
    <t>※</t>
    <phoneticPr fontId="1"/>
  </si>
  <si>
    <t>退職所得、傷病手当金、失業手当、遺族・障害年金は算定対象になりません。</t>
    <phoneticPr fontId="1"/>
  </si>
  <si>
    <t>詳細は千葉市役所ホームページで公開しています「国保のしおり」をご覧ください。</t>
    <phoneticPr fontId="1"/>
  </si>
  <si>
    <t>保険料試算結果</t>
    <rPh sb="0" eb="3">
      <t>ホケンリョウ</t>
    </rPh>
    <rPh sb="3" eb="5">
      <t>シサン</t>
    </rPh>
    <rPh sb="5" eb="7">
      <t>ケッカ</t>
    </rPh>
    <phoneticPr fontId="1"/>
  </si>
  <si>
    <t>軽減・減免の適用</t>
    <rPh sb="0" eb="2">
      <t>ケイゲン</t>
    </rPh>
    <rPh sb="3" eb="5">
      <t>ゲンメン</t>
    </rPh>
    <rPh sb="6" eb="8">
      <t>テキヨウ</t>
    </rPh>
    <phoneticPr fontId="1"/>
  </si>
  <si>
    <t>この試算では、「被保険者均等割額」「世帯別平等割額」を</t>
    <rPh sb="2" eb="4">
      <t>シサン</t>
    </rPh>
    <rPh sb="8" eb="12">
      <t>ヒホケンシャ</t>
    </rPh>
    <rPh sb="12" eb="14">
      <t>キントウ</t>
    </rPh>
    <rPh sb="14" eb="15">
      <t>ワリ</t>
    </rPh>
    <rPh sb="15" eb="16">
      <t>ガク</t>
    </rPh>
    <rPh sb="18" eb="20">
      <t>セタイ</t>
    </rPh>
    <rPh sb="20" eb="21">
      <t>ベツ</t>
    </rPh>
    <rPh sb="21" eb="23">
      <t>ビョウドウ</t>
    </rPh>
    <rPh sb="23" eb="24">
      <t>ワリ</t>
    </rPh>
    <rPh sb="24" eb="25">
      <t>ガク</t>
    </rPh>
    <phoneticPr fontId="1"/>
  </si>
  <si>
    <t>で計算しています。</t>
    <rPh sb="1" eb="3">
      <t>ケイサン</t>
    </rPh>
    <phoneticPr fontId="1"/>
  </si>
  <si>
    <t>合計（①+②+③）</t>
    <rPh sb="0" eb="2">
      <t>ゴウケイ</t>
    </rPh>
    <phoneticPr fontId="1"/>
  </si>
  <si>
    <t>65歳以上の方の介護保険料は国民健康保険料と別途納めていただきます。</t>
    <phoneticPr fontId="1"/>
  </si>
  <si>
    <t>※所得税、住民税では所得から扶養控除、社会保険料等各種所得控除を引いた金額を</t>
    <rPh sb="1" eb="4">
      <t>ショトクゼイ</t>
    </rPh>
    <rPh sb="5" eb="8">
      <t>ジュウミンゼイ</t>
    </rPh>
    <rPh sb="10" eb="12">
      <t>ショトク</t>
    </rPh>
    <rPh sb="14" eb="16">
      <t>フヨウ</t>
    </rPh>
    <rPh sb="16" eb="18">
      <t>コウジョ</t>
    </rPh>
    <rPh sb="19" eb="21">
      <t>シャカイ</t>
    </rPh>
    <rPh sb="21" eb="23">
      <t>ホケン</t>
    </rPh>
    <rPh sb="23" eb="24">
      <t>リョウ</t>
    </rPh>
    <rPh sb="24" eb="25">
      <t>ナド</t>
    </rPh>
    <rPh sb="25" eb="27">
      <t>カクシュ</t>
    </rPh>
    <rPh sb="27" eb="29">
      <t>ショトク</t>
    </rPh>
    <rPh sb="29" eb="31">
      <t>コウジョ</t>
    </rPh>
    <rPh sb="32" eb="33">
      <t>ヒ</t>
    </rPh>
    <phoneticPr fontId="1"/>
  </si>
  <si>
    <t>基に算出しますが、国民健康保険料では基礎控除のみ引いて算出します。</t>
    <rPh sb="0" eb="1">
      <t>モト</t>
    </rPh>
    <rPh sb="2" eb="4">
      <t>サンシュツ</t>
    </rPh>
    <rPh sb="9" eb="11">
      <t>コクミン</t>
    </rPh>
    <rPh sb="11" eb="13">
      <t>ケンコウ</t>
    </rPh>
    <rPh sb="13" eb="15">
      <t>ホケン</t>
    </rPh>
    <rPh sb="15" eb="16">
      <t>リョウ</t>
    </rPh>
    <rPh sb="18" eb="20">
      <t>キソ</t>
    </rPh>
    <rPh sb="20" eb="22">
      <t>コウジョ</t>
    </rPh>
    <rPh sb="24" eb="25">
      <t>ヒ</t>
    </rPh>
    <rPh sb="27" eb="29">
      <t>サンシュツ</t>
    </rPh>
    <phoneticPr fontId="1"/>
  </si>
  <si>
    <t>実際の保険料につきましては、６月下旬または加入等の手続をいただきました翌月下旬に「国民健康保</t>
    <rPh sb="0" eb="2">
      <t>ジッサイ</t>
    </rPh>
    <rPh sb="3" eb="6">
      <t>ホケンリョウ</t>
    </rPh>
    <rPh sb="15" eb="16">
      <t>ガツ</t>
    </rPh>
    <rPh sb="16" eb="18">
      <t>ゲジュン</t>
    </rPh>
    <rPh sb="21" eb="23">
      <t>カニュウ</t>
    </rPh>
    <rPh sb="23" eb="24">
      <t>ナド</t>
    </rPh>
    <rPh sb="25" eb="27">
      <t>テツヅキ</t>
    </rPh>
    <rPh sb="35" eb="37">
      <t>ヨクゲツ</t>
    </rPh>
    <rPh sb="37" eb="39">
      <t>ゲジュン</t>
    </rPh>
    <rPh sb="39" eb="40">
      <t>ナカゴロ</t>
    </rPh>
    <rPh sb="41" eb="43">
      <t>コクミン</t>
    </rPh>
    <rPh sb="43" eb="45">
      <t>ケンコウ</t>
    </rPh>
    <rPh sb="45" eb="46">
      <t>タモツ</t>
    </rPh>
    <phoneticPr fontId="1"/>
  </si>
  <si>
    <t>下記の情報を入力をしてください。算出結果はこのシートの下に表示されます。</t>
    <rPh sb="0" eb="2">
      <t>カキ</t>
    </rPh>
    <rPh sb="3" eb="5">
      <t>ジョウホウ</t>
    </rPh>
    <rPh sb="6" eb="8">
      <t>ニュウリョク</t>
    </rPh>
    <rPh sb="16" eb="18">
      <t>サンシュツ</t>
    </rPh>
    <rPh sb="18" eb="20">
      <t>ケッカ</t>
    </rPh>
    <rPh sb="27" eb="28">
      <t>シタ</t>
    </rPh>
    <rPh sb="29" eb="31">
      <t>ヒョウジ</t>
    </rPh>
    <phoneticPr fontId="1"/>
  </si>
  <si>
    <t>(入力する部分は</t>
  </si>
  <si>
    <t>です）</t>
    <phoneticPr fontId="1"/>
  </si>
  <si>
    <t>小学校入学前の子どもは未就学児を選択してください。</t>
    <rPh sb="0" eb="3">
      <t>ショウガッコウ</t>
    </rPh>
    <rPh sb="3" eb="6">
      <t>ニュウガクマエ</t>
    </rPh>
    <rPh sb="7" eb="8">
      <t>コ</t>
    </rPh>
    <rPh sb="11" eb="15">
      <t>ミシュウガクジ</t>
    </rPh>
    <rPh sb="16" eb="18">
      <t>センタク</t>
    </rPh>
    <phoneticPr fontId="1"/>
  </si>
  <si>
    <t>65歳以上の方の介護保険料は国民健康保険料と別途納めていただきます。</t>
    <rPh sb="2" eb="3">
      <t>サイ</t>
    </rPh>
    <rPh sb="3" eb="5">
      <t>イジョウ</t>
    </rPh>
    <rPh sb="6" eb="7">
      <t>カタ</t>
    </rPh>
    <rPh sb="8" eb="10">
      <t>カイゴ</t>
    </rPh>
    <rPh sb="10" eb="13">
      <t>ホケンリョウ</t>
    </rPh>
    <rPh sb="14" eb="16">
      <t>コクミン</t>
    </rPh>
    <rPh sb="20" eb="21">
      <t>リョウ</t>
    </rPh>
    <rPh sb="22" eb="24">
      <t>ベット</t>
    </rPh>
    <rPh sb="24" eb="25">
      <t>オサ</t>
    </rPh>
    <phoneticPr fontId="1"/>
  </si>
  <si>
    <t>介護保険料は各区保健福祉センター高齢障害支援課介護保険室にお問合せください。</t>
    <rPh sb="0" eb="2">
      <t>カイゴ</t>
    </rPh>
    <rPh sb="2" eb="5">
      <t>ホケンリョウ</t>
    </rPh>
    <rPh sb="6" eb="8">
      <t>カクク</t>
    </rPh>
    <rPh sb="8" eb="10">
      <t>ホケン</t>
    </rPh>
    <rPh sb="10" eb="12">
      <t>フクシ</t>
    </rPh>
    <rPh sb="16" eb="18">
      <t>コウレイ</t>
    </rPh>
    <rPh sb="18" eb="20">
      <t>ショウガイ</t>
    </rPh>
    <rPh sb="20" eb="22">
      <t>シエン</t>
    </rPh>
    <rPh sb="22" eb="23">
      <t>カ</t>
    </rPh>
    <rPh sb="23" eb="25">
      <t>カイゴ</t>
    </rPh>
    <rPh sb="25" eb="27">
      <t>ホケン</t>
    </rPh>
    <rPh sb="27" eb="28">
      <t>シツ</t>
    </rPh>
    <rPh sb="30" eb="31">
      <t>ト</t>
    </rPh>
    <rPh sb="31" eb="32">
      <t>ア</t>
    </rPh>
    <phoneticPr fontId="1"/>
  </si>
  <si>
    <t>加入</t>
    <rPh sb="0" eb="2">
      <t>カニュウ</t>
    </rPh>
    <phoneticPr fontId="1"/>
  </si>
  <si>
    <t>加入しない</t>
    <rPh sb="0" eb="2">
      <t>カニュウ</t>
    </rPh>
    <phoneticPr fontId="1"/>
  </si>
  <si>
    <t>40歳以上65歳未満</t>
    <rPh sb="2" eb="3">
      <t>サイ</t>
    </rPh>
    <rPh sb="3" eb="5">
      <t>イジョウ</t>
    </rPh>
    <rPh sb="7" eb="8">
      <t>サイ</t>
    </rPh>
    <rPh sb="8" eb="10">
      <t>ミマン</t>
    </rPh>
    <phoneticPr fontId="1"/>
  </si>
  <si>
    <t>65歳以上75歳未満</t>
    <rPh sb="2" eb="3">
      <t>サイ</t>
    </rPh>
    <rPh sb="3" eb="5">
      <t>イジョウ</t>
    </rPh>
    <rPh sb="7" eb="8">
      <t>サイ</t>
    </rPh>
    <rPh sb="8" eb="10">
      <t>ミマン</t>
    </rPh>
    <phoneticPr fontId="1"/>
  </si>
  <si>
    <t>加入区分</t>
    <rPh sb="0" eb="2">
      <t>カニュウ</t>
    </rPh>
    <rPh sb="2" eb="4">
      <t>クブン</t>
    </rPh>
    <phoneticPr fontId="1"/>
  </si>
  <si>
    <t>HP</t>
    <phoneticPr fontId="1"/>
  </si>
  <si>
    <t>試算ツール</t>
    <rPh sb="0" eb="2">
      <t>シサン</t>
    </rPh>
    <phoneticPr fontId="1"/>
  </si>
  <si>
    <t>国保加入数</t>
    <rPh sb="0" eb="2">
      <t>コクホ</t>
    </rPh>
    <rPh sb="2" eb="4">
      <t>カニュウ</t>
    </rPh>
    <rPh sb="4" eb="5">
      <t>スウ</t>
    </rPh>
    <phoneticPr fontId="1"/>
  </si>
  <si>
    <t>65以上</t>
    <rPh sb="2" eb="4">
      <t>イジョウ</t>
    </rPh>
    <phoneticPr fontId="1"/>
  </si>
  <si>
    <t>65未満</t>
    <rPh sb="2" eb="4">
      <t>ミマン</t>
    </rPh>
    <phoneticPr fontId="1"/>
  </si>
  <si>
    <t>未就学児</t>
    <rPh sb="0" eb="4">
      <t>ミシュウガクジ</t>
    </rPh>
    <phoneticPr fontId="1"/>
  </si>
  <si>
    <r>
      <t xml:space="preserve">介護分保険料
</t>
    </r>
    <r>
      <rPr>
        <sz val="9"/>
        <rFont val="メイリオ"/>
        <family val="3"/>
        <charset val="128"/>
      </rPr>
      <t>（40歳～64歳対象）</t>
    </r>
    <rPh sb="0" eb="2">
      <t>カイゴ</t>
    </rPh>
    <rPh sb="2" eb="3">
      <t>ブン</t>
    </rPh>
    <rPh sb="3" eb="6">
      <t>ホケンリョウ</t>
    </rPh>
    <rPh sb="10" eb="11">
      <t>サイ</t>
    </rPh>
    <rPh sb="14" eb="15">
      <t>サイ</t>
    </rPh>
    <rPh sb="15" eb="17">
      <t>タイショウ</t>
    </rPh>
    <phoneticPr fontId="1"/>
  </si>
  <si>
    <t>令和7年度（2025年度）版の国民健康保険料率・計算方法は、次のとおりです。</t>
    <rPh sb="0" eb="2">
      <t>レイワ</t>
    </rPh>
    <rPh sb="3" eb="5">
      <t>ネンド</t>
    </rPh>
    <rPh sb="10" eb="12">
      <t>ネンド</t>
    </rPh>
    <rPh sb="13" eb="14">
      <t>ハン</t>
    </rPh>
    <rPh sb="15" eb="16">
      <t>リョウ</t>
    </rPh>
    <rPh sb="16" eb="17">
      <t>リツ</t>
    </rPh>
    <rPh sb="18" eb="20">
      <t>ケイサン</t>
    </rPh>
    <rPh sb="20" eb="22">
      <t>ホウホウ</t>
    </rPh>
    <rPh sb="24" eb="25">
      <t>ツギ</t>
    </rPh>
    <phoneticPr fontId="1"/>
  </si>
  <si>
    <t>令和7年度（2025年度）版　千葉市国民健康保険料試算</t>
    <rPh sb="0" eb="2">
      <t>レイワ</t>
    </rPh>
    <rPh sb="3" eb="5">
      <t>ネンド</t>
    </rPh>
    <rPh sb="10" eb="12">
      <t>ネンド</t>
    </rPh>
    <rPh sb="13" eb="14">
      <t>ハン</t>
    </rPh>
    <rPh sb="15" eb="18">
      <t>チバシ</t>
    </rPh>
    <rPh sb="18" eb="20">
      <t>コクミン</t>
    </rPh>
    <rPh sb="20" eb="22">
      <t>ケンコウ</t>
    </rPh>
    <rPh sb="22" eb="25">
      <t>ホケンリョウ</t>
    </rPh>
    <rPh sb="25" eb="27">
      <t>シサン</t>
    </rPh>
    <phoneticPr fontId="1"/>
  </si>
  <si>
    <t>令和7年（2025年）４月１日時点の年齢区分を選択してください。</t>
    <rPh sb="0" eb="2">
      <t>レイワ</t>
    </rPh>
    <rPh sb="3" eb="4">
      <t>ネン</t>
    </rPh>
    <rPh sb="9" eb="10">
      <t>ネン</t>
    </rPh>
    <rPh sb="12" eb="13">
      <t>ガツ</t>
    </rPh>
    <rPh sb="14" eb="15">
      <t>ニチ</t>
    </rPh>
    <rPh sb="15" eb="17">
      <t>ジテン</t>
    </rPh>
    <rPh sb="18" eb="20">
      <t>ネンレイ</t>
    </rPh>
    <rPh sb="20" eb="22">
      <t>クブン</t>
    </rPh>
    <rPh sb="23" eb="25">
      <t>センタク</t>
    </rPh>
    <phoneticPr fontId="1"/>
  </si>
  <si>
    <t>令和6年中（2024年中）の所得金額を「給与所得」「公的年金等所得」「その他所得」に分け入力してください。</t>
    <rPh sb="0" eb="2">
      <t>レイワ</t>
    </rPh>
    <rPh sb="3" eb="4">
      <t>ネン</t>
    </rPh>
    <rPh sb="4" eb="5">
      <t>チュウ</t>
    </rPh>
    <rPh sb="10" eb="11">
      <t>ネン</t>
    </rPh>
    <rPh sb="11" eb="12">
      <t>チュウ</t>
    </rPh>
    <rPh sb="14" eb="16">
      <t>ショトク</t>
    </rPh>
    <rPh sb="16" eb="18">
      <t>キンガク</t>
    </rPh>
    <rPh sb="20" eb="22">
      <t>キュウヨ</t>
    </rPh>
    <rPh sb="22" eb="24">
      <t>ショトク</t>
    </rPh>
    <rPh sb="26" eb="28">
      <t>コウテキ</t>
    </rPh>
    <rPh sb="28" eb="30">
      <t>ネンキン</t>
    </rPh>
    <rPh sb="30" eb="31">
      <t>ナド</t>
    </rPh>
    <rPh sb="31" eb="33">
      <t>ショトク</t>
    </rPh>
    <rPh sb="37" eb="38">
      <t>タ</t>
    </rPh>
    <rPh sb="38" eb="40">
      <t>ショトク</t>
    </rPh>
    <rPh sb="42" eb="43">
      <t>ワ</t>
    </rPh>
    <rPh sb="44" eb="46">
      <t>ニュウリョク</t>
    </rPh>
    <phoneticPr fontId="1"/>
  </si>
  <si>
    <t>総合課税の対象となる所得、分離課税の対象となる所得それぞれについて損益通算、</t>
    <phoneticPr fontId="1"/>
  </si>
  <si>
    <t>各繰越損失額・特別控除額の控除（繰越雑損失を除く）を行い、総合課税分及び分離課税分の算定額を合計します。</t>
    <phoneticPr fontId="1"/>
  </si>
  <si>
    <t>なお、算定額がマイナスになる場合は0円として合算します。</t>
    <phoneticPr fontId="1"/>
  </si>
  <si>
    <t>令和7年4月～令和8年3月の1年間の保険料額です。</t>
    <rPh sb="0" eb="2">
      <t>レイワ</t>
    </rPh>
    <rPh sb="7" eb="9">
      <t>レイワ</t>
    </rPh>
    <rPh sb="15" eb="17">
      <t>ネンカン</t>
    </rPh>
    <rPh sb="18" eb="21">
      <t>ホケンリョウ</t>
    </rPh>
    <rPh sb="21" eb="22">
      <t>ガク</t>
    </rPh>
    <phoneticPr fontId="1"/>
  </si>
  <si>
    <t>年度途中から加入する方は上記金額を12で割り加入する月から令和8年3月までの月数を乗じた額が保険料額となります。</t>
    <rPh sb="0" eb="2">
      <t>ネンド</t>
    </rPh>
    <rPh sb="2" eb="4">
      <t>トチュウ</t>
    </rPh>
    <rPh sb="6" eb="8">
      <t>カニュウ</t>
    </rPh>
    <rPh sb="10" eb="11">
      <t>カタ</t>
    </rPh>
    <rPh sb="12" eb="14">
      <t>ジョウキ</t>
    </rPh>
    <rPh sb="14" eb="16">
      <t>キンガク</t>
    </rPh>
    <rPh sb="20" eb="21">
      <t>ワ</t>
    </rPh>
    <rPh sb="22" eb="24">
      <t>カニュウ</t>
    </rPh>
    <rPh sb="26" eb="27">
      <t>ツキ</t>
    </rPh>
    <rPh sb="29" eb="31">
      <t>レイワ</t>
    </rPh>
    <rPh sb="32" eb="33">
      <t>ネン</t>
    </rPh>
    <rPh sb="34" eb="35">
      <t>ガツ</t>
    </rPh>
    <rPh sb="38" eb="39">
      <t>ツキ</t>
    </rPh>
    <rPh sb="39" eb="40">
      <t>スウ</t>
    </rPh>
    <rPh sb="41" eb="42">
      <t>ジョウ</t>
    </rPh>
    <rPh sb="44" eb="45">
      <t>ガク</t>
    </rPh>
    <rPh sb="46" eb="49">
      <t>ホケンリョウ</t>
    </rPh>
    <rPh sb="49" eb="50">
      <t>ガク</t>
    </rPh>
    <phoneticPr fontId="1"/>
  </si>
  <si>
    <t>※Ｓ35.1.1以前生</t>
    <rPh sb="8" eb="10">
      <t>イゼン</t>
    </rPh>
    <rPh sb="10" eb="11">
      <t>セイ</t>
    </rPh>
    <phoneticPr fontId="1"/>
  </si>
  <si>
    <t>※Ｓ35.1.2以後生</t>
    <rPh sb="8" eb="10">
      <t>イゴ</t>
    </rPh>
    <rPh sb="10" eb="11">
      <t>セイ</t>
    </rPh>
    <phoneticPr fontId="1"/>
  </si>
  <si>
    <t>※給与と公的年金等所得の両方を有する方に対する所得金額調整控除は適用せず給与所得金額を入力してください。</t>
    <rPh sb="1" eb="3">
      <t>キュウヨ</t>
    </rPh>
    <rPh sb="4" eb="6">
      <t>コウテキ</t>
    </rPh>
    <rPh sb="6" eb="8">
      <t>ネンキン</t>
    </rPh>
    <rPh sb="8" eb="9">
      <t>ナド</t>
    </rPh>
    <rPh sb="9" eb="11">
      <t>ショトク</t>
    </rPh>
    <rPh sb="12" eb="14">
      <t>リョウホウ</t>
    </rPh>
    <rPh sb="15" eb="16">
      <t>ユウ</t>
    </rPh>
    <rPh sb="18" eb="19">
      <t>カタ</t>
    </rPh>
    <rPh sb="20" eb="21">
      <t>タイ</t>
    </rPh>
    <rPh sb="23" eb="25">
      <t>ショトク</t>
    </rPh>
    <rPh sb="25" eb="27">
      <t>キンガク</t>
    </rPh>
    <rPh sb="27" eb="29">
      <t>チョウセイ</t>
    </rPh>
    <rPh sb="29" eb="31">
      <t>コウジョ</t>
    </rPh>
    <rPh sb="32" eb="34">
      <t>テキヨウ</t>
    </rPh>
    <rPh sb="36" eb="38">
      <t>キュウヨ</t>
    </rPh>
    <rPh sb="38" eb="40">
      <t>ショトク</t>
    </rPh>
    <rPh sb="40" eb="42">
      <t>キンガク</t>
    </rPh>
    <rPh sb="43" eb="4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</si>
</sst>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_);[Red]\(#,##0\)"/>
    <numFmt numFmtId="179" formatCode="#,##0;&quot;△ &quot;#,##0"/>
    <numFmt numFmtId="180" formatCode="0.00_ "/>
  </numFmts>
  <fonts count="16">
    <font>
      <sz val="11"/>
      <color theme="1"/>
      <name val="游ゴシック"/>
      <family val="2"/>
      <charset val="128"/>
      <scheme val="minor"/>
    </font>
    <font>
      <sz val="6"/>
      <name val="游ゴシック"/>
      <family val="2"/>
      <charset val="128"/>
      <scheme val="minor"/>
    </font>
    <font>
      <sz val="10"/>
      <color theme="1"/>
      <name val="メイリオ"/>
      <family val="3"/>
      <charset val="128"/>
    </font>
    <font>
      <sz val="14"/>
      <color theme="1"/>
      <name val="メイリオ"/>
      <family val="3"/>
      <charset val="128"/>
    </font>
    <font>
      <sz val="11"/>
      <color theme="1"/>
      <name val="メイリオ"/>
      <family val="3"/>
      <charset val="128"/>
    </font>
    <font>
      <sz val="11"/>
      <name val="メイリオ"/>
      <family val="3"/>
      <charset val="128"/>
    </font>
    <font>
      <sz val="9"/>
      <color theme="1"/>
      <name val="メイリオ"/>
      <family val="3"/>
      <charset val="128"/>
    </font>
    <font>
      <b/>
      <sz val="20"/>
      <color rgb="FFFF0000"/>
      <name val="游ゴシック"/>
      <family val="3"/>
      <charset val="128"/>
      <scheme val="minor"/>
    </font>
    <font>
      <sz val="11"/>
      <color theme="1"/>
      <name val="游ゴシック"/>
      <family val="3"/>
      <charset val="128"/>
      <scheme val="minor"/>
    </font>
    <font>
      <b/>
      <sz val="9"/>
      <color indexed="81"/>
      <name val="MS P ゴシック"/>
      <family val="3"/>
      <charset val="128"/>
    </font>
    <font>
      <sz val="10"/>
      <color rgb="FF00B0F0"/>
      <name val="メイリオ"/>
      <family val="3"/>
      <charset val="128"/>
    </font>
    <font>
      <sz val="10"/>
      <name val="メイリオ"/>
      <family val="3"/>
      <charset val="128"/>
    </font>
    <font>
      <sz val="9"/>
      <name val="メイリオ"/>
      <family val="3"/>
      <charset val="128"/>
    </font>
    <font>
      <sz val="14"/>
      <name val="メイリオ"/>
      <family val="3"/>
      <charset val="128"/>
    </font>
    <font>
      <sz val="11"/>
      <color rgb="FFFF0000"/>
      <name val="メイリオ"/>
      <family val="3"/>
      <charset val="128"/>
    </font>
    <font>
      <sz val="10"/>
      <color rgb="FFFF0000"/>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lignment vertical="center"/>
    </xf>
    <xf numFmtId="0" fontId="4" fillId="2" borderId="1" xfId="0" applyFont="1" applyFill="1" applyBorder="1">
      <alignment vertical="center"/>
    </xf>
    <xf numFmtId="0" fontId="4" fillId="0" borderId="0" xfId="0" applyFont="1" applyAlignment="1">
      <alignment horizontal="right" vertical="center"/>
    </xf>
    <xf numFmtId="0" fontId="5" fillId="2" borderId="1" xfId="0" applyFont="1" applyFill="1" applyBorder="1">
      <alignment vertical="center"/>
    </xf>
    <xf numFmtId="0" fontId="7" fillId="0" borderId="0" xfId="0" applyFont="1">
      <alignment vertical="center"/>
    </xf>
    <xf numFmtId="0" fontId="2" fillId="5" borderId="0" xfId="0" applyFont="1" applyFill="1">
      <alignment vertical="center"/>
    </xf>
    <xf numFmtId="0" fontId="2" fillId="2" borderId="31" xfId="0" applyFont="1" applyFill="1" applyBorder="1">
      <alignment vertical="center"/>
    </xf>
    <xf numFmtId="0" fontId="2" fillId="2" borderId="32"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3" fillId="5" borderId="0" xfId="0" applyFont="1" applyFill="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176" fontId="0" fillId="2" borderId="0" xfId="0" applyNumberFormat="1" applyFill="1" applyAlignment="1">
      <alignment horizontal="center"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179" fontId="0" fillId="2" borderId="34" xfId="0" applyNumberFormat="1" applyFill="1" applyBorder="1" applyAlignment="1">
      <alignment horizontal="center" vertical="center"/>
    </xf>
    <xf numFmtId="178" fontId="0" fillId="2" borderId="33" xfId="0" applyNumberFormat="1" applyFill="1" applyBorder="1" applyAlignment="1">
      <alignment horizontal="center" vertical="center"/>
    </xf>
    <xf numFmtId="0" fontId="0" fillId="0" borderId="35" xfId="0" applyBorder="1" applyAlignment="1">
      <alignment horizontal="center" vertical="center"/>
    </xf>
    <xf numFmtId="178" fontId="0" fillId="0" borderId="29" xfId="0" applyNumberFormat="1" applyBorder="1">
      <alignment vertical="center"/>
    </xf>
    <xf numFmtId="0" fontId="0" fillId="0" borderId="36" xfId="0" applyBorder="1" applyAlignment="1">
      <alignment horizontal="center" vertical="center"/>
    </xf>
    <xf numFmtId="178" fontId="0" fillId="0" borderId="37" xfId="0" applyNumberFormat="1" applyBorder="1">
      <alignment vertical="center"/>
    </xf>
    <xf numFmtId="0" fontId="0" fillId="0" borderId="38" xfId="0" applyBorder="1" applyAlignment="1">
      <alignment horizontal="center" vertical="center"/>
    </xf>
    <xf numFmtId="178" fontId="0" fillId="0" borderId="39" xfId="0" applyNumberFormat="1" applyBorder="1">
      <alignment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5" borderId="38" xfId="0" applyFill="1" applyBorder="1" applyAlignment="1">
      <alignment horizontal="center" vertical="center"/>
    </xf>
    <xf numFmtId="176" fontId="0" fillId="5" borderId="42" xfId="0" applyNumberFormat="1" applyFill="1" applyBorder="1">
      <alignment vertical="center"/>
    </xf>
    <xf numFmtId="176" fontId="0" fillId="5" borderId="43" xfId="0" applyNumberFormat="1" applyFill="1" applyBorder="1">
      <alignment vertical="center"/>
    </xf>
    <xf numFmtId="176" fontId="0" fillId="5" borderId="44" xfId="0" applyNumberFormat="1" applyFill="1" applyBorder="1">
      <alignment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43" xfId="0" applyBorder="1">
      <alignment vertical="center"/>
    </xf>
    <xf numFmtId="0" fontId="0" fillId="0" borderId="44" xfId="0" applyBorder="1">
      <alignment vertical="center"/>
    </xf>
    <xf numFmtId="0" fontId="0" fillId="2" borderId="0" xfId="0" applyFill="1" applyAlignment="1">
      <alignment horizontal="center" vertical="center"/>
    </xf>
    <xf numFmtId="0" fontId="0" fillId="5" borderId="42" xfId="0" applyFill="1" applyBorder="1" applyAlignment="1">
      <alignment horizontal="center" vertical="center"/>
    </xf>
    <xf numFmtId="176" fontId="0" fillId="5" borderId="42" xfId="0" applyNumberFormat="1" applyFill="1" applyBorder="1" applyAlignment="1">
      <alignment horizontal="center" vertical="center"/>
    </xf>
    <xf numFmtId="178" fontId="0" fillId="0" borderId="43" xfId="0" applyNumberFormat="1" applyBorder="1">
      <alignment vertical="center"/>
    </xf>
    <xf numFmtId="178" fontId="0" fillId="0" borderId="44" xfId="0" applyNumberFormat="1" applyBorder="1">
      <alignment vertical="center"/>
    </xf>
    <xf numFmtId="0" fontId="0" fillId="0" borderId="42" xfId="0" applyBorder="1" applyAlignment="1">
      <alignment horizontal="center" vertical="center"/>
    </xf>
    <xf numFmtId="178" fontId="0" fillId="5" borderId="43" xfId="0" applyNumberFormat="1" applyFill="1" applyBorder="1">
      <alignment vertical="center"/>
    </xf>
    <xf numFmtId="178" fontId="0" fillId="5" borderId="44" xfId="0" applyNumberFormat="1" applyFill="1" applyBorder="1">
      <alignment vertical="center"/>
    </xf>
    <xf numFmtId="0" fontId="4" fillId="0" borderId="0" xfId="0" applyFont="1" applyAlignment="1">
      <alignment vertical="center" textRotation="255"/>
    </xf>
    <xf numFmtId="0" fontId="0" fillId="0" borderId="41" xfId="0" applyBorder="1" applyAlignment="1">
      <alignment horizontal="center" vertical="center"/>
    </xf>
    <xf numFmtId="178" fontId="0" fillId="5" borderId="29" xfId="0" applyNumberFormat="1" applyFill="1" applyBorder="1">
      <alignment vertical="center"/>
    </xf>
    <xf numFmtId="178" fontId="0" fillId="5" borderId="37" xfId="0" applyNumberFormat="1" applyFill="1" applyBorder="1">
      <alignment vertical="center"/>
    </xf>
    <xf numFmtId="178" fontId="0" fillId="5" borderId="39" xfId="0" applyNumberFormat="1" applyFill="1"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6" xfId="0" applyFont="1" applyBorder="1">
      <alignment vertical="center"/>
    </xf>
    <xf numFmtId="0" fontId="4" fillId="5" borderId="31" xfId="0" applyFont="1" applyFill="1" applyBorder="1">
      <alignment vertical="center"/>
    </xf>
    <xf numFmtId="0" fontId="4" fillId="5" borderId="33" xfId="0" applyFont="1" applyFill="1" applyBorder="1">
      <alignment vertical="center"/>
    </xf>
    <xf numFmtId="0" fontId="2" fillId="5" borderId="0" xfId="0" applyFont="1" applyFill="1" applyAlignment="1">
      <alignment horizontal="center" vertical="center"/>
    </xf>
    <xf numFmtId="176" fontId="2" fillId="5" borderId="0" xfId="0" applyNumberFormat="1" applyFont="1" applyFill="1" applyAlignment="1">
      <alignment horizontal="right" vertical="center"/>
    </xf>
    <xf numFmtId="176" fontId="2" fillId="0" borderId="1" xfId="0" applyNumberFormat="1" applyFont="1" applyBorder="1">
      <alignment vertical="center"/>
    </xf>
    <xf numFmtId="176" fontId="2" fillId="0" borderId="21" xfId="0" applyNumberFormat="1" applyFont="1" applyBorder="1">
      <alignment vertical="center"/>
    </xf>
    <xf numFmtId="0" fontId="2" fillId="0" borderId="2"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6" fillId="0" borderId="0" xfId="0" applyFont="1">
      <alignment vertical="center"/>
    </xf>
    <xf numFmtId="0" fontId="2" fillId="2" borderId="0" xfId="0" applyFont="1" applyFill="1">
      <alignment vertical="center"/>
    </xf>
    <xf numFmtId="0" fontId="2" fillId="0" borderId="0" xfId="0" applyFont="1" applyAlignment="1">
      <alignment horizontal="center" vertical="center"/>
    </xf>
    <xf numFmtId="0" fontId="2" fillId="0" borderId="12" xfId="0" applyFont="1" applyBorder="1">
      <alignment vertical="center"/>
    </xf>
    <xf numFmtId="0" fontId="2" fillId="0" borderId="13" xfId="0" applyFont="1" applyBorder="1">
      <alignment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2" fillId="0" borderId="3" xfId="0" applyFont="1" applyBorder="1">
      <alignment vertical="center"/>
    </xf>
    <xf numFmtId="0" fontId="2" fillId="6" borderId="5"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11" xfId="0" applyBorder="1">
      <alignment vertical="center"/>
    </xf>
    <xf numFmtId="0" fontId="11" fillId="0" borderId="9" xfId="0" applyFont="1" applyBorder="1" applyAlignment="1">
      <alignment vertical="center" wrapText="1"/>
    </xf>
    <xf numFmtId="0" fontId="15" fillId="5" borderId="0" xfId="0" applyFont="1" applyFill="1">
      <alignment vertical="center"/>
    </xf>
    <xf numFmtId="176" fontId="11" fillId="0" borderId="0" xfId="0" applyNumberFormat="1"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 fontId="11" fillId="0" borderId="4" xfId="0" applyNumberFormat="1" applyFont="1" applyBorder="1" applyAlignment="1">
      <alignment horizontal="right" vertical="center" wrapText="1"/>
    </xf>
    <xf numFmtId="3" fontId="11" fillId="0" borderId="5" xfId="0" applyNumberFormat="1" applyFont="1" applyBorder="1" applyAlignment="1">
      <alignment horizontal="righ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xf>
    <xf numFmtId="0" fontId="11" fillId="0" borderId="5" xfId="0" applyFont="1" applyBorder="1" applyAlignment="1">
      <alignment horizontal="center" vertical="center"/>
    </xf>
    <xf numFmtId="180" fontId="11" fillId="0" borderId="0" xfId="0" applyNumberFormat="1" applyFont="1" applyAlignment="1">
      <alignment horizontal="center" vertical="center"/>
    </xf>
    <xf numFmtId="180" fontId="11" fillId="0" borderId="5"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176" fontId="11" fillId="0" borderId="5" xfId="0" applyNumberFormat="1" applyFont="1" applyBorder="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5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53"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11" fillId="0" borderId="4"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pplyProtection="1">
      <alignment horizontal="center" vertical="center"/>
      <protection locked="0"/>
    </xf>
    <xf numFmtId="176" fontId="2" fillId="6" borderId="1" xfId="0" applyNumberFormat="1" applyFont="1" applyFill="1" applyBorder="1" applyAlignment="1" applyProtection="1">
      <alignment horizontal="center" vertical="center"/>
      <protection locked="0"/>
    </xf>
    <xf numFmtId="176" fontId="2" fillId="6" borderId="26" xfId="0" applyNumberFormat="1" applyFont="1" applyFill="1" applyBorder="1" applyAlignment="1" applyProtection="1">
      <alignment horizontal="center" vertical="center"/>
      <protection locked="0"/>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55" xfId="0" applyFont="1" applyBorder="1" applyAlignment="1">
      <alignment horizontal="center" vertical="center"/>
    </xf>
    <xf numFmtId="176" fontId="2" fillId="6" borderId="53" xfId="0" applyNumberFormat="1" applyFont="1" applyFill="1" applyBorder="1" applyAlignment="1" applyProtection="1">
      <alignment horizontal="center" vertical="center"/>
      <protection locked="0"/>
    </xf>
    <xf numFmtId="0" fontId="2" fillId="6" borderId="2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26" xfId="0" applyFont="1" applyBorder="1" applyAlignment="1">
      <alignment horizontal="center" vertical="center"/>
    </xf>
    <xf numFmtId="0" fontId="2" fillId="6" borderId="52" xfId="0" applyFont="1" applyFill="1" applyBorder="1" applyAlignment="1" applyProtection="1">
      <alignment horizontal="center" vertical="center"/>
      <protection locked="0"/>
    </xf>
    <xf numFmtId="0" fontId="2" fillId="6" borderId="49" xfId="0" applyFont="1" applyFill="1" applyBorder="1" applyAlignment="1" applyProtection="1">
      <alignment horizontal="center" vertical="center"/>
      <protection locked="0"/>
    </xf>
    <xf numFmtId="0" fontId="2" fillId="6" borderId="51" xfId="0" applyFont="1" applyFill="1" applyBorder="1" applyAlignment="1" applyProtection="1">
      <alignment horizontal="center" vertical="center"/>
      <protection locked="0"/>
    </xf>
    <xf numFmtId="0" fontId="13" fillId="0" borderId="0" xfId="0" applyFont="1" applyAlignment="1">
      <alignment horizontal="center" vertical="center"/>
    </xf>
    <xf numFmtId="176" fontId="2" fillId="0" borderId="3" xfId="0" applyNumberFormat="1" applyFont="1" applyBorder="1" applyAlignment="1">
      <alignment horizontal="right" vertical="center"/>
    </xf>
    <xf numFmtId="176" fontId="2" fillId="0" borderId="52" xfId="0" applyNumberFormat="1" applyFont="1" applyBorder="1" applyAlignment="1">
      <alignment horizontal="right" vertical="center"/>
    </xf>
    <xf numFmtId="176" fontId="2" fillId="0" borderId="49" xfId="0" applyNumberFormat="1" applyFont="1" applyBorder="1" applyAlignment="1">
      <alignment horizontal="right" vertical="center"/>
    </xf>
    <xf numFmtId="176" fontId="2" fillId="0" borderId="51" xfId="0" applyNumberFormat="1" applyFont="1" applyBorder="1" applyAlignment="1">
      <alignment horizontal="right" vertical="center"/>
    </xf>
    <xf numFmtId="176" fontId="2" fillId="0" borderId="1" xfId="0" applyNumberFormat="1" applyFont="1" applyBorder="1" applyAlignment="1">
      <alignment horizontal="right" vertical="center"/>
    </xf>
    <xf numFmtId="176" fontId="2" fillId="2" borderId="18"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176" fontId="2" fillId="6" borderId="1" xfId="0" applyNumberFormat="1" applyFont="1" applyFill="1" applyBorder="1" applyAlignment="1">
      <alignment horizontal="right" vertical="center"/>
    </xf>
    <xf numFmtId="176" fontId="2" fillId="2" borderId="20" xfId="0" applyNumberFormat="1" applyFont="1" applyFill="1" applyBorder="1" applyAlignment="1">
      <alignment horizontal="right" vertical="center"/>
    </xf>
    <xf numFmtId="176" fontId="2" fillId="2" borderId="21" xfId="0" applyNumberFormat="1" applyFont="1" applyFill="1" applyBorder="1" applyAlignment="1">
      <alignment horizontal="right" vertical="center"/>
    </xf>
    <xf numFmtId="176" fontId="2" fillId="6" borderId="2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2" fillId="0" borderId="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2" fillId="2" borderId="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2" xfId="0" applyFont="1" applyFill="1" applyBorder="1" applyAlignment="1">
      <alignment horizontal="center"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4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5" xfId="0" applyFont="1" applyBorder="1" applyAlignment="1">
      <alignment horizontal="center"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3" fillId="5"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176" fontId="2" fillId="2" borderId="1" xfId="0" applyNumberFormat="1" applyFont="1" applyFill="1" applyBorder="1" applyAlignment="1">
      <alignment horizontal="center" vertical="center"/>
    </xf>
    <xf numFmtId="176" fontId="0" fillId="0" borderId="1" xfId="0" applyNumberFormat="1" applyBorder="1" applyAlignment="1">
      <alignment horizontal="right" vertical="center"/>
    </xf>
    <xf numFmtId="176" fontId="8" fillId="0" borderId="2"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0" fillId="0" borderId="2" xfId="0" applyNumberFormat="1" applyBorder="1" applyAlignment="1">
      <alignment horizontal="right" vertical="center"/>
    </xf>
    <xf numFmtId="176" fontId="0" fillId="0" borderId="2"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179" fontId="0" fillId="0" borderId="0" xfId="0" applyNumberFormat="1" applyAlignment="1">
      <alignment horizontal="center" vertical="center"/>
    </xf>
    <xf numFmtId="0" fontId="0" fillId="0" borderId="0" xfId="0"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176" fontId="4" fillId="0" borderId="1" xfId="0" applyNumberFormat="1" applyFont="1" applyBorder="1" applyAlignment="1">
      <alignment horizontal="right" vertical="center"/>
    </xf>
    <xf numFmtId="176" fontId="4" fillId="5" borderId="18" xfId="0" applyNumberFormat="1" applyFont="1" applyFill="1" applyBorder="1" applyAlignment="1">
      <alignment horizontal="right" vertical="center"/>
    </xf>
    <xf numFmtId="176" fontId="4" fillId="5" borderId="1" xfId="0" applyNumberFormat="1" applyFont="1" applyFill="1" applyBorder="1" applyAlignment="1">
      <alignment horizontal="right" vertical="center"/>
    </xf>
    <xf numFmtId="176" fontId="4" fillId="5" borderId="19" xfId="0" applyNumberFormat="1" applyFont="1" applyFill="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45" xfId="0" applyFont="1" applyFill="1" applyBorder="1" applyAlignment="1">
      <alignment horizontal="center" vertical="center"/>
    </xf>
    <xf numFmtId="176" fontId="4" fillId="5" borderId="46" xfId="0" applyNumberFormat="1" applyFont="1" applyFill="1" applyBorder="1" applyAlignment="1">
      <alignment horizontal="right" vertical="center"/>
    </xf>
    <xf numFmtId="176" fontId="4" fillId="5" borderId="10" xfId="0" applyNumberFormat="1" applyFont="1" applyFill="1" applyBorder="1" applyAlignment="1">
      <alignment horizontal="right" vertical="center"/>
    </xf>
    <xf numFmtId="176" fontId="4" fillId="5" borderId="47" xfId="0" applyNumberFormat="1" applyFont="1" applyFill="1" applyBorder="1" applyAlignment="1">
      <alignment horizontal="right" vertical="center"/>
    </xf>
    <xf numFmtId="176" fontId="4" fillId="5" borderId="20" xfId="0" applyNumberFormat="1" applyFont="1" applyFill="1" applyBorder="1" applyAlignment="1">
      <alignment horizontal="right" vertical="center"/>
    </xf>
    <xf numFmtId="176" fontId="4" fillId="5" borderId="21" xfId="0" applyNumberFormat="1" applyFont="1" applyFill="1" applyBorder="1" applyAlignment="1">
      <alignment horizontal="right" vertical="center"/>
    </xf>
    <xf numFmtId="176" fontId="4" fillId="5" borderId="22" xfId="0" applyNumberFormat="1" applyFont="1" applyFill="1" applyBorder="1" applyAlignment="1">
      <alignment horizontal="right" vertical="center"/>
    </xf>
    <xf numFmtId="176" fontId="4" fillId="5" borderId="48" xfId="0" applyNumberFormat="1" applyFont="1" applyFill="1" applyBorder="1" applyAlignment="1">
      <alignment horizontal="right" vertical="center"/>
    </xf>
    <xf numFmtId="176" fontId="4" fillId="5" borderId="49" xfId="0" applyNumberFormat="1" applyFont="1" applyFill="1" applyBorder="1" applyAlignment="1">
      <alignment horizontal="right" vertical="center"/>
    </xf>
    <xf numFmtId="176" fontId="4" fillId="5" borderId="50" xfId="0" applyNumberFormat="1" applyFont="1" applyFill="1" applyBorder="1" applyAlignment="1">
      <alignment horizontal="righ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xf>
    <xf numFmtId="176" fontId="14" fillId="0" borderId="1" xfId="0" applyNumberFormat="1" applyFont="1" applyBorder="1" applyAlignment="1">
      <alignment horizontal="right"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4" fillId="4" borderId="1" xfId="0" applyFont="1" applyFill="1" applyBorder="1" applyAlignment="1">
      <alignment horizontal="center" vertical="center"/>
    </xf>
    <xf numFmtId="176" fontId="4" fillId="0" borderId="14"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0" fontId="4" fillId="0" borderId="26" xfId="0" applyFont="1" applyBorder="1" applyAlignment="1">
      <alignment horizontal="center" vertical="center"/>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0" fontId="4" fillId="0" borderId="1" xfId="0" applyFont="1" applyBorder="1" applyAlignment="1">
      <alignment horizontal="left" vertical="center"/>
    </xf>
    <xf numFmtId="176" fontId="4" fillId="4" borderId="1" xfId="0" applyNumberFormat="1" applyFont="1" applyFill="1" applyBorder="1" applyAlignment="1">
      <alignment horizontal="right" vertical="center"/>
    </xf>
    <xf numFmtId="176" fontId="4" fillId="0" borderId="11" xfId="0" applyNumberFormat="1" applyFont="1" applyBorder="1" applyAlignment="1">
      <alignment horizontal="right" vertical="center"/>
    </xf>
    <xf numFmtId="177" fontId="4" fillId="4" borderId="1" xfId="0" applyNumberFormat="1" applyFont="1" applyFill="1" applyBorder="1" applyAlignment="1">
      <alignment horizontal="right" vertical="center"/>
    </xf>
    <xf numFmtId="0" fontId="4" fillId="0" borderId="10" xfId="0" applyFont="1" applyBorder="1" applyAlignment="1">
      <alignment horizontal="center" vertical="center"/>
    </xf>
    <xf numFmtId="176"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6" fontId="4" fillId="0" borderId="1"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3" xfId="0" applyNumberFormat="1" applyFont="1" applyBorder="1" applyAlignment="1">
      <alignment horizontal="right" vertical="center"/>
    </xf>
  </cellXfs>
  <cellStyles count="1">
    <cellStyle name="標準" xfId="0" builtinId="0"/>
  </cellStyles>
  <dxfs count="24">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55514</xdr:colOff>
      <xdr:row>30</xdr:row>
      <xdr:rowOff>103899</xdr:rowOff>
    </xdr:to>
    <xdr:pic>
      <xdr:nvPicPr>
        <xdr:cNvPr id="2" name="図 1">
          <a:extLst>
            <a:ext uri="{FF2B5EF4-FFF2-40B4-BE49-F238E27FC236}">
              <a16:creationId xmlns:a16="http://schemas.microsoft.com/office/drawing/2014/main" id="{9AB4B15D-76AE-4AEB-B2DC-C10D28D35E75}"/>
            </a:ext>
          </a:extLst>
        </xdr:cNvPr>
        <xdr:cNvPicPr>
          <a:picLocks noChangeAspect="1"/>
        </xdr:cNvPicPr>
      </xdr:nvPicPr>
      <xdr:blipFill>
        <a:blip xmlns:r="http://schemas.openxmlformats.org/officeDocument/2006/relationships" r:embed="rId1"/>
        <a:stretch>
          <a:fillRect/>
        </a:stretch>
      </xdr:blipFill>
      <xdr:spPr>
        <a:xfrm>
          <a:off x="0" y="0"/>
          <a:ext cx="13085714" cy="7009524"/>
        </a:xfrm>
        <a:prstGeom prst="rect">
          <a:avLst/>
        </a:prstGeom>
      </xdr:spPr>
    </xdr:pic>
    <xdr:clientData/>
  </xdr:twoCellAnchor>
  <xdr:twoCellAnchor>
    <xdr:from>
      <xdr:col>2</xdr:col>
      <xdr:colOff>675409</xdr:colOff>
      <xdr:row>8</xdr:row>
      <xdr:rowOff>155863</xdr:rowOff>
    </xdr:from>
    <xdr:to>
      <xdr:col>5</xdr:col>
      <xdr:colOff>675409</xdr:colOff>
      <xdr:row>12</xdr:row>
      <xdr:rowOff>17317</xdr:rowOff>
    </xdr:to>
    <xdr:sp macro="" textlink="">
      <xdr:nvSpPr>
        <xdr:cNvPr id="3" name="正方形/長方形 2">
          <a:extLst>
            <a:ext uri="{FF2B5EF4-FFF2-40B4-BE49-F238E27FC236}">
              <a16:creationId xmlns:a16="http://schemas.microsoft.com/office/drawing/2014/main" id="{00845710-CB64-481E-9B04-07C9D4A7E725}"/>
            </a:ext>
          </a:extLst>
        </xdr:cNvPr>
        <xdr:cNvSpPr/>
      </xdr:nvSpPr>
      <xdr:spPr>
        <a:xfrm>
          <a:off x="2060864" y="1853045"/>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31</xdr:row>
      <xdr:rowOff>0</xdr:rowOff>
    </xdr:from>
    <xdr:to>
      <xdr:col>18</xdr:col>
      <xdr:colOff>616623</xdr:colOff>
      <xdr:row>59</xdr:row>
      <xdr:rowOff>220797</xdr:rowOff>
    </xdr:to>
    <xdr:pic>
      <xdr:nvPicPr>
        <xdr:cNvPr id="4" name="図 3">
          <a:extLst>
            <a:ext uri="{FF2B5EF4-FFF2-40B4-BE49-F238E27FC236}">
              <a16:creationId xmlns:a16="http://schemas.microsoft.com/office/drawing/2014/main" id="{F701CB53-12F6-430A-9BB3-00CF1A432E94}"/>
            </a:ext>
          </a:extLst>
        </xdr:cNvPr>
        <xdr:cNvPicPr>
          <a:picLocks noChangeAspect="1"/>
        </xdr:cNvPicPr>
      </xdr:nvPicPr>
      <xdr:blipFill>
        <a:blip xmlns:r="http://schemas.openxmlformats.org/officeDocument/2006/relationships" r:embed="rId2"/>
        <a:stretch>
          <a:fillRect/>
        </a:stretch>
      </xdr:blipFill>
      <xdr:spPr>
        <a:xfrm>
          <a:off x="0" y="7273636"/>
          <a:ext cx="13085714" cy="7009524"/>
        </a:xfrm>
        <a:prstGeom prst="rect">
          <a:avLst/>
        </a:prstGeom>
      </xdr:spPr>
    </xdr:pic>
    <xdr:clientData/>
  </xdr:twoCellAnchor>
  <xdr:twoCellAnchor>
    <xdr:from>
      <xdr:col>3</xdr:col>
      <xdr:colOff>138546</xdr:colOff>
      <xdr:row>43</xdr:row>
      <xdr:rowOff>17318</xdr:rowOff>
    </xdr:from>
    <xdr:to>
      <xdr:col>6</xdr:col>
      <xdr:colOff>138545</xdr:colOff>
      <xdr:row>46</xdr:row>
      <xdr:rowOff>121226</xdr:rowOff>
    </xdr:to>
    <xdr:sp macro="" textlink="">
      <xdr:nvSpPr>
        <xdr:cNvPr id="5" name="正方形/長方形 4">
          <a:extLst>
            <a:ext uri="{FF2B5EF4-FFF2-40B4-BE49-F238E27FC236}">
              <a16:creationId xmlns:a16="http://schemas.microsoft.com/office/drawing/2014/main" id="{625AE55C-0A3D-4FF6-88CD-A1C3CA919994}"/>
            </a:ext>
          </a:extLst>
        </xdr:cNvPr>
        <xdr:cNvSpPr/>
      </xdr:nvSpPr>
      <xdr:spPr>
        <a:xfrm>
          <a:off x="2216728" y="10200409"/>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294409</xdr:colOff>
      <xdr:row>43</xdr:row>
      <xdr:rowOff>190500</xdr:rowOff>
    </xdr:from>
    <xdr:to>
      <xdr:col>15</xdr:col>
      <xdr:colOff>284883</xdr:colOff>
      <xdr:row>47</xdr:row>
      <xdr:rowOff>51954</xdr:rowOff>
    </xdr:to>
    <xdr:sp macro="" textlink="">
      <xdr:nvSpPr>
        <xdr:cNvPr id="6" name="正方形/長方形 5">
          <a:extLst>
            <a:ext uri="{FF2B5EF4-FFF2-40B4-BE49-F238E27FC236}">
              <a16:creationId xmlns:a16="http://schemas.microsoft.com/office/drawing/2014/main" id="{83CB5CB9-A8F4-4BF2-B3D5-AE987913F946}"/>
            </a:ext>
          </a:extLst>
        </xdr:cNvPr>
        <xdr:cNvSpPr/>
      </xdr:nvSpPr>
      <xdr:spPr>
        <a:xfrm>
          <a:off x="8607136" y="10373591"/>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60</xdr:row>
      <xdr:rowOff>0</xdr:rowOff>
    </xdr:from>
    <xdr:to>
      <xdr:col>18</xdr:col>
      <xdr:colOff>616623</xdr:colOff>
      <xdr:row>88</xdr:row>
      <xdr:rowOff>220797</xdr:rowOff>
    </xdr:to>
    <xdr:pic>
      <xdr:nvPicPr>
        <xdr:cNvPr id="7" name="図 6">
          <a:extLst>
            <a:ext uri="{FF2B5EF4-FFF2-40B4-BE49-F238E27FC236}">
              <a16:creationId xmlns:a16="http://schemas.microsoft.com/office/drawing/2014/main" id="{4AF8329C-9F9A-4E26-A687-A87392AC6012}"/>
            </a:ext>
          </a:extLst>
        </xdr:cNvPr>
        <xdr:cNvPicPr>
          <a:picLocks noChangeAspect="1"/>
        </xdr:cNvPicPr>
      </xdr:nvPicPr>
      <xdr:blipFill>
        <a:blip xmlns:r="http://schemas.openxmlformats.org/officeDocument/2006/relationships" r:embed="rId3"/>
        <a:stretch>
          <a:fillRect/>
        </a:stretch>
      </xdr:blipFill>
      <xdr:spPr>
        <a:xfrm>
          <a:off x="0" y="14304818"/>
          <a:ext cx="13085714" cy="7009524"/>
        </a:xfrm>
        <a:prstGeom prst="rect">
          <a:avLst/>
        </a:prstGeom>
      </xdr:spPr>
    </xdr:pic>
    <xdr:clientData/>
  </xdr:twoCellAnchor>
  <xdr:twoCellAnchor>
    <xdr:from>
      <xdr:col>8</xdr:col>
      <xdr:colOff>346364</xdr:colOff>
      <xdr:row>74</xdr:row>
      <xdr:rowOff>86590</xdr:rowOff>
    </xdr:from>
    <xdr:to>
      <xdr:col>11</xdr:col>
      <xdr:colOff>336838</xdr:colOff>
      <xdr:row>77</xdr:row>
      <xdr:rowOff>190499</xdr:rowOff>
    </xdr:to>
    <xdr:sp macro="" textlink="">
      <xdr:nvSpPr>
        <xdr:cNvPr id="8" name="正方形/長方形 7">
          <a:extLst>
            <a:ext uri="{FF2B5EF4-FFF2-40B4-BE49-F238E27FC236}">
              <a16:creationId xmlns:a16="http://schemas.microsoft.com/office/drawing/2014/main" id="{68EDC3D7-C8D6-4C77-9220-0232A8940AC8}"/>
            </a:ext>
          </a:extLst>
        </xdr:cNvPr>
        <xdr:cNvSpPr/>
      </xdr:nvSpPr>
      <xdr:spPr>
        <a:xfrm>
          <a:off x="5888182" y="17785772"/>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259773</xdr:colOff>
      <xdr:row>79</xdr:row>
      <xdr:rowOff>51954</xdr:rowOff>
    </xdr:from>
    <xdr:to>
      <xdr:col>19</xdr:col>
      <xdr:colOff>250247</xdr:colOff>
      <xdr:row>82</xdr:row>
      <xdr:rowOff>155863</xdr:rowOff>
    </xdr:to>
    <xdr:sp macro="" textlink="">
      <xdr:nvSpPr>
        <xdr:cNvPr id="9" name="正方形/長方形 8">
          <a:extLst>
            <a:ext uri="{FF2B5EF4-FFF2-40B4-BE49-F238E27FC236}">
              <a16:creationId xmlns:a16="http://schemas.microsoft.com/office/drawing/2014/main" id="{061EC260-2A7A-4DD2-898E-1132328D932C}"/>
            </a:ext>
          </a:extLst>
        </xdr:cNvPr>
        <xdr:cNvSpPr/>
      </xdr:nvSpPr>
      <xdr:spPr>
        <a:xfrm>
          <a:off x="11343409" y="18963409"/>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twoCellAnchor editAs="oneCell">
    <xdr:from>
      <xdr:col>0</xdr:col>
      <xdr:colOff>0</xdr:colOff>
      <xdr:row>90</xdr:row>
      <xdr:rowOff>0</xdr:rowOff>
    </xdr:from>
    <xdr:to>
      <xdr:col>18</xdr:col>
      <xdr:colOff>616623</xdr:colOff>
      <xdr:row>118</xdr:row>
      <xdr:rowOff>220797</xdr:rowOff>
    </xdr:to>
    <xdr:pic>
      <xdr:nvPicPr>
        <xdr:cNvPr id="10" name="図 9">
          <a:extLst>
            <a:ext uri="{FF2B5EF4-FFF2-40B4-BE49-F238E27FC236}">
              <a16:creationId xmlns:a16="http://schemas.microsoft.com/office/drawing/2014/main" id="{944218F0-3FA9-46A8-AC5F-3DA96C357CE4}"/>
            </a:ext>
          </a:extLst>
        </xdr:cNvPr>
        <xdr:cNvPicPr>
          <a:picLocks noChangeAspect="1"/>
        </xdr:cNvPicPr>
      </xdr:nvPicPr>
      <xdr:blipFill>
        <a:blip xmlns:r="http://schemas.openxmlformats.org/officeDocument/2006/relationships" r:embed="rId4"/>
        <a:stretch>
          <a:fillRect/>
        </a:stretch>
      </xdr:blipFill>
      <xdr:spPr>
        <a:xfrm>
          <a:off x="0" y="21578455"/>
          <a:ext cx="13085714" cy="7009524"/>
        </a:xfrm>
        <a:prstGeom prst="rect">
          <a:avLst/>
        </a:prstGeom>
      </xdr:spPr>
    </xdr:pic>
    <xdr:clientData/>
  </xdr:twoCellAnchor>
  <xdr:twoCellAnchor>
    <xdr:from>
      <xdr:col>2</xdr:col>
      <xdr:colOff>225136</xdr:colOff>
      <xdr:row>100</xdr:row>
      <xdr:rowOff>225136</xdr:rowOff>
    </xdr:from>
    <xdr:to>
      <xdr:col>7</xdr:col>
      <xdr:colOff>155864</xdr:colOff>
      <xdr:row>104</xdr:row>
      <xdr:rowOff>138546</xdr:rowOff>
    </xdr:to>
    <xdr:sp macro="" textlink="">
      <xdr:nvSpPr>
        <xdr:cNvPr id="11" name="正方形/長方形 10">
          <a:extLst>
            <a:ext uri="{FF2B5EF4-FFF2-40B4-BE49-F238E27FC236}">
              <a16:creationId xmlns:a16="http://schemas.microsoft.com/office/drawing/2014/main" id="{481A7C12-9563-43EC-8806-7CEF7DF35B1C}"/>
            </a:ext>
          </a:extLst>
        </xdr:cNvPr>
        <xdr:cNvSpPr/>
      </xdr:nvSpPr>
      <xdr:spPr>
        <a:xfrm>
          <a:off x="1610591" y="24228136"/>
          <a:ext cx="3394364" cy="88322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84666</xdr:colOff>
      <xdr:row>10</xdr:row>
      <xdr:rowOff>158750</xdr:rowOff>
    </xdr:from>
    <xdr:to>
      <xdr:col>33</xdr:col>
      <xdr:colOff>95250</xdr:colOff>
      <xdr:row>13</xdr:row>
      <xdr:rowOff>148166</xdr:rowOff>
    </xdr:to>
    <xdr:sp macro="" textlink="">
      <xdr:nvSpPr>
        <xdr:cNvPr id="2" name="矢印: 左カーブ 1">
          <a:extLst>
            <a:ext uri="{FF2B5EF4-FFF2-40B4-BE49-F238E27FC236}">
              <a16:creationId xmlns:a16="http://schemas.microsoft.com/office/drawing/2014/main" id="{E194EC77-F911-4B80-9AE5-63B156B44335}"/>
            </a:ext>
          </a:extLst>
        </xdr:cNvPr>
        <xdr:cNvSpPr/>
      </xdr:nvSpPr>
      <xdr:spPr>
        <a:xfrm flipV="1">
          <a:off x="6971241" y="2540000"/>
          <a:ext cx="248709" cy="70379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85723</xdr:colOff>
      <xdr:row>17</xdr:row>
      <xdr:rowOff>219076</xdr:rowOff>
    </xdr:from>
    <xdr:to>
      <xdr:col>15</xdr:col>
      <xdr:colOff>47623</xdr:colOff>
      <xdr:row>18</xdr:row>
      <xdr:rowOff>190503</xdr:rowOff>
    </xdr:to>
    <xdr:sp macro="" textlink="">
      <xdr:nvSpPr>
        <xdr:cNvPr id="2" name="右中かっこ 1">
          <a:extLst>
            <a:ext uri="{FF2B5EF4-FFF2-40B4-BE49-F238E27FC236}">
              <a16:creationId xmlns:a16="http://schemas.microsoft.com/office/drawing/2014/main" id="{94751207-BD0C-451A-BD9D-D7CC353A91B9}"/>
            </a:ext>
          </a:extLst>
        </xdr:cNvPr>
        <xdr:cNvSpPr/>
      </xdr:nvSpPr>
      <xdr:spPr>
        <a:xfrm rot="5400000">
          <a:off x="2147885" y="2719389"/>
          <a:ext cx="209552" cy="330517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25</xdr:row>
      <xdr:rowOff>131475</xdr:rowOff>
    </xdr:from>
    <xdr:to>
      <xdr:col>36</xdr:col>
      <xdr:colOff>133210</xdr:colOff>
      <xdr:row>26</xdr:row>
      <xdr:rowOff>184300</xdr:rowOff>
    </xdr:to>
    <xdr:sp macro="" textlink="">
      <xdr:nvSpPr>
        <xdr:cNvPr id="3" name="上矢印 3">
          <a:extLst>
            <a:ext uri="{FF2B5EF4-FFF2-40B4-BE49-F238E27FC236}">
              <a16:creationId xmlns:a16="http://schemas.microsoft.com/office/drawing/2014/main" id="{F5F8C5E2-5F4F-4837-8BD5-BC973EF5D2FF}"/>
            </a:ext>
          </a:extLst>
        </xdr:cNvPr>
        <xdr:cNvSpPr/>
      </xdr:nvSpPr>
      <xdr:spPr>
        <a:xfrm rot="18900000">
          <a:off x="9230303" y="6084600"/>
          <a:ext cx="161207" cy="29095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17</xdr:row>
      <xdr:rowOff>228603</xdr:rowOff>
    </xdr:from>
    <xdr:to>
      <xdr:col>14</xdr:col>
      <xdr:colOff>171449</xdr:colOff>
      <xdr:row>19</xdr:row>
      <xdr:rowOff>3</xdr:rowOff>
    </xdr:to>
    <xdr:sp macro="" textlink="">
      <xdr:nvSpPr>
        <xdr:cNvPr id="4" name="右中かっこ 3">
          <a:extLst>
            <a:ext uri="{FF2B5EF4-FFF2-40B4-BE49-F238E27FC236}">
              <a16:creationId xmlns:a16="http://schemas.microsoft.com/office/drawing/2014/main" id="{DFC35EC6-14BA-416A-9AA7-97BA0A54B34A}"/>
            </a:ext>
          </a:extLst>
        </xdr:cNvPr>
        <xdr:cNvSpPr/>
      </xdr:nvSpPr>
      <xdr:spPr>
        <a:xfrm rot="5400000">
          <a:off x="2038349" y="2790827"/>
          <a:ext cx="247650" cy="3219451"/>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25</xdr:row>
      <xdr:rowOff>131475</xdr:rowOff>
    </xdr:from>
    <xdr:to>
      <xdr:col>36</xdr:col>
      <xdr:colOff>133210</xdr:colOff>
      <xdr:row>26</xdr:row>
      <xdr:rowOff>184300</xdr:rowOff>
    </xdr:to>
    <xdr:sp macro="" textlink="">
      <xdr:nvSpPr>
        <xdr:cNvPr id="5" name="上矢印 3">
          <a:extLst>
            <a:ext uri="{FF2B5EF4-FFF2-40B4-BE49-F238E27FC236}">
              <a16:creationId xmlns:a16="http://schemas.microsoft.com/office/drawing/2014/main" id="{2FB13A46-E240-4961-AA1C-E4DA87196ECF}"/>
            </a:ext>
          </a:extLst>
        </xdr:cNvPr>
        <xdr:cNvSpPr/>
      </xdr:nvSpPr>
      <xdr:spPr>
        <a:xfrm rot="18900000">
          <a:off x="9230303" y="6084600"/>
          <a:ext cx="161207" cy="29095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2399</xdr:colOff>
      <xdr:row>5</xdr:row>
      <xdr:rowOff>156883</xdr:rowOff>
    </xdr:from>
    <xdr:to>
      <xdr:col>86</xdr:col>
      <xdr:colOff>40498</xdr:colOff>
      <xdr:row>7</xdr:row>
      <xdr:rowOff>448236</xdr:rowOff>
    </xdr:to>
    <xdr:sp macro="" textlink="">
      <xdr:nvSpPr>
        <xdr:cNvPr id="3" name="テキスト ボックス 2">
          <a:extLst>
            <a:ext uri="{FF2B5EF4-FFF2-40B4-BE49-F238E27FC236}">
              <a16:creationId xmlns:a16="http://schemas.microsoft.com/office/drawing/2014/main" id="{8BB277BA-B038-46F1-803F-57919998D7D6}"/>
            </a:ext>
          </a:extLst>
        </xdr:cNvPr>
        <xdr:cNvSpPr txBox="1"/>
      </xdr:nvSpPr>
      <xdr:spPr>
        <a:xfrm>
          <a:off x="14267487" y="1636059"/>
          <a:ext cx="4509246" cy="1255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入力をする部分は原則、黄色セル部分。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→所得部分に直接入力をしてもいいが数式が壊れるので保存しないようにする。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年金の年齢区分については、市税で発送する申告書のチラシに書いてあるのでそれを参照する。</a:t>
          </a:r>
        </a:p>
      </xdr:txBody>
    </xdr:sp>
    <xdr:clientData/>
  </xdr:twoCellAnchor>
  <xdr:twoCellAnchor>
    <xdr:from>
      <xdr:col>67</xdr:col>
      <xdr:colOff>4079</xdr:colOff>
      <xdr:row>8</xdr:row>
      <xdr:rowOff>84043</xdr:rowOff>
    </xdr:from>
    <xdr:to>
      <xdr:col>86</xdr:col>
      <xdr:colOff>51703</xdr:colOff>
      <xdr:row>14</xdr:row>
      <xdr:rowOff>216833</xdr:rowOff>
    </xdr:to>
    <xdr:sp macro="" textlink="">
      <xdr:nvSpPr>
        <xdr:cNvPr id="4" name="テキスト ボックス 3">
          <a:extLst>
            <a:ext uri="{FF2B5EF4-FFF2-40B4-BE49-F238E27FC236}">
              <a16:creationId xmlns:a16="http://schemas.microsoft.com/office/drawing/2014/main" id="{5ED14137-F95B-492A-AA4B-A4DE42CD0816}"/>
            </a:ext>
          </a:extLst>
        </xdr:cNvPr>
        <xdr:cNvSpPr txBox="1"/>
      </xdr:nvSpPr>
      <xdr:spPr>
        <a:xfrm>
          <a:off x="14269167" y="3008778"/>
          <a:ext cx="4518771" cy="2037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もし、年金と給与の所得があり確定申告をしていない場合には、所得額調整控除の適用がされない可能性がある。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千葉市では、給与と年金の所得があり、確定申告がなくとも適用をさせるとのことだった。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67</xdr:col>
      <xdr:colOff>15286</xdr:colOff>
      <xdr:row>15</xdr:row>
      <xdr:rowOff>78441</xdr:rowOff>
    </xdr:from>
    <xdr:to>
      <xdr:col>86</xdr:col>
      <xdr:colOff>62910</xdr:colOff>
      <xdr:row>25</xdr:row>
      <xdr:rowOff>89647</xdr:rowOff>
    </xdr:to>
    <xdr:sp macro="" textlink="">
      <xdr:nvSpPr>
        <xdr:cNvPr id="5" name="テキスト ボックス 4">
          <a:extLst>
            <a:ext uri="{FF2B5EF4-FFF2-40B4-BE49-F238E27FC236}">
              <a16:creationId xmlns:a16="http://schemas.microsoft.com/office/drawing/2014/main" id="{51F0A09F-5338-4DFA-9EC3-2B56E87CAD64}"/>
            </a:ext>
          </a:extLst>
        </xdr:cNvPr>
        <xdr:cNvSpPr txBox="1"/>
      </xdr:nvSpPr>
      <xdr:spPr>
        <a:xfrm>
          <a:off x="14280374" y="5143500"/>
          <a:ext cx="4518771" cy="2364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給与所得金額を直接入力する際の注意点</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給与所得を収入から入力するのではなく所得金額を直接入力する場合には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特別調整控除前後を入力を確認すること。</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ツール的には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①収入で入力することを想定</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②所得をベタ打ちするのであれば控除前の所得金額を入力</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a:t>
          </a:r>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この方法であれば、ある程度①と同様の結果が得られると思う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③所得調整控除後をベタ打ちする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控除前を算出して入力しないと、多分軽減の判定で差異が出ると思う。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66</xdr:col>
      <xdr:colOff>224118</xdr:colOff>
      <xdr:row>0</xdr:row>
      <xdr:rowOff>78439</xdr:rowOff>
    </xdr:from>
    <xdr:to>
      <xdr:col>86</xdr:col>
      <xdr:colOff>26894</xdr:colOff>
      <xdr:row>5</xdr:row>
      <xdr:rowOff>134470</xdr:rowOff>
    </xdr:to>
    <xdr:sp macro="" textlink="">
      <xdr:nvSpPr>
        <xdr:cNvPr id="6" name="テキスト ボックス 5">
          <a:extLst>
            <a:ext uri="{FF2B5EF4-FFF2-40B4-BE49-F238E27FC236}">
              <a16:creationId xmlns:a16="http://schemas.microsoft.com/office/drawing/2014/main" id="{878081F1-CB29-4007-94D9-CCE8DB1E33F8}"/>
            </a:ext>
          </a:extLst>
        </xdr:cNvPr>
        <xdr:cNvSpPr txBox="1"/>
      </xdr:nvSpPr>
      <xdr:spPr>
        <a:xfrm>
          <a:off x="14253883" y="78439"/>
          <a:ext cx="4509246" cy="153520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rPr>
            <a:t>R</a:t>
          </a:r>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４年度の変更点</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・未就学児の均等割軽減が導入されました。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→年齢区分に未就学児を設けました。年齢を聞き取りし小学校入学前の子どもの場合、未就学児を選んでください。</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・賦課限度額が変更されました。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・独自減免の経過措置が終了しました。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666750</xdr:colOff>
      <xdr:row>1</xdr:row>
      <xdr:rowOff>28575</xdr:rowOff>
    </xdr:from>
    <xdr:to>
      <xdr:col>13</xdr:col>
      <xdr:colOff>428625</xdr:colOff>
      <xdr:row>12</xdr:row>
      <xdr:rowOff>66675</xdr:rowOff>
    </xdr:to>
    <xdr:sp macro="" textlink="">
      <xdr:nvSpPr>
        <xdr:cNvPr id="2" name="テキスト ボックス 1">
          <a:extLst>
            <a:ext uri="{FF2B5EF4-FFF2-40B4-BE49-F238E27FC236}">
              <a16:creationId xmlns:a16="http://schemas.microsoft.com/office/drawing/2014/main" id="{F0231C77-5441-450A-8BBA-C0C2E8B42263}"/>
            </a:ext>
          </a:extLst>
        </xdr:cNvPr>
        <xdr:cNvSpPr txBox="1"/>
      </xdr:nvSpPr>
      <xdr:spPr>
        <a:xfrm>
          <a:off x="7219950" y="247650"/>
          <a:ext cx="4562475"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「試算」シートのリストに表示させる項目を設定する。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（メモ）令和４年度からは、未就学児の減免に対応する必要がある場合には、区分（世帯員）に未就学を追加する必要があるかも・・・・</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そもそも計算ツールは作成し直しだと思う。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22412</xdr:colOff>
      <xdr:row>8</xdr:row>
      <xdr:rowOff>156882</xdr:rowOff>
    </xdr:from>
    <xdr:to>
      <xdr:col>28</xdr:col>
      <xdr:colOff>1223122</xdr:colOff>
      <xdr:row>10</xdr:row>
      <xdr:rowOff>0</xdr:rowOff>
    </xdr:to>
    <xdr:sp macro="" textlink="">
      <xdr:nvSpPr>
        <xdr:cNvPr id="2" name="テキスト ボックス 1">
          <a:extLst>
            <a:ext uri="{FF2B5EF4-FFF2-40B4-BE49-F238E27FC236}">
              <a16:creationId xmlns:a16="http://schemas.microsoft.com/office/drawing/2014/main" id="{484B84EE-DE25-4781-8792-DC8731F2A891}"/>
            </a:ext>
          </a:extLst>
        </xdr:cNvPr>
        <xdr:cNvSpPr txBox="1"/>
      </xdr:nvSpPr>
      <xdr:spPr>
        <a:xfrm>
          <a:off x="12281647" y="2050676"/>
          <a:ext cx="4562475"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↑「試算」シートの給与所得部分に転記する！！</a:t>
          </a:r>
        </a:p>
      </xdr:txBody>
    </xdr:sp>
    <xdr:clientData/>
  </xdr:twoCellAnchor>
  <xdr:twoCellAnchor>
    <xdr:from>
      <xdr:col>26</xdr:col>
      <xdr:colOff>0</xdr:colOff>
      <xdr:row>11</xdr:row>
      <xdr:rowOff>0</xdr:rowOff>
    </xdr:from>
    <xdr:to>
      <xdr:col>28</xdr:col>
      <xdr:colOff>1200710</xdr:colOff>
      <xdr:row>14</xdr:row>
      <xdr:rowOff>78441</xdr:rowOff>
    </xdr:to>
    <xdr:sp macro="" textlink="">
      <xdr:nvSpPr>
        <xdr:cNvPr id="3" name="テキスト ボックス 2">
          <a:extLst>
            <a:ext uri="{FF2B5EF4-FFF2-40B4-BE49-F238E27FC236}">
              <a16:creationId xmlns:a16="http://schemas.microsoft.com/office/drawing/2014/main" id="{5FD49BED-78B2-4669-B0BA-5913F72F3DC7}"/>
            </a:ext>
          </a:extLst>
        </xdr:cNvPr>
        <xdr:cNvSpPr txBox="1"/>
      </xdr:nvSpPr>
      <xdr:spPr>
        <a:xfrm>
          <a:off x="12259235" y="2599765"/>
          <a:ext cx="4562475" cy="806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非自発の適用については、上記で算出した給与所得（調整控除適用前）で算出する。（富士通様提供の改造詳細仕様書のＦＡＱより）</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3" name="テキスト ボックス 2">
          <a:extLst>
            <a:ext uri="{FF2B5EF4-FFF2-40B4-BE49-F238E27FC236}">
              <a16:creationId xmlns:a16="http://schemas.microsoft.com/office/drawing/2014/main" id="{82272B4E-8E8C-456F-B207-842C3E3B48CF}"/>
            </a:ext>
          </a:extLst>
        </xdr:cNvPr>
        <xdr:cNvSpPr txBox="1"/>
      </xdr:nvSpPr>
      <xdr:spPr>
        <a:xfrm>
          <a:off x="10230969" y="2689412"/>
          <a:ext cx="456247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2" name="テキスト ボックス 1">
          <a:extLst>
            <a:ext uri="{FF2B5EF4-FFF2-40B4-BE49-F238E27FC236}">
              <a16:creationId xmlns:a16="http://schemas.microsoft.com/office/drawing/2014/main" id="{744409EE-4943-4878-A391-05EDDBCD6BB3}"/>
            </a:ext>
          </a:extLst>
        </xdr:cNvPr>
        <xdr:cNvSpPr txBox="1"/>
      </xdr:nvSpPr>
      <xdr:spPr>
        <a:xfrm>
          <a:off x="10293162" y="2726391"/>
          <a:ext cx="5435414" cy="5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3</xdr:col>
      <xdr:colOff>295925</xdr:colOff>
      <xdr:row>15</xdr:row>
      <xdr:rowOff>137160</xdr:rowOff>
    </xdr:to>
    <xdr:pic>
      <xdr:nvPicPr>
        <xdr:cNvPr id="2" name="図 1">
          <a:extLst>
            <a:ext uri="{FF2B5EF4-FFF2-40B4-BE49-F238E27FC236}">
              <a16:creationId xmlns:a16="http://schemas.microsoft.com/office/drawing/2014/main" id="{BB9579E9-7929-4936-A884-11FFBF331903}"/>
            </a:ext>
          </a:extLst>
        </xdr:cNvPr>
        <xdr:cNvPicPr>
          <a:picLocks noChangeAspect="1"/>
        </xdr:cNvPicPr>
      </xdr:nvPicPr>
      <xdr:blipFill>
        <a:blip xmlns:r="http://schemas.openxmlformats.org/officeDocument/2006/relationships" r:embed="rId1"/>
        <a:stretch>
          <a:fillRect/>
        </a:stretch>
      </xdr:blipFill>
      <xdr:spPr>
        <a:xfrm>
          <a:off x="0" y="2310765"/>
          <a:ext cx="4654565" cy="1270635"/>
        </a:xfrm>
        <a:prstGeom prst="rect">
          <a:avLst/>
        </a:prstGeom>
        <a:ln>
          <a:solidFill>
            <a:schemeClr val="tx1"/>
          </a:solidFill>
        </a:ln>
      </xdr:spPr>
    </xdr:pic>
    <xdr:clientData/>
  </xdr:twoCellAnchor>
  <xdr:twoCellAnchor>
    <xdr:from>
      <xdr:col>8</xdr:col>
      <xdr:colOff>0</xdr:colOff>
      <xdr:row>9</xdr:row>
      <xdr:rowOff>0</xdr:rowOff>
    </xdr:from>
    <xdr:to>
      <xdr:col>14</xdr:col>
      <xdr:colOff>514350</xdr:colOff>
      <xdr:row>15</xdr:row>
      <xdr:rowOff>81242</xdr:rowOff>
    </xdr:to>
    <xdr:sp macro="" textlink="">
      <xdr:nvSpPr>
        <xdr:cNvPr id="3" name="テキスト ボックス 2">
          <a:extLst>
            <a:ext uri="{FF2B5EF4-FFF2-40B4-BE49-F238E27FC236}">
              <a16:creationId xmlns:a16="http://schemas.microsoft.com/office/drawing/2014/main" id="{83C9340C-C8B3-4F93-8DD4-46C0F657645F}"/>
            </a:ext>
          </a:extLst>
        </xdr:cNvPr>
        <xdr:cNvSpPr txBox="1"/>
      </xdr:nvSpPr>
      <xdr:spPr>
        <a:xfrm>
          <a:off x="8763000" y="2162175"/>
          <a:ext cx="4562475" cy="1509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もし、年金と給与の所得があり確定申告をしていない場合には、所得額調整控除の適用がされない可能性が高い。</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18</xdr:row>
      <xdr:rowOff>0</xdr:rowOff>
    </xdr:from>
    <xdr:to>
      <xdr:col>37</xdr:col>
      <xdr:colOff>53789</xdr:colOff>
      <xdr:row>23</xdr:row>
      <xdr:rowOff>152400</xdr:rowOff>
    </xdr:to>
    <xdr:sp macro="" textlink="">
      <xdr:nvSpPr>
        <xdr:cNvPr id="2" name="テキスト ボックス 1">
          <a:extLst>
            <a:ext uri="{FF2B5EF4-FFF2-40B4-BE49-F238E27FC236}">
              <a16:creationId xmlns:a16="http://schemas.microsoft.com/office/drawing/2014/main" id="{058FFDBE-669B-43D6-B325-6ECC2BE892AC}"/>
            </a:ext>
          </a:extLst>
        </xdr:cNvPr>
        <xdr:cNvSpPr txBox="1"/>
      </xdr:nvSpPr>
      <xdr:spPr>
        <a:xfrm>
          <a:off x="5314950" y="4819650"/>
          <a:ext cx="5435414"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軽減判定に用いる給与所得者等の人数については、少々条件が異なるが、試算であることを踏まえ、給与については、非自発・調整控除適用前の金額が１円以上、年金は所得額は１円以上となる場合には、有所得者数と判定をする。微妙に判定基準が異な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これは、試算をする際に、所得を直接入力することが多いことから、所得金額にて算出することとした。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354C-65E6-4FAE-A679-77E824C79717}">
  <sheetPr codeName="Sheet1">
    <tabColor rgb="FFFFFF00"/>
  </sheetPr>
  <dimension ref="A1:U97"/>
  <sheetViews>
    <sheetView workbookViewId="0"/>
  </sheetViews>
  <sheetFormatPr defaultRowHeight="18"/>
  <sheetData>
    <row r="1" spans="1:21" ht="55.5" customHeight="1">
      <c r="A1" s="7" t="s">
        <v>118</v>
      </c>
    </row>
    <row r="4" spans="1:21">
      <c r="U4" t="s">
        <v>115</v>
      </c>
    </row>
    <row r="43" spans="20:20">
      <c r="T43" t="s">
        <v>116</v>
      </c>
    </row>
    <row r="97" spans="21:21">
      <c r="U97" t="s">
        <v>117</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119B7-BE78-474A-8791-1C69800FF4BA}">
  <sheetPr codeName="Sheet6"/>
  <dimension ref="A1:AA49"/>
  <sheetViews>
    <sheetView workbookViewId="0"/>
  </sheetViews>
  <sheetFormatPr defaultColWidth="9" defaultRowHeight="17.399999999999999"/>
  <cols>
    <col min="1" max="19" width="3.09765625" style="3" customWidth="1"/>
    <col min="20" max="20" width="9" style="3"/>
    <col min="21" max="21" width="21.3984375" style="3" bestFit="1" customWidth="1"/>
    <col min="22" max="22" width="9" style="3"/>
    <col min="23" max="23" width="21" style="3" bestFit="1" customWidth="1"/>
    <col min="24" max="24" width="10.59765625" style="3" bestFit="1" customWidth="1"/>
    <col min="25" max="25" width="9" style="3"/>
    <col min="26" max="27" width="14.59765625" style="3" customWidth="1"/>
    <col min="28" max="16384" width="9" style="3"/>
  </cols>
  <sheetData>
    <row r="1" spans="1:27" ht="18">
      <c r="U1" s="18" t="s">
        <v>128</v>
      </c>
      <c r="V1"/>
      <c r="W1" s="21"/>
      <c r="X1" s="20"/>
    </row>
    <row r="2" spans="1:27" ht="18">
      <c r="A2" s="14"/>
      <c r="B2" s="14"/>
      <c r="C2" s="14"/>
      <c r="D2" s="14"/>
      <c r="E2" s="14"/>
      <c r="F2"/>
      <c r="G2" s="14"/>
      <c r="H2" s="14"/>
      <c r="I2" s="14"/>
      <c r="J2" s="14"/>
      <c r="K2" s="14"/>
      <c r="L2" s="207" t="s">
        <v>142</v>
      </c>
      <c r="M2" s="208"/>
      <c r="N2" s="208"/>
      <c r="O2" s="208"/>
      <c r="P2" s="208"/>
      <c r="Q2" s="208"/>
      <c r="R2" s="208"/>
      <c r="S2" s="209"/>
      <c r="U2" s="19" t="s">
        <v>149</v>
      </c>
      <c r="V2" s="17" t="s">
        <v>129</v>
      </c>
      <c r="W2" s="210" t="s">
        <v>150</v>
      </c>
      <c r="X2" s="210"/>
    </row>
    <row r="3" spans="1:27" ht="18.600000000000001" thickBot="1">
      <c r="A3" s="202">
        <v>0</v>
      </c>
      <c r="B3" s="202"/>
      <c r="C3" s="202"/>
      <c r="D3" s="202"/>
      <c r="E3" s="202"/>
      <c r="F3" s="15" t="s">
        <v>40</v>
      </c>
      <c r="G3" s="202">
        <v>600000</v>
      </c>
      <c r="H3" s="202"/>
      <c r="I3" s="202"/>
      <c r="J3" s="202"/>
      <c r="K3" s="203"/>
      <c r="L3" s="203">
        <v>0</v>
      </c>
      <c r="M3" s="204"/>
      <c r="N3" s="204"/>
      <c r="O3" s="204"/>
      <c r="P3" s="204"/>
      <c r="Q3" s="204"/>
      <c r="R3" s="204"/>
      <c r="S3" s="205"/>
      <c r="U3" s="19">
        <f>試算!AW6</f>
        <v>0</v>
      </c>
      <c r="V3">
        <f>IF(AND(A3&lt;=U3,U3&lt;=G3),1,0)</f>
        <v>1</v>
      </c>
      <c r="W3" s="21">
        <v>0</v>
      </c>
      <c r="X3" s="20">
        <f>W3*V3</f>
        <v>0</v>
      </c>
      <c r="Z3" t="s">
        <v>141</v>
      </c>
      <c r="AA3"/>
    </row>
    <row r="4" spans="1:27" ht="18">
      <c r="A4" s="202">
        <v>600001</v>
      </c>
      <c r="B4" s="202"/>
      <c r="C4" s="202"/>
      <c r="D4" s="202"/>
      <c r="E4" s="202"/>
      <c r="F4" s="15" t="s">
        <v>40</v>
      </c>
      <c r="G4" s="202">
        <v>1299999</v>
      </c>
      <c r="H4" s="202"/>
      <c r="I4" s="202"/>
      <c r="J4" s="202"/>
      <c r="K4" s="203"/>
      <c r="L4" s="203" t="s">
        <v>143</v>
      </c>
      <c r="M4" s="204"/>
      <c r="N4" s="204"/>
      <c r="O4" s="204"/>
      <c r="P4" s="204"/>
      <c r="Q4" s="204"/>
      <c r="R4" s="204"/>
      <c r="S4" s="205"/>
      <c r="U4" s="19">
        <f>U3</f>
        <v>0</v>
      </c>
      <c r="V4">
        <f>IF(AND(A4&lt;=U4,U4&lt;=G4),1,0)</f>
        <v>0</v>
      </c>
      <c r="W4" s="21">
        <f>U4-600000</f>
        <v>-600000</v>
      </c>
      <c r="X4" s="20">
        <f>W4*V4</f>
        <v>0</v>
      </c>
      <c r="Z4" s="24" t="s">
        <v>3</v>
      </c>
      <c r="AA4" s="25">
        <f>X9</f>
        <v>0</v>
      </c>
    </row>
    <row r="5" spans="1:27" ht="18">
      <c r="A5" s="202">
        <v>1300000</v>
      </c>
      <c r="B5" s="202"/>
      <c r="C5" s="202"/>
      <c r="D5" s="202"/>
      <c r="E5" s="202"/>
      <c r="F5" s="15" t="s">
        <v>40</v>
      </c>
      <c r="G5" s="202">
        <v>4099999</v>
      </c>
      <c r="H5" s="202"/>
      <c r="I5" s="202"/>
      <c r="J5" s="202"/>
      <c r="K5" s="203"/>
      <c r="L5" s="203" t="s">
        <v>144</v>
      </c>
      <c r="M5" s="204"/>
      <c r="N5" s="204"/>
      <c r="O5" s="204"/>
      <c r="P5" s="204"/>
      <c r="Q5" s="204"/>
      <c r="R5" s="204"/>
      <c r="S5" s="205"/>
      <c r="U5" s="19">
        <f t="shared" ref="U5:U8" si="0">U4</f>
        <v>0</v>
      </c>
      <c r="V5">
        <f>IF(AND(A5&lt;=U5,U5&lt;=G5),1,0)</f>
        <v>0</v>
      </c>
      <c r="W5" s="21">
        <f>U5*0.75-275000</f>
        <v>-275000</v>
      </c>
      <c r="X5" s="20">
        <f t="shared" ref="X5:X8" si="1">W5*V5</f>
        <v>0</v>
      </c>
      <c r="Z5" s="26" t="s">
        <v>136</v>
      </c>
      <c r="AA5" s="27">
        <f>X19</f>
        <v>0</v>
      </c>
    </row>
    <row r="6" spans="1:27" ht="18">
      <c r="A6" s="202">
        <v>4100000</v>
      </c>
      <c r="B6" s="202"/>
      <c r="C6" s="202"/>
      <c r="D6" s="202"/>
      <c r="E6" s="202"/>
      <c r="F6" s="15" t="s">
        <v>40</v>
      </c>
      <c r="G6" s="202">
        <v>7699999</v>
      </c>
      <c r="H6" s="202"/>
      <c r="I6" s="202"/>
      <c r="J6" s="202"/>
      <c r="K6" s="203"/>
      <c r="L6" s="203" t="s">
        <v>145</v>
      </c>
      <c r="M6" s="204"/>
      <c r="N6" s="204"/>
      <c r="O6" s="204"/>
      <c r="P6" s="204"/>
      <c r="Q6" s="204"/>
      <c r="R6" s="204"/>
      <c r="S6" s="205"/>
      <c r="U6" s="19">
        <f t="shared" si="0"/>
        <v>0</v>
      </c>
      <c r="V6">
        <f>IF(AND(A6&lt;=U6,U6&lt;=G6),1,0)</f>
        <v>0</v>
      </c>
      <c r="W6" s="21">
        <f>U6*0.85-685000</f>
        <v>-685000</v>
      </c>
      <c r="X6" s="20">
        <f t="shared" si="1"/>
        <v>0</v>
      </c>
      <c r="Z6" s="26" t="s">
        <v>137</v>
      </c>
      <c r="AA6" s="27">
        <f>X29</f>
        <v>0</v>
      </c>
    </row>
    <row r="7" spans="1:27" ht="18">
      <c r="A7" s="202">
        <v>7700000</v>
      </c>
      <c r="B7" s="202"/>
      <c r="C7" s="202"/>
      <c r="D7" s="202"/>
      <c r="E7" s="202"/>
      <c r="F7" s="15" t="s">
        <v>40</v>
      </c>
      <c r="G7" s="202">
        <v>9999999</v>
      </c>
      <c r="H7" s="202"/>
      <c r="I7" s="202"/>
      <c r="J7" s="202"/>
      <c r="K7" s="203"/>
      <c r="L7" s="203" t="s">
        <v>146</v>
      </c>
      <c r="M7" s="204"/>
      <c r="N7" s="204"/>
      <c r="O7" s="204"/>
      <c r="P7" s="204"/>
      <c r="Q7" s="204"/>
      <c r="R7" s="204"/>
      <c r="S7" s="205"/>
      <c r="U7" s="19">
        <f t="shared" si="0"/>
        <v>0</v>
      </c>
      <c r="V7">
        <f>IF(AND(A7&lt;=U7,U7&lt;=G7),1,0)</f>
        <v>0</v>
      </c>
      <c r="W7" s="21">
        <f>U7*0.95-1455000</f>
        <v>-1455000</v>
      </c>
      <c r="X7" s="20">
        <f t="shared" si="1"/>
        <v>0</v>
      </c>
      <c r="Z7" s="26" t="s">
        <v>138</v>
      </c>
      <c r="AA7" s="27">
        <f>X39</f>
        <v>0</v>
      </c>
    </row>
    <row r="8" spans="1:27" ht="18.600000000000001" thickBot="1">
      <c r="A8" s="202">
        <v>10000000</v>
      </c>
      <c r="B8" s="202"/>
      <c r="C8" s="202"/>
      <c r="D8" s="202"/>
      <c r="E8" s="202"/>
      <c r="F8" s="15" t="s">
        <v>40</v>
      </c>
      <c r="G8" s="202"/>
      <c r="H8" s="202"/>
      <c r="I8" s="202"/>
      <c r="J8" s="202"/>
      <c r="K8" s="203"/>
      <c r="L8" s="203" t="s">
        <v>148</v>
      </c>
      <c r="M8" s="204"/>
      <c r="N8" s="204"/>
      <c r="O8" s="204"/>
      <c r="P8" s="204"/>
      <c r="Q8" s="204"/>
      <c r="R8" s="204"/>
      <c r="S8" s="205"/>
      <c r="U8" s="19">
        <f t="shared" si="0"/>
        <v>0</v>
      </c>
      <c r="V8">
        <f>IF(A8&lt;=U8,1,0)</f>
        <v>0</v>
      </c>
      <c r="W8" s="21">
        <f>U8-1955000</f>
        <v>-1955000</v>
      </c>
      <c r="X8" s="20">
        <f t="shared" si="1"/>
        <v>0</v>
      </c>
      <c r="Z8" s="28" t="s">
        <v>139</v>
      </c>
      <c r="AA8" s="29">
        <f>X49</f>
        <v>0</v>
      </c>
    </row>
    <row r="9" spans="1:27" ht="18.600000000000001" thickBot="1">
      <c r="U9" s="19"/>
      <c r="V9"/>
      <c r="W9" s="22" t="s">
        <v>151</v>
      </c>
      <c r="X9" s="23">
        <f>SUM(X3:X8)</f>
        <v>0</v>
      </c>
    </row>
    <row r="11" spans="1:27" ht="18">
      <c r="U11" s="18" t="s">
        <v>133</v>
      </c>
      <c r="V11"/>
      <c r="W11" s="21"/>
      <c r="X11" s="20"/>
    </row>
    <row r="12" spans="1:27" ht="18">
      <c r="A12" s="14"/>
      <c r="B12" s="14"/>
      <c r="C12" s="14"/>
      <c r="D12" s="14"/>
      <c r="E12" s="14"/>
      <c r="F12"/>
      <c r="G12" s="14"/>
      <c r="H12" s="14"/>
      <c r="I12" s="14"/>
      <c r="J12" s="14"/>
      <c r="K12" s="14"/>
      <c r="L12" s="207" t="s">
        <v>142</v>
      </c>
      <c r="M12" s="208"/>
      <c r="N12" s="208"/>
      <c r="O12" s="208"/>
      <c r="P12" s="208"/>
      <c r="Q12" s="208"/>
      <c r="R12" s="208"/>
      <c r="S12" s="209"/>
      <c r="U12" s="19" t="s">
        <v>149</v>
      </c>
      <c r="V12" s="17" t="s">
        <v>129</v>
      </c>
      <c r="W12" s="210" t="s">
        <v>150</v>
      </c>
      <c r="X12" s="210"/>
    </row>
    <row r="13" spans="1:27" ht="18">
      <c r="A13" s="202">
        <v>0</v>
      </c>
      <c r="B13" s="202"/>
      <c r="C13" s="202"/>
      <c r="D13" s="202"/>
      <c r="E13" s="202"/>
      <c r="F13" s="15" t="s">
        <v>40</v>
      </c>
      <c r="G13" s="202">
        <v>600000</v>
      </c>
      <c r="H13" s="202"/>
      <c r="I13" s="202"/>
      <c r="J13" s="202"/>
      <c r="K13" s="203"/>
      <c r="L13" s="203">
        <v>0</v>
      </c>
      <c r="M13" s="204"/>
      <c r="N13" s="204"/>
      <c r="O13" s="204"/>
      <c r="P13" s="204"/>
      <c r="Q13" s="204"/>
      <c r="R13" s="204"/>
      <c r="S13" s="205"/>
      <c r="U13" s="19">
        <f>試算!AW7</f>
        <v>0</v>
      </c>
      <c r="V13">
        <f>IF(AND(A13&lt;=U13,U13&lt;=G13),1,0)</f>
        <v>1</v>
      </c>
      <c r="W13" s="21">
        <v>0</v>
      </c>
      <c r="X13" s="20">
        <f>W13*V13</f>
        <v>0</v>
      </c>
    </row>
    <row r="14" spans="1:27" ht="18">
      <c r="A14" s="202">
        <v>600001</v>
      </c>
      <c r="B14" s="202"/>
      <c r="C14" s="202"/>
      <c r="D14" s="202"/>
      <c r="E14" s="202"/>
      <c r="F14" s="15" t="s">
        <v>40</v>
      </c>
      <c r="G14" s="202">
        <v>1299999</v>
      </c>
      <c r="H14" s="202"/>
      <c r="I14" s="202"/>
      <c r="J14" s="202"/>
      <c r="K14" s="203"/>
      <c r="L14" s="203" t="s">
        <v>143</v>
      </c>
      <c r="M14" s="204"/>
      <c r="N14" s="204"/>
      <c r="O14" s="204"/>
      <c r="P14" s="204"/>
      <c r="Q14" s="204"/>
      <c r="R14" s="204"/>
      <c r="S14" s="205"/>
      <c r="U14" s="19">
        <f>U13</f>
        <v>0</v>
      </c>
      <c r="V14">
        <f>IF(AND(A14&lt;=U14,U14&lt;=G14),1,0)</f>
        <v>0</v>
      </c>
      <c r="W14" s="21">
        <f>U14-600000</f>
        <v>-600000</v>
      </c>
      <c r="X14" s="20">
        <f>W14*V14</f>
        <v>0</v>
      </c>
    </row>
    <row r="15" spans="1:27" ht="18">
      <c r="A15" s="202">
        <v>1300000</v>
      </c>
      <c r="B15" s="202"/>
      <c r="C15" s="202"/>
      <c r="D15" s="202"/>
      <c r="E15" s="202"/>
      <c r="F15" s="15" t="s">
        <v>40</v>
      </c>
      <c r="G15" s="202">
        <v>4099999</v>
      </c>
      <c r="H15" s="202"/>
      <c r="I15" s="202"/>
      <c r="J15" s="202"/>
      <c r="K15" s="203"/>
      <c r="L15" s="203" t="s">
        <v>144</v>
      </c>
      <c r="M15" s="204"/>
      <c r="N15" s="204"/>
      <c r="O15" s="204"/>
      <c r="P15" s="204"/>
      <c r="Q15" s="204"/>
      <c r="R15" s="204"/>
      <c r="S15" s="205"/>
      <c r="U15" s="19">
        <f t="shared" ref="U15:U18" si="2">U14</f>
        <v>0</v>
      </c>
      <c r="V15">
        <f>IF(AND(A15&lt;=U15,U15&lt;=G15),1,0)</f>
        <v>0</v>
      </c>
      <c r="W15" s="21">
        <f>U15*0.75-275000</f>
        <v>-275000</v>
      </c>
      <c r="X15" s="20">
        <f t="shared" ref="X15:X18" si="3">W15*V15</f>
        <v>0</v>
      </c>
    </row>
    <row r="16" spans="1:27" ht="18">
      <c r="A16" s="202">
        <v>4100000</v>
      </c>
      <c r="B16" s="202"/>
      <c r="C16" s="202"/>
      <c r="D16" s="202"/>
      <c r="E16" s="202"/>
      <c r="F16" s="15" t="s">
        <v>40</v>
      </c>
      <c r="G16" s="202">
        <v>7699999</v>
      </c>
      <c r="H16" s="202"/>
      <c r="I16" s="202"/>
      <c r="J16" s="202"/>
      <c r="K16" s="203"/>
      <c r="L16" s="203" t="s">
        <v>145</v>
      </c>
      <c r="M16" s="204"/>
      <c r="N16" s="204"/>
      <c r="O16" s="204"/>
      <c r="P16" s="204"/>
      <c r="Q16" s="204"/>
      <c r="R16" s="204"/>
      <c r="S16" s="205"/>
      <c r="U16" s="19">
        <f t="shared" si="2"/>
        <v>0</v>
      </c>
      <c r="V16">
        <f>IF(AND(A16&lt;=U16,U16&lt;=G16),1,0)</f>
        <v>0</v>
      </c>
      <c r="W16" s="21">
        <f>U16*0.85-685000</f>
        <v>-685000</v>
      </c>
      <c r="X16" s="20">
        <f t="shared" si="3"/>
        <v>0</v>
      </c>
    </row>
    <row r="17" spans="1:24" ht="18">
      <c r="A17" s="202">
        <v>7700000</v>
      </c>
      <c r="B17" s="202"/>
      <c r="C17" s="202"/>
      <c r="D17" s="202"/>
      <c r="E17" s="202"/>
      <c r="F17" s="15" t="s">
        <v>40</v>
      </c>
      <c r="G17" s="202">
        <v>9999999</v>
      </c>
      <c r="H17" s="202"/>
      <c r="I17" s="202"/>
      <c r="J17" s="202"/>
      <c r="K17" s="203"/>
      <c r="L17" s="203" t="s">
        <v>146</v>
      </c>
      <c r="M17" s="204"/>
      <c r="N17" s="204"/>
      <c r="O17" s="204"/>
      <c r="P17" s="204"/>
      <c r="Q17" s="204"/>
      <c r="R17" s="204"/>
      <c r="S17" s="205"/>
      <c r="U17" s="19">
        <f t="shared" si="2"/>
        <v>0</v>
      </c>
      <c r="V17">
        <f>IF(AND(A17&lt;=U17,U17&lt;=G17),1,0)</f>
        <v>0</v>
      </c>
      <c r="W17" s="21">
        <f>U17*0.95-1455000</f>
        <v>-1455000</v>
      </c>
      <c r="X17" s="20">
        <f t="shared" si="3"/>
        <v>0</v>
      </c>
    </row>
    <row r="18" spans="1:24" ht="18.600000000000001" thickBot="1">
      <c r="A18" s="202">
        <v>10000000</v>
      </c>
      <c r="B18" s="202"/>
      <c r="C18" s="202"/>
      <c r="D18" s="202"/>
      <c r="E18" s="202"/>
      <c r="F18" s="15" t="s">
        <v>40</v>
      </c>
      <c r="G18" s="202"/>
      <c r="H18" s="202"/>
      <c r="I18" s="202"/>
      <c r="J18" s="202"/>
      <c r="K18" s="203"/>
      <c r="L18" s="203" t="s">
        <v>148</v>
      </c>
      <c r="M18" s="204"/>
      <c r="N18" s="204"/>
      <c r="O18" s="204"/>
      <c r="P18" s="204"/>
      <c r="Q18" s="204"/>
      <c r="R18" s="204"/>
      <c r="S18" s="205"/>
      <c r="U18" s="19">
        <f t="shared" si="2"/>
        <v>0</v>
      </c>
      <c r="V18">
        <f>IF(A18&lt;=U18,1,0)</f>
        <v>0</v>
      </c>
      <c r="W18" s="21">
        <f>U18-1955000</f>
        <v>-1955000</v>
      </c>
      <c r="X18" s="20">
        <f t="shared" si="3"/>
        <v>0</v>
      </c>
    </row>
    <row r="19" spans="1:24" ht="18.600000000000001" thickBot="1">
      <c r="U19" s="19"/>
      <c r="V19"/>
      <c r="W19" s="22" t="s">
        <v>151</v>
      </c>
      <c r="X19" s="23">
        <f>SUM(X13:X18)</f>
        <v>0</v>
      </c>
    </row>
    <row r="21" spans="1:24" ht="18">
      <c r="U21" s="18" t="s">
        <v>134</v>
      </c>
      <c r="V21"/>
      <c r="W21" s="21"/>
      <c r="X21" s="20"/>
    </row>
    <row r="22" spans="1:24" ht="18">
      <c r="A22" s="14"/>
      <c r="B22" s="14"/>
      <c r="C22" s="14"/>
      <c r="D22" s="14"/>
      <c r="E22" s="14"/>
      <c r="F22"/>
      <c r="G22" s="14"/>
      <c r="H22" s="14"/>
      <c r="I22" s="14"/>
      <c r="J22" s="14"/>
      <c r="K22" s="14"/>
      <c r="L22" s="207" t="s">
        <v>142</v>
      </c>
      <c r="M22" s="208"/>
      <c r="N22" s="208"/>
      <c r="O22" s="208"/>
      <c r="P22" s="208"/>
      <c r="Q22" s="208"/>
      <c r="R22" s="208"/>
      <c r="S22" s="209"/>
      <c r="U22" s="19" t="s">
        <v>149</v>
      </c>
      <c r="V22" s="17" t="s">
        <v>129</v>
      </c>
      <c r="W22" s="210" t="s">
        <v>150</v>
      </c>
      <c r="X22" s="210"/>
    </row>
    <row r="23" spans="1:24" ht="18">
      <c r="A23" s="202">
        <v>0</v>
      </c>
      <c r="B23" s="202"/>
      <c r="C23" s="202"/>
      <c r="D23" s="202"/>
      <c r="E23" s="202"/>
      <c r="F23" s="15" t="s">
        <v>40</v>
      </c>
      <c r="G23" s="202">
        <v>600000</v>
      </c>
      <c r="H23" s="202"/>
      <c r="I23" s="202"/>
      <c r="J23" s="202"/>
      <c r="K23" s="203"/>
      <c r="L23" s="203">
        <v>0</v>
      </c>
      <c r="M23" s="204"/>
      <c r="N23" s="204"/>
      <c r="O23" s="204"/>
      <c r="P23" s="204"/>
      <c r="Q23" s="204"/>
      <c r="R23" s="204"/>
      <c r="S23" s="205"/>
      <c r="U23" s="19">
        <f>試算!AW8</f>
        <v>0</v>
      </c>
      <c r="V23">
        <f>IF(AND(A23&lt;=U23,U23&lt;=G23),1,0)</f>
        <v>1</v>
      </c>
      <c r="W23" s="21">
        <v>0</v>
      </c>
      <c r="X23" s="20">
        <f>W23*V23</f>
        <v>0</v>
      </c>
    </row>
    <row r="24" spans="1:24" ht="18">
      <c r="A24" s="202">
        <v>600001</v>
      </c>
      <c r="B24" s="202"/>
      <c r="C24" s="202"/>
      <c r="D24" s="202"/>
      <c r="E24" s="202"/>
      <c r="F24" s="15" t="s">
        <v>40</v>
      </c>
      <c r="G24" s="202">
        <v>1299999</v>
      </c>
      <c r="H24" s="202"/>
      <c r="I24" s="202"/>
      <c r="J24" s="202"/>
      <c r="K24" s="203"/>
      <c r="L24" s="203" t="s">
        <v>143</v>
      </c>
      <c r="M24" s="204"/>
      <c r="N24" s="204"/>
      <c r="O24" s="204"/>
      <c r="P24" s="204"/>
      <c r="Q24" s="204"/>
      <c r="R24" s="204"/>
      <c r="S24" s="205"/>
      <c r="U24" s="19">
        <f>U23</f>
        <v>0</v>
      </c>
      <c r="V24">
        <f>IF(AND(A24&lt;=U24,U24&lt;=G24),1,0)</f>
        <v>0</v>
      </c>
      <c r="W24" s="21">
        <f>U24-600000</f>
        <v>-600000</v>
      </c>
      <c r="X24" s="20">
        <f>W24*V24</f>
        <v>0</v>
      </c>
    </row>
    <row r="25" spans="1:24" ht="18">
      <c r="A25" s="202">
        <v>1300000</v>
      </c>
      <c r="B25" s="202"/>
      <c r="C25" s="202"/>
      <c r="D25" s="202"/>
      <c r="E25" s="202"/>
      <c r="F25" s="15" t="s">
        <v>40</v>
      </c>
      <c r="G25" s="202">
        <v>4099999</v>
      </c>
      <c r="H25" s="202"/>
      <c r="I25" s="202"/>
      <c r="J25" s="202"/>
      <c r="K25" s="203"/>
      <c r="L25" s="203" t="s">
        <v>144</v>
      </c>
      <c r="M25" s="204"/>
      <c r="N25" s="204"/>
      <c r="O25" s="204"/>
      <c r="P25" s="204"/>
      <c r="Q25" s="204"/>
      <c r="R25" s="204"/>
      <c r="S25" s="205"/>
      <c r="U25" s="19">
        <f t="shared" ref="U25:U28" si="4">U24</f>
        <v>0</v>
      </c>
      <c r="V25">
        <f>IF(AND(A25&lt;=U25,U25&lt;=G25),1,0)</f>
        <v>0</v>
      </c>
      <c r="W25" s="21">
        <f>U25*0.75-275000</f>
        <v>-275000</v>
      </c>
      <c r="X25" s="20">
        <f t="shared" ref="X25:X28" si="5">W25*V25</f>
        <v>0</v>
      </c>
    </row>
    <row r="26" spans="1:24" ht="18">
      <c r="A26" s="202">
        <v>4100000</v>
      </c>
      <c r="B26" s="202"/>
      <c r="C26" s="202"/>
      <c r="D26" s="202"/>
      <c r="E26" s="202"/>
      <c r="F26" s="15" t="s">
        <v>40</v>
      </c>
      <c r="G26" s="202">
        <v>7699999</v>
      </c>
      <c r="H26" s="202"/>
      <c r="I26" s="202"/>
      <c r="J26" s="202"/>
      <c r="K26" s="203"/>
      <c r="L26" s="203" t="s">
        <v>145</v>
      </c>
      <c r="M26" s="204"/>
      <c r="N26" s="204"/>
      <c r="O26" s="204"/>
      <c r="P26" s="204"/>
      <c r="Q26" s="204"/>
      <c r="R26" s="204"/>
      <c r="S26" s="205"/>
      <c r="U26" s="19">
        <f t="shared" si="4"/>
        <v>0</v>
      </c>
      <c r="V26">
        <f>IF(AND(A26&lt;=U26,U26&lt;=G26),1,0)</f>
        <v>0</v>
      </c>
      <c r="W26" s="21">
        <f>U26*0.85-685000</f>
        <v>-685000</v>
      </c>
      <c r="X26" s="20">
        <f t="shared" si="5"/>
        <v>0</v>
      </c>
    </row>
    <row r="27" spans="1:24" ht="18">
      <c r="A27" s="202">
        <v>7700000</v>
      </c>
      <c r="B27" s="202"/>
      <c r="C27" s="202"/>
      <c r="D27" s="202"/>
      <c r="E27" s="202"/>
      <c r="F27" s="15" t="s">
        <v>40</v>
      </c>
      <c r="G27" s="202">
        <v>9999999</v>
      </c>
      <c r="H27" s="202"/>
      <c r="I27" s="202"/>
      <c r="J27" s="202"/>
      <c r="K27" s="203"/>
      <c r="L27" s="203" t="s">
        <v>146</v>
      </c>
      <c r="M27" s="204"/>
      <c r="N27" s="204"/>
      <c r="O27" s="204"/>
      <c r="P27" s="204"/>
      <c r="Q27" s="204"/>
      <c r="R27" s="204"/>
      <c r="S27" s="205"/>
      <c r="U27" s="19">
        <f t="shared" si="4"/>
        <v>0</v>
      </c>
      <c r="V27">
        <f>IF(AND(A27&lt;=U27,U27&lt;=G27),1,0)</f>
        <v>0</v>
      </c>
      <c r="W27" s="21">
        <f>U27*0.95-1455000</f>
        <v>-1455000</v>
      </c>
      <c r="X27" s="20">
        <f t="shared" si="5"/>
        <v>0</v>
      </c>
    </row>
    <row r="28" spans="1:24" ht="18.600000000000001" thickBot="1">
      <c r="A28" s="202">
        <v>10000000</v>
      </c>
      <c r="B28" s="202"/>
      <c r="C28" s="202"/>
      <c r="D28" s="202"/>
      <c r="E28" s="202"/>
      <c r="F28" s="15" t="s">
        <v>40</v>
      </c>
      <c r="G28" s="202"/>
      <c r="H28" s="202"/>
      <c r="I28" s="202"/>
      <c r="J28" s="202"/>
      <c r="K28" s="203"/>
      <c r="L28" s="203" t="s">
        <v>148</v>
      </c>
      <c r="M28" s="204"/>
      <c r="N28" s="204"/>
      <c r="O28" s="204"/>
      <c r="P28" s="204"/>
      <c r="Q28" s="204"/>
      <c r="R28" s="204"/>
      <c r="S28" s="205"/>
      <c r="U28" s="19">
        <f t="shared" si="4"/>
        <v>0</v>
      </c>
      <c r="V28">
        <f>IF(A28&lt;=U28,1,0)</f>
        <v>0</v>
      </c>
      <c r="W28" s="21">
        <f>U28-1955000</f>
        <v>-1955000</v>
      </c>
      <c r="X28" s="20">
        <f t="shared" si="5"/>
        <v>0</v>
      </c>
    </row>
    <row r="29" spans="1:24" ht="18.600000000000001" thickBot="1">
      <c r="U29" s="19"/>
      <c r="V29"/>
      <c r="W29" s="22" t="s">
        <v>151</v>
      </c>
      <c r="X29" s="23">
        <f>SUM(X23:X28)</f>
        <v>0</v>
      </c>
    </row>
    <row r="31" spans="1:24" ht="18">
      <c r="U31" s="18" t="s">
        <v>135</v>
      </c>
      <c r="V31"/>
      <c r="W31" s="21"/>
      <c r="X31" s="20"/>
    </row>
    <row r="32" spans="1:24" ht="18">
      <c r="A32" s="14"/>
      <c r="B32" s="14"/>
      <c r="C32" s="14"/>
      <c r="D32" s="14"/>
      <c r="E32" s="14"/>
      <c r="F32"/>
      <c r="G32" s="14"/>
      <c r="H32" s="14"/>
      <c r="I32" s="14"/>
      <c r="J32" s="14"/>
      <c r="K32" s="14"/>
      <c r="L32" s="207" t="s">
        <v>142</v>
      </c>
      <c r="M32" s="208"/>
      <c r="N32" s="208"/>
      <c r="O32" s="208"/>
      <c r="P32" s="208"/>
      <c r="Q32" s="208"/>
      <c r="R32" s="208"/>
      <c r="S32" s="209"/>
      <c r="U32" s="19" t="s">
        <v>149</v>
      </c>
      <c r="V32" s="17" t="s">
        <v>129</v>
      </c>
      <c r="W32" s="210" t="s">
        <v>150</v>
      </c>
      <c r="X32" s="210"/>
    </row>
    <row r="33" spans="1:24" ht="18">
      <c r="A33" s="202">
        <v>0</v>
      </c>
      <c r="B33" s="202"/>
      <c r="C33" s="202"/>
      <c r="D33" s="202"/>
      <c r="E33" s="202"/>
      <c r="F33" s="15" t="s">
        <v>40</v>
      </c>
      <c r="G33" s="202">
        <v>600000</v>
      </c>
      <c r="H33" s="202"/>
      <c r="I33" s="202"/>
      <c r="J33" s="202"/>
      <c r="K33" s="203"/>
      <c r="L33" s="203">
        <v>0</v>
      </c>
      <c r="M33" s="204"/>
      <c r="N33" s="204"/>
      <c r="O33" s="204"/>
      <c r="P33" s="204"/>
      <c r="Q33" s="204"/>
      <c r="R33" s="204"/>
      <c r="S33" s="205"/>
      <c r="U33" s="19">
        <f>試算!AW9</f>
        <v>0</v>
      </c>
      <c r="V33">
        <f>IF(AND(A33&lt;=U33,U33&lt;=G33),1,0)</f>
        <v>1</v>
      </c>
      <c r="W33" s="21">
        <v>0</v>
      </c>
      <c r="X33" s="20">
        <f>W33*V33</f>
        <v>0</v>
      </c>
    </row>
    <row r="34" spans="1:24" ht="18">
      <c r="A34" s="202">
        <v>600001</v>
      </c>
      <c r="B34" s="202"/>
      <c r="C34" s="202"/>
      <c r="D34" s="202"/>
      <c r="E34" s="202"/>
      <c r="F34" s="15" t="s">
        <v>40</v>
      </c>
      <c r="G34" s="202">
        <v>1299999</v>
      </c>
      <c r="H34" s="202"/>
      <c r="I34" s="202"/>
      <c r="J34" s="202"/>
      <c r="K34" s="203"/>
      <c r="L34" s="203" t="s">
        <v>143</v>
      </c>
      <c r="M34" s="204"/>
      <c r="N34" s="204"/>
      <c r="O34" s="204"/>
      <c r="P34" s="204"/>
      <c r="Q34" s="204"/>
      <c r="R34" s="204"/>
      <c r="S34" s="205"/>
      <c r="U34" s="19">
        <f>U33</f>
        <v>0</v>
      </c>
      <c r="V34">
        <f>IF(AND(A34&lt;=U34,U34&lt;=G34),1,0)</f>
        <v>0</v>
      </c>
      <c r="W34" s="21">
        <f>U34-600000</f>
        <v>-600000</v>
      </c>
      <c r="X34" s="20">
        <f>W34*V34</f>
        <v>0</v>
      </c>
    </row>
    <row r="35" spans="1:24" ht="18">
      <c r="A35" s="202">
        <v>1300000</v>
      </c>
      <c r="B35" s="202"/>
      <c r="C35" s="202"/>
      <c r="D35" s="202"/>
      <c r="E35" s="202"/>
      <c r="F35" s="15" t="s">
        <v>40</v>
      </c>
      <c r="G35" s="202">
        <v>4099999</v>
      </c>
      <c r="H35" s="202"/>
      <c r="I35" s="202"/>
      <c r="J35" s="202"/>
      <c r="K35" s="203"/>
      <c r="L35" s="203" t="s">
        <v>144</v>
      </c>
      <c r="M35" s="204"/>
      <c r="N35" s="204"/>
      <c r="O35" s="204"/>
      <c r="P35" s="204"/>
      <c r="Q35" s="204"/>
      <c r="R35" s="204"/>
      <c r="S35" s="205"/>
      <c r="U35" s="19">
        <f t="shared" ref="U35:U38" si="6">U34</f>
        <v>0</v>
      </c>
      <c r="V35">
        <f>IF(AND(A35&lt;=U35,U35&lt;=G35),1,0)</f>
        <v>0</v>
      </c>
      <c r="W35" s="21">
        <f>U35*0.75-275000</f>
        <v>-275000</v>
      </c>
      <c r="X35" s="20">
        <f t="shared" ref="X35:X38" si="7">W35*V35</f>
        <v>0</v>
      </c>
    </row>
    <row r="36" spans="1:24" ht="18">
      <c r="A36" s="202">
        <v>4100000</v>
      </c>
      <c r="B36" s="202"/>
      <c r="C36" s="202"/>
      <c r="D36" s="202"/>
      <c r="E36" s="202"/>
      <c r="F36" s="15" t="s">
        <v>40</v>
      </c>
      <c r="G36" s="202">
        <v>7699999</v>
      </c>
      <c r="H36" s="202"/>
      <c r="I36" s="202"/>
      <c r="J36" s="202"/>
      <c r="K36" s="203"/>
      <c r="L36" s="203" t="s">
        <v>145</v>
      </c>
      <c r="M36" s="204"/>
      <c r="N36" s="204"/>
      <c r="O36" s="204"/>
      <c r="P36" s="204"/>
      <c r="Q36" s="204"/>
      <c r="R36" s="204"/>
      <c r="S36" s="205"/>
      <c r="U36" s="19">
        <f t="shared" si="6"/>
        <v>0</v>
      </c>
      <c r="V36">
        <f>IF(AND(A36&lt;=U36,U36&lt;=G36),1,0)</f>
        <v>0</v>
      </c>
      <c r="W36" s="21">
        <f>U36*0.85-685000</f>
        <v>-685000</v>
      </c>
      <c r="X36" s="20">
        <f t="shared" si="7"/>
        <v>0</v>
      </c>
    </row>
    <row r="37" spans="1:24" ht="18">
      <c r="A37" s="202">
        <v>7700000</v>
      </c>
      <c r="B37" s="202"/>
      <c r="C37" s="202"/>
      <c r="D37" s="202"/>
      <c r="E37" s="202"/>
      <c r="F37" s="15" t="s">
        <v>40</v>
      </c>
      <c r="G37" s="202">
        <v>9999999</v>
      </c>
      <c r="H37" s="202"/>
      <c r="I37" s="202"/>
      <c r="J37" s="202"/>
      <c r="K37" s="203"/>
      <c r="L37" s="203" t="s">
        <v>146</v>
      </c>
      <c r="M37" s="204"/>
      <c r="N37" s="204"/>
      <c r="O37" s="204"/>
      <c r="P37" s="204"/>
      <c r="Q37" s="204"/>
      <c r="R37" s="204"/>
      <c r="S37" s="205"/>
      <c r="U37" s="19">
        <f t="shared" si="6"/>
        <v>0</v>
      </c>
      <c r="V37">
        <f>IF(AND(A37&lt;=U37,U37&lt;=G37),1,0)</f>
        <v>0</v>
      </c>
      <c r="W37" s="21">
        <f>U37*0.95-1455000</f>
        <v>-1455000</v>
      </c>
      <c r="X37" s="20">
        <f t="shared" si="7"/>
        <v>0</v>
      </c>
    </row>
    <row r="38" spans="1:24" ht="18.600000000000001" thickBot="1">
      <c r="A38" s="202">
        <v>10000000</v>
      </c>
      <c r="B38" s="202"/>
      <c r="C38" s="202"/>
      <c r="D38" s="202"/>
      <c r="E38" s="202"/>
      <c r="F38" s="15" t="s">
        <v>40</v>
      </c>
      <c r="G38" s="202"/>
      <c r="H38" s="202"/>
      <c r="I38" s="202"/>
      <c r="J38" s="202"/>
      <c r="K38" s="203"/>
      <c r="L38" s="203" t="s">
        <v>148</v>
      </c>
      <c r="M38" s="204"/>
      <c r="N38" s="204"/>
      <c r="O38" s="204"/>
      <c r="P38" s="204"/>
      <c r="Q38" s="204"/>
      <c r="R38" s="204"/>
      <c r="S38" s="205"/>
      <c r="U38" s="19">
        <f t="shared" si="6"/>
        <v>0</v>
      </c>
      <c r="V38">
        <f>IF(A38&lt;=U38,1,0)</f>
        <v>0</v>
      </c>
      <c r="W38" s="21">
        <f>U38-1955000</f>
        <v>-1955000</v>
      </c>
      <c r="X38" s="20">
        <f t="shared" si="7"/>
        <v>0</v>
      </c>
    </row>
    <row r="39" spans="1:24" ht="18.600000000000001" thickBot="1">
      <c r="U39" s="19"/>
      <c r="V39"/>
      <c r="W39" s="22" t="s">
        <v>151</v>
      </c>
      <c r="X39" s="23">
        <f>SUM(X33:X38)</f>
        <v>0</v>
      </c>
    </row>
    <row r="41" spans="1:24" ht="18">
      <c r="U41" s="18" t="s">
        <v>140</v>
      </c>
      <c r="V41"/>
      <c r="W41" s="21"/>
      <c r="X41" s="20"/>
    </row>
    <row r="42" spans="1:24" ht="18">
      <c r="A42" s="14"/>
      <c r="B42" s="14"/>
      <c r="C42" s="14"/>
      <c r="D42" s="14"/>
      <c r="E42" s="14"/>
      <c r="F42"/>
      <c r="G42" s="14"/>
      <c r="H42" s="14"/>
      <c r="I42" s="14"/>
      <c r="J42" s="14"/>
      <c r="K42" s="14"/>
      <c r="L42" s="207" t="s">
        <v>142</v>
      </c>
      <c r="M42" s="208"/>
      <c r="N42" s="208"/>
      <c r="O42" s="208"/>
      <c r="P42" s="208"/>
      <c r="Q42" s="208"/>
      <c r="R42" s="208"/>
      <c r="S42" s="209"/>
      <c r="U42" s="19" t="s">
        <v>149</v>
      </c>
      <c r="V42" s="17" t="s">
        <v>129</v>
      </c>
      <c r="W42" s="210" t="s">
        <v>150</v>
      </c>
      <c r="X42" s="210"/>
    </row>
    <row r="43" spans="1:24" ht="18">
      <c r="A43" s="202">
        <v>0</v>
      </c>
      <c r="B43" s="202"/>
      <c r="C43" s="202"/>
      <c r="D43" s="202"/>
      <c r="E43" s="202"/>
      <c r="F43" s="15" t="s">
        <v>40</v>
      </c>
      <c r="G43" s="202">
        <v>600000</v>
      </c>
      <c r="H43" s="202"/>
      <c r="I43" s="202"/>
      <c r="J43" s="202"/>
      <c r="K43" s="203"/>
      <c r="L43" s="203">
        <v>0</v>
      </c>
      <c r="M43" s="204"/>
      <c r="N43" s="204"/>
      <c r="O43" s="204"/>
      <c r="P43" s="204"/>
      <c r="Q43" s="204"/>
      <c r="R43" s="204"/>
      <c r="S43" s="205"/>
      <c r="U43" s="19">
        <f>試算!AW10</f>
        <v>0</v>
      </c>
      <c r="V43">
        <f>IF(AND(A43&lt;=U43,U43&lt;=G43),1,0)</f>
        <v>1</v>
      </c>
      <c r="W43" s="21">
        <v>0</v>
      </c>
      <c r="X43" s="20">
        <f>W43*V43</f>
        <v>0</v>
      </c>
    </row>
    <row r="44" spans="1:24" ht="18">
      <c r="A44" s="202">
        <v>600001</v>
      </c>
      <c r="B44" s="202"/>
      <c r="C44" s="202"/>
      <c r="D44" s="202"/>
      <c r="E44" s="202"/>
      <c r="F44" s="15" t="s">
        <v>40</v>
      </c>
      <c r="G44" s="202">
        <v>1299999</v>
      </c>
      <c r="H44" s="202"/>
      <c r="I44" s="202"/>
      <c r="J44" s="202"/>
      <c r="K44" s="203"/>
      <c r="L44" s="203" t="s">
        <v>143</v>
      </c>
      <c r="M44" s="204"/>
      <c r="N44" s="204"/>
      <c r="O44" s="204"/>
      <c r="P44" s="204"/>
      <c r="Q44" s="204"/>
      <c r="R44" s="204"/>
      <c r="S44" s="205"/>
      <c r="U44" s="19">
        <f>U43</f>
        <v>0</v>
      </c>
      <c r="V44">
        <f>IF(AND(A44&lt;=U44,U44&lt;=G44),1,0)</f>
        <v>0</v>
      </c>
      <c r="W44" s="21">
        <f>U44-600000</f>
        <v>-600000</v>
      </c>
      <c r="X44" s="20">
        <f>W44*V44</f>
        <v>0</v>
      </c>
    </row>
    <row r="45" spans="1:24" ht="18">
      <c r="A45" s="202">
        <v>1300000</v>
      </c>
      <c r="B45" s="202"/>
      <c r="C45" s="202"/>
      <c r="D45" s="202"/>
      <c r="E45" s="202"/>
      <c r="F45" s="15" t="s">
        <v>40</v>
      </c>
      <c r="G45" s="202">
        <v>4099999</v>
      </c>
      <c r="H45" s="202"/>
      <c r="I45" s="202"/>
      <c r="J45" s="202"/>
      <c r="K45" s="203"/>
      <c r="L45" s="203" t="s">
        <v>144</v>
      </c>
      <c r="M45" s="204"/>
      <c r="N45" s="204"/>
      <c r="O45" s="204"/>
      <c r="P45" s="204"/>
      <c r="Q45" s="204"/>
      <c r="R45" s="204"/>
      <c r="S45" s="205"/>
      <c r="U45" s="19">
        <f t="shared" ref="U45:U48" si="8">U44</f>
        <v>0</v>
      </c>
      <c r="V45">
        <f>IF(AND(A45&lt;=U45,U45&lt;=G45),1,0)</f>
        <v>0</v>
      </c>
      <c r="W45" s="21">
        <f>U45*0.75-275000</f>
        <v>-275000</v>
      </c>
      <c r="X45" s="20">
        <f t="shared" ref="X45:X48" si="9">W45*V45</f>
        <v>0</v>
      </c>
    </row>
    <row r="46" spans="1:24" ht="18">
      <c r="A46" s="202">
        <v>4100000</v>
      </c>
      <c r="B46" s="202"/>
      <c r="C46" s="202"/>
      <c r="D46" s="202"/>
      <c r="E46" s="202"/>
      <c r="F46" s="15" t="s">
        <v>40</v>
      </c>
      <c r="G46" s="202">
        <v>7699999</v>
      </c>
      <c r="H46" s="202"/>
      <c r="I46" s="202"/>
      <c r="J46" s="202"/>
      <c r="K46" s="203"/>
      <c r="L46" s="203" t="s">
        <v>145</v>
      </c>
      <c r="M46" s="204"/>
      <c r="N46" s="204"/>
      <c r="O46" s="204"/>
      <c r="P46" s="204"/>
      <c r="Q46" s="204"/>
      <c r="R46" s="204"/>
      <c r="S46" s="205"/>
      <c r="U46" s="19">
        <f t="shared" si="8"/>
        <v>0</v>
      </c>
      <c r="V46">
        <f>IF(AND(A46&lt;=U46,U46&lt;=G46),1,0)</f>
        <v>0</v>
      </c>
      <c r="W46" s="21">
        <f>U46*0.85-685000</f>
        <v>-685000</v>
      </c>
      <c r="X46" s="20">
        <f t="shared" si="9"/>
        <v>0</v>
      </c>
    </row>
    <row r="47" spans="1:24" ht="18">
      <c r="A47" s="202">
        <v>7700000</v>
      </c>
      <c r="B47" s="202"/>
      <c r="C47" s="202"/>
      <c r="D47" s="202"/>
      <c r="E47" s="202"/>
      <c r="F47" s="15" t="s">
        <v>40</v>
      </c>
      <c r="G47" s="202">
        <v>9999999</v>
      </c>
      <c r="H47" s="202"/>
      <c r="I47" s="202"/>
      <c r="J47" s="202"/>
      <c r="K47" s="203"/>
      <c r="L47" s="203" t="s">
        <v>146</v>
      </c>
      <c r="M47" s="204"/>
      <c r="N47" s="204"/>
      <c r="O47" s="204"/>
      <c r="P47" s="204"/>
      <c r="Q47" s="204"/>
      <c r="R47" s="204"/>
      <c r="S47" s="205"/>
      <c r="U47" s="19">
        <f t="shared" si="8"/>
        <v>0</v>
      </c>
      <c r="V47">
        <f>IF(AND(A47&lt;=U47,U47&lt;=G47),1,0)</f>
        <v>0</v>
      </c>
      <c r="W47" s="21">
        <f>U47*0.95-1455000</f>
        <v>-1455000</v>
      </c>
      <c r="X47" s="20">
        <f t="shared" si="9"/>
        <v>0</v>
      </c>
    </row>
    <row r="48" spans="1:24" ht="18.600000000000001" thickBot="1">
      <c r="A48" s="202">
        <v>10000000</v>
      </c>
      <c r="B48" s="202"/>
      <c r="C48" s="202"/>
      <c r="D48" s="202"/>
      <c r="E48" s="202"/>
      <c r="F48" s="15" t="s">
        <v>40</v>
      </c>
      <c r="G48" s="202"/>
      <c r="H48" s="202"/>
      <c r="I48" s="202"/>
      <c r="J48" s="202"/>
      <c r="K48" s="203"/>
      <c r="L48" s="203" t="s">
        <v>148</v>
      </c>
      <c r="M48" s="204"/>
      <c r="N48" s="204"/>
      <c r="O48" s="204"/>
      <c r="P48" s="204"/>
      <c r="Q48" s="204"/>
      <c r="R48" s="204"/>
      <c r="S48" s="205"/>
      <c r="U48" s="19">
        <f t="shared" si="8"/>
        <v>0</v>
      </c>
      <c r="V48">
        <f>IF(A48&lt;=U48,1,0)</f>
        <v>0</v>
      </c>
      <c r="W48" s="21">
        <f>U48-1955000</f>
        <v>-1955000</v>
      </c>
      <c r="X48" s="20">
        <f t="shared" si="9"/>
        <v>0</v>
      </c>
    </row>
    <row r="49" spans="21:24" ht="18.600000000000001" thickBot="1">
      <c r="U49" s="19"/>
      <c r="V49"/>
      <c r="W49" s="22" t="s">
        <v>151</v>
      </c>
      <c r="X49" s="23">
        <f>SUM(X43:X48)</f>
        <v>0</v>
      </c>
    </row>
  </sheetData>
  <mergeCells count="100">
    <mergeCell ref="A4:E4"/>
    <mergeCell ref="G4:K4"/>
    <mergeCell ref="L4:S4"/>
    <mergeCell ref="L2:S2"/>
    <mergeCell ref="W2:X2"/>
    <mergeCell ref="A3:E3"/>
    <mergeCell ref="G3:K3"/>
    <mergeCell ref="L3:S3"/>
    <mergeCell ref="A5:E5"/>
    <mergeCell ref="G5:K5"/>
    <mergeCell ref="L5:S5"/>
    <mergeCell ref="A6:E6"/>
    <mergeCell ref="G6:K6"/>
    <mergeCell ref="L6:S6"/>
    <mergeCell ref="A7:E7"/>
    <mergeCell ref="G7:K7"/>
    <mergeCell ref="L7:S7"/>
    <mergeCell ref="A8:E8"/>
    <mergeCell ref="G8:K8"/>
    <mergeCell ref="L8:S8"/>
    <mergeCell ref="W12:X12"/>
    <mergeCell ref="A13:E13"/>
    <mergeCell ref="G13:K13"/>
    <mergeCell ref="L13:S13"/>
    <mergeCell ref="A15:E15"/>
    <mergeCell ref="G15:K15"/>
    <mergeCell ref="L15:S15"/>
    <mergeCell ref="A14:E14"/>
    <mergeCell ref="G14:K14"/>
    <mergeCell ref="L14:S14"/>
    <mergeCell ref="L12:S12"/>
    <mergeCell ref="A16:E16"/>
    <mergeCell ref="G16:K16"/>
    <mergeCell ref="L16:S16"/>
    <mergeCell ref="A24:E24"/>
    <mergeCell ref="G24:K24"/>
    <mergeCell ref="L24:S24"/>
    <mergeCell ref="A17:E17"/>
    <mergeCell ref="G17:K17"/>
    <mergeCell ref="L17:S17"/>
    <mergeCell ref="A18:E18"/>
    <mergeCell ref="G18:K18"/>
    <mergeCell ref="L18:S18"/>
    <mergeCell ref="L22:S22"/>
    <mergeCell ref="W22:X22"/>
    <mergeCell ref="A23:E23"/>
    <mergeCell ref="G23:K23"/>
    <mergeCell ref="L23:S23"/>
    <mergeCell ref="A25:E25"/>
    <mergeCell ref="G25:K25"/>
    <mergeCell ref="L25:S25"/>
    <mergeCell ref="A26:E26"/>
    <mergeCell ref="G26:K26"/>
    <mergeCell ref="L26:S26"/>
    <mergeCell ref="A34:E34"/>
    <mergeCell ref="G34:K34"/>
    <mergeCell ref="L34:S34"/>
    <mergeCell ref="A27:E27"/>
    <mergeCell ref="G27:K27"/>
    <mergeCell ref="L27:S27"/>
    <mergeCell ref="A28:E28"/>
    <mergeCell ref="G28:K28"/>
    <mergeCell ref="L28:S28"/>
    <mergeCell ref="L32:S32"/>
    <mergeCell ref="W32:X32"/>
    <mergeCell ref="A33:E33"/>
    <mergeCell ref="G33:K33"/>
    <mergeCell ref="L33:S33"/>
    <mergeCell ref="A35:E35"/>
    <mergeCell ref="G35:K35"/>
    <mergeCell ref="L35:S35"/>
    <mergeCell ref="A36:E36"/>
    <mergeCell ref="G36:K36"/>
    <mergeCell ref="L36:S36"/>
    <mergeCell ref="A44:E44"/>
    <mergeCell ref="G44:K44"/>
    <mergeCell ref="L44:S44"/>
    <mergeCell ref="A37:E37"/>
    <mergeCell ref="G37:K37"/>
    <mergeCell ref="L37:S37"/>
    <mergeCell ref="A38:E38"/>
    <mergeCell ref="G38:K38"/>
    <mergeCell ref="L38:S38"/>
    <mergeCell ref="L42:S42"/>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s>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72A-0FB7-4017-B74E-B40F4030AA82}">
  <sheetPr codeName="Sheet7"/>
  <dimension ref="A2:S8"/>
  <sheetViews>
    <sheetView workbookViewId="0">
      <selection activeCell="P4" sqref="P4"/>
    </sheetView>
  </sheetViews>
  <sheetFormatPr defaultRowHeight="18"/>
  <cols>
    <col min="1" max="1" width="9" bestFit="1" customWidth="1"/>
    <col min="2" max="4" width="24.09765625" customWidth="1"/>
    <col min="5" max="5" width="11" bestFit="1" customWidth="1"/>
    <col min="7" max="7" width="4.59765625" customWidth="1"/>
    <col min="13" max="13" width="13" bestFit="1" customWidth="1"/>
    <col min="14" max="14" width="4.09765625" customWidth="1"/>
    <col min="16" max="16" width="12.09765625" customWidth="1"/>
    <col min="18" max="18" width="23.5" bestFit="1" customWidth="1"/>
    <col min="19" max="19" width="19.19921875" bestFit="1" customWidth="1"/>
  </cols>
  <sheetData>
    <row r="2" spans="1:19" ht="18.600000000000001" thickBot="1">
      <c r="E2" s="211" t="s">
        <v>156</v>
      </c>
      <c r="F2" s="211"/>
      <c r="G2" s="211"/>
      <c r="P2" t="s">
        <v>165</v>
      </c>
    </row>
    <row r="3" spans="1:19" s="17" customFormat="1">
      <c r="A3" s="45"/>
      <c r="B3" s="36" t="s">
        <v>43</v>
      </c>
      <c r="C3" s="36" t="s">
        <v>154</v>
      </c>
      <c r="D3" s="37" t="s">
        <v>155</v>
      </c>
      <c r="E3" s="17" t="s">
        <v>157</v>
      </c>
      <c r="F3" s="17" t="s">
        <v>158</v>
      </c>
      <c r="H3" s="17" t="s">
        <v>22</v>
      </c>
      <c r="I3" s="17" t="s">
        <v>159</v>
      </c>
      <c r="J3" s="17" t="s">
        <v>160</v>
      </c>
      <c r="K3" s="17" t="s">
        <v>35</v>
      </c>
      <c r="L3" s="17" t="s">
        <v>161</v>
      </c>
      <c r="M3" s="42" t="s">
        <v>162</v>
      </c>
      <c r="O3" s="17" t="s">
        <v>163</v>
      </c>
      <c r="P3" s="42" t="s">
        <v>162</v>
      </c>
      <c r="R3" s="45" t="s">
        <v>166</v>
      </c>
      <c r="S3" s="41" t="s">
        <v>168</v>
      </c>
    </row>
    <row r="4" spans="1:19">
      <c r="A4" s="38" t="s">
        <v>3</v>
      </c>
      <c r="B4" s="20">
        <f>試算!V6</f>
        <v>0</v>
      </c>
      <c r="C4" s="20">
        <f>試算!AR6</f>
        <v>0</v>
      </c>
      <c r="D4" s="27">
        <f>試算!BB6</f>
        <v>0</v>
      </c>
      <c r="E4" s="20">
        <f>SUM(B4:D4)</f>
        <v>0</v>
      </c>
      <c r="F4" s="19">
        <v>100001</v>
      </c>
      <c r="G4" s="40">
        <f>IF(F4&lt;=E4,1,0)</f>
        <v>0</v>
      </c>
      <c r="H4">
        <f>IF(100000&lt;=B4,100000,B4)</f>
        <v>0</v>
      </c>
      <c r="I4">
        <f>IF(100000&lt;=C4,100000,C4)</f>
        <v>0</v>
      </c>
      <c r="J4">
        <f>IF(100000&lt;=D4,100000,D4)</f>
        <v>0</v>
      </c>
      <c r="K4">
        <f>SUM(H4:J4)</f>
        <v>0</v>
      </c>
      <c r="L4">
        <f>K4-100000</f>
        <v>-100000</v>
      </c>
      <c r="M4" s="34">
        <f>L4*G4</f>
        <v>0</v>
      </c>
      <c r="O4">
        <f>試算!AA6</f>
        <v>1</v>
      </c>
      <c r="P4" s="34">
        <f>M4*O4</f>
        <v>0</v>
      </c>
      <c r="R4" s="43">
        <f>'給与所得 '!AE4</f>
        <v>0</v>
      </c>
      <c r="S4" s="46">
        <f>IF((R4-P4)&lt;0,0,(R4-P4))</f>
        <v>0</v>
      </c>
    </row>
    <row r="5" spans="1:19">
      <c r="A5" s="38" t="s">
        <v>136</v>
      </c>
      <c r="B5" s="20">
        <f>試算!V7</f>
        <v>0</v>
      </c>
      <c r="C5" s="20">
        <f>試算!AR7</f>
        <v>0</v>
      </c>
      <c r="D5" s="27">
        <f>試算!BB7</f>
        <v>0</v>
      </c>
      <c r="E5" s="20">
        <f t="shared" ref="E5:E8" si="0">SUM(B5:D5)</f>
        <v>0</v>
      </c>
      <c r="F5" s="19">
        <v>100001</v>
      </c>
      <c r="G5" s="40">
        <f t="shared" ref="G5:G8" si="1">IF(F5&lt;=E5,1,0)</f>
        <v>0</v>
      </c>
      <c r="H5">
        <f>IF(100000&lt;=B5,100000,B5)</f>
        <v>0</v>
      </c>
      <c r="I5">
        <f t="shared" ref="I5:I8" si="2">IF(100000&lt;=C5,100000,C5)</f>
        <v>0</v>
      </c>
      <c r="J5">
        <f t="shared" ref="J5:J8" si="3">IF(100000&lt;=D5,100000,D5)</f>
        <v>0</v>
      </c>
      <c r="K5">
        <f t="shared" ref="K5:K8" si="4">SUM(H5:J5)</f>
        <v>0</v>
      </c>
      <c r="L5">
        <f t="shared" ref="L5:L8" si="5">K5-100000</f>
        <v>-100000</v>
      </c>
      <c r="M5" s="34">
        <f t="shared" ref="M5:M8" si="6">L5*G5</f>
        <v>0</v>
      </c>
      <c r="O5">
        <f>試算!AA7</f>
        <v>1</v>
      </c>
      <c r="P5" s="34">
        <f t="shared" ref="P5:P8" si="7">M5*O5</f>
        <v>0</v>
      </c>
      <c r="R5" s="43">
        <f>'給与所得 '!AE5</f>
        <v>0</v>
      </c>
      <c r="S5" s="46">
        <f t="shared" ref="S5:S8" si="8">IF((R5-P5)&lt;0,0,(R5-P5))</f>
        <v>0</v>
      </c>
    </row>
    <row r="6" spans="1:19">
      <c r="A6" s="38" t="s">
        <v>137</v>
      </c>
      <c r="B6" s="20">
        <f>試算!V8</f>
        <v>0</v>
      </c>
      <c r="C6" s="20">
        <f>試算!AR8</f>
        <v>0</v>
      </c>
      <c r="D6" s="27">
        <f>試算!BB8</f>
        <v>0</v>
      </c>
      <c r="E6" s="20">
        <f t="shared" si="0"/>
        <v>0</v>
      </c>
      <c r="F6" s="19">
        <v>100001</v>
      </c>
      <c r="G6" s="40">
        <f t="shared" si="1"/>
        <v>0</v>
      </c>
      <c r="H6">
        <f t="shared" ref="H6:H8" si="9">IF(100000&lt;=B6,100000,B6)</f>
        <v>0</v>
      </c>
      <c r="I6">
        <f t="shared" si="2"/>
        <v>0</v>
      </c>
      <c r="J6">
        <f t="shared" si="3"/>
        <v>0</v>
      </c>
      <c r="K6">
        <f t="shared" si="4"/>
        <v>0</v>
      </c>
      <c r="L6">
        <f t="shared" si="5"/>
        <v>-100000</v>
      </c>
      <c r="M6" s="34">
        <f t="shared" si="6"/>
        <v>0</v>
      </c>
      <c r="O6">
        <f>試算!AA8</f>
        <v>1</v>
      </c>
      <c r="P6" s="34">
        <f t="shared" si="7"/>
        <v>0</v>
      </c>
      <c r="R6" s="43">
        <f>'給与所得 '!AE6</f>
        <v>0</v>
      </c>
      <c r="S6" s="46">
        <f t="shared" si="8"/>
        <v>0</v>
      </c>
    </row>
    <row r="7" spans="1:19">
      <c r="A7" s="38" t="s">
        <v>138</v>
      </c>
      <c r="B7" s="20">
        <f>試算!V9</f>
        <v>0</v>
      </c>
      <c r="C7" s="20">
        <f>試算!AR9</f>
        <v>0</v>
      </c>
      <c r="D7" s="27">
        <f>試算!BB9</f>
        <v>0</v>
      </c>
      <c r="E7" s="20">
        <f t="shared" si="0"/>
        <v>0</v>
      </c>
      <c r="F7" s="19">
        <v>100001</v>
      </c>
      <c r="G7" s="40">
        <f t="shared" si="1"/>
        <v>0</v>
      </c>
      <c r="H7">
        <f t="shared" si="9"/>
        <v>0</v>
      </c>
      <c r="I7">
        <f t="shared" si="2"/>
        <v>0</v>
      </c>
      <c r="J7">
        <f t="shared" si="3"/>
        <v>0</v>
      </c>
      <c r="K7">
        <f t="shared" si="4"/>
        <v>0</v>
      </c>
      <c r="L7">
        <f t="shared" si="5"/>
        <v>-100000</v>
      </c>
      <c r="M7" s="34">
        <f t="shared" si="6"/>
        <v>0</v>
      </c>
      <c r="O7">
        <f>試算!AA9</f>
        <v>1</v>
      </c>
      <c r="P7" s="34">
        <f t="shared" si="7"/>
        <v>0</v>
      </c>
      <c r="R7" s="43">
        <f>'給与所得 '!AE7</f>
        <v>0</v>
      </c>
      <c r="S7" s="46">
        <f>IF((R7-P7)&lt;0,0,(R7-P7))</f>
        <v>0</v>
      </c>
    </row>
    <row r="8" spans="1:19" ht="18.600000000000001" thickBot="1">
      <c r="A8" s="39" t="s">
        <v>139</v>
      </c>
      <c r="B8" s="20">
        <f>試算!V10</f>
        <v>0</v>
      </c>
      <c r="C8" s="20">
        <f>試算!AR10</f>
        <v>0</v>
      </c>
      <c r="D8" s="27">
        <f>試算!BB10</f>
        <v>0</v>
      </c>
      <c r="E8" s="20">
        <f t="shared" si="0"/>
        <v>0</v>
      </c>
      <c r="F8" s="19">
        <v>100001</v>
      </c>
      <c r="G8" s="40">
        <f t="shared" si="1"/>
        <v>0</v>
      </c>
      <c r="H8">
        <f t="shared" si="9"/>
        <v>0</v>
      </c>
      <c r="I8">
        <f t="shared" si="2"/>
        <v>0</v>
      </c>
      <c r="J8">
        <f t="shared" si="3"/>
        <v>0</v>
      </c>
      <c r="K8">
        <f t="shared" si="4"/>
        <v>0</v>
      </c>
      <c r="L8">
        <f t="shared" si="5"/>
        <v>-100000</v>
      </c>
      <c r="M8" s="35">
        <f t="shared" si="6"/>
        <v>0</v>
      </c>
      <c r="O8">
        <f>試算!AA10</f>
        <v>1</v>
      </c>
      <c r="P8" s="35">
        <f t="shared" si="7"/>
        <v>0</v>
      </c>
      <c r="R8" s="44">
        <f>'給与所得 '!AE8</f>
        <v>0</v>
      </c>
      <c r="S8" s="47">
        <f t="shared" si="8"/>
        <v>0</v>
      </c>
    </row>
  </sheetData>
  <mergeCells count="1">
    <mergeCell ref="E2:G2"/>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771-756C-4716-8A4F-85AA56E0FA7B}">
  <sheetPr codeName="Sheet8"/>
  <dimension ref="B1:AK18"/>
  <sheetViews>
    <sheetView workbookViewId="0">
      <selection activeCell="AH14" sqref="AH14:AK14"/>
    </sheetView>
  </sheetViews>
  <sheetFormatPr defaultColWidth="9" defaultRowHeight="17.399999999999999"/>
  <cols>
    <col min="1" max="5" width="3.09765625" style="3" customWidth="1"/>
    <col min="6" max="7" width="5.3984375" style="3" customWidth="1"/>
    <col min="8" max="8" width="8" style="3" customWidth="1"/>
    <col min="9" max="9" width="5.3984375" style="3" customWidth="1"/>
    <col min="10" max="21" width="3.69921875" style="3" customWidth="1"/>
    <col min="22" max="22" width="3.09765625" style="3" customWidth="1"/>
    <col min="23" max="31" width="3.69921875" style="3" customWidth="1"/>
    <col min="32" max="33" width="3.09765625" style="3" customWidth="1"/>
    <col min="34" max="36" width="4.8984375" style="3" customWidth="1"/>
    <col min="37" max="37" width="11.19921875" style="3" customWidth="1"/>
    <col min="38" max="169" width="3.09765625" style="3" customWidth="1"/>
    <col min="170" max="16384" width="9" style="3"/>
  </cols>
  <sheetData>
    <row r="1" spans="2:37">
      <c r="B1" s="3" t="s">
        <v>47</v>
      </c>
    </row>
    <row r="2" spans="2:37" ht="18" thickBot="1"/>
    <row r="3" spans="2:37" ht="38.25" customHeight="1">
      <c r="F3" s="219" t="s">
        <v>169</v>
      </c>
      <c r="G3" s="220"/>
      <c r="H3" s="220"/>
      <c r="I3" s="220"/>
      <c r="J3" s="220" t="s">
        <v>45</v>
      </c>
      <c r="K3" s="220"/>
      <c r="L3" s="220"/>
      <c r="M3" s="220"/>
      <c r="N3" s="220" t="s">
        <v>44</v>
      </c>
      <c r="O3" s="220"/>
      <c r="P3" s="220"/>
      <c r="Q3" s="220"/>
      <c r="R3" s="220" t="s">
        <v>25</v>
      </c>
      <c r="S3" s="220"/>
      <c r="T3" s="220"/>
      <c r="U3" s="220"/>
      <c r="W3" s="221" t="s">
        <v>170</v>
      </c>
      <c r="X3" s="222"/>
      <c r="Y3" s="222"/>
      <c r="Z3" s="223"/>
      <c r="AB3" s="212" t="s">
        <v>171</v>
      </c>
      <c r="AC3" s="213"/>
      <c r="AD3" s="213"/>
      <c r="AE3" s="214"/>
    </row>
    <row r="4" spans="2:37">
      <c r="B4" s="2">
        <v>1</v>
      </c>
      <c r="C4" s="130" t="s">
        <v>3</v>
      </c>
      <c r="D4" s="130"/>
      <c r="E4" s="130"/>
      <c r="F4" s="215">
        <f>試算!AF6</f>
        <v>0</v>
      </c>
      <c r="G4" s="215"/>
      <c r="H4" s="215"/>
      <c r="I4" s="215"/>
      <c r="J4" s="215">
        <f>試算!AR6</f>
        <v>0</v>
      </c>
      <c r="K4" s="215"/>
      <c r="L4" s="215"/>
      <c r="M4" s="215"/>
      <c r="N4" s="215">
        <f>試算!BB6</f>
        <v>0</v>
      </c>
      <c r="O4" s="215"/>
      <c r="P4" s="215"/>
      <c r="Q4" s="215"/>
      <c r="R4" s="215">
        <f>試算!BG6</f>
        <v>0</v>
      </c>
      <c r="S4" s="215"/>
      <c r="T4" s="215"/>
      <c r="U4" s="215"/>
      <c r="W4" s="216">
        <f>SUM(F4:U4)</f>
        <v>0</v>
      </c>
      <c r="X4" s="217"/>
      <c r="Y4" s="217"/>
      <c r="Z4" s="218"/>
      <c r="AB4" s="224">
        <f>IF((ROUNDDOWN(W4-430000,-2))&lt;0,0,(ROUNDDOWN(W4-430000,-2)))</f>
        <v>0</v>
      </c>
      <c r="AC4" s="225"/>
      <c r="AD4" s="225"/>
      <c r="AE4" s="226"/>
    </row>
    <row r="5" spans="2:37">
      <c r="B5" s="2">
        <v>2</v>
      </c>
      <c r="C5" s="130" t="s">
        <v>4</v>
      </c>
      <c r="D5" s="130"/>
      <c r="E5" s="130"/>
      <c r="F5" s="215">
        <f>試算!AF7</f>
        <v>0</v>
      </c>
      <c r="G5" s="215"/>
      <c r="H5" s="215"/>
      <c r="I5" s="215"/>
      <c r="J5" s="215">
        <f>試算!AR7</f>
        <v>0</v>
      </c>
      <c r="K5" s="215"/>
      <c r="L5" s="215"/>
      <c r="M5" s="215"/>
      <c r="N5" s="215">
        <f>試算!BB7</f>
        <v>0</v>
      </c>
      <c r="O5" s="215"/>
      <c r="P5" s="215"/>
      <c r="Q5" s="215"/>
      <c r="R5" s="215">
        <f>試算!BG7</f>
        <v>0</v>
      </c>
      <c r="S5" s="215"/>
      <c r="T5" s="215"/>
      <c r="U5" s="215"/>
      <c r="W5" s="216">
        <f t="shared" ref="W5:W7" si="0">SUM(F5:U5)</f>
        <v>0</v>
      </c>
      <c r="X5" s="217"/>
      <c r="Y5" s="217"/>
      <c r="Z5" s="218"/>
      <c r="AB5" s="224">
        <f>IF((ROUNDDOWN(W5-430000,-2))&lt;0,0,(ROUNDDOWN(W5-430000,-2)))</f>
        <v>0</v>
      </c>
      <c r="AC5" s="225"/>
      <c r="AD5" s="225"/>
      <c r="AE5" s="226"/>
    </row>
    <row r="6" spans="2:37">
      <c r="B6" s="2">
        <v>3</v>
      </c>
      <c r="C6" s="130" t="s">
        <v>4</v>
      </c>
      <c r="D6" s="130"/>
      <c r="E6" s="130"/>
      <c r="F6" s="215">
        <f>試算!AF8</f>
        <v>0</v>
      </c>
      <c r="G6" s="215"/>
      <c r="H6" s="215"/>
      <c r="I6" s="215"/>
      <c r="J6" s="215">
        <f>試算!AR8</f>
        <v>0</v>
      </c>
      <c r="K6" s="215"/>
      <c r="L6" s="215"/>
      <c r="M6" s="215"/>
      <c r="N6" s="215">
        <f>試算!BB8</f>
        <v>0</v>
      </c>
      <c r="O6" s="215"/>
      <c r="P6" s="215"/>
      <c r="Q6" s="215"/>
      <c r="R6" s="215">
        <f>試算!BG8</f>
        <v>0</v>
      </c>
      <c r="S6" s="215"/>
      <c r="T6" s="215"/>
      <c r="U6" s="215"/>
      <c r="W6" s="216">
        <f t="shared" si="0"/>
        <v>0</v>
      </c>
      <c r="X6" s="217"/>
      <c r="Y6" s="217"/>
      <c r="Z6" s="218"/>
      <c r="AB6" s="224">
        <f>IF((ROUNDDOWN(W6-430000,-2))&lt;0,0,(ROUNDDOWN(W6-430000,-2)))</f>
        <v>0</v>
      </c>
      <c r="AC6" s="225"/>
      <c r="AD6" s="225"/>
      <c r="AE6" s="226"/>
    </row>
    <row r="7" spans="2:37">
      <c r="B7" s="2">
        <v>4</v>
      </c>
      <c r="C7" s="130" t="s">
        <v>4</v>
      </c>
      <c r="D7" s="130"/>
      <c r="E7" s="130"/>
      <c r="F7" s="215">
        <f>試算!AF9</f>
        <v>0</v>
      </c>
      <c r="G7" s="215"/>
      <c r="H7" s="215"/>
      <c r="I7" s="215"/>
      <c r="J7" s="215">
        <f>試算!AR9</f>
        <v>0</v>
      </c>
      <c r="K7" s="215"/>
      <c r="L7" s="215"/>
      <c r="M7" s="215"/>
      <c r="N7" s="215">
        <f>試算!BB9</f>
        <v>0</v>
      </c>
      <c r="O7" s="215"/>
      <c r="P7" s="215"/>
      <c r="Q7" s="215"/>
      <c r="R7" s="215">
        <f>試算!BG9</f>
        <v>0</v>
      </c>
      <c r="S7" s="215"/>
      <c r="T7" s="215"/>
      <c r="U7" s="215"/>
      <c r="W7" s="216">
        <f t="shared" si="0"/>
        <v>0</v>
      </c>
      <c r="X7" s="217"/>
      <c r="Y7" s="217"/>
      <c r="Z7" s="218"/>
      <c r="AB7" s="224">
        <f>IF((ROUNDDOWN(W7-430000,-2))&lt;0,0,(ROUNDDOWN(W7-430000,-2)))</f>
        <v>0</v>
      </c>
      <c r="AC7" s="225"/>
      <c r="AD7" s="225"/>
      <c r="AE7" s="226"/>
    </row>
    <row r="8" spans="2:37" ht="18" thickBot="1">
      <c r="B8" s="2">
        <v>5</v>
      </c>
      <c r="C8" s="130" t="s">
        <v>4</v>
      </c>
      <c r="D8" s="130"/>
      <c r="E8" s="130"/>
      <c r="F8" s="215">
        <f>試算!AF10</f>
        <v>0</v>
      </c>
      <c r="G8" s="215"/>
      <c r="H8" s="215"/>
      <c r="I8" s="215"/>
      <c r="J8" s="215">
        <f>試算!AR10</f>
        <v>0</v>
      </c>
      <c r="K8" s="215"/>
      <c r="L8" s="215"/>
      <c r="M8" s="215"/>
      <c r="N8" s="215">
        <f>試算!BB10</f>
        <v>0</v>
      </c>
      <c r="O8" s="215"/>
      <c r="P8" s="215"/>
      <c r="Q8" s="215"/>
      <c r="R8" s="215">
        <f>試算!BG10</f>
        <v>0</v>
      </c>
      <c r="S8" s="215"/>
      <c r="T8" s="215"/>
      <c r="U8" s="215"/>
      <c r="W8" s="227">
        <f>SUM(F8:U8)</f>
        <v>0</v>
      </c>
      <c r="X8" s="228"/>
      <c r="Y8" s="228"/>
      <c r="Z8" s="229"/>
      <c r="AB8" s="230">
        <f>IF((ROUNDDOWN(W8-430000,-2))&lt;0,0,(ROUNDDOWN(W8-430000,-2)))</f>
        <v>0</v>
      </c>
      <c r="AC8" s="231"/>
      <c r="AD8" s="231"/>
      <c r="AE8" s="232"/>
    </row>
    <row r="10" spans="2:37">
      <c r="B10" s="3" t="s">
        <v>48</v>
      </c>
    </row>
    <row r="11" spans="2:37" ht="18" thickBot="1"/>
    <row r="12" spans="2:37" ht="38.25" customHeight="1">
      <c r="F12" s="219" t="s">
        <v>169</v>
      </c>
      <c r="G12" s="220"/>
      <c r="H12" s="220"/>
      <c r="I12" s="220"/>
      <c r="J12" s="220" t="s">
        <v>45</v>
      </c>
      <c r="K12" s="220"/>
      <c r="L12" s="220"/>
      <c r="M12" s="220"/>
      <c r="N12" s="220" t="s">
        <v>44</v>
      </c>
      <c r="O12" s="220"/>
      <c r="P12" s="220"/>
      <c r="Q12" s="220"/>
      <c r="R12" s="220" t="s">
        <v>25</v>
      </c>
      <c r="S12" s="220"/>
      <c r="T12" s="220"/>
      <c r="U12" s="220"/>
      <c r="W12" s="221" t="s">
        <v>170</v>
      </c>
      <c r="X12" s="222"/>
      <c r="Y12" s="222"/>
      <c r="Z12" s="223"/>
      <c r="AB12" s="48" t="s">
        <v>22</v>
      </c>
      <c r="AC12" s="48" t="s">
        <v>172</v>
      </c>
      <c r="AD12" s="48" t="s">
        <v>173</v>
      </c>
      <c r="AH12" s="219" t="s">
        <v>174</v>
      </c>
      <c r="AI12" s="220"/>
      <c r="AJ12" s="220"/>
      <c r="AK12" s="220"/>
    </row>
    <row r="13" spans="2:37">
      <c r="B13" s="2">
        <v>1</v>
      </c>
      <c r="C13" s="130" t="s">
        <v>3</v>
      </c>
      <c r="D13" s="130"/>
      <c r="E13" s="130"/>
      <c r="F13" s="215">
        <f>F4</f>
        <v>0</v>
      </c>
      <c r="G13" s="215"/>
      <c r="H13" s="215"/>
      <c r="I13" s="215"/>
      <c r="J13" s="215">
        <f>IF(J4-150000&gt;0,(J4-150000),0)</f>
        <v>0</v>
      </c>
      <c r="K13" s="215"/>
      <c r="L13" s="215"/>
      <c r="M13" s="215"/>
      <c r="N13" s="215">
        <f>N4</f>
        <v>0</v>
      </c>
      <c r="O13" s="215"/>
      <c r="P13" s="215"/>
      <c r="Q13" s="215"/>
      <c r="R13" s="215">
        <f>R4</f>
        <v>0</v>
      </c>
      <c r="S13" s="215"/>
      <c r="T13" s="215"/>
      <c r="U13" s="215"/>
      <c r="W13" s="216">
        <f>SUM(F13:U13)</f>
        <v>0</v>
      </c>
      <c r="X13" s="217"/>
      <c r="Y13" s="217"/>
      <c r="Z13" s="218"/>
      <c r="AB13" s="3">
        <f>IF(0&lt;AH13,1,0)</f>
        <v>0</v>
      </c>
      <c r="AC13" s="3">
        <f>IF(0&lt;(J13+N13),1,0)</f>
        <v>0</v>
      </c>
      <c r="AD13" s="3">
        <f>IF(1&lt;=(AB13+AC13),1,0)</f>
        <v>0</v>
      </c>
      <c r="AH13" s="215">
        <f>試算!V6</f>
        <v>0</v>
      </c>
      <c r="AI13" s="215"/>
      <c r="AJ13" s="215"/>
      <c r="AK13" s="215"/>
    </row>
    <row r="14" spans="2:37">
      <c r="B14" s="2">
        <v>2</v>
      </c>
      <c r="C14" s="130" t="s">
        <v>4</v>
      </c>
      <c r="D14" s="130"/>
      <c r="E14" s="130"/>
      <c r="F14" s="215">
        <f>F5</f>
        <v>0</v>
      </c>
      <c r="G14" s="215"/>
      <c r="H14" s="215"/>
      <c r="I14" s="215"/>
      <c r="J14" s="215">
        <f t="shared" ref="J14:J17" si="1">IF(J5-150000&gt;0,(J5-150000),0)</f>
        <v>0</v>
      </c>
      <c r="K14" s="215"/>
      <c r="L14" s="215"/>
      <c r="M14" s="215"/>
      <c r="N14" s="215">
        <f t="shared" ref="N14:N17" si="2">N5</f>
        <v>0</v>
      </c>
      <c r="O14" s="215"/>
      <c r="P14" s="215"/>
      <c r="Q14" s="215"/>
      <c r="R14" s="215">
        <f t="shared" ref="R14:R16" si="3">R5</f>
        <v>0</v>
      </c>
      <c r="S14" s="215"/>
      <c r="T14" s="215"/>
      <c r="U14" s="215"/>
      <c r="W14" s="216">
        <f t="shared" ref="W14:W17" si="4">SUM(F14:U14)</f>
        <v>0</v>
      </c>
      <c r="X14" s="217"/>
      <c r="Y14" s="217"/>
      <c r="Z14" s="218"/>
      <c r="AB14" s="3">
        <f>IF(0&lt;AH14,1,0)</f>
        <v>0</v>
      </c>
      <c r="AC14" s="3">
        <f>IF(0&lt;(J14+N14),1,0)</f>
        <v>0</v>
      </c>
      <c r="AD14" s="3">
        <f t="shared" ref="AD14:AD17" si="5">IF(1&lt;=(AB14+AC14),1,0)</f>
        <v>0</v>
      </c>
      <c r="AH14" s="215">
        <f>試算!V7</f>
        <v>0</v>
      </c>
      <c r="AI14" s="215"/>
      <c r="AJ14" s="215"/>
      <c r="AK14" s="215"/>
    </row>
    <row r="15" spans="2:37">
      <c r="B15" s="2">
        <v>3</v>
      </c>
      <c r="C15" s="130" t="s">
        <v>4</v>
      </c>
      <c r="D15" s="130"/>
      <c r="E15" s="130"/>
      <c r="F15" s="215">
        <f>F6</f>
        <v>0</v>
      </c>
      <c r="G15" s="215"/>
      <c r="H15" s="215"/>
      <c r="I15" s="215"/>
      <c r="J15" s="215">
        <f t="shared" si="1"/>
        <v>0</v>
      </c>
      <c r="K15" s="215"/>
      <c r="L15" s="215"/>
      <c r="M15" s="215"/>
      <c r="N15" s="215">
        <f t="shared" si="2"/>
        <v>0</v>
      </c>
      <c r="O15" s="215"/>
      <c r="P15" s="215"/>
      <c r="Q15" s="215"/>
      <c r="R15" s="215">
        <f t="shared" si="3"/>
        <v>0</v>
      </c>
      <c r="S15" s="215"/>
      <c r="T15" s="215"/>
      <c r="U15" s="215"/>
      <c r="W15" s="216">
        <f t="shared" si="4"/>
        <v>0</v>
      </c>
      <c r="X15" s="217"/>
      <c r="Y15" s="217"/>
      <c r="Z15" s="218"/>
      <c r="AB15" s="3">
        <f>IF(0&lt;AH15,1,0)</f>
        <v>0</v>
      </c>
      <c r="AC15" s="3">
        <f t="shared" ref="AC15:AC17" si="6">IF(0&lt;(J15+N15),1,0)</f>
        <v>0</v>
      </c>
      <c r="AD15" s="3">
        <f t="shared" si="5"/>
        <v>0</v>
      </c>
      <c r="AH15" s="215">
        <f>試算!V8</f>
        <v>0</v>
      </c>
      <c r="AI15" s="215"/>
      <c r="AJ15" s="215"/>
      <c r="AK15" s="215"/>
    </row>
    <row r="16" spans="2:37">
      <c r="B16" s="2">
        <v>4</v>
      </c>
      <c r="C16" s="130" t="s">
        <v>4</v>
      </c>
      <c r="D16" s="130"/>
      <c r="E16" s="130"/>
      <c r="F16" s="215">
        <f>F7</f>
        <v>0</v>
      </c>
      <c r="G16" s="215"/>
      <c r="H16" s="215"/>
      <c r="I16" s="215"/>
      <c r="J16" s="215">
        <f t="shared" si="1"/>
        <v>0</v>
      </c>
      <c r="K16" s="215"/>
      <c r="L16" s="215"/>
      <c r="M16" s="215"/>
      <c r="N16" s="215">
        <f t="shared" si="2"/>
        <v>0</v>
      </c>
      <c r="O16" s="215"/>
      <c r="P16" s="215"/>
      <c r="Q16" s="215"/>
      <c r="R16" s="215">
        <f t="shared" si="3"/>
        <v>0</v>
      </c>
      <c r="S16" s="215"/>
      <c r="T16" s="215"/>
      <c r="U16" s="215"/>
      <c r="W16" s="216">
        <f>SUM(F16:U16)</f>
        <v>0</v>
      </c>
      <c r="X16" s="217"/>
      <c r="Y16" s="217"/>
      <c r="Z16" s="218"/>
      <c r="AB16" s="3">
        <f>IF(0&lt;AH16,1,0)</f>
        <v>0</v>
      </c>
      <c r="AC16" s="3">
        <f t="shared" si="6"/>
        <v>0</v>
      </c>
      <c r="AD16" s="3">
        <f t="shared" si="5"/>
        <v>0</v>
      </c>
      <c r="AH16" s="215">
        <f>試算!V9</f>
        <v>0</v>
      </c>
      <c r="AI16" s="215"/>
      <c r="AJ16" s="215"/>
      <c r="AK16" s="215"/>
    </row>
    <row r="17" spans="2:37" ht="18" thickBot="1">
      <c r="B17" s="2">
        <v>5</v>
      </c>
      <c r="C17" s="130" t="s">
        <v>4</v>
      </c>
      <c r="D17" s="130"/>
      <c r="E17" s="130"/>
      <c r="F17" s="215">
        <f>F8</f>
        <v>0</v>
      </c>
      <c r="G17" s="215"/>
      <c r="H17" s="215"/>
      <c r="I17" s="215"/>
      <c r="J17" s="215">
        <f t="shared" si="1"/>
        <v>0</v>
      </c>
      <c r="K17" s="215"/>
      <c r="L17" s="215"/>
      <c r="M17" s="215"/>
      <c r="N17" s="215">
        <f t="shared" si="2"/>
        <v>0</v>
      </c>
      <c r="O17" s="215"/>
      <c r="P17" s="215"/>
      <c r="Q17" s="215"/>
      <c r="R17" s="215">
        <f>R8</f>
        <v>0</v>
      </c>
      <c r="S17" s="215"/>
      <c r="T17" s="215"/>
      <c r="U17" s="215"/>
      <c r="W17" s="227">
        <f t="shared" si="4"/>
        <v>0</v>
      </c>
      <c r="X17" s="228"/>
      <c r="Y17" s="228"/>
      <c r="Z17" s="229"/>
      <c r="AB17" s="3">
        <f t="shared" ref="AB17" si="7">IF(0&lt;AH17,1,0)</f>
        <v>0</v>
      </c>
      <c r="AC17" s="3">
        <f t="shared" si="6"/>
        <v>0</v>
      </c>
      <c r="AD17" s="3">
        <f t="shared" si="5"/>
        <v>0</v>
      </c>
      <c r="AH17" s="215">
        <f>試算!V10</f>
        <v>0</v>
      </c>
      <c r="AI17" s="215"/>
      <c r="AJ17" s="215"/>
      <c r="AK17" s="215"/>
    </row>
    <row r="18" spans="2:37">
      <c r="J18" s="3" t="s">
        <v>49</v>
      </c>
    </row>
  </sheetData>
  <mergeCells count="82">
    <mergeCell ref="W17:Z17"/>
    <mergeCell ref="AH12:AK12"/>
    <mergeCell ref="AH13:AK13"/>
    <mergeCell ref="AH14:AK14"/>
    <mergeCell ref="AH15:AK15"/>
    <mergeCell ref="AH16:AK16"/>
    <mergeCell ref="AH17:AK17"/>
    <mergeCell ref="W15:Z15"/>
    <mergeCell ref="W16:Z16"/>
    <mergeCell ref="W13:Z13"/>
    <mergeCell ref="W14:Z14"/>
    <mergeCell ref="C17:E17"/>
    <mergeCell ref="F17:I17"/>
    <mergeCell ref="J17:M17"/>
    <mergeCell ref="N17:Q17"/>
    <mergeCell ref="R17:U17"/>
    <mergeCell ref="C16:E16"/>
    <mergeCell ref="F16:I16"/>
    <mergeCell ref="J16:M16"/>
    <mergeCell ref="N16:Q16"/>
    <mergeCell ref="R16:U16"/>
    <mergeCell ref="C15:E15"/>
    <mergeCell ref="F15:I15"/>
    <mergeCell ref="J15:M15"/>
    <mergeCell ref="N15:Q15"/>
    <mergeCell ref="R15:U15"/>
    <mergeCell ref="C14:E14"/>
    <mergeCell ref="F14:I14"/>
    <mergeCell ref="J14:M14"/>
    <mergeCell ref="N14:Q14"/>
    <mergeCell ref="R14:U14"/>
    <mergeCell ref="C13:E13"/>
    <mergeCell ref="F13:I13"/>
    <mergeCell ref="J13:M13"/>
    <mergeCell ref="N13:Q13"/>
    <mergeCell ref="R13:U13"/>
    <mergeCell ref="F12:I12"/>
    <mergeCell ref="J12:M12"/>
    <mergeCell ref="N12:Q12"/>
    <mergeCell ref="R12:U12"/>
    <mergeCell ref="W12:Z12"/>
    <mergeCell ref="W7:Z7"/>
    <mergeCell ref="AB7:AE7"/>
    <mergeCell ref="C8:E8"/>
    <mergeCell ref="F8:I8"/>
    <mergeCell ref="J8:M8"/>
    <mergeCell ref="N8:Q8"/>
    <mergeCell ref="R8:U8"/>
    <mergeCell ref="W8:Z8"/>
    <mergeCell ref="AB8:AE8"/>
    <mergeCell ref="C7:E7"/>
    <mergeCell ref="F7:I7"/>
    <mergeCell ref="J7:M7"/>
    <mergeCell ref="N7:Q7"/>
    <mergeCell ref="R7:U7"/>
    <mergeCell ref="W5:Z5"/>
    <mergeCell ref="AB5:AE5"/>
    <mergeCell ref="C6:E6"/>
    <mergeCell ref="F6:I6"/>
    <mergeCell ref="J6:M6"/>
    <mergeCell ref="N6:Q6"/>
    <mergeCell ref="R6:U6"/>
    <mergeCell ref="W6:Z6"/>
    <mergeCell ref="AB6:AE6"/>
    <mergeCell ref="C5:E5"/>
    <mergeCell ref="F5:I5"/>
    <mergeCell ref="J5:M5"/>
    <mergeCell ref="N5:Q5"/>
    <mergeCell ref="R5:U5"/>
    <mergeCell ref="AB3:AE3"/>
    <mergeCell ref="C4:E4"/>
    <mergeCell ref="F4:I4"/>
    <mergeCell ref="J4:M4"/>
    <mergeCell ref="N4:Q4"/>
    <mergeCell ref="R4:U4"/>
    <mergeCell ref="W4:Z4"/>
    <mergeCell ref="F3:I3"/>
    <mergeCell ref="J3:M3"/>
    <mergeCell ref="N3:Q3"/>
    <mergeCell ref="R3:U3"/>
    <mergeCell ref="W3:Z3"/>
    <mergeCell ref="AB4:AE4"/>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397F-2A66-4E20-A2EE-3F60055F3B00}">
  <sheetPr codeName="Sheet9"/>
  <dimension ref="A1:BF41"/>
  <sheetViews>
    <sheetView topLeftCell="O24" workbookViewId="0">
      <selection activeCell="AZ16" sqref="AZ16"/>
    </sheetView>
  </sheetViews>
  <sheetFormatPr defaultColWidth="9" defaultRowHeight="17.399999999999999"/>
  <cols>
    <col min="1" max="29" width="3.09765625" style="3" customWidth="1"/>
    <col min="30" max="32" width="5.09765625" style="3" customWidth="1"/>
    <col min="33" max="40" width="3.09765625" style="3" customWidth="1"/>
    <col min="41" max="44" width="5.69921875" style="3" customWidth="1"/>
    <col min="45" max="57" width="5" style="3" customWidth="1"/>
    <col min="58" max="153" width="3.09765625" style="3" customWidth="1"/>
    <col min="154" max="16384" width="9" style="3"/>
  </cols>
  <sheetData>
    <row r="1" spans="1:49">
      <c r="A1" s="3" t="s">
        <v>52</v>
      </c>
    </row>
    <row r="3" spans="1:49">
      <c r="B3" s="3" t="s">
        <v>53</v>
      </c>
      <c r="H3" s="220" t="s">
        <v>50</v>
      </c>
      <c r="I3" s="220"/>
      <c r="J3" s="220"/>
      <c r="K3" s="220"/>
      <c r="L3" s="220"/>
      <c r="M3" s="220"/>
      <c r="N3" s="220"/>
      <c r="O3" s="220"/>
      <c r="P3" s="220"/>
      <c r="Q3" s="220"/>
      <c r="R3" s="53"/>
      <c r="S3" s="53"/>
      <c r="T3" s="53"/>
      <c r="U3" s="53"/>
      <c r="V3" s="53"/>
      <c r="Z3" s="130" t="s">
        <v>2</v>
      </c>
      <c r="AA3" s="130"/>
      <c r="AB3" s="130"/>
      <c r="AC3" s="130"/>
      <c r="AD3" s="130" t="s">
        <v>5</v>
      </c>
      <c r="AE3" s="130"/>
      <c r="AF3" s="130"/>
      <c r="AG3" s="234" t="s">
        <v>177</v>
      </c>
      <c r="AI3" s="3" t="s">
        <v>64</v>
      </c>
    </row>
    <row r="4" spans="1:49">
      <c r="H4" s="220" t="s">
        <v>60</v>
      </c>
      <c r="I4" s="220"/>
      <c r="J4" s="220"/>
      <c r="K4" s="220"/>
      <c r="L4" s="220"/>
      <c r="M4" s="220" t="s">
        <v>61</v>
      </c>
      <c r="N4" s="220"/>
      <c r="O4" s="220"/>
      <c r="P4" s="220"/>
      <c r="Q4" s="220"/>
      <c r="R4" s="233" t="s">
        <v>175</v>
      </c>
      <c r="S4" s="233"/>
      <c r="T4" s="233"/>
      <c r="U4" s="233"/>
      <c r="V4" s="233"/>
      <c r="Z4" s="130"/>
      <c r="AA4" s="130"/>
      <c r="AB4" s="130"/>
      <c r="AC4" s="130"/>
      <c r="AD4" s="130"/>
      <c r="AE4" s="130"/>
      <c r="AF4" s="130"/>
      <c r="AG4" s="234"/>
      <c r="AI4" s="220" t="s">
        <v>54</v>
      </c>
      <c r="AJ4" s="220"/>
      <c r="AK4" s="220"/>
      <c r="AL4" s="220" t="s">
        <v>55</v>
      </c>
      <c r="AM4" s="220"/>
      <c r="AN4" s="235"/>
      <c r="AO4" s="215">
        <f>H5+AH10*R5</f>
        <v>430000</v>
      </c>
      <c r="AP4" s="215"/>
      <c r="AQ4" s="215"/>
      <c r="AR4" s="215"/>
      <c r="AS4" s="220" t="s">
        <v>65</v>
      </c>
      <c r="AT4" s="220"/>
      <c r="AU4" s="220"/>
      <c r="AV4" s="220"/>
      <c r="AW4" s="3">
        <v>70</v>
      </c>
    </row>
    <row r="5" spans="1:49">
      <c r="B5" s="220" t="s">
        <v>54</v>
      </c>
      <c r="C5" s="220"/>
      <c r="D5" s="220"/>
      <c r="E5" s="220" t="s">
        <v>55</v>
      </c>
      <c r="F5" s="220"/>
      <c r="G5" s="235"/>
      <c r="H5" s="215">
        <v>430000</v>
      </c>
      <c r="I5" s="215"/>
      <c r="J5" s="215"/>
      <c r="K5" s="215"/>
      <c r="L5" s="215"/>
      <c r="M5" s="215"/>
      <c r="N5" s="215"/>
      <c r="O5" s="215"/>
      <c r="P5" s="215"/>
      <c r="Q5" s="215"/>
      <c r="R5" s="215">
        <v>100000</v>
      </c>
      <c r="S5" s="215"/>
      <c r="T5" s="215"/>
      <c r="U5" s="215"/>
      <c r="V5" s="215"/>
      <c r="W5" s="220" t="s">
        <v>42</v>
      </c>
      <c r="X5" s="220"/>
      <c r="Z5" s="2">
        <v>1</v>
      </c>
      <c r="AA5" s="130" t="s">
        <v>3</v>
      </c>
      <c r="AB5" s="130"/>
      <c r="AC5" s="130"/>
      <c r="AD5" s="184" t="str">
        <f>試算!F6</f>
        <v/>
      </c>
      <c r="AE5" s="184"/>
      <c r="AF5" s="184"/>
      <c r="AG5" s="54">
        <f>試算!BL6</f>
        <v>0</v>
      </c>
      <c r="AI5" s="220"/>
      <c r="AJ5" s="220"/>
      <c r="AK5" s="220"/>
      <c r="AL5" s="220" t="s">
        <v>56</v>
      </c>
      <c r="AM5" s="220"/>
      <c r="AN5" s="235"/>
      <c r="AO5" s="215">
        <f>H6+M6*$AD$11+AH10*R6</f>
        <v>430000</v>
      </c>
      <c r="AP5" s="215"/>
      <c r="AQ5" s="215"/>
      <c r="AR5" s="215"/>
      <c r="AS5" s="220" t="s">
        <v>66</v>
      </c>
      <c r="AT5" s="220"/>
      <c r="AU5" s="220"/>
      <c r="AV5" s="220"/>
      <c r="AW5" s="3">
        <v>50</v>
      </c>
    </row>
    <row r="6" spans="1:49">
      <c r="B6" s="220"/>
      <c r="C6" s="220"/>
      <c r="D6" s="220"/>
      <c r="E6" s="220" t="s">
        <v>56</v>
      </c>
      <c r="F6" s="220"/>
      <c r="G6" s="235"/>
      <c r="H6" s="215">
        <v>430000</v>
      </c>
      <c r="I6" s="215"/>
      <c r="J6" s="215"/>
      <c r="K6" s="215"/>
      <c r="L6" s="215"/>
      <c r="M6" s="236">
        <v>305000</v>
      </c>
      <c r="N6" s="236"/>
      <c r="O6" s="236"/>
      <c r="P6" s="236"/>
      <c r="Q6" s="236"/>
      <c r="R6" s="215">
        <v>100000</v>
      </c>
      <c r="S6" s="215"/>
      <c r="T6" s="215"/>
      <c r="U6" s="215"/>
      <c r="V6" s="215"/>
      <c r="W6" s="220" t="s">
        <v>42</v>
      </c>
      <c r="X6" s="220"/>
      <c r="Z6" s="2">
        <v>2</v>
      </c>
      <c r="AA6" s="130" t="s">
        <v>4</v>
      </c>
      <c r="AB6" s="130"/>
      <c r="AC6" s="130"/>
      <c r="AD6" s="184" t="str">
        <f>試算!F7</f>
        <v/>
      </c>
      <c r="AE6" s="184"/>
      <c r="AF6" s="184"/>
      <c r="AG6" s="54">
        <f>試算!BL7</f>
        <v>0</v>
      </c>
      <c r="AI6" s="220"/>
      <c r="AJ6" s="220"/>
      <c r="AK6" s="220"/>
      <c r="AL6" s="220" t="s">
        <v>57</v>
      </c>
      <c r="AM6" s="220"/>
      <c r="AN6" s="235"/>
      <c r="AO6" s="215">
        <f>H7+M7*$AD$11+AH10*R7</f>
        <v>430000</v>
      </c>
      <c r="AP6" s="215"/>
      <c r="AQ6" s="215"/>
      <c r="AR6" s="215"/>
      <c r="AS6" s="220" t="s">
        <v>67</v>
      </c>
      <c r="AT6" s="220"/>
      <c r="AU6" s="220"/>
      <c r="AV6" s="220"/>
      <c r="AW6" s="3">
        <v>20</v>
      </c>
    </row>
    <row r="7" spans="1:49">
      <c r="B7" s="220"/>
      <c r="C7" s="220"/>
      <c r="D7" s="220"/>
      <c r="E7" s="220" t="s">
        <v>57</v>
      </c>
      <c r="F7" s="220"/>
      <c r="G7" s="235"/>
      <c r="H7" s="215">
        <v>430000</v>
      </c>
      <c r="I7" s="215"/>
      <c r="J7" s="215"/>
      <c r="K7" s="215"/>
      <c r="L7" s="215"/>
      <c r="M7" s="236">
        <v>560000</v>
      </c>
      <c r="N7" s="236"/>
      <c r="O7" s="236"/>
      <c r="P7" s="236"/>
      <c r="Q7" s="236"/>
      <c r="R7" s="215">
        <v>100000</v>
      </c>
      <c r="S7" s="215"/>
      <c r="T7" s="215"/>
      <c r="U7" s="215"/>
      <c r="V7" s="215"/>
      <c r="W7" s="220" t="s">
        <v>42</v>
      </c>
      <c r="X7" s="220"/>
      <c r="Z7" s="2">
        <v>3</v>
      </c>
      <c r="AA7" s="130" t="s">
        <v>4</v>
      </c>
      <c r="AB7" s="130"/>
      <c r="AC7" s="130"/>
      <c r="AD7" s="184" t="str">
        <f>試算!F8</f>
        <v/>
      </c>
      <c r="AE7" s="184"/>
      <c r="AF7" s="184"/>
      <c r="AG7" s="54">
        <f>試算!BL8</f>
        <v>0</v>
      </c>
      <c r="AI7" s="220" t="s">
        <v>59</v>
      </c>
      <c r="AJ7" s="220"/>
      <c r="AK7" s="220"/>
      <c r="AL7" s="220" t="s">
        <v>57</v>
      </c>
      <c r="AM7" s="220"/>
      <c r="AN7" s="235"/>
      <c r="AO7" s="215">
        <f>ROUNDUP(H8*(SQRT(AD11)),-4)</f>
        <v>0</v>
      </c>
      <c r="AP7" s="215"/>
      <c r="AQ7" s="215"/>
      <c r="AR7" s="215"/>
      <c r="AS7" s="220" t="s">
        <v>68</v>
      </c>
      <c r="AT7" s="220"/>
      <c r="AU7" s="220"/>
      <c r="AV7" s="220"/>
      <c r="AW7" s="3">
        <v>20</v>
      </c>
    </row>
    <row r="8" spans="1:49">
      <c r="B8" s="220" t="s">
        <v>59</v>
      </c>
      <c r="C8" s="220"/>
      <c r="D8" s="220"/>
      <c r="E8" s="220" t="s">
        <v>57</v>
      </c>
      <c r="F8" s="220"/>
      <c r="G8" s="235"/>
      <c r="H8" s="215">
        <v>1270000</v>
      </c>
      <c r="I8" s="215"/>
      <c r="J8" s="215"/>
      <c r="K8" s="215"/>
      <c r="L8" s="215"/>
      <c r="M8" s="215"/>
      <c r="N8" s="215"/>
      <c r="O8" s="215"/>
      <c r="P8" s="215"/>
      <c r="Q8" s="215"/>
      <c r="R8" s="215"/>
      <c r="S8" s="215"/>
      <c r="T8" s="215"/>
      <c r="U8" s="215"/>
      <c r="V8" s="215"/>
      <c r="W8" s="220" t="s">
        <v>62</v>
      </c>
      <c r="X8" s="220"/>
      <c r="Z8" s="2">
        <v>4</v>
      </c>
      <c r="AA8" s="130" t="s">
        <v>4</v>
      </c>
      <c r="AB8" s="130"/>
      <c r="AC8" s="130"/>
      <c r="AD8" s="184" t="str">
        <f>試算!F9</f>
        <v/>
      </c>
      <c r="AE8" s="184"/>
      <c r="AF8" s="184"/>
      <c r="AG8" s="54">
        <f>試算!BL9</f>
        <v>0</v>
      </c>
      <c r="AI8" s="220"/>
      <c r="AJ8" s="220"/>
      <c r="AK8" s="220"/>
      <c r="AL8" s="220" t="s">
        <v>58</v>
      </c>
      <c r="AM8" s="220"/>
      <c r="AN8" s="235"/>
      <c r="AO8" s="215">
        <f>IF(H9&lt;AO7,0,H9)</f>
        <v>0</v>
      </c>
      <c r="AP8" s="215"/>
      <c r="AQ8" s="215"/>
      <c r="AR8" s="215"/>
      <c r="AS8" s="220"/>
      <c r="AT8" s="220"/>
      <c r="AU8" s="220"/>
      <c r="AV8" s="220"/>
    </row>
    <row r="9" spans="1:49" ht="18" thickBot="1">
      <c r="B9" s="220"/>
      <c r="C9" s="220"/>
      <c r="D9" s="220"/>
      <c r="E9" s="220" t="s">
        <v>58</v>
      </c>
      <c r="F9" s="220"/>
      <c r="G9" s="235"/>
      <c r="H9" s="215"/>
      <c r="I9" s="215"/>
      <c r="J9" s="215"/>
      <c r="K9" s="215"/>
      <c r="L9" s="215"/>
      <c r="M9" s="215"/>
      <c r="N9" s="215"/>
      <c r="O9" s="215"/>
      <c r="P9" s="215"/>
      <c r="Q9" s="215"/>
      <c r="R9" s="215"/>
      <c r="S9" s="215"/>
      <c r="T9" s="215"/>
      <c r="U9" s="215"/>
      <c r="V9" s="215"/>
      <c r="W9" s="220" t="s">
        <v>62</v>
      </c>
      <c r="X9" s="220"/>
      <c r="Z9" s="2">
        <v>5</v>
      </c>
      <c r="AA9" s="130" t="s">
        <v>4</v>
      </c>
      <c r="AB9" s="130"/>
      <c r="AC9" s="130"/>
      <c r="AD9" s="184" t="str">
        <f>試算!F10</f>
        <v/>
      </c>
      <c r="AE9" s="184"/>
      <c r="AF9" s="184"/>
      <c r="AG9" s="55">
        <f>試算!BL10</f>
        <v>0</v>
      </c>
    </row>
    <row r="10" spans="1:49" ht="18" thickBot="1">
      <c r="AG10" s="56">
        <f>SUM(AG5:AG9)</f>
        <v>0</v>
      </c>
      <c r="AH10" s="57">
        <f>IF(1&lt;=(AG10-1),(AG10-1),0)</f>
        <v>0</v>
      </c>
      <c r="AI10" s="237" t="s">
        <v>50</v>
      </c>
      <c r="AJ10" s="220"/>
      <c r="AK10" s="220"/>
      <c r="AL10" s="220"/>
      <c r="AM10" s="220"/>
      <c r="AN10" s="220"/>
      <c r="AO10" s="215">
        <f>SUM('総・軽減所得（給与所得者等人数）'!W13:Z17)</f>
        <v>0</v>
      </c>
      <c r="AP10" s="215"/>
      <c r="AQ10" s="215"/>
      <c r="AR10" s="215"/>
    </row>
    <row r="11" spans="1:49">
      <c r="Z11" s="220" t="s">
        <v>63</v>
      </c>
      <c r="AA11" s="220"/>
      <c r="AB11" s="220"/>
      <c r="AC11" s="220"/>
      <c r="AD11" s="238">
        <f>SUM(AD13:AF15)</f>
        <v>0</v>
      </c>
      <c r="AE11" s="238"/>
      <c r="AF11" s="238"/>
    </row>
    <row r="12" spans="1:49">
      <c r="Z12" s="130" t="s">
        <v>9</v>
      </c>
      <c r="AA12" s="130"/>
      <c r="AB12" s="130"/>
      <c r="AC12" s="130"/>
      <c r="AD12" s="220">
        <f>COUNTIF(AD5:AF9,Z12)</f>
        <v>0</v>
      </c>
      <c r="AE12" s="220"/>
      <c r="AF12" s="220"/>
      <c r="AI12" s="220" t="s">
        <v>28</v>
      </c>
      <c r="AJ12" s="220"/>
      <c r="AK12" s="220"/>
      <c r="AL12" s="220"/>
      <c r="AM12" s="220"/>
      <c r="AN12" s="220"/>
      <c r="AO12" s="220" t="str">
        <f>IF(AO10&lt;=AO4,AS4,IF(AO10&lt;=AO5,AS5,IF(AO10&lt;=AO6,AS6,IF(AO10&lt;AO7,AS7,IF(AO10&lt;AO8,AS8,"軽減減免なし")))))</f>
        <v>７割軽減</v>
      </c>
      <c r="AP12" s="220"/>
      <c r="AQ12" s="220"/>
      <c r="AR12" s="220"/>
      <c r="AT12" s="4">
        <f>IF(AO12=AS4,AW4,IF(AO12=AS5,AW5,IF(AO12=AS6,AW6,IF(AO12=AS7,AW7,IF(AO12=AS8,AW8,0)))))</f>
        <v>70</v>
      </c>
    </row>
    <row r="13" spans="1:49">
      <c r="Z13" s="130" t="s">
        <v>6</v>
      </c>
      <c r="AA13" s="130"/>
      <c r="AB13" s="130"/>
      <c r="AC13" s="130"/>
      <c r="AD13" s="238">
        <f>COUNTIF(AD5:AF9,Z13)</f>
        <v>0</v>
      </c>
      <c r="AE13" s="238"/>
      <c r="AF13" s="238"/>
    </row>
    <row r="14" spans="1:49">
      <c r="Z14" s="130" t="s">
        <v>10</v>
      </c>
      <c r="AA14" s="130"/>
      <c r="AB14" s="130"/>
      <c r="AC14" s="130"/>
      <c r="AD14" s="238">
        <f>COUNTIF(AD5:AF9,Z14)</f>
        <v>0</v>
      </c>
      <c r="AE14" s="238"/>
      <c r="AF14" s="238"/>
      <c r="AI14" s="220" t="s">
        <v>84</v>
      </c>
      <c r="AJ14" s="220"/>
      <c r="AK14" s="220"/>
      <c r="AL14" s="220"/>
      <c r="AM14" s="220"/>
      <c r="AN14" s="220"/>
      <c r="AO14" s="220" t="str">
        <f>IF(AND(AD14&gt;=1,(AD13+AD15)=1),"該当","非該当")</f>
        <v>非該当</v>
      </c>
      <c r="AP14" s="220"/>
      <c r="AQ14" s="220"/>
      <c r="AR14" s="220"/>
      <c r="AT14" s="6">
        <f>IF(AO14="該当",50,0)</f>
        <v>0</v>
      </c>
    </row>
    <row r="15" spans="1:49">
      <c r="Z15" s="130" t="s">
        <v>11</v>
      </c>
      <c r="AA15" s="130"/>
      <c r="AB15" s="130"/>
      <c r="AC15" s="130"/>
      <c r="AD15" s="238">
        <f>COUNTIF(AD5:AF9,Z15)</f>
        <v>0</v>
      </c>
      <c r="AE15" s="238"/>
      <c r="AF15" s="238"/>
    </row>
    <row r="17" spans="35:54">
      <c r="AI17" s="3" t="s">
        <v>97</v>
      </c>
    </row>
    <row r="18" spans="35:54">
      <c r="AI18" s="130" t="s">
        <v>98</v>
      </c>
      <c r="AJ18" s="130"/>
      <c r="AK18" s="130"/>
      <c r="AL18" s="130"/>
      <c r="AM18" s="130"/>
      <c r="AN18" s="130"/>
      <c r="AO18" s="220" t="str">
        <f>IF(AD15&gt;0,"該当","非該当")</f>
        <v>非該当</v>
      </c>
      <c r="AP18" s="220"/>
      <c r="AQ18" s="220"/>
      <c r="AR18" s="220"/>
      <c r="AT18" s="220" t="s">
        <v>101</v>
      </c>
      <c r="AU18" s="220"/>
      <c r="AV18" s="220"/>
      <c r="AW18" s="220"/>
      <c r="AX18" s="220"/>
      <c r="AY18" s="220"/>
      <c r="AZ18" s="238" t="s">
        <v>106</v>
      </c>
      <c r="BA18" s="238"/>
      <c r="BB18" s="238"/>
    </row>
    <row r="19" spans="35:54">
      <c r="AI19" s="220" t="s">
        <v>70</v>
      </c>
      <c r="AJ19" s="220"/>
      <c r="AK19" s="220"/>
      <c r="AL19" s="220"/>
      <c r="AM19" s="220"/>
      <c r="AN19" s="220"/>
      <c r="AO19" s="220" t="str">
        <f>IF(AO18="該当","免除","減免なし")</f>
        <v>減免なし</v>
      </c>
      <c r="AP19" s="220"/>
      <c r="AQ19" s="220"/>
      <c r="AR19" s="220"/>
      <c r="AT19" s="239" t="s">
        <v>103</v>
      </c>
      <c r="AU19" s="239"/>
      <c r="AV19" s="239"/>
      <c r="AW19" s="220" t="s">
        <v>100</v>
      </c>
      <c r="AX19" s="220"/>
      <c r="AY19" s="220"/>
      <c r="AZ19" s="238" t="s">
        <v>104</v>
      </c>
      <c r="BA19" s="238"/>
      <c r="BB19" s="238"/>
    </row>
    <row r="20" spans="35:54">
      <c r="AI20" s="220" t="s">
        <v>99</v>
      </c>
      <c r="AJ20" s="220"/>
      <c r="AK20" s="220"/>
      <c r="AL20" s="220"/>
      <c r="AM20" s="220"/>
      <c r="AN20" s="220"/>
      <c r="AO20" s="220" t="str">
        <f>IF(AO18="該当","半額","減免なし")</f>
        <v>減免なし</v>
      </c>
      <c r="AP20" s="220"/>
      <c r="AQ20" s="220"/>
      <c r="AR20" s="220"/>
      <c r="AT20" s="239" t="s">
        <v>102</v>
      </c>
      <c r="AU20" s="239"/>
      <c r="AV20" s="239"/>
      <c r="AW20" s="220" t="s">
        <v>99</v>
      </c>
      <c r="AX20" s="220"/>
      <c r="AY20" s="220"/>
      <c r="AZ20" s="238" t="s">
        <v>105</v>
      </c>
      <c r="BA20" s="238"/>
      <c r="BB20" s="238"/>
    </row>
    <row r="21" spans="35:54">
      <c r="AI21" s="220" t="s">
        <v>73</v>
      </c>
      <c r="AJ21" s="220"/>
      <c r="AK21" s="220"/>
      <c r="AL21" s="220"/>
      <c r="AM21" s="220"/>
      <c r="AN21" s="220"/>
      <c r="AO21" s="220" t="str">
        <f>IF(AND(AO18="該当",(AD13+AD15)=1),"半額","減免なし")</f>
        <v>減免なし</v>
      </c>
      <c r="AP21" s="220"/>
      <c r="AQ21" s="220"/>
      <c r="AR21" s="220"/>
    </row>
    <row r="23" spans="35:54">
      <c r="AI23" s="240" t="s">
        <v>107</v>
      </c>
      <c r="AJ23" s="240"/>
      <c r="AK23" s="240"/>
      <c r="AL23" s="240"/>
      <c r="AM23" s="240"/>
      <c r="AN23" s="240"/>
      <c r="AO23" s="240" t="str">
        <f>IF(AO18="非該当","減免なし",IF(AO21="減免なし",AZ20,AZ19))</f>
        <v>減免なし</v>
      </c>
      <c r="AP23" s="240"/>
      <c r="AQ23" s="240"/>
      <c r="AR23" s="240"/>
      <c r="AT23" s="220" t="s">
        <v>112</v>
      </c>
      <c r="AU23" s="220"/>
      <c r="AV23" s="220"/>
      <c r="AW23" s="220" t="s">
        <v>104</v>
      </c>
      <c r="AX23" s="220"/>
      <c r="AY23" s="220"/>
      <c r="AZ23" s="220" t="s">
        <v>105</v>
      </c>
      <c r="BA23" s="220"/>
      <c r="BB23" s="220"/>
    </row>
    <row r="25" spans="35:54">
      <c r="AO25" s="220" t="s">
        <v>36</v>
      </c>
      <c r="AP25" s="220"/>
      <c r="AQ25" s="220"/>
      <c r="AR25" s="220"/>
      <c r="AS25" s="220"/>
      <c r="AT25" s="220"/>
      <c r="AU25" s="220" t="s">
        <v>37</v>
      </c>
      <c r="AV25" s="220"/>
      <c r="AW25" s="220"/>
      <c r="AX25" s="220"/>
      <c r="AY25" s="220"/>
      <c r="AZ25" s="220"/>
    </row>
    <row r="26" spans="35:54">
      <c r="AO26" s="220" t="s">
        <v>99</v>
      </c>
      <c r="AP26" s="220"/>
      <c r="AQ26" s="220"/>
      <c r="AR26" s="220" t="s">
        <v>73</v>
      </c>
      <c r="AS26" s="220"/>
      <c r="AT26" s="220"/>
      <c r="AU26" s="220" t="s">
        <v>99</v>
      </c>
      <c r="AV26" s="220"/>
      <c r="AW26" s="220"/>
      <c r="AX26" s="220" t="s">
        <v>73</v>
      </c>
      <c r="AY26" s="220"/>
      <c r="AZ26" s="220"/>
    </row>
    <row r="27" spans="35:54">
      <c r="AI27" s="220" t="s">
        <v>110</v>
      </c>
      <c r="AJ27" s="220"/>
      <c r="AK27" s="220"/>
      <c r="AL27" s="220"/>
      <c r="AM27" s="220"/>
      <c r="AN27" s="220"/>
      <c r="AO27" s="215">
        <f>保険料算出!H5</f>
        <v>21840</v>
      </c>
      <c r="AP27" s="215"/>
      <c r="AQ27" s="215"/>
      <c r="AR27" s="215">
        <f>保険料算出!H6</f>
        <v>25800</v>
      </c>
      <c r="AS27" s="215"/>
      <c r="AT27" s="215"/>
      <c r="AU27" s="215">
        <f>保険料算出!L5</f>
        <v>8640</v>
      </c>
      <c r="AV27" s="215"/>
      <c r="AW27" s="215"/>
      <c r="AX27" s="215">
        <f>保険料算出!L6</f>
        <v>10320</v>
      </c>
      <c r="AY27" s="215"/>
      <c r="AZ27" s="215"/>
    </row>
    <row r="28" spans="35:54" ht="18" thickBot="1">
      <c r="AI28" s="220" t="s">
        <v>108</v>
      </c>
      <c r="AJ28" s="220"/>
      <c r="AK28" s="220" t="s">
        <v>109</v>
      </c>
      <c r="AL28" s="220"/>
      <c r="AM28" s="220"/>
      <c r="AN28" s="220"/>
      <c r="AO28" s="241"/>
      <c r="AP28" s="241"/>
      <c r="AQ28" s="241"/>
      <c r="AR28" s="241"/>
      <c r="AS28" s="241"/>
      <c r="AT28" s="241"/>
      <c r="AU28" s="241"/>
      <c r="AV28" s="241"/>
      <c r="AW28" s="241"/>
      <c r="AX28" s="241"/>
      <c r="AY28" s="241"/>
      <c r="AZ28" s="241"/>
    </row>
    <row r="29" spans="35:54">
      <c r="AI29" s="220">
        <v>70</v>
      </c>
      <c r="AJ29" s="220"/>
      <c r="AK29" s="220">
        <v>0</v>
      </c>
      <c r="AL29" s="220"/>
      <c r="AM29" s="220"/>
      <c r="AN29" s="235"/>
      <c r="AO29" s="244">
        <f t="shared" ref="AO29:AO34" si="0">ROUNDUP($AO$27*AK29/100,-1)</f>
        <v>0</v>
      </c>
      <c r="AP29" s="245"/>
      <c r="AQ29" s="245"/>
      <c r="AR29" s="245">
        <f t="shared" ref="AR29:AR34" si="1">ROUNDUP($AR$27*AK29/100,-1)</f>
        <v>0</v>
      </c>
      <c r="AS29" s="245"/>
      <c r="AT29" s="245"/>
      <c r="AU29" s="245">
        <f t="shared" ref="AU29:AU34" si="2">ROUNDUP($AU$27*AK29/100,-1)</f>
        <v>0</v>
      </c>
      <c r="AV29" s="245"/>
      <c r="AW29" s="245"/>
      <c r="AX29" s="245">
        <f t="shared" ref="AX29:AX34" si="3">ROUNDUP($AX$27*AK29/100,-1)</f>
        <v>0</v>
      </c>
      <c r="AY29" s="245"/>
      <c r="AZ29" s="246"/>
    </row>
    <row r="30" spans="35:54">
      <c r="AI30" s="220">
        <v>50</v>
      </c>
      <c r="AJ30" s="220"/>
      <c r="AK30" s="220">
        <v>0</v>
      </c>
      <c r="AL30" s="220"/>
      <c r="AM30" s="220"/>
      <c r="AN30" s="235"/>
      <c r="AO30" s="242">
        <f t="shared" si="0"/>
        <v>0</v>
      </c>
      <c r="AP30" s="215"/>
      <c r="AQ30" s="215"/>
      <c r="AR30" s="215">
        <f t="shared" si="1"/>
        <v>0</v>
      </c>
      <c r="AS30" s="215"/>
      <c r="AT30" s="215"/>
      <c r="AU30" s="215">
        <f t="shared" si="2"/>
        <v>0</v>
      </c>
      <c r="AV30" s="215"/>
      <c r="AW30" s="215"/>
      <c r="AX30" s="215">
        <f t="shared" si="3"/>
        <v>0</v>
      </c>
      <c r="AY30" s="215"/>
      <c r="AZ30" s="243"/>
    </row>
    <row r="31" spans="35:54">
      <c r="AI31" s="220">
        <v>20</v>
      </c>
      <c r="AJ31" s="220"/>
      <c r="AK31" s="220">
        <v>30</v>
      </c>
      <c r="AL31" s="220"/>
      <c r="AM31" s="220"/>
      <c r="AN31" s="235"/>
      <c r="AO31" s="242">
        <f t="shared" si="0"/>
        <v>6560</v>
      </c>
      <c r="AP31" s="215"/>
      <c r="AQ31" s="215"/>
      <c r="AR31" s="215">
        <f t="shared" si="1"/>
        <v>7740</v>
      </c>
      <c r="AS31" s="215"/>
      <c r="AT31" s="215"/>
      <c r="AU31" s="215">
        <f t="shared" si="2"/>
        <v>2600</v>
      </c>
      <c r="AV31" s="215"/>
      <c r="AW31" s="215"/>
      <c r="AX31" s="215">
        <f t="shared" si="3"/>
        <v>3100</v>
      </c>
      <c r="AY31" s="215"/>
      <c r="AZ31" s="243"/>
    </row>
    <row r="32" spans="35:54">
      <c r="AI32" s="220">
        <v>20</v>
      </c>
      <c r="AJ32" s="220"/>
      <c r="AK32" s="220">
        <v>30</v>
      </c>
      <c r="AL32" s="220"/>
      <c r="AM32" s="220"/>
      <c r="AN32" s="235"/>
      <c r="AO32" s="242">
        <f t="shared" si="0"/>
        <v>6560</v>
      </c>
      <c r="AP32" s="215"/>
      <c r="AQ32" s="215"/>
      <c r="AR32" s="215">
        <f t="shared" si="1"/>
        <v>7740</v>
      </c>
      <c r="AS32" s="215"/>
      <c r="AT32" s="215"/>
      <c r="AU32" s="215">
        <f t="shared" si="2"/>
        <v>2600</v>
      </c>
      <c r="AV32" s="215"/>
      <c r="AW32" s="215"/>
      <c r="AX32" s="215">
        <f t="shared" si="3"/>
        <v>3100</v>
      </c>
      <c r="AY32" s="215"/>
      <c r="AZ32" s="243"/>
    </row>
    <row r="33" spans="35:58">
      <c r="AI33" s="220">
        <v>5</v>
      </c>
      <c r="AJ33" s="220"/>
      <c r="AK33" s="220">
        <v>45</v>
      </c>
      <c r="AL33" s="220"/>
      <c r="AM33" s="220"/>
      <c r="AN33" s="235"/>
      <c r="AO33" s="242">
        <f t="shared" si="0"/>
        <v>9830</v>
      </c>
      <c r="AP33" s="215"/>
      <c r="AQ33" s="215"/>
      <c r="AR33" s="215">
        <f t="shared" si="1"/>
        <v>11610</v>
      </c>
      <c r="AS33" s="215"/>
      <c r="AT33" s="215"/>
      <c r="AU33" s="215">
        <f t="shared" si="2"/>
        <v>3890</v>
      </c>
      <c r="AV33" s="215"/>
      <c r="AW33" s="215"/>
      <c r="AX33" s="215">
        <f t="shared" si="3"/>
        <v>4650</v>
      </c>
      <c r="AY33" s="215"/>
      <c r="AZ33" s="243"/>
    </row>
    <row r="34" spans="35:58" ht="18" thickBot="1">
      <c r="AI34" s="220">
        <v>0</v>
      </c>
      <c r="AJ34" s="220"/>
      <c r="AK34" s="220">
        <v>50</v>
      </c>
      <c r="AL34" s="220"/>
      <c r="AM34" s="220"/>
      <c r="AN34" s="235"/>
      <c r="AO34" s="251">
        <f t="shared" si="0"/>
        <v>10920</v>
      </c>
      <c r="AP34" s="252"/>
      <c r="AQ34" s="252"/>
      <c r="AR34" s="252">
        <f t="shared" si="1"/>
        <v>12900</v>
      </c>
      <c r="AS34" s="252"/>
      <c r="AT34" s="252"/>
      <c r="AU34" s="252">
        <f t="shared" si="2"/>
        <v>4320</v>
      </c>
      <c r="AV34" s="252"/>
      <c r="AW34" s="252"/>
      <c r="AX34" s="252">
        <f t="shared" si="3"/>
        <v>5160</v>
      </c>
      <c r="AY34" s="252"/>
      <c r="AZ34" s="253"/>
    </row>
    <row r="36" spans="35:58">
      <c r="AO36" s="220" t="s">
        <v>36</v>
      </c>
      <c r="AP36" s="220"/>
      <c r="AQ36" s="220"/>
      <c r="AR36" s="220"/>
      <c r="AS36" s="220"/>
      <c r="AT36" s="220"/>
      <c r="AU36" s="220" t="s">
        <v>37</v>
      </c>
      <c r="AV36" s="220"/>
      <c r="AW36" s="220"/>
      <c r="AX36" s="220"/>
      <c r="AY36" s="220"/>
      <c r="AZ36" s="220"/>
      <c r="BC36" s="220" t="s">
        <v>65</v>
      </c>
      <c r="BD36" s="220"/>
      <c r="BE36" s="220"/>
      <c r="BF36" s="220"/>
    </row>
    <row r="37" spans="35:58" ht="18" thickBot="1">
      <c r="AO37" s="250" t="s">
        <v>99</v>
      </c>
      <c r="AP37" s="250"/>
      <c r="AQ37" s="250"/>
      <c r="AR37" s="250" t="s">
        <v>73</v>
      </c>
      <c r="AS37" s="250"/>
      <c r="AT37" s="250"/>
      <c r="AU37" s="250" t="s">
        <v>99</v>
      </c>
      <c r="AV37" s="250"/>
      <c r="AW37" s="250"/>
      <c r="AX37" s="250" t="s">
        <v>73</v>
      </c>
      <c r="AY37" s="250"/>
      <c r="AZ37" s="250"/>
      <c r="BC37" s="220" t="s">
        <v>66</v>
      </c>
      <c r="BD37" s="220"/>
      <c r="BE37" s="220"/>
      <c r="BF37" s="220"/>
    </row>
    <row r="38" spans="35:58" ht="18" thickBot="1">
      <c r="AO38" s="247">
        <f>IF($AO$12=$BC$36,AO29,IF($AO$12=$BC$37,AO30,IF($AO$12=$BC$38,AO31,IF($AO$12=$BC$39,AO32,IF($AO$12=$BC$40,AO33,AO34)))))</f>
        <v>0</v>
      </c>
      <c r="AP38" s="248"/>
      <c r="AQ38" s="248"/>
      <c r="AR38" s="248">
        <f>IF($AO$12=$BC$36,AR29,IF($AO$12=$BC$37,AR30,IF($AO$12=$BC$38,AR31,IF($AO$12=$BC$39,AR32,IF($AO$12=$BC$40,AR33,AR34)))))</f>
        <v>0</v>
      </c>
      <c r="AS38" s="248"/>
      <c r="AT38" s="248"/>
      <c r="AU38" s="248">
        <f>IF($AO$12=$BC$36,AU29,IF($AO$12=$BC$37,AU30,IF($AO$12=$BC$38,AU31,IF($AO$12=$BC$39,AU32,IF($AO$12=$BC$40,AU33,AU34)))))</f>
        <v>0</v>
      </c>
      <c r="AV38" s="248"/>
      <c r="AW38" s="248"/>
      <c r="AX38" s="248">
        <f>IF($AO$12=$BC$36,AX29,IF($AO$12=$BC$37,AX30,IF($AO$12=$BC$38,AX31,IF($AO$12=$BC$39,AX32,IF($AO$12=$BC$40,AX33,AX34)))))</f>
        <v>0</v>
      </c>
      <c r="AY38" s="248"/>
      <c r="AZ38" s="249"/>
      <c r="BC38" s="220" t="s">
        <v>67</v>
      </c>
      <c r="BD38" s="220"/>
      <c r="BE38" s="220"/>
      <c r="BF38" s="220"/>
    </row>
    <row r="39" spans="35:58" ht="18" thickBot="1">
      <c r="BC39" s="220" t="s">
        <v>68</v>
      </c>
      <c r="BD39" s="220"/>
      <c r="BE39" s="220"/>
      <c r="BF39" s="220"/>
    </row>
    <row r="40" spans="35:58" ht="18" thickBot="1">
      <c r="AO40" s="247">
        <f>IF(AO23=AT23,0,AO38)</f>
        <v>0</v>
      </c>
      <c r="AP40" s="248"/>
      <c r="AQ40" s="248"/>
      <c r="AR40" s="247">
        <f>IF(AO23=AT23,0,IF(AO23=AZ23,0,AR38))</f>
        <v>0</v>
      </c>
      <c r="AS40" s="248"/>
      <c r="AT40" s="248"/>
      <c r="AU40" s="247">
        <f>IF(AO23=AT23,0,AU38)</f>
        <v>0</v>
      </c>
      <c r="AV40" s="248"/>
      <c r="AW40" s="248"/>
      <c r="AX40" s="247">
        <f>IF(AO23=AT23,0,IF(AO23=AZ23,0,AX38))</f>
        <v>0</v>
      </c>
      <c r="AY40" s="248"/>
      <c r="AZ40" s="248"/>
      <c r="BC40" s="220" t="s">
        <v>178</v>
      </c>
      <c r="BD40" s="220"/>
      <c r="BE40" s="220"/>
      <c r="BF40" s="220"/>
    </row>
    <row r="41" spans="35:58">
      <c r="BC41" s="220" t="s">
        <v>111</v>
      </c>
      <c r="BD41" s="220"/>
      <c r="BE41" s="220"/>
      <c r="BF41" s="220"/>
    </row>
  </sheetData>
  <mergeCells count="171">
    <mergeCell ref="AI34:AJ34"/>
    <mergeCell ref="AK34:AN34"/>
    <mergeCell ref="AO34:AQ34"/>
    <mergeCell ref="AR34:AT34"/>
    <mergeCell ref="AU34:AW34"/>
    <mergeCell ref="AX34:AZ34"/>
    <mergeCell ref="AI33:AJ33"/>
    <mergeCell ref="AK33:AN33"/>
    <mergeCell ref="AO33:AQ33"/>
    <mergeCell ref="AR33:AT33"/>
    <mergeCell ref="AU33:AW33"/>
    <mergeCell ref="AX33:AZ33"/>
    <mergeCell ref="BC41:BF41"/>
    <mergeCell ref="AO38:AQ38"/>
    <mergeCell ref="AR38:AT38"/>
    <mergeCell ref="AU38:AW38"/>
    <mergeCell ref="AX38:AZ38"/>
    <mergeCell ref="BC38:BF38"/>
    <mergeCell ref="BC39:BF39"/>
    <mergeCell ref="AO36:AT36"/>
    <mergeCell ref="AU36:AZ36"/>
    <mergeCell ref="BC36:BF36"/>
    <mergeCell ref="AO37:AQ37"/>
    <mergeCell ref="AR37:AT37"/>
    <mergeCell ref="AU37:AW37"/>
    <mergeCell ref="AX37:AZ37"/>
    <mergeCell ref="BC37:BF37"/>
    <mergeCell ref="AO40:AQ40"/>
    <mergeCell ref="AR40:AT40"/>
    <mergeCell ref="AU40:AW40"/>
    <mergeCell ref="AX40:AZ40"/>
    <mergeCell ref="BC40:BF40"/>
    <mergeCell ref="AR32:AT32"/>
    <mergeCell ref="AU32:AW32"/>
    <mergeCell ref="AX32:AZ32"/>
    <mergeCell ref="AI31:AJ31"/>
    <mergeCell ref="AK31:AN31"/>
    <mergeCell ref="AO31:AQ31"/>
    <mergeCell ref="AR31:AT31"/>
    <mergeCell ref="AU31:AW31"/>
    <mergeCell ref="AX31:AZ31"/>
    <mergeCell ref="AI32:AJ32"/>
    <mergeCell ref="AK32:AN32"/>
    <mergeCell ref="AO32:AQ32"/>
    <mergeCell ref="AI30:AJ30"/>
    <mergeCell ref="AK30:AN30"/>
    <mergeCell ref="AO30:AQ30"/>
    <mergeCell ref="AR30:AT30"/>
    <mergeCell ref="AU30:AW30"/>
    <mergeCell ref="AX30:AZ30"/>
    <mergeCell ref="AX28:AZ28"/>
    <mergeCell ref="AI29:AJ29"/>
    <mergeCell ref="AK29:AN29"/>
    <mergeCell ref="AO29:AQ29"/>
    <mergeCell ref="AR29:AT29"/>
    <mergeCell ref="AU29:AW29"/>
    <mergeCell ref="AX29:AZ29"/>
    <mergeCell ref="AI27:AN27"/>
    <mergeCell ref="AO27:AQ27"/>
    <mergeCell ref="AR27:AT27"/>
    <mergeCell ref="AU27:AW27"/>
    <mergeCell ref="AX27:AZ27"/>
    <mergeCell ref="AI28:AJ28"/>
    <mergeCell ref="AK28:AN28"/>
    <mergeCell ref="AO28:AQ28"/>
    <mergeCell ref="AR28:AT28"/>
    <mergeCell ref="AU28:AW28"/>
    <mergeCell ref="AZ23:BB23"/>
    <mergeCell ref="AO25:AT25"/>
    <mergeCell ref="AU25:AZ25"/>
    <mergeCell ref="AO26:AQ26"/>
    <mergeCell ref="AR26:AT26"/>
    <mergeCell ref="AU26:AW26"/>
    <mergeCell ref="AX26:AZ26"/>
    <mergeCell ref="AI21:AN21"/>
    <mergeCell ref="AO21:AR21"/>
    <mergeCell ref="AI23:AN23"/>
    <mergeCell ref="AO23:AR23"/>
    <mergeCell ref="AT23:AV23"/>
    <mergeCell ref="AW23:AY23"/>
    <mergeCell ref="AI19:AN19"/>
    <mergeCell ref="AO19:AR19"/>
    <mergeCell ref="AT19:AV19"/>
    <mergeCell ref="AW19:AY19"/>
    <mergeCell ref="AZ19:BB19"/>
    <mergeCell ref="AI20:AN20"/>
    <mergeCell ref="AO20:AR20"/>
    <mergeCell ref="AT20:AV20"/>
    <mergeCell ref="AW20:AY20"/>
    <mergeCell ref="AZ20:BB20"/>
    <mergeCell ref="Z15:AC15"/>
    <mergeCell ref="AD15:AF15"/>
    <mergeCell ref="AI18:AN18"/>
    <mergeCell ref="AO18:AR18"/>
    <mergeCell ref="AT18:AY18"/>
    <mergeCell ref="AZ18:BB18"/>
    <mergeCell ref="Z13:AC13"/>
    <mergeCell ref="AD13:AF13"/>
    <mergeCell ref="Z14:AC14"/>
    <mergeCell ref="AD14:AF14"/>
    <mergeCell ref="AI14:AN14"/>
    <mergeCell ref="AO14:AR14"/>
    <mergeCell ref="AI10:AN10"/>
    <mergeCell ref="AO10:AR10"/>
    <mergeCell ref="Z11:AC11"/>
    <mergeCell ref="AD11:AF11"/>
    <mergeCell ref="Z12:AC12"/>
    <mergeCell ref="AD12:AF12"/>
    <mergeCell ref="AI12:AN12"/>
    <mergeCell ref="AO12:AR12"/>
    <mergeCell ref="AO8:AR8"/>
    <mergeCell ref="AS8:AV8"/>
    <mergeCell ref="E9:G9"/>
    <mergeCell ref="H9:L9"/>
    <mergeCell ref="M9:Q9"/>
    <mergeCell ref="W9:X9"/>
    <mergeCell ref="AA9:AC9"/>
    <mergeCell ref="AD9:AF9"/>
    <mergeCell ref="AO7:AR7"/>
    <mergeCell ref="AS7:AV7"/>
    <mergeCell ref="R7:V7"/>
    <mergeCell ref="R8:V8"/>
    <mergeCell ref="R9:V9"/>
    <mergeCell ref="W7:X7"/>
    <mergeCell ref="AA7:AC7"/>
    <mergeCell ref="AD7:AF7"/>
    <mergeCell ref="AI7:AK8"/>
    <mergeCell ref="AL7:AN7"/>
    <mergeCell ref="B8:D9"/>
    <mergeCell ref="E8:G8"/>
    <mergeCell ref="H8:L8"/>
    <mergeCell ref="M8:Q8"/>
    <mergeCell ref="W8:X8"/>
    <mergeCell ref="AA8:AC8"/>
    <mergeCell ref="AD8:AF8"/>
    <mergeCell ref="AL8:AN8"/>
    <mergeCell ref="AL4:AN4"/>
    <mergeCell ref="AO4:AR4"/>
    <mergeCell ref="AS4:AV4"/>
    <mergeCell ref="B5:D7"/>
    <mergeCell ref="E5:G5"/>
    <mergeCell ref="H5:L5"/>
    <mergeCell ref="M5:Q5"/>
    <mergeCell ref="W5:X5"/>
    <mergeCell ref="AA5:AC5"/>
    <mergeCell ref="AD5:AF5"/>
    <mergeCell ref="AL5:AN5"/>
    <mergeCell ref="AO5:AR5"/>
    <mergeCell ref="AS5:AV5"/>
    <mergeCell ref="E6:G6"/>
    <mergeCell ref="H6:L6"/>
    <mergeCell ref="M6:Q6"/>
    <mergeCell ref="W6:X6"/>
    <mergeCell ref="AA6:AC6"/>
    <mergeCell ref="AD6:AF6"/>
    <mergeCell ref="AL6:AN6"/>
    <mergeCell ref="AS6:AV6"/>
    <mergeCell ref="E7:G7"/>
    <mergeCell ref="H7:L7"/>
    <mergeCell ref="M7:Q7"/>
    <mergeCell ref="AO6:AR6"/>
    <mergeCell ref="H3:Q3"/>
    <mergeCell ref="Z3:AC4"/>
    <mergeCell ref="AD3:AF4"/>
    <mergeCell ref="H4:L4"/>
    <mergeCell ref="M4:Q4"/>
    <mergeCell ref="AI4:AK6"/>
    <mergeCell ref="R4:V4"/>
    <mergeCell ref="R5:V5"/>
    <mergeCell ref="R6:V6"/>
    <mergeCell ref="AG3:AG4"/>
  </mergeCells>
  <phoneticPr fontId="1"/>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2:BK36"/>
  <sheetViews>
    <sheetView topLeftCell="A31" workbookViewId="0">
      <selection activeCell="R41" sqref="R41"/>
    </sheetView>
  </sheetViews>
  <sheetFormatPr defaultColWidth="9" defaultRowHeight="17.399999999999999"/>
  <cols>
    <col min="1" max="9" width="3.09765625" style="3" customWidth="1"/>
    <col min="10" max="13" width="6.69921875" style="3" customWidth="1"/>
    <col min="14" max="17" width="3.09765625" style="3" customWidth="1"/>
    <col min="18" max="21" width="3.59765625" style="3" customWidth="1"/>
    <col min="22" max="106" width="3.09765625" style="3" customWidth="1"/>
    <col min="107" max="16384" width="9" style="3"/>
  </cols>
  <sheetData>
    <row r="2" spans="2:63">
      <c r="B2" s="3" t="s">
        <v>69</v>
      </c>
    </row>
    <row r="3" spans="2:63">
      <c r="H3" s="220" t="s">
        <v>36</v>
      </c>
      <c r="I3" s="220"/>
      <c r="J3" s="220"/>
      <c r="K3" s="220"/>
      <c r="L3" s="220" t="s">
        <v>37</v>
      </c>
      <c r="M3" s="220"/>
      <c r="N3" s="220"/>
      <c r="O3" s="220"/>
      <c r="P3" s="220" t="s">
        <v>38</v>
      </c>
      <c r="Q3" s="220"/>
      <c r="R3" s="220"/>
      <c r="S3" s="220"/>
    </row>
    <row r="4" spans="2:63">
      <c r="C4" s="254" t="s">
        <v>70</v>
      </c>
      <c r="D4" s="254"/>
      <c r="E4" s="254"/>
      <c r="F4" s="254"/>
      <c r="G4" s="254"/>
      <c r="H4" s="257">
        <v>7.14</v>
      </c>
      <c r="I4" s="257"/>
      <c r="J4" s="257"/>
      <c r="K4" s="257"/>
      <c r="L4" s="257">
        <v>2.85</v>
      </c>
      <c r="M4" s="257"/>
      <c r="N4" s="257"/>
      <c r="O4" s="257"/>
      <c r="P4" s="257">
        <v>2.36</v>
      </c>
      <c r="Q4" s="257"/>
      <c r="R4" s="257"/>
      <c r="S4" s="257"/>
    </row>
    <row r="5" spans="2:63">
      <c r="C5" s="254" t="s">
        <v>71</v>
      </c>
      <c r="D5" s="254"/>
      <c r="E5" s="254"/>
      <c r="F5" s="254"/>
      <c r="G5" s="254"/>
      <c r="H5" s="255">
        <v>21840</v>
      </c>
      <c r="I5" s="255"/>
      <c r="J5" s="255"/>
      <c r="K5" s="255"/>
      <c r="L5" s="255">
        <v>8640</v>
      </c>
      <c r="M5" s="255"/>
      <c r="N5" s="255"/>
      <c r="O5" s="255"/>
      <c r="P5" s="255">
        <v>10680</v>
      </c>
      <c r="Q5" s="255"/>
      <c r="R5" s="255"/>
      <c r="S5" s="255"/>
    </row>
    <row r="6" spans="2:63">
      <c r="C6" s="254" t="s">
        <v>72</v>
      </c>
      <c r="D6" s="254"/>
      <c r="E6" s="254"/>
      <c r="F6" s="254"/>
      <c r="G6" s="254"/>
      <c r="H6" s="255">
        <v>25800</v>
      </c>
      <c r="I6" s="255"/>
      <c r="J6" s="255"/>
      <c r="K6" s="255"/>
      <c r="L6" s="255">
        <v>10320</v>
      </c>
      <c r="M6" s="255"/>
      <c r="N6" s="255"/>
      <c r="O6" s="255"/>
      <c r="P6" s="255">
        <v>8040</v>
      </c>
      <c r="Q6" s="255"/>
      <c r="R6" s="255"/>
      <c r="S6" s="255"/>
    </row>
    <row r="7" spans="2:63">
      <c r="C7" s="254" t="s">
        <v>76</v>
      </c>
      <c r="D7" s="254"/>
      <c r="E7" s="254"/>
      <c r="F7" s="254"/>
      <c r="G7" s="254"/>
      <c r="H7" s="255">
        <v>660000</v>
      </c>
      <c r="I7" s="255"/>
      <c r="J7" s="255"/>
      <c r="K7" s="255"/>
      <c r="L7" s="255">
        <v>260000</v>
      </c>
      <c r="M7" s="255"/>
      <c r="N7" s="255"/>
      <c r="O7" s="255"/>
      <c r="P7" s="255">
        <v>170000</v>
      </c>
      <c r="Q7" s="255"/>
      <c r="R7" s="255"/>
      <c r="S7" s="255"/>
    </row>
    <row r="8" spans="2:63">
      <c r="V8" s="240" t="s">
        <v>77</v>
      </c>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row>
    <row r="9" spans="2:63">
      <c r="C9" s="130" t="s">
        <v>2</v>
      </c>
      <c r="D9" s="130"/>
      <c r="E9" s="130"/>
      <c r="F9" s="130"/>
      <c r="G9" s="130" t="s">
        <v>5</v>
      </c>
      <c r="H9" s="130"/>
      <c r="I9" s="130"/>
      <c r="J9" s="130" t="s">
        <v>12</v>
      </c>
      <c r="K9" s="130"/>
      <c r="L9" s="130"/>
      <c r="M9" s="130"/>
      <c r="N9" s="159" t="s">
        <v>14</v>
      </c>
      <c r="O9" s="130"/>
      <c r="P9" s="159" t="s">
        <v>15</v>
      </c>
      <c r="Q9" s="130"/>
      <c r="R9" s="220" t="s">
        <v>46</v>
      </c>
      <c r="S9" s="220"/>
      <c r="T9" s="220"/>
      <c r="U9" s="220"/>
      <c r="V9" s="220" t="s">
        <v>75</v>
      </c>
      <c r="W9" s="220"/>
      <c r="X9" s="220"/>
      <c r="Y9" s="220"/>
      <c r="Z9" s="220"/>
      <c r="AA9" s="220"/>
      <c r="AB9" s="220"/>
      <c r="AC9" s="220"/>
      <c r="AD9" s="220"/>
      <c r="AE9" s="220"/>
      <c r="AF9" s="220"/>
      <c r="AG9" s="220"/>
      <c r="AH9" s="220"/>
      <c r="AI9" s="220"/>
      <c r="AJ9" s="220"/>
      <c r="AK9" s="220"/>
      <c r="AL9" s="235" t="s">
        <v>79</v>
      </c>
      <c r="AM9" s="258"/>
      <c r="AN9" s="258"/>
      <c r="AO9" s="258"/>
      <c r="AP9" s="258"/>
      <c r="AQ9" s="258"/>
      <c r="AR9" s="258"/>
      <c r="AS9" s="258"/>
      <c r="AT9" s="258"/>
      <c r="AU9" s="258"/>
      <c r="AV9" s="258"/>
      <c r="AW9" s="237"/>
      <c r="AX9" s="220" t="s">
        <v>82</v>
      </c>
      <c r="AY9" s="220"/>
      <c r="AZ9" s="220"/>
      <c r="BA9" s="220"/>
      <c r="BB9" s="220" t="s">
        <v>80</v>
      </c>
      <c r="BC9" s="220"/>
      <c r="BD9" s="220"/>
      <c r="BE9" s="220"/>
      <c r="BF9" s="219" t="s">
        <v>81</v>
      </c>
      <c r="BG9" s="220"/>
      <c r="BH9" s="219" t="s">
        <v>83</v>
      </c>
      <c r="BI9" s="220"/>
      <c r="BJ9" s="220"/>
      <c r="BK9" s="220"/>
    </row>
    <row r="10" spans="2:63">
      <c r="C10" s="130"/>
      <c r="D10" s="130"/>
      <c r="E10" s="130"/>
      <c r="F10" s="130"/>
      <c r="G10" s="130"/>
      <c r="H10" s="130"/>
      <c r="I10" s="130"/>
      <c r="J10" s="130"/>
      <c r="K10" s="130"/>
      <c r="L10" s="130"/>
      <c r="M10" s="130"/>
      <c r="N10" s="130"/>
      <c r="O10" s="130"/>
      <c r="P10" s="130"/>
      <c r="Q10" s="130"/>
      <c r="R10" s="220"/>
      <c r="S10" s="220"/>
      <c r="T10" s="220"/>
      <c r="U10" s="220"/>
      <c r="V10" s="220" t="s">
        <v>30</v>
      </c>
      <c r="W10" s="220"/>
      <c r="X10" s="220"/>
      <c r="Y10" s="220"/>
      <c r="Z10" s="220" t="s">
        <v>53</v>
      </c>
      <c r="AA10" s="220"/>
      <c r="AB10" s="220"/>
      <c r="AC10" s="220"/>
      <c r="AD10" s="220" t="s">
        <v>74</v>
      </c>
      <c r="AE10" s="220"/>
      <c r="AF10" s="220"/>
      <c r="AG10" s="220"/>
      <c r="AH10" s="220" t="s">
        <v>73</v>
      </c>
      <c r="AI10" s="220"/>
      <c r="AJ10" s="220"/>
      <c r="AK10" s="220"/>
      <c r="AL10" s="220" t="s">
        <v>30</v>
      </c>
      <c r="AM10" s="220"/>
      <c r="AN10" s="220"/>
      <c r="AO10" s="220"/>
      <c r="AP10" s="220" t="s">
        <v>74</v>
      </c>
      <c r="AQ10" s="220"/>
      <c r="AR10" s="220"/>
      <c r="AS10" s="220"/>
      <c r="AT10" s="220" t="s">
        <v>73</v>
      </c>
      <c r="AU10" s="220"/>
      <c r="AV10" s="220"/>
      <c r="AW10" s="220"/>
      <c r="AX10" s="220"/>
      <c r="AY10" s="220"/>
      <c r="AZ10" s="220"/>
      <c r="BA10" s="220"/>
      <c r="BB10" s="220"/>
      <c r="BC10" s="220"/>
      <c r="BD10" s="220"/>
      <c r="BE10" s="220"/>
      <c r="BF10" s="220"/>
      <c r="BG10" s="220"/>
      <c r="BH10" s="220"/>
      <c r="BI10" s="220"/>
      <c r="BJ10" s="220"/>
      <c r="BK10" s="220"/>
    </row>
    <row r="11" spans="2:63">
      <c r="C11" s="2">
        <v>1</v>
      </c>
      <c r="D11" s="130" t="s">
        <v>3</v>
      </c>
      <c r="E11" s="130"/>
      <c r="F11" s="130"/>
      <c r="G11" s="184" t="str">
        <f>試算!F6</f>
        <v/>
      </c>
      <c r="H11" s="184"/>
      <c r="I11" s="184"/>
      <c r="J11" s="159" t="str">
        <f>試算!I6</f>
        <v/>
      </c>
      <c r="K11" s="159"/>
      <c r="L11" s="159"/>
      <c r="M11" s="159"/>
      <c r="N11" s="130">
        <f>試算!M6</f>
        <v>0</v>
      </c>
      <c r="O11" s="130"/>
      <c r="P11" s="130">
        <f>試算!O6</f>
        <v>0</v>
      </c>
      <c r="Q11" s="130"/>
      <c r="R11" s="215">
        <f>'総・軽減所得（給与所得者等人数）'!AB4</f>
        <v>0</v>
      </c>
      <c r="S11" s="215"/>
      <c r="T11" s="215"/>
      <c r="U11" s="215"/>
      <c r="V11" s="215">
        <f>IF(G11="旧被扶養者",0,ROUNDDOWN(R11*$H$4/100,0))</f>
        <v>0</v>
      </c>
      <c r="W11" s="215"/>
      <c r="X11" s="215"/>
      <c r="Y11" s="215"/>
      <c r="Z11" s="220">
        <f>軽減区分算出!AT12</f>
        <v>70</v>
      </c>
      <c r="AA11" s="220"/>
      <c r="AB11" s="220"/>
      <c r="AC11" s="220"/>
      <c r="AD11" s="215">
        <f>IF(N11&gt;0,$H$5-ROUNDUP($H$5*Z11/100,0),0)-IF(G11="旧被扶養者",軽減区分算出!AO40,0)</f>
        <v>0</v>
      </c>
      <c r="AE11" s="215"/>
      <c r="AF11" s="215"/>
      <c r="AG11" s="215"/>
      <c r="AH11" s="215">
        <f>IF($N$18="非該当",($H$6-ROUNDUP($H$6*Z11/100,0)),($H$6/2-ROUNDUP($H$6/2*Z11/100,0)))-軽減区分算出!AR40</f>
        <v>7740</v>
      </c>
      <c r="AI11" s="215"/>
      <c r="AJ11" s="215"/>
      <c r="AK11" s="215"/>
      <c r="AL11" s="215">
        <f>ROUNDDOWN(V11*N11/12,0)</f>
        <v>0</v>
      </c>
      <c r="AM11" s="215"/>
      <c r="AN11" s="215"/>
      <c r="AO11" s="215"/>
      <c r="AP11" s="215">
        <f>ROUNDDOWN(AD11*N11/12,0)-IF(J11="未就学児",((AD11*0.5)/12)*N11,0)</f>
        <v>0</v>
      </c>
      <c r="AQ11" s="215"/>
      <c r="AR11" s="215"/>
      <c r="AS11" s="215"/>
      <c r="AT11" s="215">
        <f>ROUNDDOWN(AH11*N16/12,0)</f>
        <v>0</v>
      </c>
      <c r="AU11" s="215"/>
      <c r="AV11" s="215"/>
      <c r="AW11" s="215"/>
      <c r="AX11" s="262">
        <f>ROUNDDOWN(AL16+AP16+AT16,-1)</f>
        <v>0</v>
      </c>
      <c r="AY11" s="263"/>
      <c r="AZ11" s="263"/>
      <c r="BA11" s="264"/>
      <c r="BB11" s="261">
        <f>ROUNDDOWN(H7*N16/12,-1)</f>
        <v>0</v>
      </c>
      <c r="BC11" s="261"/>
      <c r="BD11" s="261"/>
      <c r="BE11" s="261"/>
      <c r="BF11" s="220" t="str">
        <f>IF(AX11&gt;BB11,"該当","非該当")</f>
        <v>非該当</v>
      </c>
      <c r="BG11" s="220"/>
      <c r="BH11" s="262">
        <f>IF(BF11="非該当",AX11,BB11)</f>
        <v>0</v>
      </c>
      <c r="BI11" s="263"/>
      <c r="BJ11" s="263"/>
      <c r="BK11" s="264"/>
    </row>
    <row r="12" spans="2:63">
      <c r="C12" s="2">
        <v>2</v>
      </c>
      <c r="D12" s="130" t="s">
        <v>4</v>
      </c>
      <c r="E12" s="130"/>
      <c r="F12" s="130"/>
      <c r="G12" s="184" t="str">
        <f>試算!F7</f>
        <v/>
      </c>
      <c r="H12" s="184"/>
      <c r="I12" s="184"/>
      <c r="J12" s="159" t="str">
        <f>試算!I7</f>
        <v/>
      </c>
      <c r="K12" s="159"/>
      <c r="L12" s="159"/>
      <c r="M12" s="159"/>
      <c r="N12" s="130">
        <f>試算!M7</f>
        <v>0</v>
      </c>
      <c r="O12" s="130"/>
      <c r="P12" s="130">
        <f>試算!O7</f>
        <v>0</v>
      </c>
      <c r="Q12" s="130"/>
      <c r="R12" s="215">
        <f>'総・軽減所得（給与所得者等人数）'!AB5</f>
        <v>0</v>
      </c>
      <c r="S12" s="215"/>
      <c r="T12" s="215"/>
      <c r="U12" s="215"/>
      <c r="V12" s="215">
        <f>IF(G12="旧被扶養者",0,ROUNDDOWN(R12*$H$4/100,0))</f>
        <v>0</v>
      </c>
      <c r="W12" s="215"/>
      <c r="X12" s="215"/>
      <c r="Y12" s="215"/>
      <c r="Z12" s="220">
        <f>$Z$11</f>
        <v>70</v>
      </c>
      <c r="AA12" s="220"/>
      <c r="AB12" s="220"/>
      <c r="AC12" s="220"/>
      <c r="AD12" s="215">
        <f>IF(N12&gt;0,$H$5-ROUNDUP($H$5*Z12/100,0),0)-IF(G12="旧被扶養者",軽減区分算出!AO40,0)</f>
        <v>0</v>
      </c>
      <c r="AE12" s="215"/>
      <c r="AF12" s="215"/>
      <c r="AG12" s="215"/>
      <c r="AH12" s="256"/>
      <c r="AI12" s="256"/>
      <c r="AJ12" s="256"/>
      <c r="AK12" s="256"/>
      <c r="AL12" s="215">
        <f>ROUNDDOWN(V12*N12/12,0)</f>
        <v>0</v>
      </c>
      <c r="AM12" s="215"/>
      <c r="AN12" s="215"/>
      <c r="AO12" s="215"/>
      <c r="AP12" s="215">
        <f>ROUNDDOWN(AD12*N12/12,0)-IF(J12="未就学児",((AD12*0.5)/12)*N12,0)</f>
        <v>0</v>
      </c>
      <c r="AQ12" s="215"/>
      <c r="AR12" s="215"/>
      <c r="AS12" s="215"/>
      <c r="AT12" s="256"/>
      <c r="AU12" s="256"/>
      <c r="AV12" s="256"/>
      <c r="AW12" s="256"/>
      <c r="AX12" s="265"/>
      <c r="AY12" s="266"/>
      <c r="AZ12" s="266"/>
      <c r="BA12" s="267"/>
      <c r="BB12" s="261"/>
      <c r="BC12" s="261"/>
      <c r="BD12" s="261"/>
      <c r="BE12" s="261"/>
      <c r="BF12" s="220"/>
      <c r="BG12" s="220"/>
      <c r="BH12" s="265"/>
      <c r="BI12" s="266"/>
      <c r="BJ12" s="266"/>
      <c r="BK12" s="267"/>
    </row>
    <row r="13" spans="2:63">
      <c r="C13" s="2">
        <v>3</v>
      </c>
      <c r="D13" s="130" t="s">
        <v>4</v>
      </c>
      <c r="E13" s="130"/>
      <c r="F13" s="130"/>
      <c r="G13" s="184" t="str">
        <f>試算!F8</f>
        <v/>
      </c>
      <c r="H13" s="184"/>
      <c r="I13" s="184"/>
      <c r="J13" s="159" t="str">
        <f>試算!I8</f>
        <v/>
      </c>
      <c r="K13" s="159"/>
      <c r="L13" s="159"/>
      <c r="M13" s="159"/>
      <c r="N13" s="130">
        <f>試算!M8</f>
        <v>0</v>
      </c>
      <c r="O13" s="130"/>
      <c r="P13" s="130">
        <f>試算!O8</f>
        <v>0</v>
      </c>
      <c r="Q13" s="130"/>
      <c r="R13" s="215">
        <f>'総・軽減所得（給与所得者等人数）'!AB6</f>
        <v>0</v>
      </c>
      <c r="S13" s="215"/>
      <c r="T13" s="215"/>
      <c r="U13" s="215"/>
      <c r="V13" s="215">
        <f>IF(G13="旧被扶養者",0,ROUNDDOWN(R13*$H$4/100,0))</f>
        <v>0</v>
      </c>
      <c r="W13" s="215"/>
      <c r="X13" s="215"/>
      <c r="Y13" s="215"/>
      <c r="Z13" s="220">
        <f t="shared" ref="Z13:Z15" si="0">$Z$11</f>
        <v>70</v>
      </c>
      <c r="AA13" s="220"/>
      <c r="AB13" s="220"/>
      <c r="AC13" s="220"/>
      <c r="AD13" s="215">
        <f>IF(N13&gt;0,$H$5-ROUNDUP($H$5*Z13/100,0),0)-IF(G13="旧被扶養者",軽減区分算出!AO40,0)</f>
        <v>0</v>
      </c>
      <c r="AE13" s="215"/>
      <c r="AF13" s="215"/>
      <c r="AG13" s="215"/>
      <c r="AH13" s="256"/>
      <c r="AI13" s="256"/>
      <c r="AJ13" s="256"/>
      <c r="AK13" s="256"/>
      <c r="AL13" s="215">
        <f t="shared" ref="AL13:AL15" si="1">ROUNDDOWN(V13*N13/12,0)</f>
        <v>0</v>
      </c>
      <c r="AM13" s="215"/>
      <c r="AN13" s="215"/>
      <c r="AO13" s="215"/>
      <c r="AP13" s="215">
        <f t="shared" ref="AP13:AP14" si="2">ROUNDDOWN(AD13*N13/12,0)-IF(J13="未就学児",((AD13*0.5)/12)*N13,0)</f>
        <v>0</v>
      </c>
      <c r="AQ13" s="215"/>
      <c r="AR13" s="215"/>
      <c r="AS13" s="215"/>
      <c r="AT13" s="256"/>
      <c r="AU13" s="256"/>
      <c r="AV13" s="256"/>
      <c r="AW13" s="256"/>
      <c r="AX13" s="265"/>
      <c r="AY13" s="266"/>
      <c r="AZ13" s="266"/>
      <c r="BA13" s="267"/>
      <c r="BB13" s="261"/>
      <c r="BC13" s="261"/>
      <c r="BD13" s="261"/>
      <c r="BE13" s="261"/>
      <c r="BF13" s="220"/>
      <c r="BG13" s="220"/>
      <c r="BH13" s="265"/>
      <c r="BI13" s="266"/>
      <c r="BJ13" s="266"/>
      <c r="BK13" s="267"/>
    </row>
    <row r="14" spans="2:63">
      <c r="C14" s="2">
        <v>4</v>
      </c>
      <c r="D14" s="130" t="s">
        <v>4</v>
      </c>
      <c r="E14" s="130"/>
      <c r="F14" s="130"/>
      <c r="G14" s="184" t="str">
        <f>試算!F9</f>
        <v/>
      </c>
      <c r="H14" s="184"/>
      <c r="I14" s="184"/>
      <c r="J14" s="159" t="str">
        <f>試算!I9</f>
        <v/>
      </c>
      <c r="K14" s="159"/>
      <c r="L14" s="159"/>
      <c r="M14" s="159"/>
      <c r="N14" s="130">
        <f>試算!M9</f>
        <v>0</v>
      </c>
      <c r="O14" s="130"/>
      <c r="P14" s="130">
        <f>試算!O9</f>
        <v>0</v>
      </c>
      <c r="Q14" s="130"/>
      <c r="R14" s="215">
        <f>'総・軽減所得（給与所得者等人数）'!AB7</f>
        <v>0</v>
      </c>
      <c r="S14" s="215"/>
      <c r="T14" s="215"/>
      <c r="U14" s="215"/>
      <c r="V14" s="215">
        <f>IF(G14="旧被扶養者",0,ROUNDDOWN(R14*$H$4/100,0))</f>
        <v>0</v>
      </c>
      <c r="W14" s="215"/>
      <c r="X14" s="215"/>
      <c r="Y14" s="215"/>
      <c r="Z14" s="220">
        <f t="shared" si="0"/>
        <v>70</v>
      </c>
      <c r="AA14" s="220"/>
      <c r="AB14" s="220"/>
      <c r="AC14" s="220"/>
      <c r="AD14" s="215">
        <f>IF(N14&gt;0,$H$5-ROUNDUP($H$5*Z14/100,0),0)-IF(G14="旧被扶養者",軽減区分算出!AO40,0)</f>
        <v>0</v>
      </c>
      <c r="AE14" s="215"/>
      <c r="AF14" s="215"/>
      <c r="AG14" s="215"/>
      <c r="AH14" s="256"/>
      <c r="AI14" s="256"/>
      <c r="AJ14" s="256"/>
      <c r="AK14" s="256"/>
      <c r="AL14" s="215">
        <f t="shared" si="1"/>
        <v>0</v>
      </c>
      <c r="AM14" s="215"/>
      <c r="AN14" s="215"/>
      <c r="AO14" s="215"/>
      <c r="AP14" s="215">
        <f t="shared" si="2"/>
        <v>0</v>
      </c>
      <c r="AQ14" s="215"/>
      <c r="AR14" s="215"/>
      <c r="AS14" s="215"/>
      <c r="AT14" s="256"/>
      <c r="AU14" s="256"/>
      <c r="AV14" s="256"/>
      <c r="AW14" s="256"/>
      <c r="AX14" s="265"/>
      <c r="AY14" s="266"/>
      <c r="AZ14" s="266"/>
      <c r="BA14" s="267"/>
      <c r="BB14" s="261"/>
      <c r="BC14" s="261"/>
      <c r="BD14" s="261"/>
      <c r="BE14" s="261"/>
      <c r="BF14" s="220"/>
      <c r="BG14" s="220"/>
      <c r="BH14" s="265"/>
      <c r="BI14" s="266"/>
      <c r="BJ14" s="266"/>
      <c r="BK14" s="267"/>
    </row>
    <row r="15" spans="2:63">
      <c r="C15" s="2">
        <v>5</v>
      </c>
      <c r="D15" s="130" t="s">
        <v>4</v>
      </c>
      <c r="E15" s="130"/>
      <c r="F15" s="130"/>
      <c r="G15" s="184" t="str">
        <f>試算!F10</f>
        <v/>
      </c>
      <c r="H15" s="184"/>
      <c r="I15" s="184"/>
      <c r="J15" s="159" t="str">
        <f>試算!I10</f>
        <v/>
      </c>
      <c r="K15" s="159"/>
      <c r="L15" s="159"/>
      <c r="M15" s="159"/>
      <c r="N15" s="130">
        <f>試算!M10</f>
        <v>0</v>
      </c>
      <c r="O15" s="130"/>
      <c r="P15" s="130">
        <f>試算!O10</f>
        <v>0</v>
      </c>
      <c r="Q15" s="130"/>
      <c r="R15" s="215">
        <f>'総・軽減所得（給与所得者等人数）'!AB8</f>
        <v>0</v>
      </c>
      <c r="S15" s="215"/>
      <c r="T15" s="215"/>
      <c r="U15" s="215"/>
      <c r="V15" s="215">
        <f>IF(G15="旧被扶養者",0,ROUNDDOWN(R15*$H$4/100,0))</f>
        <v>0</v>
      </c>
      <c r="W15" s="215"/>
      <c r="X15" s="215"/>
      <c r="Y15" s="215"/>
      <c r="Z15" s="220">
        <f t="shared" si="0"/>
        <v>70</v>
      </c>
      <c r="AA15" s="220"/>
      <c r="AB15" s="220"/>
      <c r="AC15" s="220"/>
      <c r="AD15" s="215">
        <f>IF(N15&gt;0,$H$5-ROUNDUP($H$5*Z15/100,0),0)-IF(G15="旧被扶養者",軽減区分算出!AO40,0)</f>
        <v>0</v>
      </c>
      <c r="AE15" s="215"/>
      <c r="AF15" s="215"/>
      <c r="AG15" s="215"/>
      <c r="AH15" s="256"/>
      <c r="AI15" s="256"/>
      <c r="AJ15" s="256"/>
      <c r="AK15" s="256"/>
      <c r="AL15" s="215">
        <f t="shared" si="1"/>
        <v>0</v>
      </c>
      <c r="AM15" s="215"/>
      <c r="AN15" s="215"/>
      <c r="AO15" s="215"/>
      <c r="AP15" s="215">
        <f>ROUNDDOWN(AD15*N15/12,0)-IF(J15="未就学児",((AD15*0.5)/12)*N15,0)</f>
        <v>0</v>
      </c>
      <c r="AQ15" s="215"/>
      <c r="AR15" s="215"/>
      <c r="AS15" s="215"/>
      <c r="AT15" s="256"/>
      <c r="AU15" s="256"/>
      <c r="AV15" s="256"/>
      <c r="AW15" s="256"/>
      <c r="AX15" s="268"/>
      <c r="AY15" s="269"/>
      <c r="AZ15" s="269"/>
      <c r="BA15" s="270"/>
      <c r="BB15" s="261"/>
      <c r="BC15" s="261"/>
      <c r="BD15" s="261"/>
      <c r="BE15" s="261"/>
      <c r="BF15" s="220"/>
      <c r="BG15" s="220"/>
      <c r="BH15" s="268"/>
      <c r="BI15" s="269"/>
      <c r="BJ15" s="269"/>
      <c r="BK15" s="270"/>
    </row>
    <row r="16" spans="2:63">
      <c r="M16" s="5" t="s">
        <v>78</v>
      </c>
      <c r="N16" s="220">
        <f>MAX(N11:O15)</f>
        <v>0</v>
      </c>
      <c r="O16" s="220"/>
      <c r="P16" s="220">
        <f>MAX(P11:Q15)</f>
        <v>0</v>
      </c>
      <c r="Q16" s="220"/>
      <c r="V16" s="259">
        <f>SUM(V11:Y15)</f>
        <v>0</v>
      </c>
      <c r="W16" s="260"/>
      <c r="X16" s="260"/>
      <c r="Y16" s="260"/>
      <c r="AD16" s="259">
        <f>SUM(AD11:AG15)</f>
        <v>0</v>
      </c>
      <c r="AE16" s="260"/>
      <c r="AF16" s="260"/>
      <c r="AG16" s="260"/>
      <c r="AH16" s="259">
        <f>SUM(AH11:AK15)</f>
        <v>7740</v>
      </c>
      <c r="AI16" s="260"/>
      <c r="AJ16" s="260"/>
      <c r="AK16" s="260"/>
      <c r="AL16" s="259">
        <f>SUM(AL11:AO15)</f>
        <v>0</v>
      </c>
      <c r="AM16" s="260"/>
      <c r="AN16" s="260"/>
      <c r="AO16" s="260"/>
      <c r="AP16" s="259">
        <f>SUM(AP11:AS15)</f>
        <v>0</v>
      </c>
      <c r="AQ16" s="260"/>
      <c r="AR16" s="260"/>
      <c r="AS16" s="260"/>
      <c r="AT16" s="259">
        <f>SUM(AT11:AW15)</f>
        <v>0</v>
      </c>
      <c r="AU16" s="260"/>
      <c r="AV16" s="260"/>
      <c r="AW16" s="260"/>
      <c r="AX16" s="5"/>
      <c r="AY16" s="5"/>
      <c r="AZ16" s="5"/>
      <c r="BA16" s="5"/>
    </row>
    <row r="18" spans="10:63">
      <c r="J18" s="220" t="s">
        <v>85</v>
      </c>
      <c r="K18" s="220"/>
      <c r="L18" s="220"/>
      <c r="M18" s="220"/>
      <c r="N18" s="220" t="str">
        <f>軽減区分算出!AO14</f>
        <v>非該当</v>
      </c>
      <c r="O18" s="220"/>
      <c r="P18" s="220"/>
      <c r="Q18" s="220"/>
      <c r="V18" s="240" t="s">
        <v>37</v>
      </c>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row>
    <row r="19" spans="10:63">
      <c r="J19" s="220" t="s">
        <v>113</v>
      </c>
      <c r="K19" s="220"/>
      <c r="L19" s="220"/>
      <c r="M19" s="220"/>
      <c r="N19" s="220" t="str">
        <f>軽減区分算出!AO23</f>
        <v>減免なし</v>
      </c>
      <c r="O19" s="220"/>
      <c r="P19" s="220"/>
      <c r="Q19" s="220"/>
      <c r="V19" s="220" t="s">
        <v>75</v>
      </c>
      <c r="W19" s="220"/>
      <c r="X19" s="220"/>
      <c r="Y19" s="220"/>
      <c r="Z19" s="220"/>
      <c r="AA19" s="220"/>
      <c r="AB19" s="220"/>
      <c r="AC19" s="220"/>
      <c r="AD19" s="220"/>
      <c r="AE19" s="220"/>
      <c r="AF19" s="220"/>
      <c r="AG19" s="220"/>
      <c r="AH19" s="220"/>
      <c r="AI19" s="220"/>
      <c r="AJ19" s="220"/>
      <c r="AK19" s="220"/>
      <c r="AL19" s="235" t="s">
        <v>79</v>
      </c>
      <c r="AM19" s="258"/>
      <c r="AN19" s="258"/>
      <c r="AO19" s="258"/>
      <c r="AP19" s="258"/>
      <c r="AQ19" s="258"/>
      <c r="AR19" s="258"/>
      <c r="AS19" s="258"/>
      <c r="AT19" s="258"/>
      <c r="AU19" s="258"/>
      <c r="AV19" s="258"/>
      <c r="AW19" s="237"/>
      <c r="AX19" s="220" t="s">
        <v>82</v>
      </c>
      <c r="AY19" s="220"/>
      <c r="AZ19" s="220"/>
      <c r="BA19" s="220"/>
      <c r="BB19" s="220" t="s">
        <v>80</v>
      </c>
      <c r="BC19" s="220"/>
      <c r="BD19" s="220"/>
      <c r="BE19" s="220"/>
      <c r="BF19" s="219" t="s">
        <v>81</v>
      </c>
      <c r="BG19" s="220"/>
      <c r="BH19" s="219" t="s">
        <v>83</v>
      </c>
      <c r="BI19" s="220"/>
      <c r="BJ19" s="220"/>
      <c r="BK19" s="220"/>
    </row>
    <row r="20" spans="10:63">
      <c r="V20" s="220" t="s">
        <v>30</v>
      </c>
      <c r="W20" s="220"/>
      <c r="X20" s="220"/>
      <c r="Y20" s="220"/>
      <c r="Z20" s="220" t="s">
        <v>53</v>
      </c>
      <c r="AA20" s="220"/>
      <c r="AB20" s="220"/>
      <c r="AC20" s="220"/>
      <c r="AD20" s="220" t="s">
        <v>74</v>
      </c>
      <c r="AE20" s="220"/>
      <c r="AF20" s="220"/>
      <c r="AG20" s="220"/>
      <c r="AH20" s="220" t="s">
        <v>73</v>
      </c>
      <c r="AI20" s="220"/>
      <c r="AJ20" s="220"/>
      <c r="AK20" s="220"/>
      <c r="AL20" s="220" t="s">
        <v>30</v>
      </c>
      <c r="AM20" s="220"/>
      <c r="AN20" s="220"/>
      <c r="AO20" s="220"/>
      <c r="AP20" s="220" t="s">
        <v>74</v>
      </c>
      <c r="AQ20" s="220"/>
      <c r="AR20" s="220"/>
      <c r="AS20" s="220"/>
      <c r="AT20" s="220" t="s">
        <v>73</v>
      </c>
      <c r="AU20" s="220"/>
      <c r="AV20" s="220"/>
      <c r="AW20" s="220"/>
      <c r="AX20" s="220"/>
      <c r="AY20" s="220"/>
      <c r="AZ20" s="220"/>
      <c r="BA20" s="220"/>
      <c r="BB20" s="220"/>
      <c r="BC20" s="220"/>
      <c r="BD20" s="220"/>
      <c r="BE20" s="220"/>
      <c r="BF20" s="220"/>
      <c r="BG20" s="220"/>
      <c r="BH20" s="220"/>
      <c r="BI20" s="220"/>
      <c r="BJ20" s="220"/>
      <c r="BK20" s="220"/>
    </row>
    <row r="21" spans="10:63">
      <c r="V21" s="215">
        <f>IF(G11="旧被扶養者",0,ROUNDDOWN(R11*$L$4/100,0))</f>
        <v>0</v>
      </c>
      <c r="W21" s="215"/>
      <c r="X21" s="215"/>
      <c r="Y21" s="215"/>
      <c r="Z21" s="220">
        <f>$Z$11</f>
        <v>70</v>
      </c>
      <c r="AA21" s="220"/>
      <c r="AB21" s="220"/>
      <c r="AC21" s="220"/>
      <c r="AD21" s="215">
        <f>IF(N11&gt;0,$L$5-ROUNDUP($L$5*Z21/100,0),0)-IF(G11="旧被扶養者",軽減区分算出!AU40,0)</f>
        <v>0</v>
      </c>
      <c r="AE21" s="215"/>
      <c r="AF21" s="215"/>
      <c r="AG21" s="215"/>
      <c r="AH21" s="215">
        <f>IF($N$18="非該当",($L$6-ROUNDUP($L$6*Z21/100,0)),($L$6/2-ROUNDUP($L$6/2*Z21/100,0)))-軽減区分算出!AX40</f>
        <v>3096</v>
      </c>
      <c r="AI21" s="215"/>
      <c r="AJ21" s="215"/>
      <c r="AK21" s="215"/>
      <c r="AL21" s="215">
        <f>ROUNDDOWN(V21*N11/12,0)</f>
        <v>0</v>
      </c>
      <c r="AM21" s="215"/>
      <c r="AN21" s="215"/>
      <c r="AO21" s="215"/>
      <c r="AP21" s="271">
        <f>ROUNDDOWN(AD21*N11/12,0)-IF(J11="未就学児",((AD21*0.5)/12)*N11,0)</f>
        <v>0</v>
      </c>
      <c r="AQ21" s="272"/>
      <c r="AR21" s="272"/>
      <c r="AS21" s="273"/>
      <c r="AT21" s="215">
        <f>ROUNDDOWN(AH21*N16/12,0)</f>
        <v>0</v>
      </c>
      <c r="AU21" s="215"/>
      <c r="AV21" s="215"/>
      <c r="AW21" s="215"/>
      <c r="AX21" s="262">
        <f>ROUNDDOWN(AL26+AP26+AT26,-1)</f>
        <v>0</v>
      </c>
      <c r="AY21" s="263"/>
      <c r="AZ21" s="263"/>
      <c r="BA21" s="264"/>
      <c r="BB21" s="261">
        <f>ROUNDDOWN(L7*N16/12,-1)</f>
        <v>0</v>
      </c>
      <c r="BC21" s="261"/>
      <c r="BD21" s="261"/>
      <c r="BE21" s="261"/>
      <c r="BF21" s="220" t="str">
        <f>IF(AX21&gt;BB21,"該当","非該当")</f>
        <v>非該当</v>
      </c>
      <c r="BG21" s="220"/>
      <c r="BH21" s="262">
        <f>IF(BF21="非該当",AX21,BB21)</f>
        <v>0</v>
      </c>
      <c r="BI21" s="263"/>
      <c r="BJ21" s="263"/>
      <c r="BK21" s="264"/>
    </row>
    <row r="22" spans="10:63">
      <c r="V22" s="215">
        <f>IF(G12="旧被扶養者",0,ROUNDDOWN(R12*$L$4/100,0))</f>
        <v>0</v>
      </c>
      <c r="W22" s="215"/>
      <c r="X22" s="215"/>
      <c r="Y22" s="215"/>
      <c r="Z22" s="220">
        <f>$Z$11</f>
        <v>70</v>
      </c>
      <c r="AA22" s="220"/>
      <c r="AB22" s="220"/>
      <c r="AC22" s="220"/>
      <c r="AD22" s="215">
        <f>IF(N12&gt;0,$L$5-ROUNDUP($L$5*Z22/100,0),0)-IF(G12="旧被扶養者",軽減区分算出!AU40,0)</f>
        <v>0</v>
      </c>
      <c r="AE22" s="215"/>
      <c r="AF22" s="215"/>
      <c r="AG22" s="215"/>
      <c r="AH22" s="256"/>
      <c r="AI22" s="256"/>
      <c r="AJ22" s="256"/>
      <c r="AK22" s="256"/>
      <c r="AL22" s="215">
        <f>ROUNDDOWN(V22*N12/12,0)</f>
        <v>0</v>
      </c>
      <c r="AM22" s="215"/>
      <c r="AN22" s="215"/>
      <c r="AO22" s="215"/>
      <c r="AP22" s="271">
        <f t="shared" ref="AP22:AP24" si="3">ROUNDDOWN(AD22*N12/12,0)-IF(J12="未就学児",((AD22*0.5)/12)*N12,0)</f>
        <v>0</v>
      </c>
      <c r="AQ22" s="272"/>
      <c r="AR22" s="272"/>
      <c r="AS22" s="273"/>
      <c r="AT22" s="256"/>
      <c r="AU22" s="256"/>
      <c r="AV22" s="256"/>
      <c r="AW22" s="256"/>
      <c r="AX22" s="265"/>
      <c r="AY22" s="266"/>
      <c r="AZ22" s="266"/>
      <c r="BA22" s="267"/>
      <c r="BB22" s="261"/>
      <c r="BC22" s="261"/>
      <c r="BD22" s="261"/>
      <c r="BE22" s="261"/>
      <c r="BF22" s="220"/>
      <c r="BG22" s="220"/>
      <c r="BH22" s="265"/>
      <c r="BI22" s="266"/>
      <c r="BJ22" s="266"/>
      <c r="BK22" s="267"/>
    </row>
    <row r="23" spans="10:63">
      <c r="V23" s="215">
        <f>IF(G13="旧被扶養者",0,ROUNDDOWN(R13*$L$4/100,0))</f>
        <v>0</v>
      </c>
      <c r="W23" s="215"/>
      <c r="X23" s="215"/>
      <c r="Y23" s="215"/>
      <c r="Z23" s="220">
        <f t="shared" ref="Z23:Z25" si="4">$Z$11</f>
        <v>70</v>
      </c>
      <c r="AA23" s="220"/>
      <c r="AB23" s="220"/>
      <c r="AC23" s="220"/>
      <c r="AD23" s="215">
        <f>IF(N13&gt;0,$L$5-ROUNDUP($L$5*Z23/100,0),0)-IF(G13="旧被扶養者",軽減区分算出!AU40,0)</f>
        <v>0</v>
      </c>
      <c r="AE23" s="215"/>
      <c r="AF23" s="215"/>
      <c r="AG23" s="215"/>
      <c r="AH23" s="256"/>
      <c r="AI23" s="256"/>
      <c r="AJ23" s="256"/>
      <c r="AK23" s="256"/>
      <c r="AL23" s="215">
        <f t="shared" ref="AL23:AL25" si="5">ROUNDDOWN(V23*N13/12,0)</f>
        <v>0</v>
      </c>
      <c r="AM23" s="215"/>
      <c r="AN23" s="215"/>
      <c r="AO23" s="215"/>
      <c r="AP23" s="271">
        <f t="shared" si="3"/>
        <v>0</v>
      </c>
      <c r="AQ23" s="272"/>
      <c r="AR23" s="272"/>
      <c r="AS23" s="273"/>
      <c r="AT23" s="256"/>
      <c r="AU23" s="256"/>
      <c r="AV23" s="256"/>
      <c r="AW23" s="256"/>
      <c r="AX23" s="265"/>
      <c r="AY23" s="266"/>
      <c r="AZ23" s="266"/>
      <c r="BA23" s="267"/>
      <c r="BB23" s="261"/>
      <c r="BC23" s="261"/>
      <c r="BD23" s="261"/>
      <c r="BE23" s="261"/>
      <c r="BF23" s="220"/>
      <c r="BG23" s="220"/>
      <c r="BH23" s="265"/>
      <c r="BI23" s="266"/>
      <c r="BJ23" s="266"/>
      <c r="BK23" s="267"/>
    </row>
    <row r="24" spans="10:63">
      <c r="V24" s="215">
        <f>IF(G14="旧被扶養者",0,ROUNDDOWN(R14*$L$4/100,0))</f>
        <v>0</v>
      </c>
      <c r="W24" s="215"/>
      <c r="X24" s="215"/>
      <c r="Y24" s="215"/>
      <c r="Z24" s="220">
        <f t="shared" si="4"/>
        <v>70</v>
      </c>
      <c r="AA24" s="220"/>
      <c r="AB24" s="220"/>
      <c r="AC24" s="220"/>
      <c r="AD24" s="215">
        <f>IF(N14&gt;0,$L$5-ROUNDUP($L$5*Z24/100,0),0)-IF(G14="旧被扶養者",軽減区分算出!AU40,0)</f>
        <v>0</v>
      </c>
      <c r="AE24" s="215"/>
      <c r="AF24" s="215"/>
      <c r="AG24" s="215"/>
      <c r="AH24" s="256"/>
      <c r="AI24" s="256"/>
      <c r="AJ24" s="256"/>
      <c r="AK24" s="256"/>
      <c r="AL24" s="215">
        <f t="shared" si="5"/>
        <v>0</v>
      </c>
      <c r="AM24" s="215"/>
      <c r="AN24" s="215"/>
      <c r="AO24" s="215"/>
      <c r="AP24" s="271">
        <f t="shared" si="3"/>
        <v>0</v>
      </c>
      <c r="AQ24" s="272"/>
      <c r="AR24" s="272"/>
      <c r="AS24" s="273"/>
      <c r="AT24" s="256"/>
      <c r="AU24" s="256"/>
      <c r="AV24" s="256"/>
      <c r="AW24" s="256"/>
      <c r="AX24" s="265"/>
      <c r="AY24" s="266"/>
      <c r="AZ24" s="266"/>
      <c r="BA24" s="267"/>
      <c r="BB24" s="261"/>
      <c r="BC24" s="261"/>
      <c r="BD24" s="261"/>
      <c r="BE24" s="261"/>
      <c r="BF24" s="220"/>
      <c r="BG24" s="220"/>
      <c r="BH24" s="265"/>
      <c r="BI24" s="266"/>
      <c r="BJ24" s="266"/>
      <c r="BK24" s="267"/>
    </row>
    <row r="25" spans="10:63">
      <c r="V25" s="215">
        <f>IF(G15="旧被扶養者",0,ROUNDDOWN(R15*$L$4/100,0))</f>
        <v>0</v>
      </c>
      <c r="W25" s="215"/>
      <c r="X25" s="215"/>
      <c r="Y25" s="215"/>
      <c r="Z25" s="220">
        <f t="shared" si="4"/>
        <v>70</v>
      </c>
      <c r="AA25" s="220"/>
      <c r="AB25" s="220"/>
      <c r="AC25" s="220"/>
      <c r="AD25" s="215">
        <f>IF(N15&gt;0,$L$5-ROUNDUP($L$5*Z25/100,0),0)-IF(G15="旧被扶養者",軽減区分算出!AU40,0)</f>
        <v>0</v>
      </c>
      <c r="AE25" s="215"/>
      <c r="AF25" s="215"/>
      <c r="AG25" s="215"/>
      <c r="AH25" s="256"/>
      <c r="AI25" s="256"/>
      <c r="AJ25" s="256"/>
      <c r="AK25" s="256"/>
      <c r="AL25" s="215">
        <f t="shared" si="5"/>
        <v>0</v>
      </c>
      <c r="AM25" s="215"/>
      <c r="AN25" s="215"/>
      <c r="AO25" s="215"/>
      <c r="AP25" s="271">
        <f>ROUNDDOWN(AD25*N15/12,0)-IF(J15="未就学児",((AD25*0.5)/12)*N15,0)</f>
        <v>0</v>
      </c>
      <c r="AQ25" s="272"/>
      <c r="AR25" s="272"/>
      <c r="AS25" s="273"/>
      <c r="AT25" s="256"/>
      <c r="AU25" s="256"/>
      <c r="AV25" s="256"/>
      <c r="AW25" s="256"/>
      <c r="AX25" s="268"/>
      <c r="AY25" s="269"/>
      <c r="AZ25" s="269"/>
      <c r="BA25" s="270"/>
      <c r="BB25" s="261"/>
      <c r="BC25" s="261"/>
      <c r="BD25" s="261"/>
      <c r="BE25" s="261"/>
      <c r="BF25" s="220"/>
      <c r="BG25" s="220"/>
      <c r="BH25" s="268"/>
      <c r="BI25" s="269"/>
      <c r="BJ25" s="269"/>
      <c r="BK25" s="270"/>
    </row>
    <row r="26" spans="10:63">
      <c r="V26" s="259">
        <f>SUM(V21:Y25)</f>
        <v>0</v>
      </c>
      <c r="W26" s="260"/>
      <c r="X26" s="260"/>
      <c r="Y26" s="260"/>
      <c r="AD26" s="259">
        <f>SUM(AD21:AG25)</f>
        <v>0</v>
      </c>
      <c r="AE26" s="260"/>
      <c r="AF26" s="260"/>
      <c r="AG26" s="260"/>
      <c r="AH26" s="259">
        <f>SUM(AH21:AK25)</f>
        <v>3096</v>
      </c>
      <c r="AI26" s="260"/>
      <c r="AJ26" s="260"/>
      <c r="AK26" s="260"/>
      <c r="AL26" s="259">
        <f>SUM(AL21:AO25)</f>
        <v>0</v>
      </c>
      <c r="AM26" s="260"/>
      <c r="AN26" s="260"/>
      <c r="AO26" s="260"/>
      <c r="AP26" s="259">
        <f>SUM(AP21:AS25)</f>
        <v>0</v>
      </c>
      <c r="AQ26" s="260"/>
      <c r="AR26" s="260"/>
      <c r="AS26" s="260"/>
      <c r="AT26" s="259">
        <f>SUM(AT21:AW25)</f>
        <v>0</v>
      </c>
      <c r="AU26" s="260"/>
      <c r="AV26" s="260"/>
      <c r="AW26" s="260"/>
      <c r="AX26" s="5"/>
      <c r="AY26" s="5"/>
      <c r="AZ26" s="5"/>
      <c r="BA26" s="5"/>
    </row>
    <row r="28" spans="10:63">
      <c r="V28" s="240" t="s">
        <v>38</v>
      </c>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row>
    <row r="29" spans="10:63">
      <c r="V29" s="220" t="s">
        <v>75</v>
      </c>
      <c r="W29" s="220"/>
      <c r="X29" s="220"/>
      <c r="Y29" s="220"/>
      <c r="Z29" s="220"/>
      <c r="AA29" s="220"/>
      <c r="AB29" s="220"/>
      <c r="AC29" s="220"/>
      <c r="AD29" s="220"/>
      <c r="AE29" s="220"/>
      <c r="AF29" s="220"/>
      <c r="AG29" s="220"/>
      <c r="AH29" s="220"/>
      <c r="AI29" s="220"/>
      <c r="AJ29" s="220"/>
      <c r="AK29" s="220"/>
      <c r="AL29" s="235" t="s">
        <v>79</v>
      </c>
      <c r="AM29" s="258"/>
      <c r="AN29" s="258"/>
      <c r="AO29" s="258"/>
      <c r="AP29" s="258"/>
      <c r="AQ29" s="258"/>
      <c r="AR29" s="258"/>
      <c r="AS29" s="258"/>
      <c r="AT29" s="258"/>
      <c r="AU29" s="258"/>
      <c r="AV29" s="258"/>
      <c r="AW29" s="237"/>
      <c r="AX29" s="220" t="s">
        <v>82</v>
      </c>
      <c r="AY29" s="220"/>
      <c r="AZ29" s="220"/>
      <c r="BA29" s="220"/>
      <c r="BB29" s="220" t="s">
        <v>80</v>
      </c>
      <c r="BC29" s="220"/>
      <c r="BD29" s="220"/>
      <c r="BE29" s="220"/>
      <c r="BF29" s="219" t="s">
        <v>81</v>
      </c>
      <c r="BG29" s="220"/>
      <c r="BH29" s="219" t="s">
        <v>83</v>
      </c>
      <c r="BI29" s="220"/>
      <c r="BJ29" s="220"/>
      <c r="BK29" s="220"/>
    </row>
    <row r="30" spans="10:63">
      <c r="V30" s="220" t="s">
        <v>30</v>
      </c>
      <c r="W30" s="220"/>
      <c r="X30" s="220"/>
      <c r="Y30" s="220"/>
      <c r="Z30" s="220" t="s">
        <v>53</v>
      </c>
      <c r="AA30" s="220"/>
      <c r="AB30" s="220"/>
      <c r="AC30" s="220"/>
      <c r="AD30" s="220" t="s">
        <v>74</v>
      </c>
      <c r="AE30" s="220"/>
      <c r="AF30" s="220"/>
      <c r="AG30" s="220"/>
      <c r="AH30" s="220" t="s">
        <v>73</v>
      </c>
      <c r="AI30" s="220"/>
      <c r="AJ30" s="220"/>
      <c r="AK30" s="220"/>
      <c r="AL30" s="220" t="s">
        <v>30</v>
      </c>
      <c r="AM30" s="220"/>
      <c r="AN30" s="220"/>
      <c r="AO30" s="220"/>
      <c r="AP30" s="220" t="s">
        <v>74</v>
      </c>
      <c r="AQ30" s="220"/>
      <c r="AR30" s="220"/>
      <c r="AS30" s="220"/>
      <c r="AT30" s="220" t="s">
        <v>73</v>
      </c>
      <c r="AU30" s="220"/>
      <c r="AV30" s="220"/>
      <c r="AW30" s="220"/>
      <c r="AX30" s="220"/>
      <c r="AY30" s="220"/>
      <c r="AZ30" s="220"/>
      <c r="BA30" s="220"/>
      <c r="BB30" s="220"/>
      <c r="BC30" s="220"/>
      <c r="BD30" s="220"/>
      <c r="BE30" s="220"/>
      <c r="BF30" s="220"/>
      <c r="BG30" s="220"/>
      <c r="BH30" s="220"/>
      <c r="BI30" s="220"/>
      <c r="BJ30" s="220"/>
      <c r="BK30" s="220"/>
    </row>
    <row r="31" spans="10:63">
      <c r="V31" s="215">
        <f>ROUNDDOWN(R11*$P$4/100,0)</f>
        <v>0</v>
      </c>
      <c r="W31" s="215"/>
      <c r="X31" s="215"/>
      <c r="Y31" s="215"/>
      <c r="Z31" s="220">
        <f>$Z$11</f>
        <v>70</v>
      </c>
      <c r="AA31" s="220"/>
      <c r="AB31" s="220"/>
      <c r="AC31" s="220"/>
      <c r="AD31" s="215">
        <f>IF(P11&gt;0,$P$5-ROUNDUP($P$5*Z31/100,0),0)</f>
        <v>0</v>
      </c>
      <c r="AE31" s="215"/>
      <c r="AF31" s="215"/>
      <c r="AG31" s="215"/>
      <c r="AH31" s="215">
        <f>$P$6-ROUNDUP($P$6*Z31/100,0)</f>
        <v>2412</v>
      </c>
      <c r="AI31" s="215"/>
      <c r="AJ31" s="215"/>
      <c r="AK31" s="215"/>
      <c r="AL31" s="215">
        <f>ROUNDDOWN(V31*P11/12,0)</f>
        <v>0</v>
      </c>
      <c r="AM31" s="215"/>
      <c r="AN31" s="215"/>
      <c r="AO31" s="215"/>
      <c r="AP31" s="215">
        <f>ROUNDDOWN(AD31*P11/12,0)</f>
        <v>0</v>
      </c>
      <c r="AQ31" s="215"/>
      <c r="AR31" s="215"/>
      <c r="AS31" s="215"/>
      <c r="AT31" s="215">
        <f>ROUNDDOWN(AH31*P16/12,0)</f>
        <v>0</v>
      </c>
      <c r="AU31" s="215"/>
      <c r="AV31" s="215"/>
      <c r="AW31" s="215"/>
      <c r="AX31" s="262">
        <f>ROUNDDOWN(AL36+AP36+AT36,-1)</f>
        <v>0</v>
      </c>
      <c r="AY31" s="263"/>
      <c r="AZ31" s="263"/>
      <c r="BA31" s="264"/>
      <c r="BB31" s="261">
        <f>ROUNDDOWN(P7*P16/12,-1)</f>
        <v>0</v>
      </c>
      <c r="BC31" s="261"/>
      <c r="BD31" s="261"/>
      <c r="BE31" s="261"/>
      <c r="BF31" s="220" t="str">
        <f>IF(AX31&gt;BB31,"該当","非該当")</f>
        <v>非該当</v>
      </c>
      <c r="BG31" s="220"/>
      <c r="BH31" s="262">
        <f>IF(BF31="非該当",AX31,BB31)</f>
        <v>0</v>
      </c>
      <c r="BI31" s="263"/>
      <c r="BJ31" s="263"/>
      <c r="BK31" s="264"/>
    </row>
    <row r="32" spans="10:63">
      <c r="V32" s="215">
        <f t="shared" ref="V32:V35" si="6">ROUNDDOWN(R12*$P$4/100,0)</f>
        <v>0</v>
      </c>
      <c r="W32" s="215"/>
      <c r="X32" s="215"/>
      <c r="Y32" s="215"/>
      <c r="Z32" s="220">
        <f>$Z$11</f>
        <v>70</v>
      </c>
      <c r="AA32" s="220"/>
      <c r="AB32" s="220"/>
      <c r="AC32" s="220"/>
      <c r="AD32" s="215">
        <f>IF(P12&gt;0,$P$5-ROUNDUP($P$5*Z32/100,0),0)</f>
        <v>0</v>
      </c>
      <c r="AE32" s="215"/>
      <c r="AF32" s="215"/>
      <c r="AG32" s="215"/>
      <c r="AH32" s="256"/>
      <c r="AI32" s="256"/>
      <c r="AJ32" s="256"/>
      <c r="AK32" s="256"/>
      <c r="AL32" s="215">
        <f t="shared" ref="AL32:AL35" si="7">ROUNDDOWN(V32*P12/12,0)</f>
        <v>0</v>
      </c>
      <c r="AM32" s="215"/>
      <c r="AN32" s="215"/>
      <c r="AO32" s="215"/>
      <c r="AP32" s="215">
        <f t="shared" ref="AP32:AP35" si="8">ROUNDDOWN(AD32*P12/12,0)</f>
        <v>0</v>
      </c>
      <c r="AQ32" s="215"/>
      <c r="AR32" s="215"/>
      <c r="AS32" s="215"/>
      <c r="AT32" s="256"/>
      <c r="AU32" s="256"/>
      <c r="AV32" s="256"/>
      <c r="AW32" s="256"/>
      <c r="AX32" s="265"/>
      <c r="AY32" s="266"/>
      <c r="AZ32" s="266"/>
      <c r="BA32" s="267"/>
      <c r="BB32" s="261"/>
      <c r="BC32" s="261"/>
      <c r="BD32" s="261"/>
      <c r="BE32" s="261"/>
      <c r="BF32" s="220"/>
      <c r="BG32" s="220"/>
      <c r="BH32" s="265"/>
      <c r="BI32" s="266"/>
      <c r="BJ32" s="266"/>
      <c r="BK32" s="267"/>
    </row>
    <row r="33" spans="22:63">
      <c r="V33" s="215">
        <f t="shared" si="6"/>
        <v>0</v>
      </c>
      <c r="W33" s="215"/>
      <c r="X33" s="215"/>
      <c r="Y33" s="215"/>
      <c r="Z33" s="220">
        <f t="shared" ref="Z33:Z35" si="9">$Z$11</f>
        <v>70</v>
      </c>
      <c r="AA33" s="220"/>
      <c r="AB33" s="220"/>
      <c r="AC33" s="220"/>
      <c r="AD33" s="215">
        <f t="shared" ref="AD33:AD35" si="10">IF(P13&gt;0,$P$5-ROUNDUP($P$5*Z33/100,0),0)</f>
        <v>0</v>
      </c>
      <c r="AE33" s="215"/>
      <c r="AF33" s="215"/>
      <c r="AG33" s="215"/>
      <c r="AH33" s="256"/>
      <c r="AI33" s="256"/>
      <c r="AJ33" s="256"/>
      <c r="AK33" s="256"/>
      <c r="AL33" s="215">
        <f t="shared" si="7"/>
        <v>0</v>
      </c>
      <c r="AM33" s="215"/>
      <c r="AN33" s="215"/>
      <c r="AO33" s="215"/>
      <c r="AP33" s="215">
        <f t="shared" si="8"/>
        <v>0</v>
      </c>
      <c r="AQ33" s="215"/>
      <c r="AR33" s="215"/>
      <c r="AS33" s="215"/>
      <c r="AT33" s="256"/>
      <c r="AU33" s="256"/>
      <c r="AV33" s="256"/>
      <c r="AW33" s="256"/>
      <c r="AX33" s="265"/>
      <c r="AY33" s="266"/>
      <c r="AZ33" s="266"/>
      <c r="BA33" s="267"/>
      <c r="BB33" s="261"/>
      <c r="BC33" s="261"/>
      <c r="BD33" s="261"/>
      <c r="BE33" s="261"/>
      <c r="BF33" s="220"/>
      <c r="BG33" s="220"/>
      <c r="BH33" s="265"/>
      <c r="BI33" s="266"/>
      <c r="BJ33" s="266"/>
      <c r="BK33" s="267"/>
    </row>
    <row r="34" spans="22:63">
      <c r="V34" s="215">
        <f t="shared" si="6"/>
        <v>0</v>
      </c>
      <c r="W34" s="215"/>
      <c r="X34" s="215"/>
      <c r="Y34" s="215"/>
      <c r="Z34" s="220">
        <f t="shared" si="9"/>
        <v>70</v>
      </c>
      <c r="AA34" s="220"/>
      <c r="AB34" s="220"/>
      <c r="AC34" s="220"/>
      <c r="AD34" s="215">
        <f t="shared" si="10"/>
        <v>0</v>
      </c>
      <c r="AE34" s="215"/>
      <c r="AF34" s="215"/>
      <c r="AG34" s="215"/>
      <c r="AH34" s="256"/>
      <c r="AI34" s="256"/>
      <c r="AJ34" s="256"/>
      <c r="AK34" s="256"/>
      <c r="AL34" s="215">
        <f t="shared" si="7"/>
        <v>0</v>
      </c>
      <c r="AM34" s="215"/>
      <c r="AN34" s="215"/>
      <c r="AO34" s="215"/>
      <c r="AP34" s="215">
        <f t="shared" si="8"/>
        <v>0</v>
      </c>
      <c r="AQ34" s="215"/>
      <c r="AR34" s="215"/>
      <c r="AS34" s="215"/>
      <c r="AT34" s="256"/>
      <c r="AU34" s="256"/>
      <c r="AV34" s="256"/>
      <c r="AW34" s="256"/>
      <c r="AX34" s="265"/>
      <c r="AY34" s="266"/>
      <c r="AZ34" s="266"/>
      <c r="BA34" s="267"/>
      <c r="BB34" s="261"/>
      <c r="BC34" s="261"/>
      <c r="BD34" s="261"/>
      <c r="BE34" s="261"/>
      <c r="BF34" s="220"/>
      <c r="BG34" s="220"/>
      <c r="BH34" s="265"/>
      <c r="BI34" s="266"/>
      <c r="BJ34" s="266"/>
      <c r="BK34" s="267"/>
    </row>
    <row r="35" spans="22:63">
      <c r="V35" s="215">
        <f t="shared" si="6"/>
        <v>0</v>
      </c>
      <c r="W35" s="215"/>
      <c r="X35" s="215"/>
      <c r="Y35" s="215"/>
      <c r="Z35" s="220">
        <f t="shared" si="9"/>
        <v>70</v>
      </c>
      <c r="AA35" s="220"/>
      <c r="AB35" s="220"/>
      <c r="AC35" s="220"/>
      <c r="AD35" s="215">
        <f t="shared" si="10"/>
        <v>0</v>
      </c>
      <c r="AE35" s="215"/>
      <c r="AF35" s="215"/>
      <c r="AG35" s="215"/>
      <c r="AH35" s="256"/>
      <c r="AI35" s="256"/>
      <c r="AJ35" s="256"/>
      <c r="AK35" s="256"/>
      <c r="AL35" s="215">
        <f t="shared" si="7"/>
        <v>0</v>
      </c>
      <c r="AM35" s="215"/>
      <c r="AN35" s="215"/>
      <c r="AO35" s="215"/>
      <c r="AP35" s="215">
        <f t="shared" si="8"/>
        <v>0</v>
      </c>
      <c r="AQ35" s="215"/>
      <c r="AR35" s="215"/>
      <c r="AS35" s="215"/>
      <c r="AT35" s="256"/>
      <c r="AU35" s="256"/>
      <c r="AV35" s="256"/>
      <c r="AW35" s="256"/>
      <c r="AX35" s="268"/>
      <c r="AY35" s="269"/>
      <c r="AZ35" s="269"/>
      <c r="BA35" s="270"/>
      <c r="BB35" s="261"/>
      <c r="BC35" s="261"/>
      <c r="BD35" s="261"/>
      <c r="BE35" s="261"/>
      <c r="BF35" s="220"/>
      <c r="BG35" s="220"/>
      <c r="BH35" s="268"/>
      <c r="BI35" s="269"/>
      <c r="BJ35" s="269"/>
      <c r="BK35" s="270"/>
    </row>
    <row r="36" spans="22:63">
      <c r="V36" s="259">
        <f>SUM(V31:Y35)</f>
        <v>0</v>
      </c>
      <c r="W36" s="260"/>
      <c r="X36" s="260"/>
      <c r="Y36" s="260"/>
      <c r="AD36" s="259">
        <f>SUM(AD31:AG35)</f>
        <v>0</v>
      </c>
      <c r="AE36" s="260"/>
      <c r="AF36" s="260"/>
      <c r="AG36" s="260"/>
      <c r="AH36" s="259">
        <f>SUM(AH31:AK35)</f>
        <v>2412</v>
      </c>
      <c r="AI36" s="260"/>
      <c r="AJ36" s="260"/>
      <c r="AK36" s="260"/>
      <c r="AL36" s="259">
        <f>SUM(AL31:AO35)</f>
        <v>0</v>
      </c>
      <c r="AM36" s="260"/>
      <c r="AN36" s="260"/>
      <c r="AO36" s="260"/>
      <c r="AP36" s="259">
        <f>SUM(AP31:AS35)</f>
        <v>0</v>
      </c>
      <c r="AQ36" s="260"/>
      <c r="AR36" s="260"/>
      <c r="AS36" s="260"/>
      <c r="AT36" s="259">
        <f>SUM(AT31:AW35)</f>
        <v>0</v>
      </c>
      <c r="AU36" s="260"/>
      <c r="AV36" s="260"/>
      <c r="AW36" s="260"/>
      <c r="AX36" s="5"/>
      <c r="AY36" s="5"/>
      <c r="AZ36" s="5"/>
      <c r="BA36" s="5"/>
    </row>
  </sheetData>
  <mergeCells count="238">
    <mergeCell ref="J19:M19"/>
    <mergeCell ref="N19:Q19"/>
    <mergeCell ref="AT36:AW36"/>
    <mergeCell ref="J18:M18"/>
    <mergeCell ref="N18:Q18"/>
    <mergeCell ref="V36:Y36"/>
    <mergeCell ref="AD36:AG36"/>
    <mergeCell ref="AH36:AK36"/>
    <mergeCell ref="AL36:AO36"/>
    <mergeCell ref="AP36:AS36"/>
    <mergeCell ref="V35:Y35"/>
    <mergeCell ref="Z35:AC35"/>
    <mergeCell ref="AD35:AG35"/>
    <mergeCell ref="AH35:AK35"/>
    <mergeCell ref="AL35:AO35"/>
    <mergeCell ref="Z34:AC34"/>
    <mergeCell ref="AD34:AG34"/>
    <mergeCell ref="AH34:AK34"/>
    <mergeCell ref="AL34:AO34"/>
    <mergeCell ref="AP34:AS34"/>
    <mergeCell ref="V31:Y31"/>
    <mergeCell ref="Z31:AC31"/>
    <mergeCell ref="AD31:AG31"/>
    <mergeCell ref="AH31:AK31"/>
    <mergeCell ref="V28:BK28"/>
    <mergeCell ref="BH31:BK35"/>
    <mergeCell ref="V32:Y32"/>
    <mergeCell ref="Z32:AC32"/>
    <mergeCell ref="AD32:AG32"/>
    <mergeCell ref="AH32:AK32"/>
    <mergeCell ref="AL32:AO32"/>
    <mergeCell ref="AP32:AS32"/>
    <mergeCell ref="AT32:AW32"/>
    <mergeCell ref="V33:Y33"/>
    <mergeCell ref="Z33:AC33"/>
    <mergeCell ref="AD33:AG33"/>
    <mergeCell ref="AH33:AK33"/>
    <mergeCell ref="AL33:AO33"/>
    <mergeCell ref="AP33:AS33"/>
    <mergeCell ref="AT33:AW33"/>
    <mergeCell ref="V34:Y34"/>
    <mergeCell ref="AP31:AS31"/>
    <mergeCell ref="AT31:AW31"/>
    <mergeCell ref="AX31:BA35"/>
    <mergeCell ref="BB31:BE35"/>
    <mergeCell ref="BF31:BG35"/>
    <mergeCell ref="AT34:AW34"/>
    <mergeCell ref="AP35:AS35"/>
    <mergeCell ref="AT35:AW35"/>
    <mergeCell ref="V29:AK29"/>
    <mergeCell ref="AL29:AW29"/>
    <mergeCell ref="AX29:BA30"/>
    <mergeCell ref="BB29:BE30"/>
    <mergeCell ref="BF29:BG30"/>
    <mergeCell ref="BH29:BK30"/>
    <mergeCell ref="V30:Y30"/>
    <mergeCell ref="Z30:AC30"/>
    <mergeCell ref="AD30:AG30"/>
    <mergeCell ref="AH30:AK30"/>
    <mergeCell ref="AL30:AO30"/>
    <mergeCell ref="AP30:AS30"/>
    <mergeCell ref="AT30:AW30"/>
    <mergeCell ref="AL31:AO31"/>
    <mergeCell ref="AT24:AW24"/>
    <mergeCell ref="AP25:AS25"/>
    <mergeCell ref="AT25:AW25"/>
    <mergeCell ref="V26:Y26"/>
    <mergeCell ref="AD26:AG26"/>
    <mergeCell ref="AH26:AK26"/>
    <mergeCell ref="AL26:AO26"/>
    <mergeCell ref="AP26:AS26"/>
    <mergeCell ref="AT26:AW26"/>
    <mergeCell ref="V25:Y25"/>
    <mergeCell ref="Z25:AC25"/>
    <mergeCell ref="AD25:AG25"/>
    <mergeCell ref="AH25:AK25"/>
    <mergeCell ref="AL25:AO25"/>
    <mergeCell ref="AX21:BA25"/>
    <mergeCell ref="BB21:BE25"/>
    <mergeCell ref="BF21:BG25"/>
    <mergeCell ref="BH21:BK25"/>
    <mergeCell ref="V22:Y22"/>
    <mergeCell ref="Z22:AC22"/>
    <mergeCell ref="AD22:AG22"/>
    <mergeCell ref="AH22:AK22"/>
    <mergeCell ref="AL22:AO22"/>
    <mergeCell ref="AP22:AS22"/>
    <mergeCell ref="AT22:AW22"/>
    <mergeCell ref="V23:Y23"/>
    <mergeCell ref="Z23:AC23"/>
    <mergeCell ref="AD23:AG23"/>
    <mergeCell ref="AH23:AK23"/>
    <mergeCell ref="AL23:AO23"/>
    <mergeCell ref="AP23:AS23"/>
    <mergeCell ref="AT23:AW23"/>
    <mergeCell ref="V24:Y24"/>
    <mergeCell ref="Z24:AC24"/>
    <mergeCell ref="AD24:AG24"/>
    <mergeCell ref="AH24:AK24"/>
    <mergeCell ref="AL24:AO24"/>
    <mergeCell ref="AP24:AS24"/>
    <mergeCell ref="AT20:AW20"/>
    <mergeCell ref="V21:Y21"/>
    <mergeCell ref="Z21:AC21"/>
    <mergeCell ref="AD21:AG21"/>
    <mergeCell ref="AH21:AK21"/>
    <mergeCell ref="AL21:AO21"/>
    <mergeCell ref="AP21:AS21"/>
    <mergeCell ref="AT21:AW21"/>
    <mergeCell ref="BH9:BK10"/>
    <mergeCell ref="BH11:BK15"/>
    <mergeCell ref="AL16:AO16"/>
    <mergeCell ref="AT16:AW16"/>
    <mergeCell ref="Z13:AC13"/>
    <mergeCell ref="Z10:AC10"/>
    <mergeCell ref="Z11:AC11"/>
    <mergeCell ref="Z12:AC12"/>
    <mergeCell ref="V16:Y16"/>
    <mergeCell ref="AD16:AG16"/>
    <mergeCell ref="AH16:AK16"/>
    <mergeCell ref="AH13:AK13"/>
    <mergeCell ref="AH14:AK14"/>
    <mergeCell ref="AH15:AK15"/>
    <mergeCell ref="Z14:AC14"/>
    <mergeCell ref="Z15:AC15"/>
    <mergeCell ref="V8:BK8"/>
    <mergeCell ref="V18:BK18"/>
    <mergeCell ref="V19:AK19"/>
    <mergeCell ref="AL19:AW19"/>
    <mergeCell ref="AX19:BA20"/>
    <mergeCell ref="BB19:BE20"/>
    <mergeCell ref="BF19:BG20"/>
    <mergeCell ref="BH19:BK20"/>
    <mergeCell ref="V20:Y20"/>
    <mergeCell ref="Z20:AC20"/>
    <mergeCell ref="AD20:AG20"/>
    <mergeCell ref="AH20:AK20"/>
    <mergeCell ref="AL20:AO20"/>
    <mergeCell ref="AP20:AS20"/>
    <mergeCell ref="AP16:AS16"/>
    <mergeCell ref="BB9:BE10"/>
    <mergeCell ref="BB11:BE15"/>
    <mergeCell ref="BF9:BG10"/>
    <mergeCell ref="BF11:BG15"/>
    <mergeCell ref="AX9:BA10"/>
    <mergeCell ref="AX11:BA15"/>
    <mergeCell ref="AP15:AS15"/>
    <mergeCell ref="AT15:AW15"/>
    <mergeCell ref="AL9:AW9"/>
    <mergeCell ref="N16:O16"/>
    <mergeCell ref="P16:Q16"/>
    <mergeCell ref="AL10:AO10"/>
    <mergeCell ref="AP10:AS10"/>
    <mergeCell ref="AT10:AW10"/>
    <mergeCell ref="AL11:AO11"/>
    <mergeCell ref="AP11:AS11"/>
    <mergeCell ref="AT11:AW11"/>
    <mergeCell ref="AL12:AO12"/>
    <mergeCell ref="AP12:AS12"/>
    <mergeCell ref="AT12:AW12"/>
    <mergeCell ref="AL13:AO13"/>
    <mergeCell ref="AP13:AS13"/>
    <mergeCell ref="AT13:AW13"/>
    <mergeCell ref="AL14:AO14"/>
    <mergeCell ref="AP14:AS14"/>
    <mergeCell ref="R15:U15"/>
    <mergeCell ref="V11:Y11"/>
    <mergeCell ref="V10:Y10"/>
    <mergeCell ref="V12:Y12"/>
    <mergeCell ref="V13:Y13"/>
    <mergeCell ref="V14:Y14"/>
    <mergeCell ref="V15:Y15"/>
    <mergeCell ref="R9:U10"/>
    <mergeCell ref="D11:F11"/>
    <mergeCell ref="G11:I11"/>
    <mergeCell ref="J11:M11"/>
    <mergeCell ref="N11:O11"/>
    <mergeCell ref="P11:Q11"/>
    <mergeCell ref="D15:F15"/>
    <mergeCell ref="G15:I15"/>
    <mergeCell ref="J15:M15"/>
    <mergeCell ref="N15:O15"/>
    <mergeCell ref="P15:Q15"/>
    <mergeCell ref="D14:F14"/>
    <mergeCell ref="G14:I14"/>
    <mergeCell ref="J14:M14"/>
    <mergeCell ref="N14:O14"/>
    <mergeCell ref="P14:Q14"/>
    <mergeCell ref="R14:U14"/>
    <mergeCell ref="N13:O13"/>
    <mergeCell ref="P13:Q13"/>
    <mergeCell ref="D13:F13"/>
    <mergeCell ref="G13:I13"/>
    <mergeCell ref="J13:M13"/>
    <mergeCell ref="D12:F12"/>
    <mergeCell ref="G12:I12"/>
    <mergeCell ref="J12:M12"/>
    <mergeCell ref="N12:O12"/>
    <mergeCell ref="P12:Q12"/>
    <mergeCell ref="C4:G4"/>
    <mergeCell ref="C5:G5"/>
    <mergeCell ref="C6:G6"/>
    <mergeCell ref="H3:K3"/>
    <mergeCell ref="L3:O3"/>
    <mergeCell ref="L5:O5"/>
    <mergeCell ref="H6:K6"/>
    <mergeCell ref="L6:O6"/>
    <mergeCell ref="P3:S3"/>
    <mergeCell ref="H4:K4"/>
    <mergeCell ref="L4:O4"/>
    <mergeCell ref="P4:S4"/>
    <mergeCell ref="H5:K5"/>
    <mergeCell ref="P5:S5"/>
    <mergeCell ref="P6:S6"/>
    <mergeCell ref="C7:G7"/>
    <mergeCell ref="H7:K7"/>
    <mergeCell ref="L7:O7"/>
    <mergeCell ref="P7:S7"/>
    <mergeCell ref="AT14:AW14"/>
    <mergeCell ref="AL15:AO15"/>
    <mergeCell ref="AD13:AG13"/>
    <mergeCell ref="AD14:AG14"/>
    <mergeCell ref="AD15:AG15"/>
    <mergeCell ref="V9:AK9"/>
    <mergeCell ref="AD11:AG11"/>
    <mergeCell ref="AD12:AG12"/>
    <mergeCell ref="AD10:AG10"/>
    <mergeCell ref="AH10:AK10"/>
    <mergeCell ref="AH11:AK11"/>
    <mergeCell ref="AH12:AK12"/>
    <mergeCell ref="C9:F10"/>
    <mergeCell ref="G9:I10"/>
    <mergeCell ref="J9:M10"/>
    <mergeCell ref="N9:O10"/>
    <mergeCell ref="P9:Q10"/>
    <mergeCell ref="R11:U11"/>
    <mergeCell ref="R12:U12"/>
    <mergeCell ref="R13:U13"/>
  </mergeCells>
  <phoneticPr fontId="1"/>
  <conditionalFormatting sqref="N11:Q15">
    <cfRule type="expression" dxfId="4" priority="1">
      <formula>$F$6="擬制世帯主"</formula>
    </cfRule>
  </conditionalFormatting>
  <conditionalFormatting sqref="P11:Q15">
    <cfRule type="expression" dxfId="3" priority="11">
      <formula>$I$6="65歳以上"</formula>
    </cfRule>
    <cfRule type="expression" dxfId="2" priority="12">
      <formula>$I$6="40歳未満"</formula>
    </cfRule>
    <cfRule type="cellIs" dxfId="1" priority="13" operator="equal">
      <formula>11</formula>
    </cfRule>
    <cfRule type="cellIs" dxfId="0" priority="14" operator="equal">
      <formula>"４０歳以上～６５歳未満"</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5DEA-2D6A-4AC9-B791-761B964E7757}">
  <sheetPr codeName="Sheet11"/>
  <dimension ref="A1:AM497"/>
  <sheetViews>
    <sheetView tabSelected="1" workbookViewId="0">
      <selection sqref="A1:AM2"/>
    </sheetView>
  </sheetViews>
  <sheetFormatPr defaultColWidth="9" defaultRowHeight="16.2"/>
  <cols>
    <col min="1" max="223" width="3.3984375" style="1" customWidth="1"/>
    <col min="224" max="16384" width="9" style="1"/>
  </cols>
  <sheetData>
    <row r="1" spans="1:39" ht="18.75" customHeight="1">
      <c r="A1" s="116" t="s">
        <v>182</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row>
    <row r="2" spans="1:39" ht="18.75"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3" spans="1:39" ht="18.75" customHeight="1">
      <c r="B3" s="78" t="s">
        <v>310</v>
      </c>
      <c r="C3" s="78"/>
      <c r="D3" s="78"/>
      <c r="E3" s="78"/>
      <c r="F3" s="78"/>
      <c r="G3" s="78"/>
      <c r="H3" s="78"/>
      <c r="I3" s="78"/>
      <c r="J3" s="78"/>
      <c r="K3" s="78"/>
      <c r="L3" s="78"/>
      <c r="M3" s="78"/>
      <c r="N3" s="78"/>
      <c r="O3" s="78"/>
      <c r="P3" s="78"/>
      <c r="Q3" s="78"/>
      <c r="R3" s="78"/>
      <c r="S3" s="78"/>
      <c r="T3" s="78"/>
      <c r="U3" s="78"/>
      <c r="V3" s="78"/>
      <c r="W3" s="78"/>
      <c r="X3" s="78"/>
      <c r="Y3" s="78"/>
      <c r="Z3" s="78"/>
      <c r="AA3" s="78"/>
      <c r="AB3" s="78"/>
      <c r="AC3" s="78"/>
    </row>
    <row r="4" spans="1:39" ht="18.75" customHeight="1">
      <c r="B4" s="78"/>
      <c r="C4" s="78"/>
      <c r="D4" s="78"/>
      <c r="E4" s="78"/>
      <c r="F4" s="78"/>
      <c r="G4" s="117" t="s">
        <v>183</v>
      </c>
      <c r="H4" s="118"/>
      <c r="I4" s="118"/>
      <c r="J4" s="118"/>
      <c r="K4" s="118"/>
      <c r="L4" s="118"/>
      <c r="M4" s="119"/>
      <c r="N4" s="120" t="s">
        <v>184</v>
      </c>
      <c r="O4" s="117" t="s">
        <v>185</v>
      </c>
      <c r="P4" s="118"/>
      <c r="Q4" s="118"/>
      <c r="R4" s="118"/>
      <c r="S4" s="118"/>
      <c r="T4" s="118"/>
      <c r="U4" s="119"/>
      <c r="V4" s="120" t="s">
        <v>184</v>
      </c>
      <c r="W4" s="121" t="s">
        <v>186</v>
      </c>
      <c r="X4" s="122"/>
      <c r="Y4" s="122"/>
      <c r="Z4" s="122"/>
      <c r="AA4" s="122"/>
      <c r="AB4" s="122"/>
      <c r="AC4" s="123"/>
      <c r="AD4" s="124" t="s">
        <v>187</v>
      </c>
      <c r="AE4" s="88" t="s">
        <v>188</v>
      </c>
      <c r="AF4" s="89"/>
      <c r="AG4" s="89"/>
      <c r="AH4" s="89"/>
      <c r="AI4" s="89"/>
      <c r="AJ4" s="89"/>
      <c r="AK4" s="90"/>
    </row>
    <row r="5" spans="1:39" ht="18.75" customHeight="1">
      <c r="B5" s="104" t="s">
        <v>189</v>
      </c>
      <c r="C5" s="104"/>
      <c r="D5" s="104"/>
      <c r="E5" s="104"/>
      <c r="F5" s="104"/>
      <c r="G5" s="105" t="s">
        <v>190</v>
      </c>
      <c r="H5" s="106"/>
      <c r="I5" s="109" t="s">
        <v>191</v>
      </c>
      <c r="J5" s="111">
        <v>7.14</v>
      </c>
      <c r="K5" s="111"/>
      <c r="L5" s="111"/>
      <c r="M5" s="113" t="s">
        <v>192</v>
      </c>
      <c r="N5" s="120"/>
      <c r="O5" s="105" t="s">
        <v>193</v>
      </c>
      <c r="P5" s="106"/>
      <c r="Q5" s="109" t="s">
        <v>191</v>
      </c>
      <c r="R5" s="86">
        <v>21840</v>
      </c>
      <c r="S5" s="86"/>
      <c r="T5" s="86"/>
      <c r="U5" s="113" t="s">
        <v>39</v>
      </c>
      <c r="V5" s="120"/>
      <c r="W5" s="91" t="s">
        <v>194</v>
      </c>
      <c r="X5" s="92"/>
      <c r="Y5" s="92"/>
      <c r="Z5" s="92"/>
      <c r="AA5" s="92"/>
      <c r="AB5" s="92"/>
      <c r="AC5" s="93"/>
      <c r="AD5" s="124"/>
      <c r="AE5" s="94" t="s">
        <v>189</v>
      </c>
      <c r="AF5" s="95"/>
      <c r="AG5" s="95"/>
      <c r="AH5" s="95"/>
      <c r="AI5" s="95"/>
      <c r="AJ5" s="95"/>
      <c r="AK5" s="96"/>
    </row>
    <row r="6" spans="1:39" ht="18.75" customHeight="1">
      <c r="B6" s="104"/>
      <c r="C6" s="104"/>
      <c r="D6" s="104"/>
      <c r="E6" s="104"/>
      <c r="F6" s="104"/>
      <c r="G6" s="107"/>
      <c r="H6" s="108"/>
      <c r="I6" s="110"/>
      <c r="J6" s="112"/>
      <c r="K6" s="112"/>
      <c r="L6" s="112"/>
      <c r="M6" s="114"/>
      <c r="N6" s="120"/>
      <c r="O6" s="107"/>
      <c r="P6" s="108"/>
      <c r="Q6" s="110"/>
      <c r="R6" s="115"/>
      <c r="S6" s="115"/>
      <c r="T6" s="115"/>
      <c r="U6" s="114"/>
      <c r="V6" s="120"/>
      <c r="W6" s="97">
        <v>25800</v>
      </c>
      <c r="X6" s="98"/>
      <c r="Y6" s="98"/>
      <c r="Z6" s="98"/>
      <c r="AA6" s="98"/>
      <c r="AB6" s="98"/>
      <c r="AC6" s="84" t="s">
        <v>195</v>
      </c>
      <c r="AD6" s="124"/>
      <c r="AE6" s="99" t="s">
        <v>196</v>
      </c>
      <c r="AF6" s="100"/>
      <c r="AG6" s="100"/>
      <c r="AH6" s="100"/>
      <c r="AI6" s="100"/>
      <c r="AJ6" s="100"/>
      <c r="AK6" s="101"/>
    </row>
    <row r="7" spans="1:39" ht="18.75" customHeight="1">
      <c r="B7" s="104" t="s">
        <v>197</v>
      </c>
      <c r="C7" s="104"/>
      <c r="D7" s="104"/>
      <c r="E7" s="104"/>
      <c r="F7" s="104"/>
      <c r="G7" s="105" t="s">
        <v>190</v>
      </c>
      <c r="H7" s="106"/>
      <c r="I7" s="109" t="s">
        <v>191</v>
      </c>
      <c r="J7" s="111">
        <v>2.85</v>
      </c>
      <c r="K7" s="111"/>
      <c r="L7" s="111"/>
      <c r="M7" s="113" t="s">
        <v>192</v>
      </c>
      <c r="N7" s="120"/>
      <c r="O7" s="105" t="s">
        <v>193</v>
      </c>
      <c r="P7" s="106"/>
      <c r="Q7" s="109" t="s">
        <v>191</v>
      </c>
      <c r="R7" s="86">
        <v>8640</v>
      </c>
      <c r="S7" s="86"/>
      <c r="T7" s="86"/>
      <c r="U7" s="113" t="s">
        <v>39</v>
      </c>
      <c r="V7" s="120"/>
      <c r="W7" s="91" t="s">
        <v>194</v>
      </c>
      <c r="X7" s="92"/>
      <c r="Y7" s="92"/>
      <c r="Z7" s="92"/>
      <c r="AA7" s="92"/>
      <c r="AB7" s="92"/>
      <c r="AC7" s="93"/>
      <c r="AD7" s="124"/>
      <c r="AE7" s="94" t="s">
        <v>198</v>
      </c>
      <c r="AF7" s="95"/>
      <c r="AG7" s="95"/>
      <c r="AH7" s="95"/>
      <c r="AI7" s="95"/>
      <c r="AJ7" s="95"/>
      <c r="AK7" s="96"/>
    </row>
    <row r="8" spans="1:39" ht="18.75" customHeight="1">
      <c r="B8" s="104"/>
      <c r="C8" s="104"/>
      <c r="D8" s="104"/>
      <c r="E8" s="104"/>
      <c r="F8" s="104"/>
      <c r="G8" s="107"/>
      <c r="H8" s="108"/>
      <c r="I8" s="110"/>
      <c r="J8" s="112"/>
      <c r="K8" s="112"/>
      <c r="L8" s="112"/>
      <c r="M8" s="114"/>
      <c r="N8" s="120"/>
      <c r="O8" s="107"/>
      <c r="P8" s="108"/>
      <c r="Q8" s="110"/>
      <c r="R8" s="115"/>
      <c r="S8" s="115"/>
      <c r="T8" s="115"/>
      <c r="U8" s="114"/>
      <c r="V8" s="120"/>
      <c r="W8" s="97">
        <v>10320</v>
      </c>
      <c r="X8" s="98"/>
      <c r="Y8" s="98"/>
      <c r="Z8" s="98"/>
      <c r="AA8" s="98"/>
      <c r="AB8" s="98"/>
      <c r="AC8" s="84" t="s">
        <v>195</v>
      </c>
      <c r="AD8" s="124"/>
      <c r="AE8" s="99" t="s">
        <v>196</v>
      </c>
      <c r="AF8" s="100"/>
      <c r="AG8" s="100"/>
      <c r="AH8" s="100"/>
      <c r="AI8" s="100"/>
      <c r="AJ8" s="100"/>
      <c r="AK8" s="101"/>
    </row>
    <row r="9" spans="1:39" ht="18.75" customHeight="1">
      <c r="B9" s="103" t="s">
        <v>309</v>
      </c>
      <c r="C9" s="104"/>
      <c r="D9" s="104"/>
      <c r="E9" s="104"/>
      <c r="F9" s="104"/>
      <c r="G9" s="105" t="s">
        <v>190</v>
      </c>
      <c r="H9" s="106"/>
      <c r="I9" s="109" t="s">
        <v>191</v>
      </c>
      <c r="J9" s="111">
        <v>2.36</v>
      </c>
      <c r="K9" s="111"/>
      <c r="L9" s="111"/>
      <c r="M9" s="113" t="s">
        <v>192</v>
      </c>
      <c r="N9" s="120"/>
      <c r="O9" s="105" t="s">
        <v>193</v>
      </c>
      <c r="P9" s="106"/>
      <c r="Q9" s="109" t="s">
        <v>191</v>
      </c>
      <c r="R9" s="86">
        <v>10680</v>
      </c>
      <c r="S9" s="86"/>
      <c r="T9" s="86"/>
      <c r="U9" s="113" t="s">
        <v>39</v>
      </c>
      <c r="V9" s="120"/>
      <c r="W9" s="91" t="s">
        <v>194</v>
      </c>
      <c r="X9" s="92"/>
      <c r="Y9" s="92"/>
      <c r="Z9" s="92"/>
      <c r="AA9" s="92"/>
      <c r="AB9" s="92"/>
      <c r="AC9" s="93"/>
      <c r="AD9" s="124"/>
      <c r="AE9" s="94" t="s">
        <v>199</v>
      </c>
      <c r="AF9" s="95"/>
      <c r="AG9" s="95"/>
      <c r="AH9" s="95"/>
      <c r="AI9" s="95"/>
      <c r="AJ9" s="95"/>
      <c r="AK9" s="96"/>
    </row>
    <row r="10" spans="1:39" ht="18.75" customHeight="1">
      <c r="B10" s="104"/>
      <c r="C10" s="104"/>
      <c r="D10" s="104"/>
      <c r="E10" s="104"/>
      <c r="F10" s="104"/>
      <c r="G10" s="107"/>
      <c r="H10" s="108"/>
      <c r="I10" s="110"/>
      <c r="J10" s="112"/>
      <c r="K10" s="112"/>
      <c r="L10" s="112"/>
      <c r="M10" s="114"/>
      <c r="N10" s="120"/>
      <c r="O10" s="107"/>
      <c r="P10" s="108"/>
      <c r="Q10" s="110"/>
      <c r="R10" s="115"/>
      <c r="S10" s="115"/>
      <c r="T10" s="115"/>
      <c r="U10" s="114"/>
      <c r="V10" s="120"/>
      <c r="W10" s="97">
        <v>8040</v>
      </c>
      <c r="X10" s="98"/>
      <c r="Y10" s="98"/>
      <c r="Z10" s="98"/>
      <c r="AA10" s="98"/>
      <c r="AB10" s="98"/>
      <c r="AC10" s="84" t="s">
        <v>195</v>
      </c>
      <c r="AD10" s="124"/>
      <c r="AE10" s="99" t="s">
        <v>196</v>
      </c>
      <c r="AF10" s="100"/>
      <c r="AG10" s="100"/>
      <c r="AH10" s="100"/>
      <c r="AI10" s="100"/>
      <c r="AJ10" s="100"/>
      <c r="AK10" s="101"/>
    </row>
    <row r="11" spans="1:39" ht="18.75" customHeight="1">
      <c r="C11" s="1" t="s">
        <v>200</v>
      </c>
      <c r="F11" s="1" t="s">
        <v>201</v>
      </c>
      <c r="G11" s="1" t="s">
        <v>202</v>
      </c>
    </row>
    <row r="12" spans="1:39" ht="18.75" customHeight="1">
      <c r="C12" s="1" t="s">
        <v>203</v>
      </c>
      <c r="F12" s="1" t="s">
        <v>201</v>
      </c>
      <c r="G12" s="1" t="s">
        <v>204</v>
      </c>
    </row>
    <row r="13" spans="1:39" ht="18.75" customHeight="1">
      <c r="C13" s="1" t="s">
        <v>205</v>
      </c>
      <c r="F13" s="1" t="s">
        <v>201</v>
      </c>
      <c r="G13" s="1" t="s">
        <v>206</v>
      </c>
    </row>
    <row r="14" spans="1:39" ht="18.75" customHeight="1">
      <c r="G14" s="1" t="s">
        <v>288</v>
      </c>
    </row>
    <row r="15" spans="1:39" ht="18.75" customHeight="1"/>
    <row r="16" spans="1:39" ht="18.75" customHeight="1">
      <c r="C16" s="1" t="s">
        <v>207</v>
      </c>
      <c r="X16" s="1" t="s">
        <v>208</v>
      </c>
    </row>
    <row r="17" spans="1:39" ht="18.75" customHeight="1">
      <c r="C17" s="94" t="s">
        <v>209</v>
      </c>
      <c r="D17" s="95"/>
      <c r="E17" s="95"/>
      <c r="F17" s="95"/>
      <c r="G17" s="95"/>
      <c r="H17" s="96"/>
      <c r="I17" s="102" t="s">
        <v>210</v>
      </c>
      <c r="J17" s="94" t="s">
        <v>211</v>
      </c>
      <c r="K17" s="95"/>
      <c r="L17" s="95"/>
      <c r="M17" s="95"/>
      <c r="N17" s="95"/>
      <c r="O17" s="96"/>
      <c r="P17" s="102" t="s">
        <v>187</v>
      </c>
      <c r="Q17" s="94" t="s">
        <v>171</v>
      </c>
      <c r="R17" s="95"/>
      <c r="S17" s="95"/>
      <c r="T17" s="95"/>
      <c r="U17" s="95"/>
      <c r="V17" s="96"/>
      <c r="X17" s="1" t="s">
        <v>212</v>
      </c>
    </row>
    <row r="18" spans="1:39" ht="18.75" customHeight="1">
      <c r="C18" s="99" t="s">
        <v>213</v>
      </c>
      <c r="D18" s="100"/>
      <c r="E18" s="100"/>
      <c r="F18" s="100"/>
      <c r="G18" s="100"/>
      <c r="H18" s="101"/>
      <c r="I18" s="102"/>
      <c r="J18" s="99" t="s">
        <v>214</v>
      </c>
      <c r="K18" s="100"/>
      <c r="L18" s="100"/>
      <c r="M18" s="100"/>
      <c r="N18" s="100"/>
      <c r="O18" s="101"/>
      <c r="P18" s="102"/>
      <c r="Q18" s="99" t="s">
        <v>215</v>
      </c>
      <c r="R18" s="100"/>
      <c r="S18" s="100"/>
      <c r="T18" s="100"/>
      <c r="U18" s="100"/>
      <c r="V18" s="101"/>
      <c r="Y18" s="1" t="s">
        <v>189</v>
      </c>
      <c r="AC18" s="87">
        <v>660000</v>
      </c>
      <c r="AD18" s="87"/>
      <c r="AE18" s="87"/>
      <c r="AF18" s="87"/>
      <c r="AG18" s="1" t="s">
        <v>195</v>
      </c>
    </row>
    <row r="19" spans="1:39" ht="18.75" customHeight="1">
      <c r="Y19" s="1" t="s">
        <v>197</v>
      </c>
      <c r="AC19" s="86">
        <v>260000</v>
      </c>
      <c r="AD19" s="86"/>
      <c r="AE19" s="86"/>
      <c r="AF19" s="86"/>
      <c r="AG19" s="1" t="s">
        <v>195</v>
      </c>
    </row>
    <row r="20" spans="1:39" ht="18.75" customHeight="1">
      <c r="C20" s="69" t="s">
        <v>216</v>
      </c>
      <c r="Y20" s="1" t="s">
        <v>199</v>
      </c>
      <c r="AC20" s="87">
        <v>170000</v>
      </c>
      <c r="AD20" s="87"/>
      <c r="AE20" s="87"/>
      <c r="AF20" s="87"/>
      <c r="AG20" s="1" t="s">
        <v>195</v>
      </c>
    </row>
    <row r="21" spans="1:39" ht="18.75" customHeight="1">
      <c r="C21" s="69" t="s">
        <v>289</v>
      </c>
    </row>
    <row r="22" spans="1:39" ht="18.75" customHeight="1">
      <c r="C22" s="69" t="s">
        <v>290</v>
      </c>
    </row>
    <row r="23" spans="1:39" ht="18.75" customHeight="1"/>
    <row r="24" spans="1:39" ht="18.75" customHeigh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row>
    <row r="25" spans="1:39" ht="18.75" customHeight="1">
      <c r="A25" s="70"/>
      <c r="B25" s="1" t="s">
        <v>217</v>
      </c>
      <c r="AM25" s="70"/>
    </row>
    <row r="26" spans="1:39" ht="18.75" customHeight="1">
      <c r="A26" s="70"/>
      <c r="B26" s="1" t="s">
        <v>218</v>
      </c>
      <c r="AB26" s="88" t="s">
        <v>219</v>
      </c>
      <c r="AC26" s="89"/>
      <c r="AD26" s="89"/>
      <c r="AE26" s="89"/>
      <c r="AF26" s="89"/>
      <c r="AG26" s="89"/>
      <c r="AH26" s="90"/>
      <c r="AI26" s="88" t="s">
        <v>220</v>
      </c>
      <c r="AJ26" s="90"/>
      <c r="AM26" s="70"/>
    </row>
    <row r="27" spans="1:39" ht="18.75" customHeight="1">
      <c r="A27" s="70"/>
      <c r="AM27" s="70"/>
    </row>
    <row r="28" spans="1:39" ht="18.75"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row>
    <row r="29" spans="1:39" ht="18.75" customHeight="1"/>
    <row r="30" spans="1:39" ht="18.75" customHeight="1"/>
    <row r="31" spans="1:39" ht="18.75" customHeight="1"/>
    <row r="32" spans="1:3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sheetData>
  <sheetProtection selectLockedCells="1"/>
  <mergeCells count="60">
    <mergeCell ref="R5:T6"/>
    <mergeCell ref="A1:AM2"/>
    <mergeCell ref="G4:M4"/>
    <mergeCell ref="N4:N10"/>
    <mergeCell ref="O4:U4"/>
    <mergeCell ref="V4:V10"/>
    <mergeCell ref="W4:AC4"/>
    <mergeCell ref="AD4:AD10"/>
    <mergeCell ref="AE4:AK4"/>
    <mergeCell ref="B5:F6"/>
    <mergeCell ref="G5:H6"/>
    <mergeCell ref="I5:I6"/>
    <mergeCell ref="J5:L6"/>
    <mergeCell ref="M5:M6"/>
    <mergeCell ref="O5:P6"/>
    <mergeCell ref="Q5:Q6"/>
    <mergeCell ref="B7:F8"/>
    <mergeCell ref="G7:H8"/>
    <mergeCell ref="I7:I8"/>
    <mergeCell ref="J7:L8"/>
    <mergeCell ref="M7:M8"/>
    <mergeCell ref="W7:AC7"/>
    <mergeCell ref="AE7:AK7"/>
    <mergeCell ref="W8:AB8"/>
    <mergeCell ref="AE8:AK8"/>
    <mergeCell ref="U5:U6"/>
    <mergeCell ref="W5:AC5"/>
    <mergeCell ref="AE5:AK5"/>
    <mergeCell ref="W6:AB6"/>
    <mergeCell ref="AE6:AK6"/>
    <mergeCell ref="O9:P10"/>
    <mergeCell ref="O7:P8"/>
    <mergeCell ref="Q7:Q8"/>
    <mergeCell ref="R7:T8"/>
    <mergeCell ref="U7:U8"/>
    <mergeCell ref="Q9:Q10"/>
    <mergeCell ref="R9:T10"/>
    <mergeCell ref="U9:U10"/>
    <mergeCell ref="B9:F10"/>
    <mergeCell ref="G9:H10"/>
    <mergeCell ref="I9:I10"/>
    <mergeCell ref="J9:L10"/>
    <mergeCell ref="M9:M10"/>
    <mergeCell ref="C17:H17"/>
    <mergeCell ref="I17:I18"/>
    <mergeCell ref="J17:O17"/>
    <mergeCell ref="P17:P18"/>
    <mergeCell ref="Q17:V17"/>
    <mergeCell ref="C18:H18"/>
    <mergeCell ref="J18:O18"/>
    <mergeCell ref="Q18:V18"/>
    <mergeCell ref="AC19:AF19"/>
    <mergeCell ref="AC20:AF20"/>
    <mergeCell ref="AB26:AH26"/>
    <mergeCell ref="AI26:AJ26"/>
    <mergeCell ref="W9:AC9"/>
    <mergeCell ref="AE9:AK9"/>
    <mergeCell ref="W10:AB10"/>
    <mergeCell ref="AE10:AK10"/>
    <mergeCell ref="AC18:AF18"/>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BF45-85F4-4108-8B1E-01AD393F0A03}">
  <sheetPr codeName="Sheet12">
    <pageSetUpPr fitToPage="1"/>
  </sheetPr>
  <dimension ref="A1:AG256"/>
  <sheetViews>
    <sheetView workbookViewId="0">
      <selection activeCell="F42" sqref="F42"/>
    </sheetView>
  </sheetViews>
  <sheetFormatPr defaultColWidth="9" defaultRowHeight="16.2"/>
  <cols>
    <col min="1" max="1" width="2.19921875" style="1" customWidth="1"/>
    <col min="2" max="30" width="3.09765625" style="1" customWidth="1"/>
    <col min="31" max="31" width="4.19921875" style="1" customWidth="1"/>
    <col min="32" max="32" width="2.09765625" style="1" customWidth="1"/>
    <col min="33" max="73" width="3.09765625" style="1" customWidth="1"/>
    <col min="74" max="16384" width="9" style="1"/>
  </cols>
  <sheetData>
    <row r="1" spans="1:32" ht="18.75" customHeight="1">
      <c r="A1" s="146" t="s">
        <v>311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row>
    <row r="2" spans="1:32" ht="18.75"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row>
    <row r="3" spans="1:32" ht="18.75" customHeight="1">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row>
    <row r="4" spans="1:32" ht="18.75" customHeight="1">
      <c r="A4" s="70"/>
      <c r="B4" s="1" t="s">
        <v>221</v>
      </c>
      <c r="AF4" s="70"/>
    </row>
    <row r="5" spans="1:32" ht="18.75" customHeight="1">
      <c r="A5" s="70"/>
      <c r="B5" s="71" t="s">
        <v>222</v>
      </c>
      <c r="C5" s="1" t="s">
        <v>223</v>
      </c>
      <c r="AF5" s="70"/>
    </row>
    <row r="6" spans="1:32" ht="18.75" customHeight="1">
      <c r="A6" s="70"/>
      <c r="C6" s="1" t="s">
        <v>224</v>
      </c>
      <c r="AF6" s="70"/>
    </row>
    <row r="7" spans="1:32" ht="18.75" customHeight="1">
      <c r="A7" s="70"/>
      <c r="AF7" s="70"/>
    </row>
    <row r="8" spans="1:32" ht="18.75" customHeight="1">
      <c r="A8" s="70"/>
      <c r="B8" s="71" t="s">
        <v>222</v>
      </c>
      <c r="C8" s="1" t="s">
        <v>291</v>
      </c>
      <c r="AF8" s="70"/>
    </row>
    <row r="9" spans="1:32" ht="18.75" customHeight="1">
      <c r="A9" s="70"/>
      <c r="C9" s="1" t="s">
        <v>225</v>
      </c>
      <c r="AF9" s="70"/>
    </row>
    <row r="10" spans="1:32" ht="18.75" customHeight="1">
      <c r="A10" s="70"/>
      <c r="AF10" s="70"/>
    </row>
    <row r="11" spans="1:32" ht="18.75" customHeight="1">
      <c r="A11" s="70"/>
      <c r="C11" s="63" t="s">
        <v>226</v>
      </c>
      <c r="D11" s="64"/>
      <c r="E11" s="64"/>
      <c r="F11" s="64"/>
      <c r="G11" s="64"/>
      <c r="H11" s="64"/>
      <c r="I11" s="64"/>
      <c r="J11" s="64"/>
      <c r="K11" s="64"/>
      <c r="L11" s="64"/>
      <c r="M11" s="64"/>
      <c r="N11" s="64"/>
      <c r="O11" s="64"/>
      <c r="P11" s="64"/>
      <c r="Q11" s="64"/>
      <c r="R11" s="64"/>
      <c r="S11" s="64"/>
      <c r="T11" s="64"/>
      <c r="U11" s="64"/>
      <c r="V11" s="64"/>
      <c r="W11" s="64"/>
      <c r="X11" s="64"/>
      <c r="Y11" s="64"/>
      <c r="Z11" s="64"/>
      <c r="AA11" s="64"/>
      <c r="AB11" s="65"/>
      <c r="AF11" s="70"/>
    </row>
    <row r="12" spans="1:32" ht="18.75" customHeight="1">
      <c r="A12" s="70"/>
      <c r="C12" s="72"/>
      <c r="D12" s="1" t="s">
        <v>222</v>
      </c>
      <c r="E12" s="1" t="s">
        <v>227</v>
      </c>
      <c r="L12" s="1" t="s">
        <v>228</v>
      </c>
      <c r="Q12" s="1" t="s">
        <v>222</v>
      </c>
      <c r="R12" s="1" t="s">
        <v>229</v>
      </c>
      <c r="Y12" s="1" t="s">
        <v>230</v>
      </c>
      <c r="AB12" s="73"/>
      <c r="AF12" s="70"/>
    </row>
    <row r="13" spans="1:32" ht="18.75" customHeight="1">
      <c r="A13" s="70"/>
      <c r="C13" s="72"/>
      <c r="D13" s="1" t="s">
        <v>222</v>
      </c>
      <c r="E13" s="1" t="s">
        <v>231</v>
      </c>
      <c r="L13" s="1" t="s">
        <v>232</v>
      </c>
      <c r="Q13" s="1" t="s">
        <v>222</v>
      </c>
      <c r="R13" s="1" t="s">
        <v>233</v>
      </c>
      <c r="Y13" s="1" t="s">
        <v>234</v>
      </c>
      <c r="AB13" s="73"/>
      <c r="AF13" s="70"/>
    </row>
    <row r="14" spans="1:32" ht="18.75" customHeight="1">
      <c r="A14" s="70"/>
      <c r="C14" s="66"/>
      <c r="D14" s="67" t="s">
        <v>222</v>
      </c>
      <c r="E14" s="67" t="s">
        <v>235</v>
      </c>
      <c r="F14" s="67"/>
      <c r="G14" s="67"/>
      <c r="H14" s="67"/>
      <c r="I14" s="67"/>
      <c r="J14" s="67"/>
      <c r="K14" s="67"/>
      <c r="L14" s="67" t="s">
        <v>236</v>
      </c>
      <c r="M14" s="67"/>
      <c r="N14" s="67"/>
      <c r="O14" s="67"/>
      <c r="P14" s="67"/>
      <c r="Q14" s="67" t="s">
        <v>222</v>
      </c>
      <c r="R14" s="67" t="s">
        <v>237</v>
      </c>
      <c r="S14" s="67"/>
      <c r="T14" s="67"/>
      <c r="U14" s="67"/>
      <c r="V14" s="67"/>
      <c r="W14" s="67"/>
      <c r="X14" s="67"/>
      <c r="Y14" s="67" t="s">
        <v>238</v>
      </c>
      <c r="Z14" s="67"/>
      <c r="AA14" s="67"/>
      <c r="AB14" s="68"/>
      <c r="AF14" s="70"/>
    </row>
    <row r="15" spans="1:32" ht="18.75" customHeight="1">
      <c r="A15" s="70"/>
      <c r="AF15" s="70"/>
    </row>
    <row r="16" spans="1:32" ht="18.75" customHeight="1">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row>
    <row r="17" spans="1:33" ht="18.75" customHeight="1"/>
    <row r="18" spans="1:33" ht="18.75" customHeight="1">
      <c r="A18" s="1" t="s">
        <v>292</v>
      </c>
      <c r="S18" s="66"/>
      <c r="T18" s="67"/>
      <c r="U18" s="100" t="s">
        <v>293</v>
      </c>
      <c r="V18" s="100"/>
      <c r="W18" s="100"/>
      <c r="X18" s="100"/>
      <c r="Y18" s="100"/>
      <c r="Z18" s="80"/>
      <c r="AA18" s="80"/>
      <c r="AB18" s="80"/>
      <c r="AC18" s="67" t="s">
        <v>294</v>
      </c>
      <c r="AD18" s="67"/>
      <c r="AE18" s="67"/>
    </row>
    <row r="19" spans="1:33" ht="18.75" customHeight="1">
      <c r="I19" s="130" t="s">
        <v>3</v>
      </c>
      <c r="J19" s="130"/>
      <c r="K19" s="130"/>
      <c r="L19" s="130"/>
      <c r="M19" s="130"/>
      <c r="N19" s="130" t="s">
        <v>239</v>
      </c>
      <c r="O19" s="130"/>
      <c r="P19" s="130"/>
      <c r="Q19" s="130"/>
      <c r="R19" s="130"/>
      <c r="S19" s="130" t="s">
        <v>240</v>
      </c>
      <c r="T19" s="130"/>
      <c r="U19" s="130"/>
      <c r="V19" s="130"/>
      <c r="W19" s="130"/>
      <c r="X19" s="130" t="s">
        <v>241</v>
      </c>
      <c r="Y19" s="130"/>
      <c r="Z19" s="130"/>
      <c r="AA19" s="130"/>
      <c r="AB19" s="130"/>
      <c r="AC19" s="130" t="s">
        <v>242</v>
      </c>
      <c r="AD19" s="130"/>
      <c r="AE19" s="130"/>
      <c r="AF19" s="130"/>
      <c r="AG19" s="130"/>
    </row>
    <row r="20" spans="1:33" ht="18.75" customHeight="1">
      <c r="A20" s="71" t="s">
        <v>243</v>
      </c>
      <c r="B20" s="130" t="s">
        <v>244</v>
      </c>
      <c r="C20" s="130"/>
      <c r="D20" s="130"/>
      <c r="E20" s="130"/>
      <c r="F20" s="130"/>
      <c r="G20" s="130"/>
      <c r="H20" s="130"/>
      <c r="I20" s="140"/>
      <c r="J20" s="140"/>
      <c r="K20" s="140"/>
      <c r="L20" s="140"/>
      <c r="M20" s="140"/>
      <c r="N20" s="141"/>
      <c r="O20" s="141"/>
      <c r="P20" s="141"/>
      <c r="Q20" s="141"/>
      <c r="R20" s="141"/>
      <c r="S20" s="141"/>
      <c r="T20" s="141"/>
      <c r="U20" s="141"/>
      <c r="V20" s="141"/>
      <c r="W20" s="141"/>
      <c r="X20" s="141"/>
      <c r="Y20" s="141"/>
      <c r="Z20" s="141"/>
      <c r="AA20" s="141"/>
      <c r="AB20" s="141"/>
      <c r="AC20" s="141"/>
      <c r="AD20" s="141"/>
      <c r="AE20" s="141"/>
      <c r="AF20" s="141"/>
      <c r="AG20" s="141"/>
    </row>
    <row r="21" spans="1:33" ht="18.75" customHeight="1" thickBot="1">
      <c r="A21" s="71" t="s">
        <v>245</v>
      </c>
      <c r="B21" s="142" t="s">
        <v>246</v>
      </c>
      <c r="C21" s="142"/>
      <c r="D21" s="142"/>
      <c r="E21" s="142"/>
      <c r="F21" s="142"/>
      <c r="G21" s="142"/>
      <c r="H21" s="142"/>
      <c r="I21" s="143"/>
      <c r="J21" s="144"/>
      <c r="K21" s="144"/>
      <c r="L21" s="144"/>
      <c r="M21" s="145"/>
      <c r="N21" s="139"/>
      <c r="O21" s="139"/>
      <c r="P21" s="139"/>
      <c r="Q21" s="139"/>
      <c r="R21" s="139"/>
      <c r="S21" s="139"/>
      <c r="T21" s="139"/>
      <c r="U21" s="139"/>
      <c r="V21" s="139"/>
      <c r="W21" s="139"/>
      <c r="X21" s="139"/>
      <c r="Y21" s="139"/>
      <c r="Z21" s="139"/>
      <c r="AA21" s="139"/>
      <c r="AB21" s="139"/>
      <c r="AC21" s="139"/>
      <c r="AD21" s="139"/>
      <c r="AE21" s="139"/>
      <c r="AF21" s="139"/>
      <c r="AG21" s="139"/>
    </row>
    <row r="22" spans="1:33" ht="18.75" customHeight="1" thickBot="1">
      <c r="A22" s="71" t="s">
        <v>247</v>
      </c>
      <c r="B22" s="134" t="s">
        <v>248</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row>
    <row r="23" spans="1:33" ht="18.75" customHeight="1">
      <c r="B23" s="137" t="s">
        <v>43</v>
      </c>
      <c r="C23" s="137"/>
      <c r="D23" s="137"/>
      <c r="E23" s="137"/>
      <c r="F23" s="137"/>
      <c r="G23" s="137"/>
      <c r="H23" s="137"/>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row>
    <row r="24" spans="1:33" ht="18.75" customHeight="1">
      <c r="B24" s="130" t="s">
        <v>249</v>
      </c>
      <c r="C24" s="130"/>
      <c r="D24" s="130"/>
      <c r="E24" s="130"/>
      <c r="F24" s="130"/>
      <c r="G24" s="130"/>
      <c r="H24" s="130"/>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row>
    <row r="25" spans="1:33" ht="18.75" customHeight="1">
      <c r="B25" s="130" t="s">
        <v>250</v>
      </c>
      <c r="C25" s="130"/>
      <c r="D25" s="130"/>
      <c r="E25" s="130"/>
      <c r="F25" s="130"/>
      <c r="G25" s="130"/>
      <c r="H25" s="130"/>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row>
    <row r="26" spans="1:33" ht="18.75" customHeight="1">
      <c r="B26" s="130" t="s">
        <v>35</v>
      </c>
      <c r="C26" s="130"/>
      <c r="D26" s="130"/>
      <c r="E26" s="130"/>
      <c r="F26" s="130"/>
      <c r="G26" s="130"/>
      <c r="H26" s="130"/>
      <c r="I26" s="131">
        <f>SUM(I23:I25)</f>
        <v>0</v>
      </c>
      <c r="J26" s="131"/>
      <c r="K26" s="131"/>
      <c r="L26" s="131"/>
      <c r="M26" s="131"/>
      <c r="N26" s="131">
        <f t="shared" ref="N26" si="0">SUM(N23:N25)</f>
        <v>0</v>
      </c>
      <c r="O26" s="131"/>
      <c r="P26" s="131"/>
      <c r="Q26" s="131"/>
      <c r="R26" s="131"/>
      <c r="S26" s="131">
        <f t="shared" ref="S26" si="1">SUM(S23:S25)</f>
        <v>0</v>
      </c>
      <c r="T26" s="131"/>
      <c r="U26" s="131"/>
      <c r="V26" s="131"/>
      <c r="W26" s="131"/>
      <c r="X26" s="131">
        <f t="shared" ref="X26" si="2">SUM(X23:X25)</f>
        <v>0</v>
      </c>
      <c r="Y26" s="131"/>
      <c r="Z26" s="131"/>
      <c r="AA26" s="131"/>
      <c r="AB26" s="131"/>
      <c r="AC26" s="131">
        <f t="shared" ref="AC26" si="3">SUM(AC23:AC25)</f>
        <v>0</v>
      </c>
      <c r="AD26" s="131"/>
      <c r="AE26" s="131"/>
      <c r="AF26" s="131"/>
      <c r="AG26" s="131"/>
    </row>
    <row r="27" spans="1:33" ht="18.75" customHeight="1"/>
    <row r="28" spans="1:33" ht="18.75" customHeight="1">
      <c r="B28" s="1" t="s">
        <v>251</v>
      </c>
    </row>
    <row r="29" spans="1:33" ht="18.75" customHeight="1">
      <c r="C29" s="1" t="s">
        <v>252</v>
      </c>
    </row>
    <row r="30" spans="1:33" ht="18.75" customHeight="1">
      <c r="C30" s="1" t="s">
        <v>253</v>
      </c>
    </row>
    <row r="31" spans="1:33" ht="18.75" customHeight="1"/>
    <row r="32" spans="1:33" ht="18.75" customHeight="1">
      <c r="B32" s="1" t="s">
        <v>254</v>
      </c>
    </row>
    <row r="33" spans="2:33" ht="18.75" customHeight="1">
      <c r="C33" s="78" t="s">
        <v>312</v>
      </c>
    </row>
    <row r="34" spans="2:33" ht="18.75" customHeight="1">
      <c r="C34" s="1" t="s">
        <v>295</v>
      </c>
    </row>
    <row r="35" spans="2:33" ht="18.75" customHeight="1">
      <c r="B35" s="1" t="s">
        <v>255</v>
      </c>
    </row>
    <row r="36" spans="2:33" ht="18.75" customHeight="1">
      <c r="C36" s="78" t="s">
        <v>313</v>
      </c>
    </row>
    <row r="37" spans="2:33" ht="18.75" customHeight="1">
      <c r="D37" s="71" t="s">
        <v>222</v>
      </c>
      <c r="E37" s="1" t="s">
        <v>256</v>
      </c>
    </row>
    <row r="38" spans="2:33" ht="18.75" customHeight="1">
      <c r="D38" s="71"/>
      <c r="F38" s="1" t="s">
        <v>257</v>
      </c>
    </row>
    <row r="39" spans="2:33" ht="18.75" customHeight="1">
      <c r="D39" s="71"/>
      <c r="G39" s="1" t="s">
        <v>258</v>
      </c>
    </row>
    <row r="40" spans="2:33" ht="18.75" customHeight="1">
      <c r="D40" s="71"/>
      <c r="H40" s="1" t="s">
        <v>259</v>
      </c>
    </row>
    <row r="41" spans="2:33" ht="18.75" customHeight="1">
      <c r="D41" s="71"/>
      <c r="H41" s="1" t="s">
        <v>260</v>
      </c>
    </row>
    <row r="42" spans="2:33" ht="18.75" customHeight="1">
      <c r="D42" s="71"/>
      <c r="F42" s="1" t="s">
        <v>321</v>
      </c>
    </row>
    <row r="43" spans="2:33" ht="18.75" customHeight="1">
      <c r="D43" s="71"/>
      <c r="F43" s="1" t="s">
        <v>261</v>
      </c>
    </row>
    <row r="44" spans="2:33" ht="18.75" customHeight="1">
      <c r="D44" s="71" t="s">
        <v>222</v>
      </c>
      <c r="E44" s="1" t="s">
        <v>262</v>
      </c>
    </row>
    <row r="45" spans="2:33" ht="18.75" customHeight="1">
      <c r="D45" s="71"/>
      <c r="F45" s="1" t="s">
        <v>263</v>
      </c>
    </row>
    <row r="46" spans="2:33" ht="18.75" customHeight="1">
      <c r="D46" s="71"/>
      <c r="F46" s="63" t="s">
        <v>264</v>
      </c>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5"/>
    </row>
    <row r="47" spans="2:33" ht="18.75" customHeight="1">
      <c r="D47" s="71"/>
      <c r="F47" s="74" t="s">
        <v>222</v>
      </c>
      <c r="G47" s="1" t="s">
        <v>265</v>
      </c>
      <c r="M47" s="75" t="s">
        <v>222</v>
      </c>
      <c r="N47" s="1" t="s">
        <v>266</v>
      </c>
      <c r="T47" s="75" t="s">
        <v>222</v>
      </c>
      <c r="U47" s="1" t="s">
        <v>267</v>
      </c>
      <c r="Z47" s="75" t="s">
        <v>222</v>
      </c>
      <c r="AA47" s="1" t="s">
        <v>268</v>
      </c>
      <c r="AG47" s="73"/>
    </row>
    <row r="48" spans="2:33" ht="18.75" customHeight="1">
      <c r="D48" s="71"/>
      <c r="F48" s="74" t="s">
        <v>222</v>
      </c>
      <c r="G48" s="1" t="s">
        <v>269</v>
      </c>
      <c r="M48" s="75" t="s">
        <v>222</v>
      </c>
      <c r="N48" s="1" t="s">
        <v>270</v>
      </c>
      <c r="T48" s="75" t="s">
        <v>222</v>
      </c>
      <c r="U48" s="1" t="s">
        <v>271</v>
      </c>
      <c r="AG48" s="73"/>
    </row>
    <row r="49" spans="1:33" ht="18.75" customHeight="1">
      <c r="D49" s="71"/>
      <c r="F49" s="74" t="s">
        <v>222</v>
      </c>
      <c r="G49" s="1" t="s">
        <v>272</v>
      </c>
      <c r="M49" s="75" t="s">
        <v>222</v>
      </c>
      <c r="N49" s="1" t="s">
        <v>273</v>
      </c>
      <c r="AG49" s="73"/>
    </row>
    <row r="50" spans="1:33" ht="18.75" customHeight="1">
      <c r="D50" s="71"/>
      <c r="F50" s="74" t="s">
        <v>222</v>
      </c>
      <c r="G50" s="1" t="s">
        <v>274</v>
      </c>
      <c r="M50" s="75" t="s">
        <v>222</v>
      </c>
      <c r="N50" s="1" t="s">
        <v>275</v>
      </c>
      <c r="AG50" s="73"/>
    </row>
    <row r="51" spans="1:33" ht="18.75" customHeight="1">
      <c r="D51" s="71"/>
      <c r="F51" s="74" t="s">
        <v>222</v>
      </c>
      <c r="G51" s="1" t="s">
        <v>276</v>
      </c>
      <c r="M51" s="75" t="s">
        <v>222</v>
      </c>
      <c r="N51" s="1" t="s">
        <v>277</v>
      </c>
      <c r="AG51" s="73"/>
    </row>
    <row r="52" spans="1:33" ht="18.75" customHeight="1">
      <c r="D52" s="71"/>
      <c r="F52" s="76" t="s">
        <v>222</v>
      </c>
      <c r="G52" s="67" t="s">
        <v>278</v>
      </c>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8"/>
    </row>
    <row r="53" spans="1:33" ht="18.75" customHeight="1">
      <c r="D53" s="71" t="s">
        <v>222</v>
      </c>
      <c r="E53" s="1" t="s">
        <v>279</v>
      </c>
    </row>
    <row r="54" spans="1:33" ht="18.75" customHeight="1">
      <c r="F54" s="77" t="s">
        <v>280</v>
      </c>
      <c r="G54" s="1" t="s">
        <v>314</v>
      </c>
    </row>
    <row r="55" spans="1:33" ht="18.75" customHeight="1">
      <c r="F55" s="77"/>
      <c r="G55" s="1" t="s">
        <v>315</v>
      </c>
    </row>
    <row r="56" spans="1:33" ht="18.75" customHeight="1">
      <c r="F56" s="77"/>
      <c r="G56" s="1" t="s">
        <v>316</v>
      </c>
    </row>
    <row r="57" spans="1:33" ht="18.75" customHeight="1">
      <c r="F57" s="77" t="s">
        <v>280</v>
      </c>
      <c r="G57" s="1" t="s">
        <v>281</v>
      </c>
    </row>
    <row r="58" spans="1:33" ht="18.75" customHeight="1">
      <c r="F58" s="78"/>
      <c r="G58" s="1" t="s">
        <v>282</v>
      </c>
    </row>
    <row r="59" spans="1:33" ht="18.75" customHeight="1"/>
    <row r="60" spans="1:33" ht="18.75" customHeight="1">
      <c r="A60" s="70" t="s">
        <v>283</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row>
    <row r="61" spans="1:33" ht="18.75" customHeight="1">
      <c r="A61" s="70"/>
      <c r="AG61" s="70"/>
    </row>
    <row r="62" spans="1:33" ht="18.75" customHeight="1">
      <c r="A62" s="70"/>
      <c r="B62" s="62" t="s">
        <v>243</v>
      </c>
      <c r="C62" s="127" t="s">
        <v>189</v>
      </c>
      <c r="D62" s="127"/>
      <c r="E62" s="127"/>
      <c r="F62" s="127"/>
      <c r="G62" s="128"/>
      <c r="H62" s="125">
        <f>試算!AB17</f>
        <v>0</v>
      </c>
      <c r="I62" s="126"/>
      <c r="J62" s="126"/>
      <c r="K62" s="126"/>
      <c r="L62" s="126"/>
      <c r="M62" s="79" t="s">
        <v>195</v>
      </c>
      <c r="N62" s="77"/>
      <c r="O62" s="77"/>
      <c r="Q62" s="88" t="s">
        <v>284</v>
      </c>
      <c r="R62" s="89"/>
      <c r="S62" s="89"/>
      <c r="T62" s="89"/>
      <c r="U62" s="89"/>
      <c r="V62" s="89"/>
      <c r="W62" s="89"/>
      <c r="X62" s="89"/>
      <c r="Y62" s="89"/>
      <c r="Z62" s="89"/>
      <c r="AA62" s="89"/>
      <c r="AB62" s="89"/>
      <c r="AC62" s="89"/>
      <c r="AD62" s="89"/>
      <c r="AE62" s="89"/>
      <c r="AF62" s="90"/>
      <c r="AG62" s="70"/>
    </row>
    <row r="63" spans="1:33" ht="18.75" customHeight="1">
      <c r="A63" s="70"/>
      <c r="B63" s="62" t="s">
        <v>245</v>
      </c>
      <c r="C63" s="127" t="s">
        <v>197</v>
      </c>
      <c r="D63" s="127"/>
      <c r="E63" s="127"/>
      <c r="F63" s="127"/>
      <c r="G63" s="128"/>
      <c r="H63" s="125">
        <f>試算!AG17</f>
        <v>0</v>
      </c>
      <c r="I63" s="126"/>
      <c r="J63" s="126"/>
      <c r="K63" s="126"/>
      <c r="L63" s="126"/>
      <c r="M63" s="79" t="s">
        <v>195</v>
      </c>
      <c r="N63" s="77"/>
      <c r="O63" s="77"/>
      <c r="Q63" s="72" t="s">
        <v>285</v>
      </c>
      <c r="AF63" s="73"/>
      <c r="AG63" s="70"/>
    </row>
    <row r="64" spans="1:33" ht="18.75" customHeight="1">
      <c r="A64" s="70"/>
      <c r="B64" s="62" t="s">
        <v>247</v>
      </c>
      <c r="C64" s="127" t="s">
        <v>199</v>
      </c>
      <c r="D64" s="127"/>
      <c r="E64" s="127"/>
      <c r="F64" s="127"/>
      <c r="G64" s="128"/>
      <c r="H64" s="125">
        <f>試算!AL17</f>
        <v>0</v>
      </c>
      <c r="I64" s="126"/>
      <c r="J64" s="126"/>
      <c r="K64" s="126"/>
      <c r="L64" s="126"/>
      <c r="M64" s="79" t="s">
        <v>195</v>
      </c>
      <c r="N64" s="77"/>
      <c r="O64" s="77"/>
      <c r="Q64" s="129" t="str">
        <f>試算!N12</f>
        <v>７割軽減</v>
      </c>
      <c r="R64" s="110"/>
      <c r="S64" s="110"/>
      <c r="T64" s="110"/>
      <c r="U64" s="110"/>
      <c r="V64" s="110"/>
      <c r="W64" s="67" t="s">
        <v>286</v>
      </c>
      <c r="X64" s="67"/>
      <c r="Y64" s="67"/>
      <c r="Z64" s="67"/>
      <c r="AA64" s="67"/>
      <c r="AB64" s="67"/>
      <c r="AC64" s="67"/>
      <c r="AD64" s="67"/>
      <c r="AE64" s="67"/>
      <c r="AF64" s="68"/>
      <c r="AG64" s="70"/>
    </row>
    <row r="65" spans="1:33" ht="18.75" customHeight="1">
      <c r="A65" s="70"/>
      <c r="B65" s="88" t="s">
        <v>287</v>
      </c>
      <c r="C65" s="89"/>
      <c r="D65" s="89"/>
      <c r="E65" s="89"/>
      <c r="F65" s="89"/>
      <c r="G65" s="90"/>
      <c r="H65" s="125">
        <f>H62+H63+H64</f>
        <v>0</v>
      </c>
      <c r="I65" s="126"/>
      <c r="J65" s="126"/>
      <c r="K65" s="126"/>
      <c r="L65" s="126"/>
      <c r="M65" s="79" t="s">
        <v>195</v>
      </c>
      <c r="AG65" s="70"/>
    </row>
    <row r="66" spans="1:33" ht="18.75" customHeight="1">
      <c r="A66" s="70"/>
      <c r="AG66" s="70"/>
    </row>
    <row r="67" spans="1:33" ht="18.75" customHeight="1">
      <c r="A67" s="70"/>
      <c r="B67" s="71" t="s">
        <v>280</v>
      </c>
      <c r="C67" s="78" t="s">
        <v>317</v>
      </c>
      <c r="D67" s="78"/>
      <c r="E67" s="78"/>
      <c r="F67" s="78"/>
      <c r="G67" s="78"/>
      <c r="H67" s="78"/>
      <c r="I67" s="78"/>
      <c r="J67" s="78"/>
      <c r="K67" s="78"/>
      <c r="L67" s="78"/>
      <c r="M67" s="78"/>
      <c r="N67" s="78"/>
      <c r="O67" s="78"/>
      <c r="P67" s="78"/>
      <c r="Q67" s="78"/>
      <c r="R67" s="78"/>
      <c r="S67" s="78"/>
      <c r="T67" s="78"/>
      <c r="AG67" s="70"/>
    </row>
    <row r="68" spans="1:33" ht="18.75" customHeight="1">
      <c r="A68" s="70"/>
      <c r="B68" s="71"/>
      <c r="C68" s="78" t="s">
        <v>318</v>
      </c>
      <c r="D68" s="78"/>
      <c r="E68" s="78"/>
      <c r="F68" s="78"/>
      <c r="G68" s="78"/>
      <c r="H68" s="78"/>
      <c r="I68" s="78"/>
      <c r="J68" s="78"/>
      <c r="K68" s="78"/>
      <c r="L68" s="78"/>
      <c r="M68" s="78"/>
      <c r="N68" s="78"/>
      <c r="O68" s="78"/>
      <c r="P68" s="78"/>
      <c r="Q68" s="78"/>
      <c r="R68" s="78"/>
      <c r="S68" s="78"/>
      <c r="T68" s="78"/>
      <c r="AG68" s="70"/>
    </row>
    <row r="69" spans="1:33" ht="18.75" customHeight="1">
      <c r="A69" s="70"/>
      <c r="B69" s="71" t="s">
        <v>280</v>
      </c>
      <c r="C69" s="1" t="s">
        <v>296</v>
      </c>
      <c r="AG69" s="70"/>
    </row>
    <row r="70" spans="1:33" ht="18.75" customHeight="1">
      <c r="A70" s="70"/>
      <c r="C70" s="1" t="s">
        <v>297</v>
      </c>
      <c r="AG70" s="70"/>
    </row>
    <row r="71" spans="1:33" ht="18.75" customHeight="1">
      <c r="A71" s="70"/>
      <c r="B71" s="81"/>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row>
    <row r="72" spans="1:33" ht="18.75" customHeight="1">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row>
    <row r="73" spans="1:33" ht="18.75" customHeight="1"/>
    <row r="74" spans="1:33" ht="18.75" customHeight="1"/>
    <row r="75" spans="1:33" ht="18.75" customHeight="1"/>
    <row r="76" spans="1:33" ht="18.75" customHeight="1"/>
    <row r="77" spans="1:33" ht="18.75" customHeight="1"/>
    <row r="78" spans="1:33" ht="18.75" customHeight="1"/>
    <row r="79" spans="1:33" ht="18.75" customHeight="1"/>
    <row r="80" spans="1:3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sheetData>
  <sheetProtection selectLockedCells="1"/>
  <mergeCells count="54">
    <mergeCell ref="A1:AF2"/>
    <mergeCell ref="I19:M19"/>
    <mergeCell ref="N19:R19"/>
    <mergeCell ref="S19:W19"/>
    <mergeCell ref="X19:AB19"/>
    <mergeCell ref="AC19:AG19"/>
    <mergeCell ref="AC21:AG21"/>
    <mergeCell ref="B20:H20"/>
    <mergeCell ref="I20:M20"/>
    <mergeCell ref="N20:R20"/>
    <mergeCell ref="S20:W20"/>
    <mergeCell ref="X20:AB20"/>
    <mergeCell ref="AC20:AG20"/>
    <mergeCell ref="B21:H21"/>
    <mergeCell ref="I21:M21"/>
    <mergeCell ref="N21:R21"/>
    <mergeCell ref="S21:W21"/>
    <mergeCell ref="X21:AB21"/>
    <mergeCell ref="AC24:AG24"/>
    <mergeCell ref="B22:AG22"/>
    <mergeCell ref="B23:H23"/>
    <mergeCell ref="I23:M23"/>
    <mergeCell ref="N23:R23"/>
    <mergeCell ref="S23:W23"/>
    <mergeCell ref="X23:AB23"/>
    <mergeCell ref="AC23:AG23"/>
    <mergeCell ref="B24:H24"/>
    <mergeCell ref="I24:M24"/>
    <mergeCell ref="N24:R24"/>
    <mergeCell ref="S24:W24"/>
    <mergeCell ref="X24:AB24"/>
    <mergeCell ref="AC26:AG26"/>
    <mergeCell ref="B25:H25"/>
    <mergeCell ref="I25:M25"/>
    <mergeCell ref="N25:R25"/>
    <mergeCell ref="S25:W25"/>
    <mergeCell ref="X25:AB25"/>
    <mergeCell ref="AC25:AG25"/>
    <mergeCell ref="B65:G65"/>
    <mergeCell ref="H65:L65"/>
    <mergeCell ref="U18:Y18"/>
    <mergeCell ref="C62:G62"/>
    <mergeCell ref="H62:L62"/>
    <mergeCell ref="Q62:AF62"/>
    <mergeCell ref="C63:G63"/>
    <mergeCell ref="H63:L63"/>
    <mergeCell ref="C64:G64"/>
    <mergeCell ref="H64:L64"/>
    <mergeCell ref="Q64:V64"/>
    <mergeCell ref="B26:H26"/>
    <mergeCell ref="I26:M26"/>
    <mergeCell ref="N26:R26"/>
    <mergeCell ref="S26:W26"/>
    <mergeCell ref="X26:AB26"/>
  </mergeCells>
  <phoneticPr fontId="1"/>
  <pageMargins left="0.25" right="0.25" top="0.75" bottom="0.75" header="0.3" footer="0.3"/>
  <pageSetup paperSize="8"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A82FEEF-BCA3-4B32-AE0E-AFFBA495F4F4}">
          <x14:formula1>
            <xm:f>'リスト（非表示）'!$N$3:$N$7</xm:f>
          </x14:formula1>
          <xm:sqref>I21:AG21</xm:sqref>
        </x14:dataValidation>
        <x14:dataValidation type="list" allowBlank="1" showInputMessage="1" showErrorMessage="1" xr:uid="{1D573F1D-D7A7-49F4-8BA0-15220F141787}">
          <x14:formula1>
            <xm:f>'リスト（非表示）'!$D$3:$D$5</xm:f>
          </x14:formula1>
          <xm:sqref>I20:M20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D313-CA24-45C2-A49A-CACD03B0082B}">
  <dimension ref="D1:T266"/>
  <sheetViews>
    <sheetView workbookViewId="0">
      <selection activeCell="AJ8" sqref="AJ8"/>
    </sheetView>
  </sheetViews>
  <sheetFormatPr defaultColWidth="9" defaultRowHeight="16.2"/>
  <cols>
    <col min="1" max="1" width="2.19921875" style="1" customWidth="1"/>
    <col min="2" max="30" width="3.09765625" style="1" customWidth="1"/>
    <col min="31" max="31" width="4.19921875" style="1" customWidth="1"/>
    <col min="32" max="32" width="2.09765625" style="1" customWidth="1"/>
    <col min="33" max="79" width="3.09765625" style="1" customWidth="1"/>
    <col min="80" max="16384" width="9" style="1"/>
  </cols>
  <sheetData>
    <row r="1" spans="4:20" ht="18.75" customHeight="1"/>
    <row r="2" spans="4:20" ht="18.75" customHeight="1">
      <c r="D2" s="130" t="s">
        <v>244</v>
      </c>
      <c r="E2" s="130"/>
      <c r="F2" s="130"/>
      <c r="G2" s="130"/>
      <c r="H2" s="130"/>
      <c r="I2" s="130"/>
      <c r="J2" s="130"/>
      <c r="N2" s="130" t="s">
        <v>246</v>
      </c>
      <c r="O2" s="130"/>
      <c r="P2" s="130"/>
      <c r="Q2" s="130"/>
      <c r="R2" s="130"/>
      <c r="S2" s="130"/>
      <c r="T2" s="130"/>
    </row>
    <row r="3" spans="4:20" ht="18.75" customHeight="1"/>
    <row r="4" spans="4:20" ht="18.75" customHeight="1">
      <c r="D4" s="1" t="s">
        <v>298</v>
      </c>
      <c r="N4" s="1" t="s">
        <v>17</v>
      </c>
    </row>
    <row r="5" spans="4:20" ht="18.75" customHeight="1">
      <c r="D5" s="1" t="s">
        <v>299</v>
      </c>
      <c r="N5" s="1" t="s">
        <v>300</v>
      </c>
    </row>
    <row r="6" spans="4:20" ht="18.75" customHeight="1">
      <c r="N6" s="1" t="s">
        <v>301</v>
      </c>
    </row>
    <row r="7" spans="4:20" ht="18.75" customHeight="1">
      <c r="N7" s="1" t="s">
        <v>308</v>
      </c>
    </row>
    <row r="8" spans="4:20" ht="18.75" customHeight="1"/>
    <row r="9" spans="4:20" ht="18.75" customHeight="1"/>
    <row r="10" spans="4:20" ht="18.75" customHeight="1"/>
    <row r="11" spans="4:20" ht="18.75" customHeight="1"/>
    <row r="12" spans="4:20" ht="18.75" customHeight="1"/>
    <row r="13" spans="4:20" ht="18.75" customHeight="1"/>
    <row r="14" spans="4:20" ht="18.75" customHeight="1"/>
    <row r="15" spans="4:20" ht="18.75" customHeight="1"/>
    <row r="16" spans="4:20"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sheetData>
  <sheetProtection selectLockedCells="1"/>
  <mergeCells count="2">
    <mergeCell ref="D2:J2"/>
    <mergeCell ref="N2:T2"/>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991C-3632-4F3E-9AF9-610C3D46176D}">
  <dimension ref="B1:K22"/>
  <sheetViews>
    <sheetView workbookViewId="0">
      <selection activeCell="O17" sqref="O17"/>
    </sheetView>
  </sheetViews>
  <sheetFormatPr defaultRowHeight="18"/>
  <cols>
    <col min="3" max="3" width="22.09765625" customWidth="1"/>
    <col min="4" max="4" width="13.5" customWidth="1"/>
    <col min="5" max="5" width="19.5" bestFit="1" customWidth="1"/>
    <col min="6" max="6" width="9.3984375" bestFit="1" customWidth="1"/>
  </cols>
  <sheetData>
    <row r="1" spans="2:11">
      <c r="B1" s="82"/>
      <c r="C1" s="82" t="s">
        <v>302</v>
      </c>
      <c r="I1" t="s">
        <v>303</v>
      </c>
      <c r="K1" t="s">
        <v>304</v>
      </c>
    </row>
    <row r="2" spans="2:11">
      <c r="B2" s="82" t="s">
        <v>3</v>
      </c>
      <c r="C2" s="82">
        <f>このシートの設問に沿って入力してください!I20</f>
        <v>0</v>
      </c>
      <c r="D2" t="str">
        <f>IF(C2=I2,K3,IF(C2=I3,K2,""))</f>
        <v/>
      </c>
      <c r="E2">
        <f>IF(D2=K3,1,0)</f>
        <v>0</v>
      </c>
      <c r="I2" s="1" t="s">
        <v>298</v>
      </c>
      <c r="K2" s="1" t="s">
        <v>9</v>
      </c>
    </row>
    <row r="3" spans="2:11">
      <c r="B3" s="82" t="s">
        <v>239</v>
      </c>
      <c r="C3" s="83"/>
      <c r="I3" s="1" t="s">
        <v>299</v>
      </c>
      <c r="K3" s="1" t="s">
        <v>6</v>
      </c>
    </row>
    <row r="4" spans="2:11">
      <c r="B4" s="82" t="s">
        <v>240</v>
      </c>
      <c r="C4" s="83"/>
      <c r="K4" s="1" t="s">
        <v>10</v>
      </c>
    </row>
    <row r="5" spans="2:11">
      <c r="B5" s="82" t="s">
        <v>241</v>
      </c>
      <c r="C5" s="83"/>
      <c r="K5" s="1" t="s">
        <v>11</v>
      </c>
    </row>
    <row r="6" spans="2:11">
      <c r="B6" s="82" t="s">
        <v>242</v>
      </c>
      <c r="C6" s="83"/>
    </row>
    <row r="9" spans="2:11">
      <c r="B9" s="82"/>
      <c r="C9" s="82" t="s">
        <v>246</v>
      </c>
      <c r="D9" t="s">
        <v>5</v>
      </c>
      <c r="E9" t="s">
        <v>246</v>
      </c>
      <c r="F9" t="s">
        <v>305</v>
      </c>
      <c r="G9" t="s">
        <v>38</v>
      </c>
      <c r="I9" t="s">
        <v>303</v>
      </c>
      <c r="K9" t="s">
        <v>304</v>
      </c>
    </row>
    <row r="10" spans="2:11">
      <c r="B10" s="82" t="s">
        <v>3</v>
      </c>
      <c r="C10" s="82">
        <f>このシートの設問に沿って入力してください!I21</f>
        <v>0</v>
      </c>
      <c r="D10" t="str">
        <f>IF(OR(E10=$K$10,E10=$K$11,E10=$K$12,E10=$K$13),$K$3,"")</f>
        <v/>
      </c>
      <c r="E10" t="str">
        <f>IF(C10=$I$10,$K$10,IF(C10=$I$11,$K$11,IF(C10=$I$12,$K$12,IF(C10=$I$13,$K$13,""))))</f>
        <v/>
      </c>
      <c r="F10">
        <f>IF(OR(E10=$K$10,E10=$K$11,E10=$K$12,E10=$K$13),12,0)*E2</f>
        <v>0</v>
      </c>
      <c r="G10">
        <f>IF(E10=$K$11,12,0)*E2</f>
        <v>0</v>
      </c>
      <c r="I10" s="1" t="s">
        <v>17</v>
      </c>
      <c r="K10" s="1" t="s">
        <v>17</v>
      </c>
    </row>
    <row r="11" spans="2:11">
      <c r="B11" s="82" t="s">
        <v>239</v>
      </c>
      <c r="C11" s="82">
        <f>このシートの設問に沿って入力してください!N21</f>
        <v>0</v>
      </c>
      <c r="D11" t="str">
        <f t="shared" ref="D11:D14" si="0">IF(OR(E11=$K$10,E11=$K$11,E11=$K$12,E11=$K$13),$K$3,"")</f>
        <v/>
      </c>
      <c r="E11" t="str">
        <f t="shared" ref="E11:E14" si="1">IF(C11=$I$10,$K$10,IF(C11=$I$11,$K$11,IF(C11=$I$12,$K$12,IF(C11=$I$13,$K$13,""))))</f>
        <v/>
      </c>
      <c r="F11">
        <f>IF(OR(E11=$K$10,E11=$K$11,E11=$K$12,E11=$K$13),12,0)</f>
        <v>0</v>
      </c>
      <c r="G11">
        <f t="shared" ref="G11:G14" si="2">IF(E11=$K$11,12,0)</f>
        <v>0</v>
      </c>
      <c r="I11" s="1" t="s">
        <v>300</v>
      </c>
      <c r="K11" s="1" t="s">
        <v>18</v>
      </c>
    </row>
    <row r="12" spans="2:11">
      <c r="B12" s="82" t="s">
        <v>240</v>
      </c>
      <c r="C12" s="82">
        <f>このシートの設問に沿って入力してください!S21</f>
        <v>0</v>
      </c>
      <c r="D12" t="str">
        <f t="shared" si="0"/>
        <v/>
      </c>
      <c r="E12" t="str">
        <f t="shared" si="1"/>
        <v/>
      </c>
      <c r="F12">
        <f t="shared" ref="F12:F14" si="3">IF(OR(E12=$K$10,E12=$K$11,E12=$K$12,E12=$K$13),12,0)</f>
        <v>0</v>
      </c>
      <c r="G12">
        <f t="shared" si="2"/>
        <v>0</v>
      </c>
      <c r="I12" s="1" t="s">
        <v>301</v>
      </c>
      <c r="K12" s="1" t="s">
        <v>19</v>
      </c>
    </row>
    <row r="13" spans="2:11">
      <c r="B13" s="82" t="s">
        <v>241</v>
      </c>
      <c r="C13" s="82">
        <f>このシートの設問に沿って入力してください!X21</f>
        <v>0</v>
      </c>
      <c r="D13" t="str">
        <f t="shared" si="0"/>
        <v/>
      </c>
      <c r="E13" t="str">
        <f t="shared" si="1"/>
        <v/>
      </c>
      <c r="F13">
        <f t="shared" si="3"/>
        <v>0</v>
      </c>
      <c r="G13">
        <f t="shared" si="2"/>
        <v>0</v>
      </c>
      <c r="I13" s="1" t="s">
        <v>308</v>
      </c>
      <c r="K13" s="1" t="s">
        <v>308</v>
      </c>
    </row>
    <row r="14" spans="2:11">
      <c r="B14" s="82" t="s">
        <v>242</v>
      </c>
      <c r="C14" s="82">
        <f>このシートの設問に沿って入力してください!AC21</f>
        <v>0</v>
      </c>
      <c r="D14" t="str">
        <f t="shared" si="0"/>
        <v/>
      </c>
      <c r="E14" t="str">
        <f t="shared" si="1"/>
        <v/>
      </c>
      <c r="F14">
        <f t="shared" si="3"/>
        <v>0</v>
      </c>
      <c r="G14">
        <f t="shared" si="2"/>
        <v>0</v>
      </c>
    </row>
    <row r="17" spans="2:7">
      <c r="B17" s="82"/>
      <c r="C17" t="s">
        <v>151</v>
      </c>
      <c r="F17" t="s">
        <v>306</v>
      </c>
      <c r="G17" t="s">
        <v>307</v>
      </c>
    </row>
    <row r="18" spans="2:7">
      <c r="B18" s="82" t="s">
        <v>3</v>
      </c>
      <c r="C18">
        <f>このシートの設問に沿って入力してください!I24</f>
        <v>0</v>
      </c>
      <c r="E18">
        <f>IF(E10=$K$12,1,0)</f>
        <v>0</v>
      </c>
      <c r="F18">
        <f>C18*E18</f>
        <v>0</v>
      </c>
      <c r="G18">
        <f>C18-F18</f>
        <v>0</v>
      </c>
    </row>
    <row r="19" spans="2:7">
      <c r="B19" s="82" t="s">
        <v>239</v>
      </c>
      <c r="C19">
        <f>このシートの設問に沿って入力してください!N24</f>
        <v>0</v>
      </c>
      <c r="E19">
        <f t="shared" ref="E19:E22" si="4">IF(E11=$K$12,1,0)</f>
        <v>0</v>
      </c>
      <c r="F19">
        <f>C19*E19</f>
        <v>0</v>
      </c>
      <c r="G19">
        <f t="shared" ref="G19:G21" si="5">C19-F19</f>
        <v>0</v>
      </c>
    </row>
    <row r="20" spans="2:7">
      <c r="B20" s="82" t="s">
        <v>240</v>
      </c>
      <c r="C20">
        <f>このシートの設問に沿って入力してください!S24</f>
        <v>0</v>
      </c>
      <c r="E20">
        <f t="shared" si="4"/>
        <v>0</v>
      </c>
      <c r="F20">
        <f t="shared" ref="F20:F22" si="6">C20*E20</f>
        <v>0</v>
      </c>
      <c r="G20">
        <f t="shared" si="5"/>
        <v>0</v>
      </c>
    </row>
    <row r="21" spans="2:7">
      <c r="B21" s="82" t="s">
        <v>241</v>
      </c>
      <c r="C21">
        <f>このシートの設問に沿って入力してください!X24</f>
        <v>0</v>
      </c>
      <c r="E21">
        <f t="shared" si="4"/>
        <v>0</v>
      </c>
      <c r="F21">
        <f t="shared" si="6"/>
        <v>0</v>
      </c>
      <c r="G21">
        <f t="shared" si="5"/>
        <v>0</v>
      </c>
    </row>
    <row r="22" spans="2:7">
      <c r="B22" s="82" t="s">
        <v>242</v>
      </c>
      <c r="C22">
        <f>このシートの設問に沿って入力してください!AC24</f>
        <v>0</v>
      </c>
      <c r="E22">
        <f t="shared" si="4"/>
        <v>0</v>
      </c>
      <c r="F22">
        <f t="shared" si="6"/>
        <v>0</v>
      </c>
      <c r="G22">
        <f>C22-F22</f>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N157"/>
  <sheetViews>
    <sheetView zoomScale="85" zoomScaleNormal="85" workbookViewId="0">
      <selection activeCell="BB9" sqref="BB9:BF9"/>
    </sheetView>
  </sheetViews>
  <sheetFormatPr defaultColWidth="9" defaultRowHeight="16.2"/>
  <cols>
    <col min="1" max="1" width="3.09765625" style="1" customWidth="1"/>
    <col min="2" max="21" width="3" style="1" customWidth="1"/>
    <col min="22" max="31" width="2.59765625" style="1" customWidth="1"/>
    <col min="32" max="36" width="3.09765625" style="1" customWidth="1"/>
    <col min="37" max="64" width="2.59765625" style="1" customWidth="1"/>
    <col min="65" max="167" width="3.09765625" style="1" customWidth="1"/>
    <col min="168" max="16384" width="9" style="1"/>
  </cols>
  <sheetData>
    <row r="1" spans="1:66" ht="26.25" customHeight="1">
      <c r="A1" s="8"/>
      <c r="B1" s="13" t="s">
        <v>0</v>
      </c>
      <c r="C1" s="8"/>
      <c r="D1" s="8"/>
      <c r="E1" s="8"/>
      <c r="F1" s="8"/>
      <c r="G1" s="8"/>
      <c r="H1" s="8"/>
      <c r="I1" s="8"/>
      <c r="J1" s="8"/>
      <c r="K1" s="13" t="s">
        <v>31</v>
      </c>
      <c r="L1" s="193" t="s">
        <v>114</v>
      </c>
      <c r="M1" s="193"/>
      <c r="N1" s="193">
        <v>7</v>
      </c>
      <c r="O1" s="193"/>
      <c r="P1" s="193" t="s">
        <v>32</v>
      </c>
      <c r="Q1" s="193"/>
      <c r="R1" s="13" t="s">
        <v>33</v>
      </c>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row>
    <row r="2" spans="1:66" ht="18.75" customHeight="1">
      <c r="A2" s="8"/>
      <c r="B2" s="8" t="s">
        <v>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row>
    <row r="3" spans="1:66" ht="18.7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row>
    <row r="4" spans="1:66" ht="18.75" customHeight="1">
      <c r="A4" s="8"/>
      <c r="B4" s="130" t="s">
        <v>2</v>
      </c>
      <c r="C4" s="130"/>
      <c r="D4" s="130"/>
      <c r="E4" s="130"/>
      <c r="F4" s="130" t="s">
        <v>5</v>
      </c>
      <c r="G4" s="130"/>
      <c r="H4" s="130"/>
      <c r="I4" s="130" t="s">
        <v>12</v>
      </c>
      <c r="J4" s="130"/>
      <c r="K4" s="130"/>
      <c r="L4" s="130"/>
      <c r="M4" s="159" t="s">
        <v>14</v>
      </c>
      <c r="N4" s="130"/>
      <c r="O4" s="159" t="s">
        <v>15</v>
      </c>
      <c r="P4" s="88"/>
      <c r="Q4" s="186" t="s">
        <v>22</v>
      </c>
      <c r="R4" s="187"/>
      <c r="S4" s="187"/>
      <c r="T4" s="187"/>
      <c r="U4" s="187"/>
      <c r="V4" s="187"/>
      <c r="W4" s="187"/>
      <c r="X4" s="187"/>
      <c r="Y4" s="187"/>
      <c r="Z4" s="187"/>
      <c r="AA4" s="187"/>
      <c r="AB4" s="187"/>
      <c r="AC4" s="187"/>
      <c r="AD4" s="187"/>
      <c r="AE4" s="187"/>
      <c r="AF4" s="187"/>
      <c r="AG4" s="187"/>
      <c r="AH4" s="187"/>
      <c r="AI4" s="187"/>
      <c r="AJ4" s="188"/>
      <c r="AK4" s="180" t="s">
        <v>29</v>
      </c>
      <c r="AL4" s="181"/>
      <c r="AM4" s="175" t="s">
        <v>23</v>
      </c>
      <c r="AN4" s="160"/>
      <c r="AO4" s="160"/>
      <c r="AP4" s="160"/>
      <c r="AQ4" s="160"/>
      <c r="AR4" s="160"/>
      <c r="AS4" s="160"/>
      <c r="AT4" s="160"/>
      <c r="AU4" s="160"/>
      <c r="AV4" s="160"/>
      <c r="AW4" s="160" t="s">
        <v>24</v>
      </c>
      <c r="AX4" s="160"/>
      <c r="AY4" s="160"/>
      <c r="AZ4" s="160"/>
      <c r="BA4" s="160"/>
      <c r="BB4" s="160"/>
      <c r="BC4" s="160"/>
      <c r="BD4" s="160"/>
      <c r="BE4" s="160"/>
      <c r="BF4" s="161"/>
      <c r="BG4" s="90" t="s">
        <v>25</v>
      </c>
      <c r="BH4" s="130"/>
      <c r="BI4" s="130"/>
      <c r="BJ4" s="130"/>
      <c r="BK4" s="130"/>
      <c r="BL4" s="159" t="s">
        <v>176</v>
      </c>
      <c r="BM4" s="159"/>
      <c r="BN4" s="8"/>
    </row>
    <row r="5" spans="1:66" ht="34.5" customHeight="1">
      <c r="A5" s="8"/>
      <c r="B5" s="130"/>
      <c r="C5" s="130"/>
      <c r="D5" s="130"/>
      <c r="E5" s="130"/>
      <c r="F5" s="130"/>
      <c r="G5" s="130"/>
      <c r="H5" s="130"/>
      <c r="I5" s="130"/>
      <c r="J5" s="130"/>
      <c r="K5" s="130"/>
      <c r="L5" s="130"/>
      <c r="M5" s="130"/>
      <c r="N5" s="130"/>
      <c r="O5" s="130"/>
      <c r="P5" s="88"/>
      <c r="Q5" s="176" t="s">
        <v>20</v>
      </c>
      <c r="R5" s="130"/>
      <c r="S5" s="130"/>
      <c r="T5" s="130"/>
      <c r="U5" s="130"/>
      <c r="V5" s="130" t="s">
        <v>21</v>
      </c>
      <c r="W5" s="130"/>
      <c r="X5" s="130"/>
      <c r="Y5" s="130"/>
      <c r="Z5" s="130"/>
      <c r="AA5" s="88" t="s">
        <v>119</v>
      </c>
      <c r="AB5" s="89"/>
      <c r="AC5" s="89"/>
      <c r="AD5" s="89"/>
      <c r="AE5" s="90"/>
      <c r="AF5" s="183" t="s">
        <v>167</v>
      </c>
      <c r="AG5" s="184"/>
      <c r="AH5" s="184"/>
      <c r="AI5" s="184"/>
      <c r="AJ5" s="185"/>
      <c r="AK5" s="100"/>
      <c r="AL5" s="182"/>
      <c r="AM5" s="176" t="s">
        <v>20</v>
      </c>
      <c r="AN5" s="130"/>
      <c r="AO5" s="130"/>
      <c r="AP5" s="130"/>
      <c r="AQ5" s="130"/>
      <c r="AR5" s="130" t="s">
        <v>21</v>
      </c>
      <c r="AS5" s="130"/>
      <c r="AT5" s="130"/>
      <c r="AU5" s="130"/>
      <c r="AV5" s="130"/>
      <c r="AW5" s="130" t="s">
        <v>20</v>
      </c>
      <c r="AX5" s="130"/>
      <c r="AY5" s="130"/>
      <c r="AZ5" s="130"/>
      <c r="BA5" s="130"/>
      <c r="BB5" s="130" t="s">
        <v>21</v>
      </c>
      <c r="BC5" s="130"/>
      <c r="BD5" s="130"/>
      <c r="BE5" s="130"/>
      <c r="BF5" s="162"/>
      <c r="BG5" s="90"/>
      <c r="BH5" s="130"/>
      <c r="BI5" s="130"/>
      <c r="BJ5" s="130"/>
      <c r="BK5" s="130"/>
      <c r="BL5" s="159"/>
      <c r="BM5" s="159"/>
      <c r="BN5" s="8"/>
    </row>
    <row r="6" spans="1:66" ht="37.5" customHeight="1">
      <c r="A6" s="8"/>
      <c r="B6" s="2">
        <v>1</v>
      </c>
      <c r="C6" s="130" t="s">
        <v>3</v>
      </c>
      <c r="D6" s="130"/>
      <c r="E6" s="130"/>
      <c r="F6" s="171" t="str">
        <f>'試算シート転記（非表示）'!D2</f>
        <v/>
      </c>
      <c r="G6" s="171"/>
      <c r="H6" s="171"/>
      <c r="I6" s="194" t="str">
        <f>'試算シート転記（非表示）'!E10</f>
        <v/>
      </c>
      <c r="J6" s="194"/>
      <c r="K6" s="194"/>
      <c r="L6" s="194"/>
      <c r="M6" s="172">
        <f>'試算シート転記（非表示）'!F10</f>
        <v>0</v>
      </c>
      <c r="N6" s="172"/>
      <c r="O6" s="172">
        <f>'試算シート転記（非表示）'!G10</f>
        <v>0</v>
      </c>
      <c r="P6" s="173"/>
      <c r="Q6" s="152"/>
      <c r="R6" s="153"/>
      <c r="S6" s="153"/>
      <c r="T6" s="153"/>
      <c r="U6" s="153"/>
      <c r="V6" s="154">
        <f>このシートの設問に沿って入力してください!I23</f>
        <v>0</v>
      </c>
      <c r="W6" s="154"/>
      <c r="X6" s="154"/>
      <c r="Y6" s="154"/>
      <c r="Z6" s="154"/>
      <c r="AA6" s="60">
        <v>1</v>
      </c>
      <c r="AB6" s="125">
        <f>所得額調整控除!P4</f>
        <v>0</v>
      </c>
      <c r="AC6" s="126"/>
      <c r="AD6" s="126"/>
      <c r="AE6" s="147"/>
      <c r="AF6" s="151">
        <f>所得額調整控除!S4</f>
        <v>0</v>
      </c>
      <c r="AG6" s="151"/>
      <c r="AH6" s="151"/>
      <c r="AI6" s="151"/>
      <c r="AJ6" s="163"/>
      <c r="AK6" s="165"/>
      <c r="AL6" s="166"/>
      <c r="AM6" s="152"/>
      <c r="AN6" s="153"/>
      <c r="AO6" s="153"/>
      <c r="AP6" s="153"/>
      <c r="AQ6" s="153"/>
      <c r="AR6" s="154">
        <f>'試算シート転記（非表示）'!F18</f>
        <v>0</v>
      </c>
      <c r="AS6" s="154"/>
      <c r="AT6" s="154"/>
      <c r="AU6" s="154"/>
      <c r="AV6" s="154"/>
      <c r="AW6" s="153"/>
      <c r="AX6" s="153"/>
      <c r="AY6" s="153"/>
      <c r="AZ6" s="153"/>
      <c r="BA6" s="153"/>
      <c r="BB6" s="151">
        <f>'試算シート転記（非表示）'!G18</f>
        <v>0</v>
      </c>
      <c r="BC6" s="151"/>
      <c r="BD6" s="151"/>
      <c r="BE6" s="151"/>
      <c r="BF6" s="163"/>
      <c r="BG6" s="158">
        <f>このシートの設問に沿って入力してください!I25</f>
        <v>0</v>
      </c>
      <c r="BH6" s="153"/>
      <c r="BI6" s="153"/>
      <c r="BJ6" s="153"/>
      <c r="BK6" s="153"/>
      <c r="BL6" s="201">
        <f>'総・軽減所得（給与所得者等人数）'!AD13</f>
        <v>0</v>
      </c>
      <c r="BM6" s="201"/>
      <c r="BN6" s="8"/>
    </row>
    <row r="7" spans="1:66" ht="37.5" customHeight="1">
      <c r="A7" s="8"/>
      <c r="B7" s="2">
        <v>2</v>
      </c>
      <c r="C7" s="130" t="s">
        <v>136</v>
      </c>
      <c r="D7" s="130"/>
      <c r="E7" s="130"/>
      <c r="F7" s="171" t="str">
        <f>'試算シート転記（非表示）'!D11</f>
        <v/>
      </c>
      <c r="G7" s="171"/>
      <c r="H7" s="171"/>
      <c r="I7" s="194" t="str">
        <f>'試算シート転記（非表示）'!E11</f>
        <v/>
      </c>
      <c r="J7" s="194"/>
      <c r="K7" s="194"/>
      <c r="L7" s="194"/>
      <c r="M7" s="172">
        <f>'試算シート転記（非表示）'!F11</f>
        <v>0</v>
      </c>
      <c r="N7" s="172"/>
      <c r="O7" s="173">
        <f>'試算シート転記（非表示）'!G11</f>
        <v>0</v>
      </c>
      <c r="P7" s="174"/>
      <c r="Q7" s="152"/>
      <c r="R7" s="153"/>
      <c r="S7" s="153"/>
      <c r="T7" s="153"/>
      <c r="U7" s="153"/>
      <c r="V7" s="154">
        <f>このシートの設問に沿って入力してください!N23</f>
        <v>0</v>
      </c>
      <c r="W7" s="154"/>
      <c r="X7" s="154"/>
      <c r="Y7" s="154"/>
      <c r="Z7" s="154"/>
      <c r="AA7" s="60">
        <v>1</v>
      </c>
      <c r="AB7" s="125">
        <f>所得額調整控除!P5</f>
        <v>0</v>
      </c>
      <c r="AC7" s="126"/>
      <c r="AD7" s="126"/>
      <c r="AE7" s="147"/>
      <c r="AF7" s="151">
        <f>所得額調整控除!S5</f>
        <v>0</v>
      </c>
      <c r="AG7" s="151"/>
      <c r="AH7" s="151"/>
      <c r="AI7" s="151"/>
      <c r="AJ7" s="163"/>
      <c r="AK7" s="165"/>
      <c r="AL7" s="166"/>
      <c r="AM7" s="152"/>
      <c r="AN7" s="153"/>
      <c r="AO7" s="153"/>
      <c r="AP7" s="153"/>
      <c r="AQ7" s="153"/>
      <c r="AR7" s="154">
        <f>'試算シート転記（非表示）'!F19</f>
        <v>0</v>
      </c>
      <c r="AS7" s="154"/>
      <c r="AT7" s="154"/>
      <c r="AU7" s="154"/>
      <c r="AV7" s="154"/>
      <c r="AW7" s="153"/>
      <c r="AX7" s="153"/>
      <c r="AY7" s="153"/>
      <c r="AZ7" s="153"/>
      <c r="BA7" s="153"/>
      <c r="BB7" s="151">
        <f>'試算シート転記（非表示）'!G19</f>
        <v>0</v>
      </c>
      <c r="BC7" s="151"/>
      <c r="BD7" s="151"/>
      <c r="BE7" s="151"/>
      <c r="BF7" s="163"/>
      <c r="BG7" s="158">
        <f>このシートの設問に沿って入力してください!N25</f>
        <v>0</v>
      </c>
      <c r="BH7" s="153"/>
      <c r="BI7" s="153"/>
      <c r="BJ7" s="153"/>
      <c r="BK7" s="153"/>
      <c r="BL7" s="201">
        <f>'総・軽減所得（給与所得者等人数）'!AD14</f>
        <v>0</v>
      </c>
      <c r="BM7" s="201"/>
      <c r="BN7" s="8"/>
    </row>
    <row r="8" spans="1:66" ht="37.5" customHeight="1">
      <c r="A8" s="8"/>
      <c r="B8" s="2">
        <v>3</v>
      </c>
      <c r="C8" s="130" t="s">
        <v>137</v>
      </c>
      <c r="D8" s="130"/>
      <c r="E8" s="130"/>
      <c r="F8" s="171" t="str">
        <f>'試算シート転記（非表示）'!D12</f>
        <v/>
      </c>
      <c r="G8" s="171"/>
      <c r="H8" s="171"/>
      <c r="I8" s="177" t="str">
        <f>'試算シート転記（非表示）'!E12</f>
        <v/>
      </c>
      <c r="J8" s="178"/>
      <c r="K8" s="178"/>
      <c r="L8" s="179"/>
      <c r="M8" s="172">
        <f>'試算シート転記（非表示）'!F12</f>
        <v>0</v>
      </c>
      <c r="N8" s="172"/>
      <c r="O8" s="173">
        <f>'試算シート転記（非表示）'!G12</f>
        <v>0</v>
      </c>
      <c r="P8" s="174"/>
      <c r="Q8" s="152"/>
      <c r="R8" s="153"/>
      <c r="S8" s="153"/>
      <c r="T8" s="153"/>
      <c r="U8" s="153"/>
      <c r="V8" s="154">
        <f>このシートの設問に沿って入力してください!S23</f>
        <v>0</v>
      </c>
      <c r="W8" s="154"/>
      <c r="X8" s="154"/>
      <c r="Y8" s="154"/>
      <c r="Z8" s="154"/>
      <c r="AA8" s="60">
        <v>1</v>
      </c>
      <c r="AB8" s="125">
        <f>所得額調整控除!P6</f>
        <v>0</v>
      </c>
      <c r="AC8" s="126"/>
      <c r="AD8" s="126"/>
      <c r="AE8" s="147"/>
      <c r="AF8" s="151">
        <f>所得額調整控除!S6</f>
        <v>0</v>
      </c>
      <c r="AG8" s="151"/>
      <c r="AH8" s="151"/>
      <c r="AI8" s="151"/>
      <c r="AJ8" s="163"/>
      <c r="AK8" s="165"/>
      <c r="AL8" s="166"/>
      <c r="AM8" s="152"/>
      <c r="AN8" s="153"/>
      <c r="AO8" s="153"/>
      <c r="AP8" s="153"/>
      <c r="AQ8" s="153"/>
      <c r="AR8" s="154">
        <f>'試算シート転記（非表示）'!F20</f>
        <v>0</v>
      </c>
      <c r="AS8" s="154"/>
      <c r="AT8" s="154"/>
      <c r="AU8" s="154"/>
      <c r="AV8" s="154"/>
      <c r="AW8" s="153"/>
      <c r="AX8" s="153"/>
      <c r="AY8" s="153"/>
      <c r="AZ8" s="153"/>
      <c r="BA8" s="153"/>
      <c r="BB8" s="151">
        <f>'試算シート転記（非表示）'!G20</f>
        <v>0</v>
      </c>
      <c r="BC8" s="151"/>
      <c r="BD8" s="151"/>
      <c r="BE8" s="151"/>
      <c r="BF8" s="163"/>
      <c r="BG8" s="158">
        <f>このシートの設問に沿って入力してください!S25</f>
        <v>0</v>
      </c>
      <c r="BH8" s="153"/>
      <c r="BI8" s="153"/>
      <c r="BJ8" s="153"/>
      <c r="BK8" s="153"/>
      <c r="BL8" s="201">
        <f>'総・軽減所得（給与所得者等人数）'!AD15</f>
        <v>0</v>
      </c>
      <c r="BM8" s="201"/>
      <c r="BN8" s="8"/>
    </row>
    <row r="9" spans="1:66" ht="37.5" customHeight="1">
      <c r="A9" s="8"/>
      <c r="B9" s="2">
        <v>4</v>
      </c>
      <c r="C9" s="130" t="s">
        <v>138</v>
      </c>
      <c r="D9" s="130"/>
      <c r="E9" s="130"/>
      <c r="F9" s="171" t="str">
        <f>'試算シート転記（非表示）'!D13</f>
        <v/>
      </c>
      <c r="G9" s="171"/>
      <c r="H9" s="171"/>
      <c r="I9" s="177" t="str">
        <f>'試算シート転記（非表示）'!E13</f>
        <v/>
      </c>
      <c r="J9" s="178"/>
      <c r="K9" s="178"/>
      <c r="L9" s="179"/>
      <c r="M9" s="172">
        <f>'試算シート転記（非表示）'!F13</f>
        <v>0</v>
      </c>
      <c r="N9" s="172"/>
      <c r="O9" s="173">
        <f>'試算シート転記（非表示）'!G13</f>
        <v>0</v>
      </c>
      <c r="P9" s="174"/>
      <c r="Q9" s="152"/>
      <c r="R9" s="153"/>
      <c r="S9" s="153"/>
      <c r="T9" s="153"/>
      <c r="U9" s="153"/>
      <c r="V9" s="154">
        <f>このシートの設問に沿って入力してください!X23</f>
        <v>0</v>
      </c>
      <c r="W9" s="154"/>
      <c r="X9" s="154"/>
      <c r="Y9" s="154"/>
      <c r="Z9" s="154"/>
      <c r="AA9" s="60">
        <v>1</v>
      </c>
      <c r="AB9" s="125">
        <f>所得額調整控除!P7</f>
        <v>0</v>
      </c>
      <c r="AC9" s="126"/>
      <c r="AD9" s="126"/>
      <c r="AE9" s="147"/>
      <c r="AF9" s="151">
        <f>所得額調整控除!S7</f>
        <v>0</v>
      </c>
      <c r="AG9" s="151"/>
      <c r="AH9" s="151"/>
      <c r="AI9" s="151"/>
      <c r="AJ9" s="163"/>
      <c r="AK9" s="165"/>
      <c r="AL9" s="166"/>
      <c r="AM9" s="152"/>
      <c r="AN9" s="153"/>
      <c r="AO9" s="153"/>
      <c r="AP9" s="153"/>
      <c r="AQ9" s="153"/>
      <c r="AR9" s="154">
        <f>'試算シート転記（非表示）'!F21</f>
        <v>0</v>
      </c>
      <c r="AS9" s="154"/>
      <c r="AT9" s="154"/>
      <c r="AU9" s="154"/>
      <c r="AV9" s="154"/>
      <c r="AW9" s="153"/>
      <c r="AX9" s="153"/>
      <c r="AY9" s="153"/>
      <c r="AZ9" s="153"/>
      <c r="BA9" s="153"/>
      <c r="BB9" s="151">
        <f>'試算シート転記（非表示）'!G21</f>
        <v>0</v>
      </c>
      <c r="BC9" s="151"/>
      <c r="BD9" s="151"/>
      <c r="BE9" s="151"/>
      <c r="BF9" s="163"/>
      <c r="BG9" s="158">
        <f>このシートの設問に沿って入力してください!X25</f>
        <v>0</v>
      </c>
      <c r="BH9" s="153"/>
      <c r="BI9" s="153"/>
      <c r="BJ9" s="153"/>
      <c r="BK9" s="153"/>
      <c r="BL9" s="201">
        <f>'総・軽減所得（給与所得者等人数）'!AD16</f>
        <v>0</v>
      </c>
      <c r="BM9" s="201"/>
      <c r="BN9" s="8"/>
    </row>
    <row r="10" spans="1:66" ht="37.5" customHeight="1" thickBot="1">
      <c r="A10" s="8"/>
      <c r="B10" s="2">
        <v>5</v>
      </c>
      <c r="C10" s="130" t="s">
        <v>139</v>
      </c>
      <c r="D10" s="130"/>
      <c r="E10" s="130"/>
      <c r="F10" s="171" t="str">
        <f>'試算シート転記（非表示）'!D14</f>
        <v/>
      </c>
      <c r="G10" s="171"/>
      <c r="H10" s="171"/>
      <c r="I10" s="177" t="str">
        <f>'試算シート転記（非表示）'!E14</f>
        <v/>
      </c>
      <c r="J10" s="178"/>
      <c r="K10" s="178"/>
      <c r="L10" s="179"/>
      <c r="M10" s="172">
        <f>'試算シート転記（非表示）'!F14</f>
        <v>0</v>
      </c>
      <c r="N10" s="172"/>
      <c r="O10" s="173">
        <f>'試算シート転記（非表示）'!G14</f>
        <v>0</v>
      </c>
      <c r="P10" s="174"/>
      <c r="Q10" s="155"/>
      <c r="R10" s="156"/>
      <c r="S10" s="156"/>
      <c r="T10" s="156"/>
      <c r="U10" s="156"/>
      <c r="V10" s="157">
        <f>このシートの設問に沿って入力してください!AC23</f>
        <v>0</v>
      </c>
      <c r="W10" s="157"/>
      <c r="X10" s="157"/>
      <c r="Y10" s="157"/>
      <c r="Z10" s="157"/>
      <c r="AA10" s="61">
        <v>1</v>
      </c>
      <c r="AB10" s="148">
        <f>所得額調整控除!P8</f>
        <v>0</v>
      </c>
      <c r="AC10" s="149"/>
      <c r="AD10" s="149"/>
      <c r="AE10" s="150"/>
      <c r="AF10" s="169">
        <f>所得額調整控除!S8</f>
        <v>0</v>
      </c>
      <c r="AG10" s="169"/>
      <c r="AH10" s="169"/>
      <c r="AI10" s="169"/>
      <c r="AJ10" s="170"/>
      <c r="AK10" s="167"/>
      <c r="AL10" s="168"/>
      <c r="AM10" s="155"/>
      <c r="AN10" s="156"/>
      <c r="AO10" s="156"/>
      <c r="AP10" s="156"/>
      <c r="AQ10" s="156"/>
      <c r="AR10" s="157">
        <f>'試算シート転記（非表示）'!F22</f>
        <v>0</v>
      </c>
      <c r="AS10" s="157"/>
      <c r="AT10" s="157"/>
      <c r="AU10" s="157"/>
      <c r="AV10" s="157"/>
      <c r="AW10" s="156"/>
      <c r="AX10" s="156"/>
      <c r="AY10" s="156"/>
      <c r="AZ10" s="156"/>
      <c r="BA10" s="156"/>
      <c r="BB10" s="169">
        <f>'試算シート転記（非表示）'!G22</f>
        <v>0</v>
      </c>
      <c r="BC10" s="169"/>
      <c r="BD10" s="169"/>
      <c r="BE10" s="169"/>
      <c r="BF10" s="170"/>
      <c r="BG10" s="158">
        <f>このシートの設問に沿って入力してください!AC25</f>
        <v>0</v>
      </c>
      <c r="BH10" s="153"/>
      <c r="BI10" s="153"/>
      <c r="BJ10" s="153"/>
      <c r="BK10" s="153"/>
      <c r="BL10" s="201">
        <f>'総・軽減所得（給与所得者等人数）'!AD17</f>
        <v>0</v>
      </c>
      <c r="BM10" s="201"/>
      <c r="BN10" s="8"/>
    </row>
    <row r="11" spans="1:66" ht="18.7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5" t="s">
        <v>319</v>
      </c>
      <c r="AN11" s="8"/>
      <c r="AO11" s="8"/>
      <c r="AP11" s="8"/>
      <c r="AQ11" s="8"/>
      <c r="AR11" s="8"/>
      <c r="AS11" s="8"/>
      <c r="AT11" s="8"/>
      <c r="AU11" s="8"/>
      <c r="AV11" s="8"/>
      <c r="AW11" s="85" t="s">
        <v>320</v>
      </c>
      <c r="AX11" s="8"/>
      <c r="AY11" s="8"/>
      <c r="AZ11" s="8"/>
      <c r="BA11" s="8"/>
      <c r="BB11" s="8"/>
      <c r="BC11" s="8"/>
      <c r="BD11" s="8"/>
      <c r="BE11" s="8"/>
      <c r="BF11" s="8"/>
      <c r="BG11" s="8"/>
      <c r="BH11" s="8"/>
      <c r="BI11" s="8"/>
      <c r="BJ11" s="8"/>
      <c r="BK11" s="8"/>
      <c r="BL11" s="8"/>
      <c r="BM11" s="8"/>
      <c r="BN11" s="8"/>
    </row>
    <row r="12" spans="1:66" ht="18.75" customHeight="1">
      <c r="A12" s="8"/>
      <c r="B12" s="195" t="s">
        <v>26</v>
      </c>
      <c r="C12" s="196"/>
      <c r="D12" s="196"/>
      <c r="E12" s="197"/>
      <c r="F12" s="94">
        <f>MAX(M6:N10)</f>
        <v>0</v>
      </c>
      <c r="G12" s="95"/>
      <c r="H12" s="95" t="s">
        <v>27</v>
      </c>
      <c r="I12" s="96"/>
      <c r="J12" s="195" t="s">
        <v>28</v>
      </c>
      <c r="K12" s="196"/>
      <c r="L12" s="196"/>
      <c r="M12" s="197"/>
      <c r="N12" s="94" t="str">
        <f>軽減区分算出!AO12</f>
        <v>７割軽減</v>
      </c>
      <c r="O12" s="95"/>
      <c r="P12" s="95"/>
      <c r="Q12" s="95"/>
      <c r="R12" s="95"/>
      <c r="S12" s="96"/>
      <c r="T12" s="8"/>
      <c r="U12" s="8"/>
      <c r="V12" s="8"/>
      <c r="W12" s="8"/>
      <c r="X12" s="8" t="s">
        <v>86</v>
      </c>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row>
    <row r="13" spans="1:66" ht="18.75" customHeight="1">
      <c r="A13" s="8"/>
      <c r="B13" s="198"/>
      <c r="C13" s="199"/>
      <c r="D13" s="199"/>
      <c r="E13" s="200"/>
      <c r="F13" s="99"/>
      <c r="G13" s="100"/>
      <c r="H13" s="100"/>
      <c r="I13" s="101"/>
      <c r="J13" s="198"/>
      <c r="K13" s="199"/>
      <c r="L13" s="199"/>
      <c r="M13" s="200"/>
      <c r="N13" s="99"/>
      <c r="O13" s="100"/>
      <c r="P13" s="100"/>
      <c r="Q13" s="100"/>
      <c r="R13" s="100"/>
      <c r="S13" s="101"/>
      <c r="T13" s="8"/>
      <c r="U13" s="8"/>
      <c r="V13" s="8"/>
      <c r="W13" s="8"/>
      <c r="X13" s="8"/>
      <c r="Y13" s="8"/>
      <c r="Z13" s="8"/>
      <c r="AA13" s="8"/>
      <c r="AB13" s="130" t="s">
        <v>36</v>
      </c>
      <c r="AC13" s="130"/>
      <c r="AD13" s="130"/>
      <c r="AE13" s="130"/>
      <c r="AF13" s="130"/>
      <c r="AG13" s="130" t="s">
        <v>37</v>
      </c>
      <c r="AH13" s="130"/>
      <c r="AI13" s="130"/>
      <c r="AJ13" s="130"/>
      <c r="AK13" s="130"/>
      <c r="AL13" s="130" t="s">
        <v>38</v>
      </c>
      <c r="AM13" s="130"/>
      <c r="AN13" s="130"/>
      <c r="AO13" s="130"/>
      <c r="AP13" s="130"/>
      <c r="AQ13" s="8"/>
      <c r="AR13" s="8"/>
      <c r="AS13" s="8"/>
      <c r="AT13" s="8"/>
      <c r="AU13" s="8"/>
      <c r="AV13" s="8"/>
      <c r="AW13" s="159" t="s">
        <v>179</v>
      </c>
      <c r="AX13" s="130"/>
      <c r="AY13" s="130"/>
      <c r="AZ13" s="130"/>
      <c r="BA13" s="130"/>
      <c r="BB13" s="159" t="s">
        <v>171</v>
      </c>
      <c r="BC13" s="130"/>
      <c r="BD13" s="130"/>
      <c r="BE13" s="130"/>
      <c r="BF13" s="130"/>
      <c r="BG13" s="159" t="s">
        <v>180</v>
      </c>
      <c r="BH13" s="130"/>
      <c r="BI13" s="130"/>
      <c r="BJ13" s="130"/>
      <c r="BK13" s="130"/>
      <c r="BL13" s="8"/>
      <c r="BM13" s="8"/>
      <c r="BN13" s="8"/>
    </row>
    <row r="14" spans="1:66" ht="18.75" customHeight="1">
      <c r="A14" s="8"/>
      <c r="B14" s="8"/>
      <c r="C14" s="8"/>
      <c r="D14" s="8"/>
      <c r="E14" s="8"/>
      <c r="F14" s="8"/>
      <c r="G14" s="8"/>
      <c r="H14" s="8"/>
      <c r="I14" s="8"/>
      <c r="J14" s="8"/>
      <c r="K14" s="8"/>
      <c r="L14" s="8"/>
      <c r="M14" s="8"/>
      <c r="N14" s="8"/>
      <c r="O14" s="8"/>
      <c r="P14" s="8"/>
      <c r="Q14" s="8"/>
      <c r="R14" s="8"/>
      <c r="S14" s="8"/>
      <c r="T14" s="8"/>
      <c r="U14" s="8"/>
      <c r="V14" s="8"/>
      <c r="W14" s="8"/>
      <c r="X14" s="130" t="s">
        <v>87</v>
      </c>
      <c r="Y14" s="130"/>
      <c r="Z14" s="130"/>
      <c r="AA14" s="130"/>
      <c r="AB14" s="151">
        <f>保険料算出!AL16</f>
        <v>0</v>
      </c>
      <c r="AC14" s="151"/>
      <c r="AD14" s="151"/>
      <c r="AE14" s="151"/>
      <c r="AF14" s="151"/>
      <c r="AG14" s="151">
        <f>保険料算出!AL26</f>
        <v>0</v>
      </c>
      <c r="AH14" s="151"/>
      <c r="AI14" s="151"/>
      <c r="AJ14" s="151"/>
      <c r="AK14" s="151"/>
      <c r="AL14" s="151">
        <f>保険料算出!AL36</f>
        <v>0</v>
      </c>
      <c r="AM14" s="151"/>
      <c r="AN14" s="151"/>
      <c r="AO14" s="151"/>
      <c r="AP14" s="151"/>
      <c r="AQ14" s="8"/>
      <c r="AR14" s="8"/>
      <c r="AS14" s="8"/>
      <c r="AT14" s="8"/>
      <c r="AU14" s="8"/>
      <c r="AV14" s="8"/>
      <c r="AW14" s="130"/>
      <c r="AX14" s="130"/>
      <c r="AY14" s="130"/>
      <c r="AZ14" s="130"/>
      <c r="BA14" s="130"/>
      <c r="BB14" s="130"/>
      <c r="BC14" s="130"/>
      <c r="BD14" s="130"/>
      <c r="BE14" s="130"/>
      <c r="BF14" s="130"/>
      <c r="BG14" s="130"/>
      <c r="BH14" s="130"/>
      <c r="BI14" s="130"/>
      <c r="BJ14" s="130"/>
      <c r="BK14" s="130"/>
      <c r="BL14" s="58"/>
      <c r="BM14" s="8"/>
      <c r="BN14" s="8"/>
    </row>
    <row r="15" spans="1:66" ht="18.75" customHeight="1">
      <c r="A15" s="8"/>
      <c r="B15" s="130" t="s">
        <v>34</v>
      </c>
      <c r="C15" s="130"/>
      <c r="D15" s="130"/>
      <c r="E15" s="130"/>
      <c r="F15" s="130"/>
      <c r="G15" s="130"/>
      <c r="H15" s="130"/>
      <c r="I15" s="130"/>
      <c r="J15" s="130"/>
      <c r="K15" s="130"/>
      <c r="L15" s="130"/>
      <c r="M15" s="130"/>
      <c r="N15" s="130"/>
      <c r="O15" s="130"/>
      <c r="P15" s="130"/>
      <c r="Q15" s="130"/>
      <c r="R15" s="130"/>
      <c r="S15" s="130"/>
      <c r="T15" s="130"/>
      <c r="U15" s="130"/>
      <c r="V15" s="8"/>
      <c r="W15" s="8"/>
      <c r="X15" s="164" t="s">
        <v>88</v>
      </c>
      <c r="Y15" s="164"/>
      <c r="Z15" s="164"/>
      <c r="AA15" s="164"/>
      <c r="AB15" s="151">
        <f>保険料算出!AP16</f>
        <v>0</v>
      </c>
      <c r="AC15" s="151"/>
      <c r="AD15" s="151"/>
      <c r="AE15" s="151"/>
      <c r="AF15" s="151"/>
      <c r="AG15" s="151">
        <f>保険料算出!AP26</f>
        <v>0</v>
      </c>
      <c r="AH15" s="151"/>
      <c r="AI15" s="151"/>
      <c r="AJ15" s="151"/>
      <c r="AK15" s="151"/>
      <c r="AL15" s="151">
        <f>保険料算出!AP36</f>
        <v>0</v>
      </c>
      <c r="AM15" s="151"/>
      <c r="AN15" s="151"/>
      <c r="AO15" s="151"/>
      <c r="AP15" s="151"/>
      <c r="AQ15" s="8"/>
      <c r="AR15" s="8"/>
      <c r="AS15" s="2">
        <v>1</v>
      </c>
      <c r="AT15" s="130" t="s">
        <v>3</v>
      </c>
      <c r="AU15" s="130"/>
      <c r="AV15" s="130"/>
      <c r="AW15" s="151">
        <f>'総・軽減所得（給与所得者等人数）'!W4</f>
        <v>0</v>
      </c>
      <c r="AX15" s="151"/>
      <c r="AY15" s="151"/>
      <c r="AZ15" s="151"/>
      <c r="BA15" s="151"/>
      <c r="BB15" s="151">
        <f>'総・軽減所得（給与所得者等人数）'!AB4</f>
        <v>0</v>
      </c>
      <c r="BC15" s="151"/>
      <c r="BD15" s="151"/>
      <c r="BE15" s="151"/>
      <c r="BF15" s="151"/>
      <c r="BG15" s="151">
        <f>'総・軽減所得（給与所得者等人数）'!W13</f>
        <v>0</v>
      </c>
      <c r="BH15" s="151"/>
      <c r="BI15" s="151"/>
      <c r="BJ15" s="151"/>
      <c r="BK15" s="151"/>
      <c r="BL15" s="58"/>
      <c r="BM15" s="8"/>
      <c r="BN15" s="8"/>
    </row>
    <row r="16" spans="1:66" ht="18.75" customHeight="1">
      <c r="A16" s="8"/>
      <c r="B16" s="130" t="s">
        <v>35</v>
      </c>
      <c r="C16" s="130"/>
      <c r="D16" s="130"/>
      <c r="E16" s="130"/>
      <c r="F16" s="130"/>
      <c r="G16" s="130" t="s">
        <v>36</v>
      </c>
      <c r="H16" s="130"/>
      <c r="I16" s="130"/>
      <c r="J16" s="130"/>
      <c r="K16" s="130"/>
      <c r="L16" s="130" t="s">
        <v>37</v>
      </c>
      <c r="M16" s="130"/>
      <c r="N16" s="130"/>
      <c r="O16" s="130"/>
      <c r="P16" s="130"/>
      <c r="Q16" s="130" t="s">
        <v>38</v>
      </c>
      <c r="R16" s="130"/>
      <c r="S16" s="130"/>
      <c r="T16" s="130"/>
      <c r="U16" s="130"/>
      <c r="V16" s="8"/>
      <c r="W16" s="8"/>
      <c r="X16" s="164" t="s">
        <v>89</v>
      </c>
      <c r="Y16" s="164"/>
      <c r="Z16" s="164"/>
      <c r="AA16" s="164"/>
      <c r="AB16" s="151">
        <f>保険料算出!AT16</f>
        <v>0</v>
      </c>
      <c r="AC16" s="151"/>
      <c r="AD16" s="151"/>
      <c r="AE16" s="151"/>
      <c r="AF16" s="151"/>
      <c r="AG16" s="151">
        <f>保険料算出!AT26</f>
        <v>0</v>
      </c>
      <c r="AH16" s="151"/>
      <c r="AI16" s="151"/>
      <c r="AJ16" s="151"/>
      <c r="AK16" s="151"/>
      <c r="AL16" s="151">
        <f>保険料算出!AT36</f>
        <v>0</v>
      </c>
      <c r="AM16" s="151"/>
      <c r="AN16" s="151"/>
      <c r="AO16" s="151"/>
      <c r="AP16" s="151"/>
      <c r="AQ16" s="8"/>
      <c r="AR16" s="8"/>
      <c r="AS16" s="2">
        <v>2</v>
      </c>
      <c r="AT16" s="130" t="s">
        <v>4</v>
      </c>
      <c r="AU16" s="130"/>
      <c r="AV16" s="130"/>
      <c r="AW16" s="151">
        <f>'総・軽減所得（給与所得者等人数）'!W5</f>
        <v>0</v>
      </c>
      <c r="AX16" s="151"/>
      <c r="AY16" s="151"/>
      <c r="AZ16" s="151"/>
      <c r="BA16" s="151"/>
      <c r="BB16" s="151">
        <f>'総・軽減所得（給与所得者等人数）'!AB5</f>
        <v>0</v>
      </c>
      <c r="BC16" s="151"/>
      <c r="BD16" s="151"/>
      <c r="BE16" s="151"/>
      <c r="BF16" s="151"/>
      <c r="BG16" s="151">
        <f>'総・軽減所得（給与所得者等人数）'!W14</f>
        <v>0</v>
      </c>
      <c r="BH16" s="151"/>
      <c r="BI16" s="151"/>
      <c r="BJ16" s="151"/>
      <c r="BK16" s="151"/>
      <c r="BL16" s="59"/>
      <c r="BM16" s="8"/>
      <c r="BN16" s="8"/>
    </row>
    <row r="17" spans="1:66" ht="18.75" customHeight="1">
      <c r="A17" s="8"/>
      <c r="B17" s="189">
        <f>G17+L17+Q17</f>
        <v>0</v>
      </c>
      <c r="C17" s="190"/>
      <c r="D17" s="190"/>
      <c r="E17" s="190"/>
      <c r="F17" s="96" t="s">
        <v>39</v>
      </c>
      <c r="G17" s="189">
        <f>保険料算出!BH11</f>
        <v>0</v>
      </c>
      <c r="H17" s="190"/>
      <c r="I17" s="190"/>
      <c r="J17" s="190"/>
      <c r="K17" s="96" t="s">
        <v>39</v>
      </c>
      <c r="L17" s="189">
        <f>保険料算出!BH21</f>
        <v>0</v>
      </c>
      <c r="M17" s="190"/>
      <c r="N17" s="190"/>
      <c r="O17" s="190"/>
      <c r="P17" s="96" t="s">
        <v>39</v>
      </c>
      <c r="Q17" s="189">
        <f>保険料算出!BH31</f>
        <v>0</v>
      </c>
      <c r="R17" s="190"/>
      <c r="S17" s="190"/>
      <c r="T17" s="190"/>
      <c r="U17" s="96" t="s">
        <v>39</v>
      </c>
      <c r="V17" s="8"/>
      <c r="W17" s="8"/>
      <c r="X17" s="130" t="s">
        <v>90</v>
      </c>
      <c r="Y17" s="130"/>
      <c r="Z17" s="130"/>
      <c r="AA17" s="130"/>
      <c r="AB17" s="151">
        <f>保険料算出!BH11</f>
        <v>0</v>
      </c>
      <c r="AC17" s="151"/>
      <c r="AD17" s="151"/>
      <c r="AE17" s="151"/>
      <c r="AF17" s="151"/>
      <c r="AG17" s="151">
        <f>保険料算出!BH21</f>
        <v>0</v>
      </c>
      <c r="AH17" s="151"/>
      <c r="AI17" s="151"/>
      <c r="AJ17" s="151"/>
      <c r="AK17" s="151"/>
      <c r="AL17" s="151">
        <f>保険料算出!BH31</f>
        <v>0</v>
      </c>
      <c r="AM17" s="151"/>
      <c r="AN17" s="151"/>
      <c r="AO17" s="151"/>
      <c r="AP17" s="151"/>
      <c r="AQ17" s="8"/>
      <c r="AR17" s="8"/>
      <c r="AS17" s="2">
        <v>3</v>
      </c>
      <c r="AT17" s="130" t="s">
        <v>4</v>
      </c>
      <c r="AU17" s="130"/>
      <c r="AV17" s="130"/>
      <c r="AW17" s="151">
        <f>'総・軽減所得（給与所得者等人数）'!W6</f>
        <v>0</v>
      </c>
      <c r="AX17" s="151"/>
      <c r="AY17" s="151"/>
      <c r="AZ17" s="151"/>
      <c r="BA17" s="151"/>
      <c r="BB17" s="151">
        <f>'総・軽減所得（給与所得者等人数）'!AB6</f>
        <v>0</v>
      </c>
      <c r="BC17" s="151"/>
      <c r="BD17" s="151"/>
      <c r="BE17" s="151"/>
      <c r="BF17" s="151"/>
      <c r="BG17" s="151">
        <f>'総・軽減所得（給与所得者等人数）'!W15</f>
        <v>0</v>
      </c>
      <c r="BH17" s="151"/>
      <c r="BI17" s="151"/>
      <c r="BJ17" s="151"/>
      <c r="BK17" s="151"/>
      <c r="BL17" s="59"/>
      <c r="BM17" s="8"/>
      <c r="BN17" s="8"/>
    </row>
    <row r="18" spans="1:66" ht="18.75" customHeight="1">
      <c r="A18" s="8"/>
      <c r="B18" s="191"/>
      <c r="C18" s="192"/>
      <c r="D18" s="192"/>
      <c r="E18" s="192"/>
      <c r="F18" s="101"/>
      <c r="G18" s="191"/>
      <c r="H18" s="192"/>
      <c r="I18" s="192"/>
      <c r="J18" s="192"/>
      <c r="K18" s="101"/>
      <c r="L18" s="191"/>
      <c r="M18" s="192"/>
      <c r="N18" s="192"/>
      <c r="O18" s="192"/>
      <c r="P18" s="101"/>
      <c r="Q18" s="191"/>
      <c r="R18" s="192"/>
      <c r="S18" s="192"/>
      <c r="T18" s="192"/>
      <c r="U18" s="101"/>
      <c r="V18" s="8"/>
      <c r="W18" s="8"/>
      <c r="X18" s="130" t="s">
        <v>91</v>
      </c>
      <c r="Y18" s="130"/>
      <c r="Z18" s="130"/>
      <c r="AA18" s="130"/>
      <c r="AB18" s="151" t="str">
        <f>保険料算出!BF11</f>
        <v>非該当</v>
      </c>
      <c r="AC18" s="151"/>
      <c r="AD18" s="151"/>
      <c r="AE18" s="151"/>
      <c r="AF18" s="151"/>
      <c r="AG18" s="151" t="str">
        <f>保険料算出!BF21</f>
        <v>非該当</v>
      </c>
      <c r="AH18" s="151"/>
      <c r="AI18" s="151"/>
      <c r="AJ18" s="151"/>
      <c r="AK18" s="151"/>
      <c r="AL18" s="151" t="str">
        <f>保険料算出!BF31</f>
        <v>非該当</v>
      </c>
      <c r="AM18" s="151"/>
      <c r="AN18" s="151"/>
      <c r="AO18" s="151"/>
      <c r="AP18" s="151"/>
      <c r="AQ18" s="8"/>
      <c r="AR18" s="8"/>
      <c r="AS18" s="2">
        <v>4</v>
      </c>
      <c r="AT18" s="130" t="s">
        <v>4</v>
      </c>
      <c r="AU18" s="130"/>
      <c r="AV18" s="130"/>
      <c r="AW18" s="151">
        <f>'総・軽減所得（給与所得者等人数）'!W7</f>
        <v>0</v>
      </c>
      <c r="AX18" s="151"/>
      <c r="AY18" s="151"/>
      <c r="AZ18" s="151"/>
      <c r="BA18" s="151"/>
      <c r="BB18" s="151">
        <f>'総・軽減所得（給与所得者等人数）'!AB7</f>
        <v>0</v>
      </c>
      <c r="BC18" s="151"/>
      <c r="BD18" s="151"/>
      <c r="BE18" s="151"/>
      <c r="BF18" s="151"/>
      <c r="BG18" s="151">
        <f>'総・軽減所得（給与所得者等人数）'!W16</f>
        <v>0</v>
      </c>
      <c r="BH18" s="151"/>
      <c r="BI18" s="151"/>
      <c r="BJ18" s="151"/>
      <c r="BK18" s="151"/>
      <c r="BL18" s="59"/>
      <c r="BM18" s="8"/>
      <c r="BN18" s="8"/>
    </row>
    <row r="19" spans="1:66" ht="18.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2">
        <v>5</v>
      </c>
      <c r="AT19" s="130" t="s">
        <v>4</v>
      </c>
      <c r="AU19" s="130"/>
      <c r="AV19" s="130"/>
      <c r="AW19" s="151">
        <f>'総・軽減所得（給与所得者等人数）'!W8</f>
        <v>0</v>
      </c>
      <c r="AX19" s="151"/>
      <c r="AY19" s="151"/>
      <c r="AZ19" s="151"/>
      <c r="BA19" s="151"/>
      <c r="BB19" s="151">
        <f>'総・軽減所得（給与所得者等人数）'!AB8</f>
        <v>0</v>
      </c>
      <c r="BC19" s="151"/>
      <c r="BD19" s="151"/>
      <c r="BE19" s="151"/>
      <c r="BF19" s="151"/>
      <c r="BG19" s="151">
        <f>'総・軽減所得（給与所得者等人数）'!W17</f>
        <v>0</v>
      </c>
      <c r="BH19" s="151"/>
      <c r="BI19" s="151"/>
      <c r="BJ19" s="151"/>
      <c r="BK19" s="151"/>
      <c r="BL19" s="59"/>
      <c r="BM19" s="8"/>
      <c r="BN19" s="8"/>
    </row>
    <row r="20" spans="1:66" ht="18.75" customHeight="1">
      <c r="A20" s="8"/>
      <c r="B20" s="8"/>
      <c r="C20" s="8"/>
      <c r="D20" s="8"/>
      <c r="E20" s="8"/>
      <c r="F20" s="8"/>
      <c r="G20" s="8"/>
      <c r="H20" s="8"/>
      <c r="I20" s="8"/>
      <c r="J20" s="8"/>
      <c r="K20" s="8"/>
      <c r="L20" s="8"/>
      <c r="M20" s="8"/>
      <c r="N20" s="8"/>
      <c r="O20" s="8"/>
      <c r="P20" s="8"/>
      <c r="Q20" s="8"/>
      <c r="R20" s="8"/>
      <c r="S20" s="8"/>
      <c r="T20" s="8"/>
      <c r="U20" s="8"/>
      <c r="V20" s="8"/>
      <c r="W20" s="8"/>
      <c r="X20" s="8" t="s">
        <v>92</v>
      </c>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59"/>
      <c r="BM20" s="8"/>
      <c r="BN20" s="8"/>
    </row>
    <row r="21" spans="1:66" ht="18.75" customHeight="1">
      <c r="A21" s="8"/>
      <c r="B21" s="8"/>
      <c r="C21" s="8"/>
      <c r="D21" s="8"/>
      <c r="E21" s="8"/>
      <c r="F21" s="8"/>
      <c r="G21" s="8"/>
      <c r="H21" s="8"/>
      <c r="I21" s="8"/>
      <c r="J21" s="8"/>
      <c r="K21" s="8"/>
      <c r="L21" s="8"/>
      <c r="M21" s="8"/>
      <c r="N21" s="8"/>
      <c r="O21" s="8"/>
      <c r="P21" s="8"/>
      <c r="Q21" s="8"/>
      <c r="R21" s="8"/>
      <c r="S21" s="8"/>
      <c r="T21" s="8"/>
      <c r="U21" s="8"/>
      <c r="V21" s="8"/>
      <c r="W21" s="8"/>
      <c r="X21" s="130" t="s">
        <v>93</v>
      </c>
      <c r="Y21" s="130"/>
      <c r="Z21" s="130"/>
      <c r="AA21" s="130"/>
      <c r="AB21" s="130"/>
      <c r="AC21" s="130"/>
      <c r="AD21" s="130" t="str">
        <f>N12</f>
        <v>７割軽減</v>
      </c>
      <c r="AE21" s="130"/>
      <c r="AF21" s="130"/>
      <c r="AG21" s="130"/>
      <c r="AH21" s="130"/>
      <c r="AI21" s="130"/>
      <c r="AJ21" s="130"/>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18.75" customHeight="1">
      <c r="A22" s="8"/>
      <c r="B22" s="8"/>
      <c r="C22" s="8"/>
      <c r="D22" s="8"/>
      <c r="E22" s="8"/>
      <c r="F22" s="8"/>
      <c r="G22" s="8"/>
      <c r="H22" s="8"/>
      <c r="I22" s="8"/>
      <c r="J22" s="8"/>
      <c r="K22" s="8"/>
      <c r="L22" s="8"/>
      <c r="M22" s="8"/>
      <c r="N22" s="8"/>
      <c r="O22" s="8"/>
      <c r="P22" s="8"/>
      <c r="Q22" s="8"/>
      <c r="R22" s="8"/>
      <c r="S22" s="8"/>
      <c r="T22" s="8"/>
      <c r="U22" s="8"/>
      <c r="V22" s="8"/>
      <c r="W22" s="8"/>
      <c r="X22" s="130" t="s">
        <v>94</v>
      </c>
      <c r="Y22" s="130"/>
      <c r="Z22" s="130"/>
      <c r="AA22" s="130"/>
      <c r="AB22" s="130"/>
      <c r="AC22" s="130"/>
      <c r="AD22" s="130" t="str">
        <f>IF(COUNTIF(AK6:AL10,"〇")&gt;0,"該当","非該当")</f>
        <v>非該当</v>
      </c>
      <c r="AE22" s="130"/>
      <c r="AF22" s="130"/>
      <c r="AG22" s="130"/>
      <c r="AH22" s="130"/>
      <c r="AI22" s="130"/>
      <c r="AJ22" s="130"/>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row>
    <row r="23" spans="1:66" ht="18.75" customHeight="1">
      <c r="A23" s="8"/>
      <c r="B23" s="8"/>
      <c r="C23" s="8"/>
      <c r="D23" s="8"/>
      <c r="E23" s="8"/>
      <c r="F23" s="8"/>
      <c r="G23" s="8"/>
      <c r="H23" s="8"/>
      <c r="I23" s="8"/>
      <c r="J23" s="8"/>
      <c r="K23" s="8"/>
      <c r="L23" s="8"/>
      <c r="M23" s="8"/>
      <c r="N23" s="8"/>
      <c r="O23" s="8"/>
      <c r="P23" s="8"/>
      <c r="Q23" s="8"/>
      <c r="R23" s="8"/>
      <c r="S23" s="8"/>
      <c r="T23" s="8"/>
      <c r="U23" s="8"/>
      <c r="V23" s="8"/>
      <c r="W23" s="8"/>
      <c r="X23" s="130" t="s">
        <v>95</v>
      </c>
      <c r="Y23" s="130"/>
      <c r="Z23" s="130"/>
      <c r="AA23" s="130"/>
      <c r="AB23" s="130"/>
      <c r="AC23" s="130"/>
      <c r="AD23" s="130" t="str">
        <f>軽減区分算出!AO14</f>
        <v>非該当</v>
      </c>
      <c r="AE23" s="130"/>
      <c r="AF23" s="130"/>
      <c r="AG23" s="130"/>
      <c r="AH23" s="130"/>
      <c r="AI23" s="130"/>
      <c r="AJ23" s="130"/>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row>
    <row r="24" spans="1:66" ht="18.75" customHeight="1">
      <c r="A24" s="8"/>
      <c r="B24" s="8"/>
      <c r="C24" s="8"/>
      <c r="D24" s="8"/>
      <c r="E24" s="8"/>
      <c r="F24" s="8"/>
      <c r="G24" s="8"/>
      <c r="H24" s="8"/>
      <c r="I24" s="8"/>
      <c r="J24" s="8"/>
      <c r="K24" s="8"/>
      <c r="L24" s="8"/>
      <c r="M24" s="8"/>
      <c r="N24" s="8"/>
      <c r="O24" s="8"/>
      <c r="P24" s="8"/>
      <c r="Q24" s="8"/>
      <c r="R24" s="8"/>
      <c r="S24" s="8"/>
      <c r="T24" s="8"/>
      <c r="U24" s="8"/>
      <c r="V24" s="8"/>
      <c r="W24" s="8"/>
      <c r="X24" s="130" t="s">
        <v>96</v>
      </c>
      <c r="Y24" s="130"/>
      <c r="Z24" s="130"/>
      <c r="AA24" s="130"/>
      <c r="AB24" s="130"/>
      <c r="AC24" s="130"/>
      <c r="AD24" s="130" t="str">
        <f>IF(軽減区分算出!AD15&gt;0,"該当","非該当")</f>
        <v>非該当</v>
      </c>
      <c r="AE24" s="130"/>
      <c r="AF24" s="130"/>
      <c r="AG24" s="130"/>
      <c r="AH24" s="130"/>
      <c r="AI24" s="130"/>
      <c r="AJ24" s="130"/>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row>
    <row r="25" spans="1:66" ht="18.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row>
    <row r="26" spans="1:66" ht="18.75" customHeight="1"/>
    <row r="27" spans="1:66" ht="18.75" customHeight="1"/>
    <row r="28" spans="1:66" ht="18.75" customHeight="1"/>
    <row r="29" spans="1:66" ht="18.75" customHeight="1"/>
    <row r="30" spans="1:66" ht="18.75" customHeight="1"/>
    <row r="31" spans="1:66" ht="18.75" customHeight="1"/>
    <row r="32" spans="1:6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sheetData>
  <mergeCells count="174">
    <mergeCell ref="BL4:BM5"/>
    <mergeCell ref="BL6:BM6"/>
    <mergeCell ref="BL7:BM7"/>
    <mergeCell ref="BL8:BM8"/>
    <mergeCell ref="BL9:BM9"/>
    <mergeCell ref="BL10:BM10"/>
    <mergeCell ref="AW13:BA14"/>
    <mergeCell ref="AW15:BA15"/>
    <mergeCell ref="AW16:BA16"/>
    <mergeCell ref="BB9:BF9"/>
    <mergeCell ref="AW10:BA10"/>
    <mergeCell ref="BB10:BF10"/>
    <mergeCell ref="BG13:BK14"/>
    <mergeCell ref="BG15:BK15"/>
    <mergeCell ref="BG16:BK16"/>
    <mergeCell ref="AW7:BA7"/>
    <mergeCell ref="BB7:BF7"/>
    <mergeCell ref="AW8:BA8"/>
    <mergeCell ref="BB8:BF8"/>
    <mergeCell ref="F4:H5"/>
    <mergeCell ref="F6:H6"/>
    <mergeCell ref="F7:H7"/>
    <mergeCell ref="Q8:U8"/>
    <mergeCell ref="V8:Z8"/>
    <mergeCell ref="V5:Z5"/>
    <mergeCell ref="B12:E13"/>
    <mergeCell ref="B16:F16"/>
    <mergeCell ref="G16:K16"/>
    <mergeCell ref="L16:P16"/>
    <mergeCell ref="Q16:U16"/>
    <mergeCell ref="B15:U15"/>
    <mergeCell ref="V6:Z6"/>
    <mergeCell ref="V7:Z7"/>
    <mergeCell ref="V10:Z10"/>
    <mergeCell ref="C6:E6"/>
    <mergeCell ref="F12:G13"/>
    <mergeCell ref="H12:I13"/>
    <mergeCell ref="J12:M13"/>
    <mergeCell ref="N12:S13"/>
    <mergeCell ref="F8:H8"/>
    <mergeCell ref="F9:H9"/>
    <mergeCell ref="I10:L10"/>
    <mergeCell ref="C7:E7"/>
    <mergeCell ref="B17:E18"/>
    <mergeCell ref="F17:F18"/>
    <mergeCell ref="G17:J18"/>
    <mergeCell ref="K17:K18"/>
    <mergeCell ref="L17:O18"/>
    <mergeCell ref="P17:P18"/>
    <mergeCell ref="Q17:T18"/>
    <mergeCell ref="U17:U18"/>
    <mergeCell ref="N1:O1"/>
    <mergeCell ref="L1:M1"/>
    <mergeCell ref="P1:Q1"/>
    <mergeCell ref="Q6:U6"/>
    <mergeCell ref="Q7:U7"/>
    <mergeCell ref="Q5:U5"/>
    <mergeCell ref="M4:N5"/>
    <mergeCell ref="O4:P5"/>
    <mergeCell ref="M6:N6"/>
    <mergeCell ref="O6:P6"/>
    <mergeCell ref="M7:N7"/>
    <mergeCell ref="O7:P7"/>
    <mergeCell ref="I4:L5"/>
    <mergeCell ref="I6:L6"/>
    <mergeCell ref="I7:L7"/>
    <mergeCell ref="B4:E5"/>
    <mergeCell ref="AM4:AV4"/>
    <mergeCell ref="AM5:AQ5"/>
    <mergeCell ref="AR5:AV5"/>
    <mergeCell ref="I8:L8"/>
    <mergeCell ref="I9:L9"/>
    <mergeCell ref="Q9:U9"/>
    <mergeCell ref="V9:Z9"/>
    <mergeCell ref="M9:N9"/>
    <mergeCell ref="O9:P9"/>
    <mergeCell ref="AM6:AQ6"/>
    <mergeCell ref="AR6:AV6"/>
    <mergeCell ref="AK4:AL5"/>
    <mergeCell ref="AK6:AL6"/>
    <mergeCell ref="AF5:AJ5"/>
    <mergeCell ref="AF6:AJ6"/>
    <mergeCell ref="AF7:AJ7"/>
    <mergeCell ref="AF8:AJ8"/>
    <mergeCell ref="AF9:AJ9"/>
    <mergeCell ref="AA5:AE5"/>
    <mergeCell ref="Q4:AJ4"/>
    <mergeCell ref="AM7:AQ7"/>
    <mergeCell ref="AR7:AV7"/>
    <mergeCell ref="AM8:AQ8"/>
    <mergeCell ref="AR8:AV8"/>
    <mergeCell ref="C8:E8"/>
    <mergeCell ref="C9:E9"/>
    <mergeCell ref="C10:E10"/>
    <mergeCell ref="F10:H10"/>
    <mergeCell ref="M8:N8"/>
    <mergeCell ref="O8:P8"/>
    <mergeCell ref="M10:N10"/>
    <mergeCell ref="O10:P10"/>
    <mergeCell ref="Q10:U10"/>
    <mergeCell ref="X14:AA14"/>
    <mergeCell ref="AB14:AF14"/>
    <mergeCell ref="AG14:AK14"/>
    <mergeCell ref="AL14:AP14"/>
    <mergeCell ref="AK7:AL7"/>
    <mergeCell ref="AK8:AL8"/>
    <mergeCell ref="AK9:AL9"/>
    <mergeCell ref="AK10:AL10"/>
    <mergeCell ref="AF10:AJ10"/>
    <mergeCell ref="X15:AA15"/>
    <mergeCell ref="X16:AA16"/>
    <mergeCell ref="AB15:AF15"/>
    <mergeCell ref="AG15:AK15"/>
    <mergeCell ref="AL15:AP15"/>
    <mergeCell ref="AB16:AF16"/>
    <mergeCell ref="AG16:AK16"/>
    <mergeCell ref="AL16:AP16"/>
    <mergeCell ref="AL17:AP17"/>
    <mergeCell ref="BG17:BK17"/>
    <mergeCell ref="BG18:BK18"/>
    <mergeCell ref="BG19:BK19"/>
    <mergeCell ref="BG10:BK10"/>
    <mergeCell ref="BG4:BK5"/>
    <mergeCell ref="BB13:BF14"/>
    <mergeCell ref="BB15:BF15"/>
    <mergeCell ref="BB16:BF16"/>
    <mergeCell ref="BB17:BF17"/>
    <mergeCell ref="BB18:BF18"/>
    <mergeCell ref="BB19:BF19"/>
    <mergeCell ref="BG6:BK6"/>
    <mergeCell ref="BG7:BK7"/>
    <mergeCell ref="BG8:BK8"/>
    <mergeCell ref="BG9:BK9"/>
    <mergeCell ref="AW4:BF4"/>
    <mergeCell ref="AW5:BA5"/>
    <mergeCell ref="BB5:BF5"/>
    <mergeCell ref="AW6:BA6"/>
    <mergeCell ref="BB6:BF6"/>
    <mergeCell ref="AW9:BA9"/>
    <mergeCell ref="AW17:BA17"/>
    <mergeCell ref="AW18:BA18"/>
    <mergeCell ref="AW19:BA19"/>
    <mergeCell ref="X21:AC21"/>
    <mergeCell ref="X22:AC22"/>
    <mergeCell ref="X23:AC23"/>
    <mergeCell ref="X24:AC24"/>
    <mergeCell ref="AD21:AJ21"/>
    <mergeCell ref="AD22:AJ22"/>
    <mergeCell ref="AD23:AJ23"/>
    <mergeCell ref="AD24:AJ24"/>
    <mergeCell ref="X17:AA17"/>
    <mergeCell ref="X18:AA18"/>
    <mergeCell ref="AB17:AF17"/>
    <mergeCell ref="AG17:AK17"/>
    <mergeCell ref="AB18:AF18"/>
    <mergeCell ref="AG18:AK18"/>
    <mergeCell ref="AB6:AE6"/>
    <mergeCell ref="AB7:AE7"/>
    <mergeCell ref="AB8:AE8"/>
    <mergeCell ref="AB9:AE9"/>
    <mergeCell ref="AB10:AE10"/>
    <mergeCell ref="AT16:AV16"/>
    <mergeCell ref="AT17:AV17"/>
    <mergeCell ref="AT18:AV18"/>
    <mergeCell ref="AT19:AV19"/>
    <mergeCell ref="AL18:AP18"/>
    <mergeCell ref="AB13:AF13"/>
    <mergeCell ref="AG13:AK13"/>
    <mergeCell ref="AL13:AP13"/>
    <mergeCell ref="AT15:AV15"/>
    <mergeCell ref="AM9:AQ9"/>
    <mergeCell ref="AR9:AV9"/>
    <mergeCell ref="AM10:AQ10"/>
    <mergeCell ref="AR10:AV10"/>
  </mergeCells>
  <phoneticPr fontId="1"/>
  <conditionalFormatting sqref="M7:N8">
    <cfRule type="expression" dxfId="23" priority="2">
      <formula>$F$8="旧被保険者"</formula>
    </cfRule>
  </conditionalFormatting>
  <conditionalFormatting sqref="M6:P6">
    <cfRule type="expression" dxfId="22" priority="11">
      <formula>$F$6="旧被保険者"</formula>
    </cfRule>
    <cfRule type="expression" dxfId="21" priority="13">
      <formula>$F$6="擬制世帯主"</formula>
    </cfRule>
  </conditionalFormatting>
  <conditionalFormatting sqref="M9:P9">
    <cfRule type="expression" dxfId="20" priority="7">
      <formula>$F$9="旧被保険者"</formula>
    </cfRule>
  </conditionalFormatting>
  <conditionalFormatting sqref="M10:P10">
    <cfRule type="expression" dxfId="19" priority="5">
      <formula>$F$10="旧被保険者"</formula>
    </cfRule>
  </conditionalFormatting>
  <conditionalFormatting sqref="O6:P6">
    <cfRule type="expression" dxfId="18" priority="21">
      <formula>$I$6="65歳以上"</formula>
    </cfRule>
    <cfRule type="expression" dxfId="17" priority="22">
      <formula>$I$6="40歳未満"</formula>
    </cfRule>
    <cfRule type="cellIs" dxfId="16" priority="23" operator="equal">
      <formula>11</formula>
    </cfRule>
    <cfRule type="cellIs" dxfId="15" priority="24" operator="equal">
      <formula>"４０歳以上～６５歳未満"</formula>
    </cfRule>
  </conditionalFormatting>
  <conditionalFormatting sqref="O7:P7">
    <cfRule type="expression" dxfId="14" priority="1">
      <formula>$F$7="旧被保険者"</formula>
    </cfRule>
    <cfRule type="expression" dxfId="13" priority="3">
      <formula>$I$7="65歳以上"</formula>
    </cfRule>
    <cfRule type="expression" dxfId="12" priority="4">
      <formula>$I$7="40歳未満"</formula>
    </cfRule>
  </conditionalFormatting>
  <conditionalFormatting sqref="O8:P8">
    <cfRule type="expression" dxfId="11" priority="9">
      <formula>$F$8="旧被保険者"</formula>
    </cfRule>
    <cfRule type="expression" dxfId="10" priority="17">
      <formula>$I$8="65歳以上"</formula>
    </cfRule>
    <cfRule type="expression" dxfId="9" priority="20">
      <formula>$I$8="40歳未満"</formula>
    </cfRule>
  </conditionalFormatting>
  <conditionalFormatting sqref="O9:P9">
    <cfRule type="expression" dxfId="8" priority="16">
      <formula>$I$9="65歳以上"</formula>
    </cfRule>
    <cfRule type="expression" dxfId="7" priority="19">
      <formula>$I$9="40歳未満"</formula>
    </cfRule>
  </conditionalFormatting>
  <conditionalFormatting sqref="O10:P10">
    <cfRule type="expression" dxfId="6" priority="15">
      <formula>$I$10="65歳以上"</formula>
    </cfRule>
    <cfRule type="expression" dxfId="5" priority="18">
      <formula>$I$10="40歳未満"</formula>
    </cfRule>
  </conditionalFormatting>
  <pageMargins left="0.25" right="0.25" top="0.75" bottom="0.75" header="0.3" footer="0.3"/>
  <pageSetup paperSize="9" scale="72" orientation="landscape" r:id="rId1"/>
  <headerFooter>
    <oddFooter>&amp;Z&amp;F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リスト!$E$2:$E$3</xm:f>
          </x14:formula1>
          <xm:sqref>AK6:AL10</xm:sqref>
        </x14:dataValidation>
        <x14:dataValidation type="list" allowBlank="1" showInputMessage="1" showErrorMessage="1" xr:uid="{7CBCC2FD-D775-4901-8873-BBDEB63D390D}">
          <x14:formula1>
            <xm:f>リスト!$F$2:$F$3</xm:f>
          </x14:formula1>
          <xm:sqref>AA6:AA10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3"/>
  <sheetViews>
    <sheetView workbookViewId="0">
      <selection activeCell="C5" sqref="C5"/>
    </sheetView>
  </sheetViews>
  <sheetFormatPr defaultColWidth="9" defaultRowHeight="16.2"/>
  <cols>
    <col min="1" max="1" width="14" style="1" customWidth="1"/>
    <col min="2" max="2" width="20.5" style="1" customWidth="1"/>
    <col min="3" max="3" width="20.3984375" style="1" bestFit="1" customWidth="1"/>
    <col min="4" max="4" width="13.09765625" style="1" customWidth="1"/>
    <col min="5" max="16384" width="9" style="1"/>
  </cols>
  <sheetData>
    <row r="1" spans="1:6" ht="16.8" thickBot="1">
      <c r="A1" s="9" t="s">
        <v>7</v>
      </c>
      <c r="B1" s="10" t="s">
        <v>8</v>
      </c>
      <c r="C1" s="10" t="s">
        <v>13</v>
      </c>
      <c r="D1" s="11" t="s">
        <v>16</v>
      </c>
      <c r="E1" s="12" t="s">
        <v>29</v>
      </c>
      <c r="F1" s="1" t="s">
        <v>164</v>
      </c>
    </row>
    <row r="2" spans="1:6">
      <c r="A2" s="1" t="s">
        <v>9</v>
      </c>
      <c r="B2" s="1" t="s">
        <v>6</v>
      </c>
      <c r="C2" s="1" t="s">
        <v>17</v>
      </c>
      <c r="D2" s="1">
        <v>1</v>
      </c>
      <c r="E2" s="1" t="s">
        <v>51</v>
      </c>
      <c r="F2" s="1">
        <v>1</v>
      </c>
    </row>
    <row r="3" spans="1:6">
      <c r="A3" s="1" t="s">
        <v>6</v>
      </c>
      <c r="B3" s="1" t="s">
        <v>10</v>
      </c>
      <c r="C3" s="1" t="s">
        <v>18</v>
      </c>
      <c r="D3" s="1">
        <v>2</v>
      </c>
      <c r="F3" s="1">
        <v>0</v>
      </c>
    </row>
    <row r="4" spans="1:6">
      <c r="A4" s="1" t="s">
        <v>10</v>
      </c>
      <c r="B4" s="1" t="s">
        <v>11</v>
      </c>
      <c r="C4" s="1" t="s">
        <v>19</v>
      </c>
      <c r="D4" s="1">
        <v>3</v>
      </c>
    </row>
    <row r="5" spans="1:6">
      <c r="A5" s="1" t="s">
        <v>11</v>
      </c>
      <c r="C5" s="1" t="s">
        <v>181</v>
      </c>
      <c r="D5" s="1">
        <v>4</v>
      </c>
    </row>
    <row r="6" spans="1:6">
      <c r="D6" s="1">
        <v>5</v>
      </c>
    </row>
    <row r="7" spans="1:6">
      <c r="D7" s="1">
        <v>6</v>
      </c>
    </row>
    <row r="8" spans="1:6">
      <c r="D8" s="1">
        <v>7</v>
      </c>
    </row>
    <row r="9" spans="1:6">
      <c r="D9" s="1">
        <v>8</v>
      </c>
    </row>
    <row r="10" spans="1:6">
      <c r="D10" s="1">
        <v>9</v>
      </c>
    </row>
    <row r="11" spans="1:6">
      <c r="D11" s="1">
        <v>10</v>
      </c>
    </row>
    <row r="12" spans="1:6">
      <c r="D12" s="1">
        <v>11</v>
      </c>
    </row>
    <row r="13" spans="1:6">
      <c r="D13" s="1">
        <v>12</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DBC7-1998-4B8A-91DF-C77BC516883B}">
  <sheetPr codeName="Sheet4"/>
  <dimension ref="A1:AE75"/>
  <sheetViews>
    <sheetView topLeftCell="A6" workbookViewId="0">
      <selection activeCell="U18" sqref="U18"/>
    </sheetView>
  </sheetViews>
  <sheetFormatPr defaultColWidth="9" defaultRowHeight="18"/>
  <cols>
    <col min="1" max="5" width="3.09765625" style="14" customWidth="1"/>
    <col min="6" max="6" width="3.09765625" customWidth="1"/>
    <col min="7" max="11" width="3.09765625" style="14" customWidth="1"/>
    <col min="12" max="19" width="3.09765625" customWidth="1"/>
    <col min="20" max="20" width="3.8984375" customWidth="1"/>
    <col min="21" max="21" width="21.3984375" style="19" bestFit="1" customWidth="1"/>
    <col min="22" max="22" width="19.59765625" style="19" customWidth="1"/>
    <col min="23" max="23" width="9" bestFit="1" customWidth="1"/>
    <col min="24" max="24" width="15.09765625" style="21" bestFit="1" customWidth="1"/>
    <col min="25" max="25" width="11.3984375" style="20" customWidth="1"/>
    <col min="26" max="28" width="22.09765625" customWidth="1"/>
    <col min="29" max="29" width="7.8984375" customWidth="1"/>
    <col min="30" max="30" width="7.19921875" customWidth="1"/>
    <col min="31" max="31" width="20.09765625" customWidth="1"/>
    <col min="32" max="57" width="22.09765625" customWidth="1"/>
  </cols>
  <sheetData>
    <row r="1" spans="1:31">
      <c r="U1" s="18" t="s">
        <v>128</v>
      </c>
      <c r="V1" s="18"/>
    </row>
    <row r="2" spans="1:31">
      <c r="L2" s="207" t="s">
        <v>41</v>
      </c>
      <c r="M2" s="208"/>
      <c r="N2" s="208"/>
      <c r="O2" s="208"/>
      <c r="P2" s="208"/>
      <c r="Q2" s="208"/>
      <c r="R2" s="208"/>
      <c r="S2" s="209"/>
      <c r="U2" s="19" t="s">
        <v>127</v>
      </c>
      <c r="V2" s="19" t="s">
        <v>131</v>
      </c>
      <c r="W2" s="17" t="s">
        <v>129</v>
      </c>
      <c r="X2" s="210" t="s">
        <v>130</v>
      </c>
      <c r="Y2" s="210"/>
    </row>
    <row r="3" spans="1:31" ht="18.75" customHeight="1" thickBot="1">
      <c r="A3" s="202">
        <v>0</v>
      </c>
      <c r="B3" s="202"/>
      <c r="C3" s="202"/>
      <c r="D3" s="202"/>
      <c r="E3" s="202"/>
      <c r="F3" s="15" t="s">
        <v>40</v>
      </c>
      <c r="G3" s="202">
        <v>550999</v>
      </c>
      <c r="H3" s="202"/>
      <c r="I3" s="202"/>
      <c r="J3" s="202"/>
      <c r="K3" s="203"/>
      <c r="L3" s="203">
        <v>0</v>
      </c>
      <c r="M3" s="204"/>
      <c r="N3" s="204"/>
      <c r="O3" s="204"/>
      <c r="P3" s="204"/>
      <c r="Q3" s="204"/>
      <c r="R3" s="204"/>
      <c r="S3" s="205"/>
      <c r="U3" s="19">
        <f>試算!Q6</f>
        <v>0</v>
      </c>
      <c r="V3" s="19">
        <f>ROUNDDOWN(U3/4,-3)</f>
        <v>0</v>
      </c>
      <c r="W3">
        <f t="shared" ref="W3:W12" si="0">IF(AND(A3&lt;=U3,U3&lt;=G3),1,0)</f>
        <v>1</v>
      </c>
      <c r="X3" s="21">
        <f>L3</f>
        <v>0</v>
      </c>
      <c r="Y3" s="20">
        <f>X3*W3</f>
        <v>0</v>
      </c>
      <c r="AA3" s="17" t="s">
        <v>141</v>
      </c>
      <c r="AC3" t="s">
        <v>152</v>
      </c>
      <c r="AE3" s="17" t="s">
        <v>153</v>
      </c>
    </row>
    <row r="4" spans="1:31">
      <c r="A4" s="202">
        <v>551000</v>
      </c>
      <c r="B4" s="202"/>
      <c r="C4" s="202"/>
      <c r="D4" s="202"/>
      <c r="E4" s="202"/>
      <c r="F4" s="15" t="s">
        <v>40</v>
      </c>
      <c r="G4" s="202">
        <v>1618999</v>
      </c>
      <c r="H4" s="202"/>
      <c r="I4" s="202"/>
      <c r="J4" s="202"/>
      <c r="K4" s="203"/>
      <c r="L4" s="203" t="s">
        <v>120</v>
      </c>
      <c r="M4" s="204"/>
      <c r="N4" s="204"/>
      <c r="O4" s="204"/>
      <c r="P4" s="204"/>
      <c r="Q4" s="204"/>
      <c r="R4" s="204"/>
      <c r="S4" s="205"/>
      <c r="U4" s="19">
        <f>U3</f>
        <v>0</v>
      </c>
      <c r="V4" s="19">
        <f t="shared" ref="V4:V12" si="1">ROUNDDOWN(U4/4,-3)</f>
        <v>0</v>
      </c>
      <c r="W4">
        <f t="shared" si="0"/>
        <v>0</v>
      </c>
      <c r="X4" s="21">
        <f>U4-550000</f>
        <v>-550000</v>
      </c>
      <c r="Y4" s="20">
        <f t="shared" ref="Y4:Y13" si="2">X4*W4</f>
        <v>0</v>
      </c>
      <c r="AA4" s="30" t="s">
        <v>3</v>
      </c>
      <c r="AB4" s="50">
        <f>Y14</f>
        <v>0</v>
      </c>
      <c r="AC4" s="36">
        <f>試算!AK6</f>
        <v>0</v>
      </c>
      <c r="AD4" s="36">
        <f>IF(AC4="〇",30,100)</f>
        <v>100</v>
      </c>
      <c r="AE4" s="33">
        <f>ROUNDDOWN(試算!V6*AD4/100,0)</f>
        <v>0</v>
      </c>
    </row>
    <row r="5" spans="1:31">
      <c r="A5" s="202">
        <v>1619000</v>
      </c>
      <c r="B5" s="202"/>
      <c r="C5" s="202"/>
      <c r="D5" s="202"/>
      <c r="E5" s="202"/>
      <c r="F5" s="15" t="s">
        <v>40</v>
      </c>
      <c r="G5" s="202">
        <v>1619999</v>
      </c>
      <c r="H5" s="202"/>
      <c r="I5" s="202"/>
      <c r="J5" s="202"/>
      <c r="K5" s="203"/>
      <c r="L5" s="203">
        <v>1069000</v>
      </c>
      <c r="M5" s="204"/>
      <c r="N5" s="204"/>
      <c r="O5" s="204"/>
      <c r="P5" s="204"/>
      <c r="Q5" s="204"/>
      <c r="R5" s="204"/>
      <c r="S5" s="205"/>
      <c r="U5" s="19">
        <f t="shared" ref="U5:U13" si="3">U4</f>
        <v>0</v>
      </c>
      <c r="V5" s="19">
        <f t="shared" si="1"/>
        <v>0</v>
      </c>
      <c r="W5">
        <f t="shared" si="0"/>
        <v>0</v>
      </c>
      <c r="X5" s="21">
        <f>L5</f>
        <v>1069000</v>
      </c>
      <c r="Y5" s="20">
        <f t="shared" si="2"/>
        <v>0</v>
      </c>
      <c r="AA5" s="31" t="s">
        <v>136</v>
      </c>
      <c r="AB5" s="51">
        <f>Y29</f>
        <v>0</v>
      </c>
      <c r="AC5" s="17">
        <f>試算!AK7</f>
        <v>0</v>
      </c>
      <c r="AD5" s="17">
        <f t="shared" ref="AD5:AD8" si="4">IF(AC5="〇",30,100)</f>
        <v>100</v>
      </c>
      <c r="AE5" s="34">
        <f>ROUNDDOWN(試算!V7*AD5/100,0)</f>
        <v>0</v>
      </c>
    </row>
    <row r="6" spans="1:31">
      <c r="A6" s="202">
        <v>1620000</v>
      </c>
      <c r="B6" s="202"/>
      <c r="C6" s="202"/>
      <c r="D6" s="202"/>
      <c r="E6" s="202"/>
      <c r="F6" s="15" t="s">
        <v>40</v>
      </c>
      <c r="G6" s="202">
        <v>1621999</v>
      </c>
      <c r="H6" s="202"/>
      <c r="I6" s="202"/>
      <c r="J6" s="202"/>
      <c r="K6" s="203"/>
      <c r="L6" s="203">
        <v>1070000</v>
      </c>
      <c r="M6" s="204"/>
      <c r="N6" s="204"/>
      <c r="O6" s="204"/>
      <c r="P6" s="204"/>
      <c r="Q6" s="204"/>
      <c r="R6" s="204"/>
      <c r="S6" s="205"/>
      <c r="U6" s="19">
        <f t="shared" si="3"/>
        <v>0</v>
      </c>
      <c r="V6" s="19">
        <f t="shared" si="1"/>
        <v>0</v>
      </c>
      <c r="W6">
        <f t="shared" si="0"/>
        <v>0</v>
      </c>
      <c r="X6" s="21">
        <f t="shared" ref="X6:X8" si="5">L6</f>
        <v>1070000</v>
      </c>
      <c r="Y6" s="20">
        <f t="shared" si="2"/>
        <v>0</v>
      </c>
      <c r="AA6" s="31" t="s">
        <v>137</v>
      </c>
      <c r="AB6" s="51">
        <f>Y44</f>
        <v>0</v>
      </c>
      <c r="AC6" s="17">
        <f>試算!AK8</f>
        <v>0</v>
      </c>
      <c r="AD6" s="17">
        <f t="shared" si="4"/>
        <v>100</v>
      </c>
      <c r="AE6" s="34">
        <f>ROUNDDOWN(試算!V8*AD6/100,0)</f>
        <v>0</v>
      </c>
    </row>
    <row r="7" spans="1:31">
      <c r="A7" s="202">
        <v>1622000</v>
      </c>
      <c r="B7" s="202"/>
      <c r="C7" s="202"/>
      <c r="D7" s="202"/>
      <c r="E7" s="202"/>
      <c r="F7" s="15" t="s">
        <v>40</v>
      </c>
      <c r="G7" s="202">
        <v>1623999</v>
      </c>
      <c r="H7" s="202"/>
      <c r="I7" s="202"/>
      <c r="J7" s="202"/>
      <c r="K7" s="203"/>
      <c r="L7" s="203">
        <v>1072000</v>
      </c>
      <c r="M7" s="204"/>
      <c r="N7" s="204"/>
      <c r="O7" s="204"/>
      <c r="P7" s="204"/>
      <c r="Q7" s="204"/>
      <c r="R7" s="204"/>
      <c r="S7" s="205"/>
      <c r="U7" s="19">
        <f t="shared" si="3"/>
        <v>0</v>
      </c>
      <c r="V7" s="19">
        <f t="shared" si="1"/>
        <v>0</v>
      </c>
      <c r="W7">
        <f t="shared" si="0"/>
        <v>0</v>
      </c>
      <c r="X7" s="21">
        <f t="shared" si="5"/>
        <v>1072000</v>
      </c>
      <c r="Y7" s="20">
        <f t="shared" si="2"/>
        <v>0</v>
      </c>
      <c r="AA7" s="31" t="s">
        <v>138</v>
      </c>
      <c r="AB7" s="51">
        <f>Y60</f>
        <v>0</v>
      </c>
      <c r="AC7" s="17">
        <f>試算!AK9</f>
        <v>0</v>
      </c>
      <c r="AD7" s="17">
        <f t="shared" si="4"/>
        <v>100</v>
      </c>
      <c r="AE7" s="34">
        <f>ROUNDDOWN(試算!V9*AD7/100,0)</f>
        <v>0</v>
      </c>
    </row>
    <row r="8" spans="1:31" ht="18.600000000000001" thickBot="1">
      <c r="A8" s="202">
        <v>1624000</v>
      </c>
      <c r="B8" s="202"/>
      <c r="C8" s="202"/>
      <c r="D8" s="202"/>
      <c r="E8" s="202"/>
      <c r="F8" s="15" t="s">
        <v>40</v>
      </c>
      <c r="G8" s="202">
        <v>1627999</v>
      </c>
      <c r="H8" s="202"/>
      <c r="I8" s="202"/>
      <c r="J8" s="202"/>
      <c r="K8" s="203"/>
      <c r="L8" s="203">
        <v>1074000</v>
      </c>
      <c r="M8" s="204"/>
      <c r="N8" s="204"/>
      <c r="O8" s="204"/>
      <c r="P8" s="204"/>
      <c r="Q8" s="204"/>
      <c r="R8" s="204"/>
      <c r="S8" s="205"/>
      <c r="U8" s="19">
        <f t="shared" si="3"/>
        <v>0</v>
      </c>
      <c r="V8" s="19">
        <f t="shared" si="1"/>
        <v>0</v>
      </c>
      <c r="W8">
        <f t="shared" si="0"/>
        <v>0</v>
      </c>
      <c r="X8" s="21">
        <f t="shared" si="5"/>
        <v>1074000</v>
      </c>
      <c r="Y8" s="20">
        <f t="shared" si="2"/>
        <v>0</v>
      </c>
      <c r="AA8" s="32" t="s">
        <v>139</v>
      </c>
      <c r="AB8" s="52">
        <f>Y75</f>
        <v>0</v>
      </c>
      <c r="AC8" s="49">
        <f>試算!AK10</f>
        <v>0</v>
      </c>
      <c r="AD8" s="49">
        <f t="shared" si="4"/>
        <v>100</v>
      </c>
      <c r="AE8" s="35">
        <f>ROUNDDOWN(試算!V10*AD8/100,0)</f>
        <v>0</v>
      </c>
    </row>
    <row r="9" spans="1:31">
      <c r="A9" s="202">
        <v>1628000</v>
      </c>
      <c r="B9" s="202"/>
      <c r="C9" s="202"/>
      <c r="D9" s="202"/>
      <c r="E9" s="202"/>
      <c r="F9" s="15" t="s">
        <v>40</v>
      </c>
      <c r="G9" s="202">
        <v>1799999</v>
      </c>
      <c r="H9" s="202"/>
      <c r="I9" s="202"/>
      <c r="J9" s="202"/>
      <c r="K9" s="203"/>
      <c r="L9" s="203" t="s">
        <v>121</v>
      </c>
      <c r="M9" s="204"/>
      <c r="N9" s="204"/>
      <c r="O9" s="204"/>
      <c r="P9" s="204"/>
      <c r="Q9" s="204"/>
      <c r="R9" s="204"/>
      <c r="S9" s="205"/>
      <c r="U9" s="19">
        <f t="shared" si="3"/>
        <v>0</v>
      </c>
      <c r="V9" s="19">
        <f t="shared" si="1"/>
        <v>0</v>
      </c>
      <c r="W9">
        <f t="shared" si="0"/>
        <v>0</v>
      </c>
      <c r="X9" s="21">
        <f>V9*2.4+100000</f>
        <v>100000</v>
      </c>
      <c r="Y9" s="20">
        <f t="shared" si="2"/>
        <v>0</v>
      </c>
    </row>
    <row r="10" spans="1:31">
      <c r="A10" s="202">
        <v>1800000</v>
      </c>
      <c r="B10" s="202"/>
      <c r="C10" s="202"/>
      <c r="D10" s="202"/>
      <c r="E10" s="202"/>
      <c r="F10" s="15" t="s">
        <v>40</v>
      </c>
      <c r="G10" s="202">
        <v>3599999</v>
      </c>
      <c r="H10" s="202"/>
      <c r="I10" s="202"/>
      <c r="J10" s="202"/>
      <c r="K10" s="203"/>
      <c r="L10" s="203" t="s">
        <v>122</v>
      </c>
      <c r="M10" s="204"/>
      <c r="N10" s="204"/>
      <c r="O10" s="204"/>
      <c r="P10" s="204"/>
      <c r="Q10" s="204"/>
      <c r="R10" s="204"/>
      <c r="S10" s="205"/>
      <c r="U10" s="19">
        <f t="shared" si="3"/>
        <v>0</v>
      </c>
      <c r="V10" s="19">
        <f t="shared" si="1"/>
        <v>0</v>
      </c>
      <c r="W10">
        <f t="shared" si="0"/>
        <v>0</v>
      </c>
      <c r="X10" s="21">
        <f>V10*2.8-80000</f>
        <v>-80000</v>
      </c>
      <c r="Y10" s="20">
        <f t="shared" si="2"/>
        <v>0</v>
      </c>
    </row>
    <row r="11" spans="1:31">
      <c r="A11" s="202">
        <v>3600000</v>
      </c>
      <c r="B11" s="202"/>
      <c r="C11" s="202"/>
      <c r="D11" s="202"/>
      <c r="E11" s="202"/>
      <c r="F11" s="15" t="s">
        <v>40</v>
      </c>
      <c r="G11" s="202">
        <v>6599999</v>
      </c>
      <c r="H11" s="202"/>
      <c r="I11" s="202"/>
      <c r="J11" s="202"/>
      <c r="K11" s="203"/>
      <c r="L11" s="203" t="s">
        <v>123</v>
      </c>
      <c r="M11" s="204"/>
      <c r="N11" s="204"/>
      <c r="O11" s="204"/>
      <c r="P11" s="204"/>
      <c r="Q11" s="204"/>
      <c r="R11" s="204"/>
      <c r="S11" s="205"/>
      <c r="U11" s="19">
        <f t="shared" si="3"/>
        <v>0</v>
      </c>
      <c r="V11" s="19">
        <f t="shared" si="1"/>
        <v>0</v>
      </c>
      <c r="W11">
        <f t="shared" si="0"/>
        <v>0</v>
      </c>
      <c r="X11" s="21">
        <f>V11*3.2-440000</f>
        <v>-440000</v>
      </c>
      <c r="Y11" s="20">
        <f t="shared" si="2"/>
        <v>0</v>
      </c>
    </row>
    <row r="12" spans="1:31">
      <c r="A12" s="202">
        <v>6600000</v>
      </c>
      <c r="B12" s="202"/>
      <c r="C12" s="202"/>
      <c r="D12" s="202"/>
      <c r="E12" s="202"/>
      <c r="F12" s="15" t="s">
        <v>40</v>
      </c>
      <c r="G12" s="202">
        <v>8499999</v>
      </c>
      <c r="H12" s="202"/>
      <c r="I12" s="202"/>
      <c r="J12" s="202"/>
      <c r="K12" s="203"/>
      <c r="L12" s="203" t="s">
        <v>124</v>
      </c>
      <c r="M12" s="204"/>
      <c r="N12" s="204"/>
      <c r="O12" s="204"/>
      <c r="P12" s="204"/>
      <c r="Q12" s="204"/>
      <c r="R12" s="204"/>
      <c r="S12" s="205"/>
      <c r="U12" s="19">
        <f t="shared" si="3"/>
        <v>0</v>
      </c>
      <c r="V12" s="19">
        <f t="shared" si="1"/>
        <v>0</v>
      </c>
      <c r="W12">
        <f t="shared" si="0"/>
        <v>0</v>
      </c>
      <c r="X12" s="21">
        <f>U12*0.9-1100000</f>
        <v>-1100000</v>
      </c>
      <c r="Y12" s="20">
        <f t="shared" si="2"/>
        <v>0</v>
      </c>
    </row>
    <row r="13" spans="1:31" ht="18.600000000000001" thickBot="1">
      <c r="A13" s="202">
        <v>8500000</v>
      </c>
      <c r="B13" s="202"/>
      <c r="C13" s="202"/>
      <c r="D13" s="202"/>
      <c r="E13" s="202"/>
      <c r="F13" s="15" t="s">
        <v>40</v>
      </c>
      <c r="G13" s="202"/>
      <c r="H13" s="202"/>
      <c r="I13" s="202"/>
      <c r="J13" s="202"/>
      <c r="K13" s="206"/>
      <c r="L13" s="203" t="s">
        <v>125</v>
      </c>
      <c r="M13" s="204"/>
      <c r="N13" s="204"/>
      <c r="O13" s="204"/>
      <c r="P13" s="204"/>
      <c r="Q13" s="204"/>
      <c r="R13" s="204"/>
      <c r="S13" s="205"/>
      <c r="U13" s="19">
        <f t="shared" si="3"/>
        <v>0</v>
      </c>
      <c r="V13" s="19">
        <f>ROUNDDOWN(U13/4,-3)</f>
        <v>0</v>
      </c>
      <c r="W13">
        <f>IF(A13&lt;=U13,1,0)</f>
        <v>0</v>
      </c>
      <c r="X13" s="21">
        <f>U13-1950000</f>
        <v>-1950000</v>
      </c>
      <c r="Y13" s="20">
        <f t="shared" si="2"/>
        <v>0</v>
      </c>
    </row>
    <row r="14" spans="1:31" ht="18.600000000000001" thickBot="1">
      <c r="A14" s="16" t="s">
        <v>126</v>
      </c>
      <c r="X14" s="22" t="s">
        <v>132</v>
      </c>
      <c r="Y14" s="23">
        <f>SUM(Y3:Y13)</f>
        <v>0</v>
      </c>
    </row>
    <row r="15" spans="1:31">
      <c r="A15" s="16"/>
    </row>
    <row r="16" spans="1:31">
      <c r="U16" s="18" t="s">
        <v>133</v>
      </c>
      <c r="V16" s="18"/>
    </row>
    <row r="17" spans="1:25">
      <c r="L17" s="207" t="s">
        <v>41</v>
      </c>
      <c r="M17" s="208"/>
      <c r="N17" s="208"/>
      <c r="O17" s="208"/>
      <c r="P17" s="208"/>
      <c r="Q17" s="208"/>
      <c r="R17" s="208"/>
      <c r="S17" s="209"/>
      <c r="U17" s="19" t="s">
        <v>127</v>
      </c>
      <c r="V17" s="19" t="s">
        <v>131</v>
      </c>
      <c r="W17" s="17" t="s">
        <v>129</v>
      </c>
      <c r="X17" s="210" t="s">
        <v>130</v>
      </c>
      <c r="Y17" s="210"/>
    </row>
    <row r="18" spans="1:25">
      <c r="A18" s="202">
        <v>0</v>
      </c>
      <c r="B18" s="202"/>
      <c r="C18" s="202"/>
      <c r="D18" s="202"/>
      <c r="E18" s="202"/>
      <c r="F18" s="15" t="s">
        <v>40</v>
      </c>
      <c r="G18" s="202">
        <v>550999</v>
      </c>
      <c r="H18" s="202"/>
      <c r="I18" s="202"/>
      <c r="J18" s="202"/>
      <c r="K18" s="203"/>
      <c r="L18" s="203">
        <v>0</v>
      </c>
      <c r="M18" s="204"/>
      <c r="N18" s="204"/>
      <c r="O18" s="204"/>
      <c r="P18" s="204"/>
      <c r="Q18" s="204"/>
      <c r="R18" s="204"/>
      <c r="S18" s="205"/>
      <c r="U18" s="19">
        <f>試算!Q7</f>
        <v>0</v>
      </c>
      <c r="V18" s="19">
        <f>ROUNDDOWN(U18/4,-3)</f>
        <v>0</v>
      </c>
      <c r="W18">
        <f t="shared" ref="W18:W27" si="6">IF(AND(A18&lt;=U18,U18&lt;=G18),1,0)</f>
        <v>1</v>
      </c>
      <c r="X18" s="21">
        <f>L18</f>
        <v>0</v>
      </c>
      <c r="Y18" s="20">
        <f>X18*W18</f>
        <v>0</v>
      </c>
    </row>
    <row r="19" spans="1:25">
      <c r="A19" s="202">
        <v>551000</v>
      </c>
      <c r="B19" s="202"/>
      <c r="C19" s="202"/>
      <c r="D19" s="202"/>
      <c r="E19" s="202"/>
      <c r="F19" s="15" t="s">
        <v>40</v>
      </c>
      <c r="G19" s="202">
        <v>1618999</v>
      </c>
      <c r="H19" s="202"/>
      <c r="I19" s="202"/>
      <c r="J19" s="202"/>
      <c r="K19" s="203"/>
      <c r="L19" s="203" t="s">
        <v>120</v>
      </c>
      <c r="M19" s="204"/>
      <c r="N19" s="204"/>
      <c r="O19" s="204"/>
      <c r="P19" s="204"/>
      <c r="Q19" s="204"/>
      <c r="R19" s="204"/>
      <c r="S19" s="205"/>
      <c r="U19" s="19">
        <f>U18</f>
        <v>0</v>
      </c>
      <c r="V19" s="19">
        <f t="shared" ref="V19:V27" si="7">ROUNDDOWN(U19/4,-3)</f>
        <v>0</v>
      </c>
      <c r="W19">
        <f t="shared" si="6"/>
        <v>0</v>
      </c>
      <c r="X19" s="21">
        <f>U19-550000</f>
        <v>-550000</v>
      </c>
      <c r="Y19" s="20">
        <f t="shared" ref="Y19:Y28" si="8">X19*W19</f>
        <v>0</v>
      </c>
    </row>
    <row r="20" spans="1:25" ht="18.75" customHeight="1">
      <c r="A20" s="202">
        <v>1619000</v>
      </c>
      <c r="B20" s="202"/>
      <c r="C20" s="202"/>
      <c r="D20" s="202"/>
      <c r="E20" s="202"/>
      <c r="F20" s="15" t="s">
        <v>40</v>
      </c>
      <c r="G20" s="202">
        <v>1619999</v>
      </c>
      <c r="H20" s="202"/>
      <c r="I20" s="202"/>
      <c r="J20" s="202"/>
      <c r="K20" s="203"/>
      <c r="L20" s="203">
        <v>1069000</v>
      </c>
      <c r="M20" s="204"/>
      <c r="N20" s="204"/>
      <c r="O20" s="204"/>
      <c r="P20" s="204"/>
      <c r="Q20" s="204"/>
      <c r="R20" s="204"/>
      <c r="S20" s="205"/>
      <c r="U20" s="19">
        <f t="shared" ref="U20:U28" si="9">U19</f>
        <v>0</v>
      </c>
      <c r="V20" s="19">
        <f t="shared" si="7"/>
        <v>0</v>
      </c>
      <c r="W20">
        <f t="shared" si="6"/>
        <v>0</v>
      </c>
      <c r="X20" s="21">
        <f>L20</f>
        <v>1069000</v>
      </c>
      <c r="Y20" s="20">
        <f t="shared" si="8"/>
        <v>0</v>
      </c>
    </row>
    <row r="21" spans="1:25">
      <c r="A21" s="202">
        <v>1620000</v>
      </c>
      <c r="B21" s="202"/>
      <c r="C21" s="202"/>
      <c r="D21" s="202"/>
      <c r="E21" s="202"/>
      <c r="F21" s="15" t="s">
        <v>40</v>
      </c>
      <c r="G21" s="202">
        <v>1621999</v>
      </c>
      <c r="H21" s="202"/>
      <c r="I21" s="202"/>
      <c r="J21" s="202"/>
      <c r="K21" s="203"/>
      <c r="L21" s="203">
        <v>1070000</v>
      </c>
      <c r="M21" s="204"/>
      <c r="N21" s="204"/>
      <c r="O21" s="204"/>
      <c r="P21" s="204"/>
      <c r="Q21" s="204"/>
      <c r="R21" s="204"/>
      <c r="S21" s="205"/>
      <c r="U21" s="19">
        <f t="shared" si="9"/>
        <v>0</v>
      </c>
      <c r="V21" s="19">
        <f t="shared" si="7"/>
        <v>0</v>
      </c>
      <c r="W21">
        <f t="shared" si="6"/>
        <v>0</v>
      </c>
      <c r="X21" s="21">
        <f t="shared" ref="X21:X23" si="10">L21</f>
        <v>1070000</v>
      </c>
      <c r="Y21" s="20">
        <f t="shared" si="8"/>
        <v>0</v>
      </c>
    </row>
    <row r="22" spans="1:25">
      <c r="A22" s="202">
        <v>1622000</v>
      </c>
      <c r="B22" s="202"/>
      <c r="C22" s="202"/>
      <c r="D22" s="202"/>
      <c r="E22" s="202"/>
      <c r="F22" s="15" t="s">
        <v>40</v>
      </c>
      <c r="G22" s="202">
        <v>1623999</v>
      </c>
      <c r="H22" s="202"/>
      <c r="I22" s="202"/>
      <c r="J22" s="202"/>
      <c r="K22" s="203"/>
      <c r="L22" s="203">
        <v>1072000</v>
      </c>
      <c r="M22" s="204"/>
      <c r="N22" s="204"/>
      <c r="O22" s="204"/>
      <c r="P22" s="204"/>
      <c r="Q22" s="204"/>
      <c r="R22" s="204"/>
      <c r="S22" s="205"/>
      <c r="U22" s="19">
        <f t="shared" si="9"/>
        <v>0</v>
      </c>
      <c r="V22" s="19">
        <f t="shared" si="7"/>
        <v>0</v>
      </c>
      <c r="W22">
        <f t="shared" si="6"/>
        <v>0</v>
      </c>
      <c r="X22" s="21">
        <f t="shared" si="10"/>
        <v>1072000</v>
      </c>
      <c r="Y22" s="20">
        <f t="shared" si="8"/>
        <v>0</v>
      </c>
    </row>
    <row r="23" spans="1:25">
      <c r="A23" s="202">
        <v>1624000</v>
      </c>
      <c r="B23" s="202"/>
      <c r="C23" s="202"/>
      <c r="D23" s="202"/>
      <c r="E23" s="202"/>
      <c r="F23" s="15" t="s">
        <v>40</v>
      </c>
      <c r="G23" s="202">
        <v>1627999</v>
      </c>
      <c r="H23" s="202"/>
      <c r="I23" s="202"/>
      <c r="J23" s="202"/>
      <c r="K23" s="203"/>
      <c r="L23" s="203">
        <v>1074000</v>
      </c>
      <c r="M23" s="204"/>
      <c r="N23" s="204"/>
      <c r="O23" s="204"/>
      <c r="P23" s="204"/>
      <c r="Q23" s="204"/>
      <c r="R23" s="204"/>
      <c r="S23" s="205"/>
      <c r="U23" s="19">
        <f t="shared" si="9"/>
        <v>0</v>
      </c>
      <c r="V23" s="19">
        <f t="shared" si="7"/>
        <v>0</v>
      </c>
      <c r="W23">
        <f t="shared" si="6"/>
        <v>0</v>
      </c>
      <c r="X23" s="21">
        <f t="shared" si="10"/>
        <v>1074000</v>
      </c>
      <c r="Y23" s="20">
        <f t="shared" si="8"/>
        <v>0</v>
      </c>
    </row>
    <row r="24" spans="1:25">
      <c r="A24" s="202">
        <v>1628000</v>
      </c>
      <c r="B24" s="202"/>
      <c r="C24" s="202"/>
      <c r="D24" s="202"/>
      <c r="E24" s="202"/>
      <c r="F24" s="15" t="s">
        <v>40</v>
      </c>
      <c r="G24" s="202">
        <v>1799999</v>
      </c>
      <c r="H24" s="202"/>
      <c r="I24" s="202"/>
      <c r="J24" s="202"/>
      <c r="K24" s="203"/>
      <c r="L24" s="203" t="s">
        <v>121</v>
      </c>
      <c r="M24" s="204"/>
      <c r="N24" s="204"/>
      <c r="O24" s="204"/>
      <c r="P24" s="204"/>
      <c r="Q24" s="204"/>
      <c r="R24" s="204"/>
      <c r="S24" s="205"/>
      <c r="U24" s="19">
        <f t="shared" si="9"/>
        <v>0</v>
      </c>
      <c r="V24" s="19">
        <f t="shared" si="7"/>
        <v>0</v>
      </c>
      <c r="W24">
        <f t="shared" si="6"/>
        <v>0</v>
      </c>
      <c r="X24" s="21">
        <f>V24*2.4+100000</f>
        <v>100000</v>
      </c>
      <c r="Y24" s="20">
        <f t="shared" si="8"/>
        <v>0</v>
      </c>
    </row>
    <row r="25" spans="1:25">
      <c r="A25" s="202">
        <v>1800000</v>
      </c>
      <c r="B25" s="202"/>
      <c r="C25" s="202"/>
      <c r="D25" s="202"/>
      <c r="E25" s="202"/>
      <c r="F25" s="15" t="s">
        <v>40</v>
      </c>
      <c r="G25" s="202">
        <v>3599999</v>
      </c>
      <c r="H25" s="202"/>
      <c r="I25" s="202"/>
      <c r="J25" s="202"/>
      <c r="K25" s="203"/>
      <c r="L25" s="203" t="s">
        <v>122</v>
      </c>
      <c r="M25" s="204"/>
      <c r="N25" s="204"/>
      <c r="O25" s="204"/>
      <c r="P25" s="204"/>
      <c r="Q25" s="204"/>
      <c r="R25" s="204"/>
      <c r="S25" s="205"/>
      <c r="U25" s="19">
        <f t="shared" si="9"/>
        <v>0</v>
      </c>
      <c r="V25" s="19">
        <f t="shared" si="7"/>
        <v>0</v>
      </c>
      <c r="W25">
        <f t="shared" si="6"/>
        <v>0</v>
      </c>
      <c r="X25" s="21">
        <f>V25*2.8-80000</f>
        <v>-80000</v>
      </c>
      <c r="Y25" s="20">
        <f t="shared" si="8"/>
        <v>0</v>
      </c>
    </row>
    <row r="26" spans="1:25">
      <c r="A26" s="202">
        <v>3600000</v>
      </c>
      <c r="B26" s="202"/>
      <c r="C26" s="202"/>
      <c r="D26" s="202"/>
      <c r="E26" s="202"/>
      <c r="F26" s="15" t="s">
        <v>40</v>
      </c>
      <c r="G26" s="202">
        <v>6599999</v>
      </c>
      <c r="H26" s="202"/>
      <c r="I26" s="202"/>
      <c r="J26" s="202"/>
      <c r="K26" s="203"/>
      <c r="L26" s="203" t="s">
        <v>123</v>
      </c>
      <c r="M26" s="204"/>
      <c r="N26" s="204"/>
      <c r="O26" s="204"/>
      <c r="P26" s="204"/>
      <c r="Q26" s="204"/>
      <c r="R26" s="204"/>
      <c r="S26" s="205"/>
      <c r="U26" s="19">
        <f t="shared" si="9"/>
        <v>0</v>
      </c>
      <c r="V26" s="19">
        <f>ROUNDDOWN(U26/4,-3)</f>
        <v>0</v>
      </c>
      <c r="W26">
        <f t="shared" si="6"/>
        <v>0</v>
      </c>
      <c r="X26" s="21">
        <f>V26*3.2-440000</f>
        <v>-440000</v>
      </c>
      <c r="Y26" s="20">
        <f t="shared" si="8"/>
        <v>0</v>
      </c>
    </row>
    <row r="27" spans="1:25">
      <c r="A27" s="202">
        <v>6600000</v>
      </c>
      <c r="B27" s="202"/>
      <c r="C27" s="202"/>
      <c r="D27" s="202"/>
      <c r="E27" s="202"/>
      <c r="F27" s="15" t="s">
        <v>40</v>
      </c>
      <c r="G27" s="202">
        <v>8499999</v>
      </c>
      <c r="H27" s="202"/>
      <c r="I27" s="202"/>
      <c r="J27" s="202"/>
      <c r="K27" s="203"/>
      <c r="L27" s="203" t="s">
        <v>124</v>
      </c>
      <c r="M27" s="204"/>
      <c r="N27" s="204"/>
      <c r="O27" s="204"/>
      <c r="P27" s="204"/>
      <c r="Q27" s="204"/>
      <c r="R27" s="204"/>
      <c r="S27" s="205"/>
      <c r="U27" s="19">
        <f t="shared" si="9"/>
        <v>0</v>
      </c>
      <c r="V27" s="19">
        <f t="shared" si="7"/>
        <v>0</v>
      </c>
      <c r="W27">
        <f t="shared" si="6"/>
        <v>0</v>
      </c>
      <c r="X27" s="21">
        <f>U27*0.9-1100000</f>
        <v>-1100000</v>
      </c>
      <c r="Y27" s="20">
        <f t="shared" si="8"/>
        <v>0</v>
      </c>
    </row>
    <row r="28" spans="1:25" ht="18.600000000000001" thickBot="1">
      <c r="A28" s="202">
        <v>8500000</v>
      </c>
      <c r="B28" s="202"/>
      <c r="C28" s="202"/>
      <c r="D28" s="202"/>
      <c r="E28" s="202"/>
      <c r="F28" s="15" t="s">
        <v>40</v>
      </c>
      <c r="G28" s="202"/>
      <c r="H28" s="202"/>
      <c r="I28" s="202"/>
      <c r="J28" s="202"/>
      <c r="K28" s="206"/>
      <c r="L28" s="203" t="s">
        <v>125</v>
      </c>
      <c r="M28" s="204"/>
      <c r="N28" s="204"/>
      <c r="O28" s="204"/>
      <c r="P28" s="204"/>
      <c r="Q28" s="204"/>
      <c r="R28" s="204"/>
      <c r="S28" s="205"/>
      <c r="U28" s="19">
        <f t="shared" si="9"/>
        <v>0</v>
      </c>
      <c r="V28" s="19">
        <f>ROUNDDOWN(U28/4,-3)</f>
        <v>0</v>
      </c>
      <c r="W28">
        <f>IF(A28&lt;=U28,1,0)</f>
        <v>0</v>
      </c>
      <c r="X28" s="21">
        <f>U28-1950000</f>
        <v>-1950000</v>
      </c>
      <c r="Y28" s="20">
        <f t="shared" si="8"/>
        <v>0</v>
      </c>
    </row>
    <row r="29" spans="1:25" ht="18.600000000000001" thickBot="1">
      <c r="A29" s="16" t="s">
        <v>126</v>
      </c>
      <c r="X29" s="22" t="s">
        <v>132</v>
      </c>
      <c r="Y29" s="23">
        <f>SUM(Y18:Y28)</f>
        <v>0</v>
      </c>
    </row>
    <row r="31" spans="1:25">
      <c r="U31" s="18" t="s">
        <v>134</v>
      </c>
      <c r="V31" s="18"/>
    </row>
    <row r="32" spans="1:25">
      <c r="L32" s="207" t="s">
        <v>41</v>
      </c>
      <c r="M32" s="208"/>
      <c r="N32" s="208"/>
      <c r="O32" s="208"/>
      <c r="P32" s="208"/>
      <c r="Q32" s="208"/>
      <c r="R32" s="208"/>
      <c r="S32" s="209"/>
      <c r="U32" s="19" t="s">
        <v>127</v>
      </c>
      <c r="V32" s="19" t="s">
        <v>131</v>
      </c>
      <c r="W32" s="17" t="s">
        <v>129</v>
      </c>
      <c r="X32" s="210" t="s">
        <v>130</v>
      </c>
      <c r="Y32" s="210"/>
    </row>
    <row r="33" spans="1:25">
      <c r="A33" s="202">
        <v>0</v>
      </c>
      <c r="B33" s="202"/>
      <c r="C33" s="202"/>
      <c r="D33" s="202"/>
      <c r="E33" s="202"/>
      <c r="F33" s="15" t="s">
        <v>40</v>
      </c>
      <c r="G33" s="202">
        <v>550999</v>
      </c>
      <c r="H33" s="202"/>
      <c r="I33" s="202"/>
      <c r="J33" s="202"/>
      <c r="K33" s="203"/>
      <c r="L33" s="203">
        <v>0</v>
      </c>
      <c r="M33" s="204"/>
      <c r="N33" s="204"/>
      <c r="O33" s="204"/>
      <c r="P33" s="204"/>
      <c r="Q33" s="204"/>
      <c r="R33" s="204"/>
      <c r="S33" s="205"/>
      <c r="U33" s="19">
        <f>試算!Q8</f>
        <v>0</v>
      </c>
      <c r="V33" s="19">
        <f>ROUNDDOWN(U33/4,-3)</f>
        <v>0</v>
      </c>
      <c r="W33">
        <f t="shared" ref="W33:W42" si="11">IF(AND(A33&lt;=U33,U33&lt;=G33),1,0)</f>
        <v>1</v>
      </c>
      <c r="X33" s="21">
        <f>L33</f>
        <v>0</v>
      </c>
      <c r="Y33" s="20">
        <f>X33*W33</f>
        <v>0</v>
      </c>
    </row>
    <row r="34" spans="1:25">
      <c r="A34" s="202">
        <v>551000</v>
      </c>
      <c r="B34" s="202"/>
      <c r="C34" s="202"/>
      <c r="D34" s="202"/>
      <c r="E34" s="202"/>
      <c r="F34" s="15" t="s">
        <v>40</v>
      </c>
      <c r="G34" s="202">
        <v>1618999</v>
      </c>
      <c r="H34" s="202"/>
      <c r="I34" s="202"/>
      <c r="J34" s="202"/>
      <c r="K34" s="203"/>
      <c r="L34" s="203" t="s">
        <v>120</v>
      </c>
      <c r="M34" s="204"/>
      <c r="N34" s="204"/>
      <c r="O34" s="204"/>
      <c r="P34" s="204"/>
      <c r="Q34" s="204"/>
      <c r="R34" s="204"/>
      <c r="S34" s="205"/>
      <c r="U34" s="19">
        <f>U33</f>
        <v>0</v>
      </c>
      <c r="V34" s="19">
        <f t="shared" ref="V34:V42" si="12">ROUNDDOWN(U34/4,-3)</f>
        <v>0</v>
      </c>
      <c r="W34">
        <f t="shared" si="11"/>
        <v>0</v>
      </c>
      <c r="X34" s="21">
        <f>U34-550000</f>
        <v>-550000</v>
      </c>
      <c r="Y34" s="20">
        <f t="shared" ref="Y34:Y43" si="13">X34*W34</f>
        <v>0</v>
      </c>
    </row>
    <row r="35" spans="1:25">
      <c r="A35" s="202">
        <v>1619000</v>
      </c>
      <c r="B35" s="202"/>
      <c r="C35" s="202"/>
      <c r="D35" s="202"/>
      <c r="E35" s="202"/>
      <c r="F35" s="15" t="s">
        <v>40</v>
      </c>
      <c r="G35" s="202">
        <v>1619999</v>
      </c>
      <c r="H35" s="202"/>
      <c r="I35" s="202"/>
      <c r="J35" s="202"/>
      <c r="K35" s="203"/>
      <c r="L35" s="203">
        <v>1069000</v>
      </c>
      <c r="M35" s="204"/>
      <c r="N35" s="204"/>
      <c r="O35" s="204"/>
      <c r="P35" s="204"/>
      <c r="Q35" s="204"/>
      <c r="R35" s="204"/>
      <c r="S35" s="205"/>
      <c r="U35" s="19">
        <f t="shared" ref="U35:U43" si="14">U34</f>
        <v>0</v>
      </c>
      <c r="V35" s="19">
        <f t="shared" si="12"/>
        <v>0</v>
      </c>
      <c r="W35">
        <f t="shared" si="11"/>
        <v>0</v>
      </c>
      <c r="X35" s="21">
        <f>L35</f>
        <v>1069000</v>
      </c>
      <c r="Y35" s="20">
        <f t="shared" si="13"/>
        <v>0</v>
      </c>
    </row>
    <row r="36" spans="1:25">
      <c r="A36" s="202">
        <v>1620000</v>
      </c>
      <c r="B36" s="202"/>
      <c r="C36" s="202"/>
      <c r="D36" s="202"/>
      <c r="E36" s="202"/>
      <c r="F36" s="15" t="s">
        <v>40</v>
      </c>
      <c r="G36" s="202">
        <v>1621999</v>
      </c>
      <c r="H36" s="202"/>
      <c r="I36" s="202"/>
      <c r="J36" s="202"/>
      <c r="K36" s="203"/>
      <c r="L36" s="203">
        <v>1070000</v>
      </c>
      <c r="M36" s="204"/>
      <c r="N36" s="204"/>
      <c r="O36" s="204"/>
      <c r="P36" s="204"/>
      <c r="Q36" s="204"/>
      <c r="R36" s="204"/>
      <c r="S36" s="205"/>
      <c r="U36" s="19">
        <f t="shared" si="14"/>
        <v>0</v>
      </c>
      <c r="V36" s="19">
        <f t="shared" si="12"/>
        <v>0</v>
      </c>
      <c r="W36">
        <f t="shared" si="11"/>
        <v>0</v>
      </c>
      <c r="X36" s="21">
        <f t="shared" ref="X36:X38" si="15">L36</f>
        <v>1070000</v>
      </c>
      <c r="Y36" s="20">
        <f t="shared" si="13"/>
        <v>0</v>
      </c>
    </row>
    <row r="37" spans="1:25">
      <c r="A37" s="202">
        <v>1622000</v>
      </c>
      <c r="B37" s="202"/>
      <c r="C37" s="202"/>
      <c r="D37" s="202"/>
      <c r="E37" s="202"/>
      <c r="F37" s="15" t="s">
        <v>40</v>
      </c>
      <c r="G37" s="202">
        <v>1623999</v>
      </c>
      <c r="H37" s="202"/>
      <c r="I37" s="202"/>
      <c r="J37" s="202"/>
      <c r="K37" s="203"/>
      <c r="L37" s="203">
        <v>1072000</v>
      </c>
      <c r="M37" s="204"/>
      <c r="N37" s="204"/>
      <c r="O37" s="204"/>
      <c r="P37" s="204"/>
      <c r="Q37" s="204"/>
      <c r="R37" s="204"/>
      <c r="S37" s="205"/>
      <c r="U37" s="19">
        <f t="shared" si="14"/>
        <v>0</v>
      </c>
      <c r="V37" s="19">
        <f t="shared" si="12"/>
        <v>0</v>
      </c>
      <c r="W37">
        <f t="shared" si="11"/>
        <v>0</v>
      </c>
      <c r="X37" s="21">
        <f t="shared" si="15"/>
        <v>1072000</v>
      </c>
      <c r="Y37" s="20">
        <f t="shared" si="13"/>
        <v>0</v>
      </c>
    </row>
    <row r="38" spans="1:25">
      <c r="A38" s="202">
        <v>1624000</v>
      </c>
      <c r="B38" s="202"/>
      <c r="C38" s="202"/>
      <c r="D38" s="202"/>
      <c r="E38" s="202"/>
      <c r="F38" s="15" t="s">
        <v>40</v>
      </c>
      <c r="G38" s="202">
        <v>1627999</v>
      </c>
      <c r="H38" s="202"/>
      <c r="I38" s="202"/>
      <c r="J38" s="202"/>
      <c r="K38" s="203"/>
      <c r="L38" s="203">
        <v>1074000</v>
      </c>
      <c r="M38" s="204"/>
      <c r="N38" s="204"/>
      <c r="O38" s="204"/>
      <c r="P38" s="204"/>
      <c r="Q38" s="204"/>
      <c r="R38" s="204"/>
      <c r="S38" s="205"/>
      <c r="U38" s="19">
        <f t="shared" si="14"/>
        <v>0</v>
      </c>
      <c r="V38" s="19">
        <f t="shared" si="12"/>
        <v>0</v>
      </c>
      <c r="W38">
        <f t="shared" si="11"/>
        <v>0</v>
      </c>
      <c r="X38" s="21">
        <f t="shared" si="15"/>
        <v>1074000</v>
      </c>
      <c r="Y38" s="20">
        <f t="shared" si="13"/>
        <v>0</v>
      </c>
    </row>
    <row r="39" spans="1:25">
      <c r="A39" s="202">
        <v>1628000</v>
      </c>
      <c r="B39" s="202"/>
      <c r="C39" s="202"/>
      <c r="D39" s="202"/>
      <c r="E39" s="202"/>
      <c r="F39" s="15" t="s">
        <v>40</v>
      </c>
      <c r="G39" s="202">
        <v>1799999</v>
      </c>
      <c r="H39" s="202"/>
      <c r="I39" s="202"/>
      <c r="J39" s="202"/>
      <c r="K39" s="203"/>
      <c r="L39" s="203" t="s">
        <v>121</v>
      </c>
      <c r="M39" s="204"/>
      <c r="N39" s="204"/>
      <c r="O39" s="204"/>
      <c r="P39" s="204"/>
      <c r="Q39" s="204"/>
      <c r="R39" s="204"/>
      <c r="S39" s="205"/>
      <c r="U39" s="19">
        <f t="shared" si="14"/>
        <v>0</v>
      </c>
      <c r="V39" s="19">
        <f t="shared" si="12"/>
        <v>0</v>
      </c>
      <c r="W39">
        <f t="shared" si="11"/>
        <v>0</v>
      </c>
      <c r="X39" s="21">
        <f>V39*2.4+100000</f>
        <v>100000</v>
      </c>
      <c r="Y39" s="20">
        <f t="shared" si="13"/>
        <v>0</v>
      </c>
    </row>
    <row r="40" spans="1:25">
      <c r="A40" s="202">
        <v>1800000</v>
      </c>
      <c r="B40" s="202"/>
      <c r="C40" s="202"/>
      <c r="D40" s="202"/>
      <c r="E40" s="202"/>
      <c r="F40" s="15" t="s">
        <v>40</v>
      </c>
      <c r="G40" s="202">
        <v>3599999</v>
      </c>
      <c r="H40" s="202"/>
      <c r="I40" s="202"/>
      <c r="J40" s="202"/>
      <c r="K40" s="203"/>
      <c r="L40" s="203" t="s">
        <v>122</v>
      </c>
      <c r="M40" s="204"/>
      <c r="N40" s="204"/>
      <c r="O40" s="204"/>
      <c r="P40" s="204"/>
      <c r="Q40" s="204"/>
      <c r="R40" s="204"/>
      <c r="S40" s="205"/>
      <c r="U40" s="19">
        <f t="shared" si="14"/>
        <v>0</v>
      </c>
      <c r="V40" s="19">
        <f t="shared" si="12"/>
        <v>0</v>
      </c>
      <c r="W40">
        <f t="shared" si="11"/>
        <v>0</v>
      </c>
      <c r="X40" s="21">
        <f>V40*2.8-80000</f>
        <v>-80000</v>
      </c>
      <c r="Y40" s="20">
        <f t="shared" si="13"/>
        <v>0</v>
      </c>
    </row>
    <row r="41" spans="1:25">
      <c r="A41" s="202">
        <v>3600000</v>
      </c>
      <c r="B41" s="202"/>
      <c r="C41" s="202"/>
      <c r="D41" s="202"/>
      <c r="E41" s="202"/>
      <c r="F41" s="15" t="s">
        <v>40</v>
      </c>
      <c r="G41" s="202">
        <v>6599999</v>
      </c>
      <c r="H41" s="202"/>
      <c r="I41" s="202"/>
      <c r="J41" s="202"/>
      <c r="K41" s="203"/>
      <c r="L41" s="203" t="s">
        <v>123</v>
      </c>
      <c r="M41" s="204"/>
      <c r="N41" s="204"/>
      <c r="O41" s="204"/>
      <c r="P41" s="204"/>
      <c r="Q41" s="204"/>
      <c r="R41" s="204"/>
      <c r="S41" s="205"/>
      <c r="U41" s="19">
        <f t="shared" si="14"/>
        <v>0</v>
      </c>
      <c r="V41" s="19">
        <f>ROUNDDOWN(U41/4,-3)</f>
        <v>0</v>
      </c>
      <c r="W41">
        <f t="shared" si="11"/>
        <v>0</v>
      </c>
      <c r="X41" s="21">
        <f>V41*3.2-440000</f>
        <v>-440000</v>
      </c>
      <c r="Y41" s="20">
        <f t="shared" si="13"/>
        <v>0</v>
      </c>
    </row>
    <row r="42" spans="1:25">
      <c r="A42" s="202">
        <v>6600000</v>
      </c>
      <c r="B42" s="202"/>
      <c r="C42" s="202"/>
      <c r="D42" s="202"/>
      <c r="E42" s="202"/>
      <c r="F42" s="15" t="s">
        <v>40</v>
      </c>
      <c r="G42" s="202">
        <v>8499999</v>
      </c>
      <c r="H42" s="202"/>
      <c r="I42" s="202"/>
      <c r="J42" s="202"/>
      <c r="K42" s="203"/>
      <c r="L42" s="203" t="s">
        <v>124</v>
      </c>
      <c r="M42" s="204"/>
      <c r="N42" s="204"/>
      <c r="O42" s="204"/>
      <c r="P42" s="204"/>
      <c r="Q42" s="204"/>
      <c r="R42" s="204"/>
      <c r="S42" s="205"/>
      <c r="U42" s="19">
        <f t="shared" si="14"/>
        <v>0</v>
      </c>
      <c r="V42" s="19">
        <f t="shared" si="12"/>
        <v>0</v>
      </c>
      <c r="W42">
        <f t="shared" si="11"/>
        <v>0</v>
      </c>
      <c r="X42" s="21">
        <f>U42*0.9-1100000</f>
        <v>-1100000</v>
      </c>
      <c r="Y42" s="20">
        <f t="shared" si="13"/>
        <v>0</v>
      </c>
    </row>
    <row r="43" spans="1:25" ht="18.600000000000001" thickBot="1">
      <c r="A43" s="202">
        <v>8500000</v>
      </c>
      <c r="B43" s="202"/>
      <c r="C43" s="202"/>
      <c r="D43" s="202"/>
      <c r="E43" s="202"/>
      <c r="F43" s="15" t="s">
        <v>40</v>
      </c>
      <c r="G43" s="202"/>
      <c r="H43" s="202"/>
      <c r="I43" s="202"/>
      <c r="J43" s="202"/>
      <c r="K43" s="206"/>
      <c r="L43" s="203" t="s">
        <v>125</v>
      </c>
      <c r="M43" s="204"/>
      <c r="N43" s="204"/>
      <c r="O43" s="204"/>
      <c r="P43" s="204"/>
      <c r="Q43" s="204"/>
      <c r="R43" s="204"/>
      <c r="S43" s="205"/>
      <c r="U43" s="19">
        <f t="shared" si="14"/>
        <v>0</v>
      </c>
      <c r="V43" s="19">
        <f>ROUNDDOWN(U43/4,-3)</f>
        <v>0</v>
      </c>
      <c r="W43">
        <f>IF(A43&lt;=U43,1,0)</f>
        <v>0</v>
      </c>
      <c r="X43" s="21">
        <f>U43-1950000</f>
        <v>-1950000</v>
      </c>
      <c r="Y43" s="20">
        <f t="shared" si="13"/>
        <v>0</v>
      </c>
    </row>
    <row r="44" spans="1:25" ht="18.600000000000001" thickBot="1">
      <c r="A44" s="16" t="s">
        <v>126</v>
      </c>
      <c r="X44" s="22" t="s">
        <v>132</v>
      </c>
      <c r="Y44" s="23">
        <f>SUM(Y33:Y43)</f>
        <v>0</v>
      </c>
    </row>
    <row r="47" spans="1:25">
      <c r="U47" s="18" t="s">
        <v>135</v>
      </c>
      <c r="V47" s="18"/>
    </row>
    <row r="48" spans="1:25">
      <c r="L48" s="207" t="s">
        <v>41</v>
      </c>
      <c r="M48" s="208"/>
      <c r="N48" s="208"/>
      <c r="O48" s="208"/>
      <c r="P48" s="208"/>
      <c r="Q48" s="208"/>
      <c r="R48" s="208"/>
      <c r="S48" s="209"/>
      <c r="U48" s="19" t="s">
        <v>127</v>
      </c>
      <c r="V48" s="19" t="s">
        <v>131</v>
      </c>
      <c r="W48" s="17" t="s">
        <v>129</v>
      </c>
      <c r="X48" s="210" t="s">
        <v>130</v>
      </c>
      <c r="Y48" s="210"/>
    </row>
    <row r="49" spans="1:25">
      <c r="A49" s="202">
        <v>0</v>
      </c>
      <c r="B49" s="202"/>
      <c r="C49" s="202"/>
      <c r="D49" s="202"/>
      <c r="E49" s="202"/>
      <c r="F49" s="15" t="s">
        <v>40</v>
      </c>
      <c r="G49" s="202">
        <v>550999</v>
      </c>
      <c r="H49" s="202"/>
      <c r="I49" s="202"/>
      <c r="J49" s="202"/>
      <c r="K49" s="203"/>
      <c r="L49" s="203">
        <v>0</v>
      </c>
      <c r="M49" s="204"/>
      <c r="N49" s="204"/>
      <c r="O49" s="204"/>
      <c r="P49" s="204"/>
      <c r="Q49" s="204"/>
      <c r="R49" s="204"/>
      <c r="S49" s="205"/>
      <c r="U49" s="19">
        <f>試算!Q9</f>
        <v>0</v>
      </c>
      <c r="V49" s="19">
        <f>ROUNDDOWN(U49/4,-3)</f>
        <v>0</v>
      </c>
      <c r="W49">
        <f t="shared" ref="W49:W58" si="16">IF(AND(A49&lt;=U49,U49&lt;=G49),1,0)</f>
        <v>1</v>
      </c>
      <c r="X49" s="21">
        <f>L49</f>
        <v>0</v>
      </c>
      <c r="Y49" s="20">
        <f>X49*W49</f>
        <v>0</v>
      </c>
    </row>
    <row r="50" spans="1:25">
      <c r="A50" s="202">
        <v>551000</v>
      </c>
      <c r="B50" s="202"/>
      <c r="C50" s="202"/>
      <c r="D50" s="202"/>
      <c r="E50" s="202"/>
      <c r="F50" s="15" t="s">
        <v>40</v>
      </c>
      <c r="G50" s="202">
        <v>1618999</v>
      </c>
      <c r="H50" s="202"/>
      <c r="I50" s="202"/>
      <c r="J50" s="202"/>
      <c r="K50" s="203"/>
      <c r="L50" s="203" t="s">
        <v>120</v>
      </c>
      <c r="M50" s="204"/>
      <c r="N50" s="204"/>
      <c r="O50" s="204"/>
      <c r="P50" s="204"/>
      <c r="Q50" s="204"/>
      <c r="R50" s="204"/>
      <c r="S50" s="205"/>
      <c r="U50" s="19">
        <f>U49</f>
        <v>0</v>
      </c>
      <c r="V50" s="19">
        <f t="shared" ref="V50:V58" si="17">ROUNDDOWN(U50/4,-3)</f>
        <v>0</v>
      </c>
      <c r="W50">
        <f t="shared" si="16"/>
        <v>0</v>
      </c>
      <c r="X50" s="21">
        <f>U50-550000</f>
        <v>-550000</v>
      </c>
      <c r="Y50" s="20">
        <f t="shared" ref="Y50:Y59" si="18">X50*W50</f>
        <v>0</v>
      </c>
    </row>
    <row r="51" spans="1:25">
      <c r="A51" s="202">
        <v>1619000</v>
      </c>
      <c r="B51" s="202"/>
      <c r="C51" s="202"/>
      <c r="D51" s="202"/>
      <c r="E51" s="202"/>
      <c r="F51" s="15" t="s">
        <v>40</v>
      </c>
      <c r="G51" s="202">
        <v>1619999</v>
      </c>
      <c r="H51" s="202"/>
      <c r="I51" s="202"/>
      <c r="J51" s="202"/>
      <c r="K51" s="203"/>
      <c r="L51" s="203">
        <v>1069000</v>
      </c>
      <c r="M51" s="204"/>
      <c r="N51" s="204"/>
      <c r="O51" s="204"/>
      <c r="P51" s="204"/>
      <c r="Q51" s="204"/>
      <c r="R51" s="204"/>
      <c r="S51" s="205"/>
      <c r="U51" s="19">
        <f t="shared" ref="U51:U59" si="19">U50</f>
        <v>0</v>
      </c>
      <c r="V51" s="19">
        <f t="shared" si="17"/>
        <v>0</v>
      </c>
      <c r="W51">
        <f t="shared" si="16"/>
        <v>0</v>
      </c>
      <c r="X51" s="21">
        <f>L51</f>
        <v>1069000</v>
      </c>
      <c r="Y51" s="20">
        <f t="shared" si="18"/>
        <v>0</v>
      </c>
    </row>
    <row r="52" spans="1:25">
      <c r="A52" s="202">
        <v>1620000</v>
      </c>
      <c r="B52" s="202"/>
      <c r="C52" s="202"/>
      <c r="D52" s="202"/>
      <c r="E52" s="202"/>
      <c r="F52" s="15" t="s">
        <v>40</v>
      </c>
      <c r="G52" s="202">
        <v>1621999</v>
      </c>
      <c r="H52" s="202"/>
      <c r="I52" s="202"/>
      <c r="J52" s="202"/>
      <c r="K52" s="203"/>
      <c r="L52" s="203">
        <v>1070000</v>
      </c>
      <c r="M52" s="204"/>
      <c r="N52" s="204"/>
      <c r="O52" s="204"/>
      <c r="P52" s="204"/>
      <c r="Q52" s="204"/>
      <c r="R52" s="204"/>
      <c r="S52" s="205"/>
      <c r="U52" s="19">
        <f t="shared" si="19"/>
        <v>0</v>
      </c>
      <c r="V52" s="19">
        <f t="shared" si="17"/>
        <v>0</v>
      </c>
      <c r="W52">
        <f t="shared" si="16"/>
        <v>0</v>
      </c>
      <c r="X52" s="21">
        <f t="shared" ref="X52:X54" si="20">L52</f>
        <v>1070000</v>
      </c>
      <c r="Y52" s="20">
        <f t="shared" si="18"/>
        <v>0</v>
      </c>
    </row>
    <row r="53" spans="1:25">
      <c r="A53" s="202">
        <v>1622000</v>
      </c>
      <c r="B53" s="202"/>
      <c r="C53" s="202"/>
      <c r="D53" s="202"/>
      <c r="E53" s="202"/>
      <c r="F53" s="15" t="s">
        <v>40</v>
      </c>
      <c r="G53" s="202">
        <v>1623999</v>
      </c>
      <c r="H53" s="202"/>
      <c r="I53" s="202"/>
      <c r="J53" s="202"/>
      <c r="K53" s="203"/>
      <c r="L53" s="203">
        <v>1072000</v>
      </c>
      <c r="M53" s="204"/>
      <c r="N53" s="204"/>
      <c r="O53" s="204"/>
      <c r="P53" s="204"/>
      <c r="Q53" s="204"/>
      <c r="R53" s="204"/>
      <c r="S53" s="205"/>
      <c r="U53" s="19">
        <f t="shared" si="19"/>
        <v>0</v>
      </c>
      <c r="V53" s="19">
        <f t="shared" si="17"/>
        <v>0</v>
      </c>
      <c r="W53">
        <f t="shared" si="16"/>
        <v>0</v>
      </c>
      <c r="X53" s="21">
        <f t="shared" si="20"/>
        <v>1072000</v>
      </c>
      <c r="Y53" s="20">
        <f t="shared" si="18"/>
        <v>0</v>
      </c>
    </row>
    <row r="54" spans="1:25">
      <c r="A54" s="202">
        <v>1624000</v>
      </c>
      <c r="B54" s="202"/>
      <c r="C54" s="202"/>
      <c r="D54" s="202"/>
      <c r="E54" s="202"/>
      <c r="F54" s="15" t="s">
        <v>40</v>
      </c>
      <c r="G54" s="202">
        <v>1627999</v>
      </c>
      <c r="H54" s="202"/>
      <c r="I54" s="202"/>
      <c r="J54" s="202"/>
      <c r="K54" s="203"/>
      <c r="L54" s="203">
        <v>1074000</v>
      </c>
      <c r="M54" s="204"/>
      <c r="N54" s="204"/>
      <c r="O54" s="204"/>
      <c r="P54" s="204"/>
      <c r="Q54" s="204"/>
      <c r="R54" s="204"/>
      <c r="S54" s="205"/>
      <c r="U54" s="19">
        <f t="shared" si="19"/>
        <v>0</v>
      </c>
      <c r="V54" s="19">
        <f t="shared" si="17"/>
        <v>0</v>
      </c>
      <c r="W54">
        <f t="shared" si="16"/>
        <v>0</v>
      </c>
      <c r="X54" s="21">
        <f t="shared" si="20"/>
        <v>1074000</v>
      </c>
      <c r="Y54" s="20">
        <f t="shared" si="18"/>
        <v>0</v>
      </c>
    </row>
    <row r="55" spans="1:25">
      <c r="A55" s="202">
        <v>1628000</v>
      </c>
      <c r="B55" s="202"/>
      <c r="C55" s="202"/>
      <c r="D55" s="202"/>
      <c r="E55" s="202"/>
      <c r="F55" s="15" t="s">
        <v>40</v>
      </c>
      <c r="G55" s="202">
        <v>1799999</v>
      </c>
      <c r="H55" s="202"/>
      <c r="I55" s="202"/>
      <c r="J55" s="202"/>
      <c r="K55" s="203"/>
      <c r="L55" s="203" t="s">
        <v>121</v>
      </c>
      <c r="M55" s="204"/>
      <c r="N55" s="204"/>
      <c r="O55" s="204"/>
      <c r="P55" s="204"/>
      <c r="Q55" s="204"/>
      <c r="R55" s="204"/>
      <c r="S55" s="205"/>
      <c r="U55" s="19">
        <f t="shared" si="19"/>
        <v>0</v>
      </c>
      <c r="V55" s="19">
        <f t="shared" si="17"/>
        <v>0</v>
      </c>
      <c r="W55">
        <f t="shared" si="16"/>
        <v>0</v>
      </c>
      <c r="X55" s="21">
        <f>V55*2.4+100000</f>
        <v>100000</v>
      </c>
      <c r="Y55" s="20">
        <f t="shared" si="18"/>
        <v>0</v>
      </c>
    </row>
    <row r="56" spans="1:25">
      <c r="A56" s="202">
        <v>1800000</v>
      </c>
      <c r="B56" s="202"/>
      <c r="C56" s="202"/>
      <c r="D56" s="202"/>
      <c r="E56" s="202"/>
      <c r="F56" s="15" t="s">
        <v>40</v>
      </c>
      <c r="G56" s="202">
        <v>3599999</v>
      </c>
      <c r="H56" s="202"/>
      <c r="I56" s="202"/>
      <c r="J56" s="202"/>
      <c r="K56" s="203"/>
      <c r="L56" s="203" t="s">
        <v>122</v>
      </c>
      <c r="M56" s="204"/>
      <c r="N56" s="204"/>
      <c r="O56" s="204"/>
      <c r="P56" s="204"/>
      <c r="Q56" s="204"/>
      <c r="R56" s="204"/>
      <c r="S56" s="205"/>
      <c r="U56" s="19">
        <f t="shared" si="19"/>
        <v>0</v>
      </c>
      <c r="V56" s="19">
        <f t="shared" si="17"/>
        <v>0</v>
      </c>
      <c r="W56">
        <f t="shared" si="16"/>
        <v>0</v>
      </c>
      <c r="X56" s="21">
        <f>V56*2.8-80000</f>
        <v>-80000</v>
      </c>
      <c r="Y56" s="20">
        <f t="shared" si="18"/>
        <v>0</v>
      </c>
    </row>
    <row r="57" spans="1:25">
      <c r="A57" s="202">
        <v>3600000</v>
      </c>
      <c r="B57" s="202"/>
      <c r="C57" s="202"/>
      <c r="D57" s="202"/>
      <c r="E57" s="202"/>
      <c r="F57" s="15" t="s">
        <v>40</v>
      </c>
      <c r="G57" s="202">
        <v>6599999</v>
      </c>
      <c r="H57" s="202"/>
      <c r="I57" s="202"/>
      <c r="J57" s="202"/>
      <c r="K57" s="203"/>
      <c r="L57" s="203" t="s">
        <v>123</v>
      </c>
      <c r="M57" s="204"/>
      <c r="N57" s="204"/>
      <c r="O57" s="204"/>
      <c r="P57" s="204"/>
      <c r="Q57" s="204"/>
      <c r="R57" s="204"/>
      <c r="S57" s="205"/>
      <c r="U57" s="19">
        <f t="shared" si="19"/>
        <v>0</v>
      </c>
      <c r="V57" s="19">
        <f>ROUNDDOWN(U57/4,-3)</f>
        <v>0</v>
      </c>
      <c r="W57">
        <f t="shared" si="16"/>
        <v>0</v>
      </c>
      <c r="X57" s="21">
        <f>V57*3.2-440000</f>
        <v>-440000</v>
      </c>
      <c r="Y57" s="20">
        <f t="shared" si="18"/>
        <v>0</v>
      </c>
    </row>
    <row r="58" spans="1:25">
      <c r="A58" s="202">
        <v>6600000</v>
      </c>
      <c r="B58" s="202"/>
      <c r="C58" s="202"/>
      <c r="D58" s="202"/>
      <c r="E58" s="202"/>
      <c r="F58" s="15" t="s">
        <v>40</v>
      </c>
      <c r="G58" s="202">
        <v>8499999</v>
      </c>
      <c r="H58" s="202"/>
      <c r="I58" s="202"/>
      <c r="J58" s="202"/>
      <c r="K58" s="203"/>
      <c r="L58" s="203" t="s">
        <v>124</v>
      </c>
      <c r="M58" s="204"/>
      <c r="N58" s="204"/>
      <c r="O58" s="204"/>
      <c r="P58" s="204"/>
      <c r="Q58" s="204"/>
      <c r="R58" s="204"/>
      <c r="S58" s="205"/>
      <c r="U58" s="19">
        <f t="shared" si="19"/>
        <v>0</v>
      </c>
      <c r="V58" s="19">
        <f t="shared" si="17"/>
        <v>0</v>
      </c>
      <c r="W58">
        <f t="shared" si="16"/>
        <v>0</v>
      </c>
      <c r="X58" s="21">
        <f>U58*0.9-1100000</f>
        <v>-1100000</v>
      </c>
      <c r="Y58" s="20">
        <f t="shared" si="18"/>
        <v>0</v>
      </c>
    </row>
    <row r="59" spans="1:25" ht="18.600000000000001" thickBot="1">
      <c r="A59" s="202">
        <v>8500000</v>
      </c>
      <c r="B59" s="202"/>
      <c r="C59" s="202"/>
      <c r="D59" s="202"/>
      <c r="E59" s="202"/>
      <c r="F59" s="15" t="s">
        <v>40</v>
      </c>
      <c r="G59" s="202"/>
      <c r="H59" s="202"/>
      <c r="I59" s="202"/>
      <c r="J59" s="202"/>
      <c r="K59" s="206"/>
      <c r="L59" s="203" t="s">
        <v>125</v>
      </c>
      <c r="M59" s="204"/>
      <c r="N59" s="204"/>
      <c r="O59" s="204"/>
      <c r="P59" s="204"/>
      <c r="Q59" s="204"/>
      <c r="R59" s="204"/>
      <c r="S59" s="205"/>
      <c r="U59" s="19">
        <f t="shared" si="19"/>
        <v>0</v>
      </c>
      <c r="V59" s="19">
        <f>ROUNDDOWN(U59/4,-3)</f>
        <v>0</v>
      </c>
      <c r="W59">
        <f>IF(A59&lt;=U59,1,0)</f>
        <v>0</v>
      </c>
      <c r="X59" s="21">
        <f>U59-1950000</f>
        <v>-1950000</v>
      </c>
      <c r="Y59" s="20">
        <f t="shared" si="18"/>
        <v>0</v>
      </c>
    </row>
    <row r="60" spans="1:25" ht="18.600000000000001" thickBot="1">
      <c r="A60" s="16" t="s">
        <v>126</v>
      </c>
      <c r="X60" s="22" t="s">
        <v>132</v>
      </c>
      <c r="Y60" s="23">
        <f>SUM(Y49:Y59)</f>
        <v>0</v>
      </c>
    </row>
    <row r="62" spans="1:25">
      <c r="U62" s="18" t="s">
        <v>140</v>
      </c>
      <c r="V62" s="18"/>
    </row>
    <row r="63" spans="1:25">
      <c r="L63" s="207" t="s">
        <v>41</v>
      </c>
      <c r="M63" s="208"/>
      <c r="N63" s="208"/>
      <c r="O63" s="208"/>
      <c r="P63" s="208"/>
      <c r="Q63" s="208"/>
      <c r="R63" s="208"/>
      <c r="S63" s="209"/>
      <c r="U63" s="19" t="s">
        <v>127</v>
      </c>
      <c r="V63" s="19" t="s">
        <v>131</v>
      </c>
      <c r="W63" s="17" t="s">
        <v>129</v>
      </c>
      <c r="X63" s="210" t="s">
        <v>130</v>
      </c>
      <c r="Y63" s="210"/>
    </row>
    <row r="64" spans="1:25">
      <c r="A64" s="202">
        <v>0</v>
      </c>
      <c r="B64" s="202"/>
      <c r="C64" s="202"/>
      <c r="D64" s="202"/>
      <c r="E64" s="202"/>
      <c r="F64" s="15" t="s">
        <v>40</v>
      </c>
      <c r="G64" s="202">
        <v>550999</v>
      </c>
      <c r="H64" s="202"/>
      <c r="I64" s="202"/>
      <c r="J64" s="202"/>
      <c r="K64" s="203"/>
      <c r="L64" s="203">
        <v>0</v>
      </c>
      <c r="M64" s="204"/>
      <c r="N64" s="204"/>
      <c r="O64" s="204"/>
      <c r="P64" s="204"/>
      <c r="Q64" s="204"/>
      <c r="R64" s="204"/>
      <c r="S64" s="205"/>
      <c r="U64" s="19">
        <f>試算!Q10</f>
        <v>0</v>
      </c>
      <c r="V64" s="19">
        <f>ROUNDDOWN(U64/4,-3)</f>
        <v>0</v>
      </c>
      <c r="W64">
        <f t="shared" ref="W64:W73" si="21">IF(AND(A64&lt;=U64,U64&lt;=G64),1,0)</f>
        <v>1</v>
      </c>
      <c r="X64" s="21">
        <f>L64</f>
        <v>0</v>
      </c>
      <c r="Y64" s="20">
        <f>X64*W64</f>
        <v>0</v>
      </c>
    </row>
    <row r="65" spans="1:25">
      <c r="A65" s="202">
        <v>551000</v>
      </c>
      <c r="B65" s="202"/>
      <c r="C65" s="202"/>
      <c r="D65" s="202"/>
      <c r="E65" s="202"/>
      <c r="F65" s="15" t="s">
        <v>40</v>
      </c>
      <c r="G65" s="202">
        <v>1618999</v>
      </c>
      <c r="H65" s="202"/>
      <c r="I65" s="202"/>
      <c r="J65" s="202"/>
      <c r="K65" s="203"/>
      <c r="L65" s="203" t="s">
        <v>120</v>
      </c>
      <c r="M65" s="204"/>
      <c r="N65" s="204"/>
      <c r="O65" s="204"/>
      <c r="P65" s="204"/>
      <c r="Q65" s="204"/>
      <c r="R65" s="204"/>
      <c r="S65" s="205"/>
      <c r="U65" s="19">
        <f>U64</f>
        <v>0</v>
      </c>
      <c r="V65" s="19">
        <f t="shared" ref="V65:V73" si="22">ROUNDDOWN(U65/4,-3)</f>
        <v>0</v>
      </c>
      <c r="W65">
        <f t="shared" si="21"/>
        <v>0</v>
      </c>
      <c r="X65" s="21">
        <f>U65-550000</f>
        <v>-550000</v>
      </c>
      <c r="Y65" s="20">
        <f t="shared" ref="Y65:Y74" si="23">X65*W65</f>
        <v>0</v>
      </c>
    </row>
    <row r="66" spans="1:25">
      <c r="A66" s="202">
        <v>1619000</v>
      </c>
      <c r="B66" s="202"/>
      <c r="C66" s="202"/>
      <c r="D66" s="202"/>
      <c r="E66" s="202"/>
      <c r="F66" s="15" t="s">
        <v>40</v>
      </c>
      <c r="G66" s="202">
        <v>1619999</v>
      </c>
      <c r="H66" s="202"/>
      <c r="I66" s="202"/>
      <c r="J66" s="202"/>
      <c r="K66" s="203"/>
      <c r="L66" s="203">
        <v>1069000</v>
      </c>
      <c r="M66" s="204"/>
      <c r="N66" s="204"/>
      <c r="O66" s="204"/>
      <c r="P66" s="204"/>
      <c r="Q66" s="204"/>
      <c r="R66" s="204"/>
      <c r="S66" s="205"/>
      <c r="U66" s="19">
        <f t="shared" ref="U66:U74" si="24">U65</f>
        <v>0</v>
      </c>
      <c r="V66" s="19">
        <f t="shared" si="22"/>
        <v>0</v>
      </c>
      <c r="W66">
        <f t="shared" si="21"/>
        <v>0</v>
      </c>
      <c r="X66" s="21">
        <f>L66</f>
        <v>1069000</v>
      </c>
      <c r="Y66" s="20">
        <f t="shared" si="23"/>
        <v>0</v>
      </c>
    </row>
    <row r="67" spans="1:25">
      <c r="A67" s="202">
        <v>1620000</v>
      </c>
      <c r="B67" s="202"/>
      <c r="C67" s="202"/>
      <c r="D67" s="202"/>
      <c r="E67" s="202"/>
      <c r="F67" s="15" t="s">
        <v>40</v>
      </c>
      <c r="G67" s="202">
        <v>1621999</v>
      </c>
      <c r="H67" s="202"/>
      <c r="I67" s="202"/>
      <c r="J67" s="202"/>
      <c r="K67" s="203"/>
      <c r="L67" s="203">
        <v>1070000</v>
      </c>
      <c r="M67" s="204"/>
      <c r="N67" s="204"/>
      <c r="O67" s="204"/>
      <c r="P67" s="204"/>
      <c r="Q67" s="204"/>
      <c r="R67" s="204"/>
      <c r="S67" s="205"/>
      <c r="U67" s="19">
        <f t="shared" si="24"/>
        <v>0</v>
      </c>
      <c r="V67" s="19">
        <f t="shared" si="22"/>
        <v>0</v>
      </c>
      <c r="W67">
        <f t="shared" si="21"/>
        <v>0</v>
      </c>
      <c r="X67" s="21">
        <f t="shared" ref="X67:X69" si="25">L67</f>
        <v>1070000</v>
      </c>
      <c r="Y67" s="20">
        <f t="shared" si="23"/>
        <v>0</v>
      </c>
    </row>
    <row r="68" spans="1:25">
      <c r="A68" s="202">
        <v>1622000</v>
      </c>
      <c r="B68" s="202"/>
      <c r="C68" s="202"/>
      <c r="D68" s="202"/>
      <c r="E68" s="202"/>
      <c r="F68" s="15" t="s">
        <v>40</v>
      </c>
      <c r="G68" s="202">
        <v>1623999</v>
      </c>
      <c r="H68" s="202"/>
      <c r="I68" s="202"/>
      <c r="J68" s="202"/>
      <c r="K68" s="203"/>
      <c r="L68" s="203">
        <v>1072000</v>
      </c>
      <c r="M68" s="204"/>
      <c r="N68" s="204"/>
      <c r="O68" s="204"/>
      <c r="P68" s="204"/>
      <c r="Q68" s="204"/>
      <c r="R68" s="204"/>
      <c r="S68" s="205"/>
      <c r="U68" s="19">
        <f t="shared" si="24"/>
        <v>0</v>
      </c>
      <c r="V68" s="19">
        <f t="shared" si="22"/>
        <v>0</v>
      </c>
      <c r="W68">
        <f t="shared" si="21"/>
        <v>0</v>
      </c>
      <c r="X68" s="21">
        <f t="shared" si="25"/>
        <v>1072000</v>
      </c>
      <c r="Y68" s="20">
        <f t="shared" si="23"/>
        <v>0</v>
      </c>
    </row>
    <row r="69" spans="1:25">
      <c r="A69" s="202">
        <v>1624000</v>
      </c>
      <c r="B69" s="202"/>
      <c r="C69" s="202"/>
      <c r="D69" s="202"/>
      <c r="E69" s="202"/>
      <c r="F69" s="15" t="s">
        <v>40</v>
      </c>
      <c r="G69" s="202">
        <v>1627999</v>
      </c>
      <c r="H69" s="202"/>
      <c r="I69" s="202"/>
      <c r="J69" s="202"/>
      <c r="K69" s="203"/>
      <c r="L69" s="203">
        <v>1074000</v>
      </c>
      <c r="M69" s="204"/>
      <c r="N69" s="204"/>
      <c r="O69" s="204"/>
      <c r="P69" s="204"/>
      <c r="Q69" s="204"/>
      <c r="R69" s="204"/>
      <c r="S69" s="205"/>
      <c r="U69" s="19">
        <f t="shared" si="24"/>
        <v>0</v>
      </c>
      <c r="V69" s="19">
        <f t="shared" si="22"/>
        <v>0</v>
      </c>
      <c r="W69">
        <f t="shared" si="21"/>
        <v>0</v>
      </c>
      <c r="X69" s="21">
        <f t="shared" si="25"/>
        <v>1074000</v>
      </c>
      <c r="Y69" s="20">
        <f t="shared" si="23"/>
        <v>0</v>
      </c>
    </row>
    <row r="70" spans="1:25">
      <c r="A70" s="202">
        <v>1628000</v>
      </c>
      <c r="B70" s="202"/>
      <c r="C70" s="202"/>
      <c r="D70" s="202"/>
      <c r="E70" s="202"/>
      <c r="F70" s="15" t="s">
        <v>40</v>
      </c>
      <c r="G70" s="202">
        <v>1799999</v>
      </c>
      <c r="H70" s="202"/>
      <c r="I70" s="202"/>
      <c r="J70" s="202"/>
      <c r="K70" s="203"/>
      <c r="L70" s="203" t="s">
        <v>121</v>
      </c>
      <c r="M70" s="204"/>
      <c r="N70" s="204"/>
      <c r="O70" s="204"/>
      <c r="P70" s="204"/>
      <c r="Q70" s="204"/>
      <c r="R70" s="204"/>
      <c r="S70" s="205"/>
      <c r="U70" s="19">
        <f t="shared" si="24"/>
        <v>0</v>
      </c>
      <c r="V70" s="19">
        <f t="shared" si="22"/>
        <v>0</v>
      </c>
      <c r="W70">
        <f t="shared" si="21"/>
        <v>0</v>
      </c>
      <c r="X70" s="21">
        <f>V70*2.4+100000</f>
        <v>100000</v>
      </c>
      <c r="Y70" s="20">
        <f t="shared" si="23"/>
        <v>0</v>
      </c>
    </row>
    <row r="71" spans="1:25">
      <c r="A71" s="202">
        <v>1800000</v>
      </c>
      <c r="B71" s="202"/>
      <c r="C71" s="202"/>
      <c r="D71" s="202"/>
      <c r="E71" s="202"/>
      <c r="F71" s="15" t="s">
        <v>40</v>
      </c>
      <c r="G71" s="202">
        <v>3599999</v>
      </c>
      <c r="H71" s="202"/>
      <c r="I71" s="202"/>
      <c r="J71" s="202"/>
      <c r="K71" s="203"/>
      <c r="L71" s="203" t="s">
        <v>122</v>
      </c>
      <c r="M71" s="204"/>
      <c r="N71" s="204"/>
      <c r="O71" s="204"/>
      <c r="P71" s="204"/>
      <c r="Q71" s="204"/>
      <c r="R71" s="204"/>
      <c r="S71" s="205"/>
      <c r="U71" s="19">
        <f t="shared" si="24"/>
        <v>0</v>
      </c>
      <c r="V71" s="19">
        <f t="shared" si="22"/>
        <v>0</v>
      </c>
      <c r="W71">
        <f t="shared" si="21"/>
        <v>0</v>
      </c>
      <c r="X71" s="21">
        <f>V71*2.8-80000</f>
        <v>-80000</v>
      </c>
      <c r="Y71" s="20">
        <f t="shared" si="23"/>
        <v>0</v>
      </c>
    </row>
    <row r="72" spans="1:25">
      <c r="A72" s="202">
        <v>3600000</v>
      </c>
      <c r="B72" s="202"/>
      <c r="C72" s="202"/>
      <c r="D72" s="202"/>
      <c r="E72" s="202"/>
      <c r="F72" s="15" t="s">
        <v>40</v>
      </c>
      <c r="G72" s="202">
        <v>6599999</v>
      </c>
      <c r="H72" s="202"/>
      <c r="I72" s="202"/>
      <c r="J72" s="202"/>
      <c r="K72" s="203"/>
      <c r="L72" s="203" t="s">
        <v>123</v>
      </c>
      <c r="M72" s="204"/>
      <c r="N72" s="204"/>
      <c r="O72" s="204"/>
      <c r="P72" s="204"/>
      <c r="Q72" s="204"/>
      <c r="R72" s="204"/>
      <c r="S72" s="205"/>
      <c r="U72" s="19">
        <f t="shared" si="24"/>
        <v>0</v>
      </c>
      <c r="V72" s="19">
        <f>ROUNDDOWN(U72/4,-3)</f>
        <v>0</v>
      </c>
      <c r="W72">
        <f t="shared" si="21"/>
        <v>0</v>
      </c>
      <c r="X72" s="21">
        <f>V72*3.2-440000</f>
        <v>-440000</v>
      </c>
      <c r="Y72" s="20">
        <f t="shared" si="23"/>
        <v>0</v>
      </c>
    </row>
    <row r="73" spans="1:25">
      <c r="A73" s="202">
        <v>6600000</v>
      </c>
      <c r="B73" s="202"/>
      <c r="C73" s="202"/>
      <c r="D73" s="202"/>
      <c r="E73" s="202"/>
      <c r="F73" s="15" t="s">
        <v>40</v>
      </c>
      <c r="G73" s="202">
        <v>8499999</v>
      </c>
      <c r="H73" s="202"/>
      <c r="I73" s="202"/>
      <c r="J73" s="202"/>
      <c r="K73" s="203"/>
      <c r="L73" s="203" t="s">
        <v>124</v>
      </c>
      <c r="M73" s="204"/>
      <c r="N73" s="204"/>
      <c r="O73" s="204"/>
      <c r="P73" s="204"/>
      <c r="Q73" s="204"/>
      <c r="R73" s="204"/>
      <c r="S73" s="205"/>
      <c r="U73" s="19">
        <f t="shared" si="24"/>
        <v>0</v>
      </c>
      <c r="V73" s="19">
        <f t="shared" si="22"/>
        <v>0</v>
      </c>
      <c r="W73">
        <f t="shared" si="21"/>
        <v>0</v>
      </c>
      <c r="X73" s="21">
        <f>U73*0.9-1100000</f>
        <v>-1100000</v>
      </c>
      <c r="Y73" s="20">
        <f t="shared" si="23"/>
        <v>0</v>
      </c>
    </row>
    <row r="74" spans="1:25" ht="18.600000000000001" thickBot="1">
      <c r="A74" s="202">
        <v>8500000</v>
      </c>
      <c r="B74" s="202"/>
      <c r="C74" s="202"/>
      <c r="D74" s="202"/>
      <c r="E74" s="202"/>
      <c r="F74" s="15" t="s">
        <v>40</v>
      </c>
      <c r="G74" s="202"/>
      <c r="H74" s="202"/>
      <c r="I74" s="202"/>
      <c r="J74" s="202"/>
      <c r="K74" s="206"/>
      <c r="L74" s="203" t="s">
        <v>125</v>
      </c>
      <c r="M74" s="204"/>
      <c r="N74" s="204"/>
      <c r="O74" s="204"/>
      <c r="P74" s="204"/>
      <c r="Q74" s="204"/>
      <c r="R74" s="204"/>
      <c r="S74" s="205"/>
      <c r="U74" s="19">
        <f t="shared" si="24"/>
        <v>0</v>
      </c>
      <c r="V74" s="19">
        <f>ROUNDDOWN(U74/4,-3)</f>
        <v>0</v>
      </c>
      <c r="W74">
        <f>IF(A74&lt;=U74,1,0)</f>
        <v>0</v>
      </c>
      <c r="X74" s="21">
        <f>U74-1950000</f>
        <v>-1950000</v>
      </c>
      <c r="Y74" s="20">
        <f t="shared" si="23"/>
        <v>0</v>
      </c>
    </row>
    <row r="75" spans="1:25" ht="18.600000000000001" thickBot="1">
      <c r="A75" s="16" t="s">
        <v>126</v>
      </c>
      <c r="X75" s="22" t="s">
        <v>132</v>
      </c>
      <c r="Y75" s="23">
        <f>SUM(Y64:Y74)</f>
        <v>0</v>
      </c>
    </row>
  </sheetData>
  <mergeCells count="175">
    <mergeCell ref="A7:E7"/>
    <mergeCell ref="G7:K7"/>
    <mergeCell ref="L7:S7"/>
    <mergeCell ref="A9:E9"/>
    <mergeCell ref="G9:K9"/>
    <mergeCell ref="L9:S9"/>
    <mergeCell ref="L17:S17"/>
    <mergeCell ref="L2:S2"/>
    <mergeCell ref="A4:E4"/>
    <mergeCell ref="G4:K4"/>
    <mergeCell ref="L4:S4"/>
    <mergeCell ref="A3:E3"/>
    <mergeCell ref="G3:K3"/>
    <mergeCell ref="L3:S3"/>
    <mergeCell ref="A6:E6"/>
    <mergeCell ref="G6:K6"/>
    <mergeCell ref="L6:S6"/>
    <mergeCell ref="A5:E5"/>
    <mergeCell ref="G5:K5"/>
    <mergeCell ref="L5:S5"/>
    <mergeCell ref="A8:E8"/>
    <mergeCell ref="G8:K8"/>
    <mergeCell ref="A19:E19"/>
    <mergeCell ref="G19:K19"/>
    <mergeCell ref="L19:S19"/>
    <mergeCell ref="A20:E20"/>
    <mergeCell ref="G20:K20"/>
    <mergeCell ref="L20:S20"/>
    <mergeCell ref="X2:Y2"/>
    <mergeCell ref="X17:Y17"/>
    <mergeCell ref="A18:E18"/>
    <mergeCell ref="G18:K18"/>
    <mergeCell ref="L18:S18"/>
    <mergeCell ref="A12:E12"/>
    <mergeCell ref="G12:K12"/>
    <mergeCell ref="L12:S12"/>
    <mergeCell ref="A13:E13"/>
    <mergeCell ref="G13:K13"/>
    <mergeCell ref="L13:S13"/>
    <mergeCell ref="A10:E10"/>
    <mergeCell ref="G10:K10"/>
    <mergeCell ref="L10:S10"/>
    <mergeCell ref="A11:E11"/>
    <mergeCell ref="G11:K11"/>
    <mergeCell ref="L11:S11"/>
    <mergeCell ref="L8:S8"/>
    <mergeCell ref="A23:E23"/>
    <mergeCell ref="G23:K23"/>
    <mergeCell ref="L23:S23"/>
    <mergeCell ref="A24:E24"/>
    <mergeCell ref="G24:K24"/>
    <mergeCell ref="L24:S24"/>
    <mergeCell ref="A21:E21"/>
    <mergeCell ref="G21:K21"/>
    <mergeCell ref="L21:S21"/>
    <mergeCell ref="A22:E22"/>
    <mergeCell ref="G22:K22"/>
    <mergeCell ref="L22:S22"/>
    <mergeCell ref="A27:E27"/>
    <mergeCell ref="G27:K27"/>
    <mergeCell ref="L27:S27"/>
    <mergeCell ref="A28:E28"/>
    <mergeCell ref="G28:K28"/>
    <mergeCell ref="L28:S28"/>
    <mergeCell ref="A25:E25"/>
    <mergeCell ref="G25:K25"/>
    <mergeCell ref="L25:S25"/>
    <mergeCell ref="A26:E26"/>
    <mergeCell ref="G26:K26"/>
    <mergeCell ref="L26:S26"/>
    <mergeCell ref="A34:E34"/>
    <mergeCell ref="G34:K34"/>
    <mergeCell ref="L34:S34"/>
    <mergeCell ref="A35:E35"/>
    <mergeCell ref="G35:K35"/>
    <mergeCell ref="L35:S35"/>
    <mergeCell ref="L32:S32"/>
    <mergeCell ref="X32:Y32"/>
    <mergeCell ref="A33:E33"/>
    <mergeCell ref="G33:K33"/>
    <mergeCell ref="L33:S33"/>
    <mergeCell ref="A38:E38"/>
    <mergeCell ref="G38:K38"/>
    <mergeCell ref="L38:S38"/>
    <mergeCell ref="A39:E39"/>
    <mergeCell ref="G39:K39"/>
    <mergeCell ref="L39:S39"/>
    <mergeCell ref="A36:E36"/>
    <mergeCell ref="G36:K36"/>
    <mergeCell ref="L36:S36"/>
    <mergeCell ref="A37:E37"/>
    <mergeCell ref="G37:K37"/>
    <mergeCell ref="L37:S37"/>
    <mergeCell ref="A42:E42"/>
    <mergeCell ref="G42:K42"/>
    <mergeCell ref="L42:S42"/>
    <mergeCell ref="A43:E43"/>
    <mergeCell ref="G43:K43"/>
    <mergeCell ref="L43:S43"/>
    <mergeCell ref="A40:E40"/>
    <mergeCell ref="G40:K40"/>
    <mergeCell ref="L40:S40"/>
    <mergeCell ref="A41:E41"/>
    <mergeCell ref="G41:K41"/>
    <mergeCell ref="L41:S41"/>
    <mergeCell ref="A50:E50"/>
    <mergeCell ref="G50:K50"/>
    <mergeCell ref="L50:S50"/>
    <mergeCell ref="A51:E51"/>
    <mergeCell ref="G51:K51"/>
    <mergeCell ref="L51:S51"/>
    <mergeCell ref="L48:S48"/>
    <mergeCell ref="X48:Y48"/>
    <mergeCell ref="A49:E49"/>
    <mergeCell ref="G49:K49"/>
    <mergeCell ref="L49:S49"/>
    <mergeCell ref="A54:E54"/>
    <mergeCell ref="G54:K54"/>
    <mergeCell ref="L54:S54"/>
    <mergeCell ref="A55:E55"/>
    <mergeCell ref="G55:K55"/>
    <mergeCell ref="L55:S55"/>
    <mergeCell ref="A52:E52"/>
    <mergeCell ref="G52:K52"/>
    <mergeCell ref="L52:S52"/>
    <mergeCell ref="A53:E53"/>
    <mergeCell ref="G53:K53"/>
    <mergeCell ref="L53:S53"/>
    <mergeCell ref="A58:E58"/>
    <mergeCell ref="G58:K58"/>
    <mergeCell ref="L58:S58"/>
    <mergeCell ref="A59:E59"/>
    <mergeCell ref="G59:K59"/>
    <mergeCell ref="L59:S59"/>
    <mergeCell ref="A56:E56"/>
    <mergeCell ref="G56:K56"/>
    <mergeCell ref="L56:S56"/>
    <mergeCell ref="A57:E57"/>
    <mergeCell ref="G57:K57"/>
    <mergeCell ref="L57:S57"/>
    <mergeCell ref="A65:E65"/>
    <mergeCell ref="G65:K65"/>
    <mergeCell ref="L65:S65"/>
    <mergeCell ref="A66:E66"/>
    <mergeCell ref="G66:K66"/>
    <mergeCell ref="L66:S66"/>
    <mergeCell ref="L63:S63"/>
    <mergeCell ref="X63:Y63"/>
    <mergeCell ref="A64:E64"/>
    <mergeCell ref="G64:K64"/>
    <mergeCell ref="L64:S64"/>
    <mergeCell ref="A69:E69"/>
    <mergeCell ref="G69:K69"/>
    <mergeCell ref="L69:S69"/>
    <mergeCell ref="A70:E70"/>
    <mergeCell ref="G70:K70"/>
    <mergeCell ref="L70:S70"/>
    <mergeCell ref="A67:E67"/>
    <mergeCell ref="G67:K67"/>
    <mergeCell ref="L67:S67"/>
    <mergeCell ref="A68:E68"/>
    <mergeCell ref="G68:K68"/>
    <mergeCell ref="L68:S68"/>
    <mergeCell ref="A73:E73"/>
    <mergeCell ref="G73:K73"/>
    <mergeCell ref="L73:S73"/>
    <mergeCell ref="A74:E74"/>
    <mergeCell ref="G74:K74"/>
    <mergeCell ref="L74:S74"/>
    <mergeCell ref="A71:E71"/>
    <mergeCell ref="G71:K71"/>
    <mergeCell ref="L71:S71"/>
    <mergeCell ref="A72:E72"/>
    <mergeCell ref="G72:K72"/>
    <mergeCell ref="L72:S72"/>
  </mergeCells>
  <phoneticPr fontId="1"/>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A436-55AB-4B65-A364-6A82D25BC12C}">
  <sheetPr codeName="Sheet5"/>
  <dimension ref="A1:AA49"/>
  <sheetViews>
    <sheetView workbookViewId="0">
      <selection activeCell="A17" sqref="A17:E17"/>
    </sheetView>
  </sheetViews>
  <sheetFormatPr defaultColWidth="9" defaultRowHeight="17.399999999999999"/>
  <cols>
    <col min="1" max="19" width="3.09765625" style="3" customWidth="1"/>
    <col min="20" max="20" width="9" style="3"/>
    <col min="21" max="21" width="21.3984375" style="3" bestFit="1" customWidth="1"/>
    <col min="22" max="22" width="9" style="3"/>
    <col min="23" max="23" width="21" style="3" bestFit="1" customWidth="1"/>
    <col min="24" max="24" width="10.59765625" style="3" bestFit="1" customWidth="1"/>
    <col min="25" max="25" width="9" style="3"/>
    <col min="26" max="27" width="14.59765625" style="3" customWidth="1"/>
    <col min="28" max="16384" width="9" style="3"/>
  </cols>
  <sheetData>
    <row r="1" spans="1:27" ht="18">
      <c r="U1" s="18" t="s">
        <v>128</v>
      </c>
      <c r="V1"/>
      <c r="W1" s="21"/>
      <c r="X1" s="20"/>
    </row>
    <row r="2" spans="1:27" ht="18">
      <c r="A2" s="14"/>
      <c r="B2" s="14"/>
      <c r="C2" s="14"/>
      <c r="D2" s="14"/>
      <c r="E2" s="14"/>
      <c r="F2"/>
      <c r="G2" s="14"/>
      <c r="H2" s="14"/>
      <c r="I2" s="14"/>
      <c r="J2" s="14"/>
      <c r="K2" s="14"/>
      <c r="L2" s="207" t="s">
        <v>142</v>
      </c>
      <c r="M2" s="208"/>
      <c r="N2" s="208"/>
      <c r="O2" s="208"/>
      <c r="P2" s="208"/>
      <c r="Q2" s="208"/>
      <c r="R2" s="208"/>
      <c r="S2" s="209"/>
      <c r="U2" s="19" t="s">
        <v>149</v>
      </c>
      <c r="V2" s="17" t="s">
        <v>129</v>
      </c>
      <c r="W2" s="210" t="s">
        <v>150</v>
      </c>
      <c r="X2" s="210"/>
    </row>
    <row r="3" spans="1:27" ht="18.600000000000001" thickBot="1">
      <c r="A3" s="202">
        <v>0</v>
      </c>
      <c r="B3" s="202"/>
      <c r="C3" s="202"/>
      <c r="D3" s="202"/>
      <c r="E3" s="202"/>
      <c r="F3" s="15" t="s">
        <v>40</v>
      </c>
      <c r="G3" s="202">
        <v>1100000</v>
      </c>
      <c r="H3" s="202"/>
      <c r="I3" s="202"/>
      <c r="J3" s="202"/>
      <c r="K3" s="203"/>
      <c r="L3" s="203">
        <v>0</v>
      </c>
      <c r="M3" s="204"/>
      <c r="N3" s="204"/>
      <c r="O3" s="204"/>
      <c r="P3" s="204"/>
      <c r="Q3" s="204"/>
      <c r="R3" s="204"/>
      <c r="S3" s="205"/>
      <c r="U3" s="19">
        <f>試算!AM6</f>
        <v>0</v>
      </c>
      <c r="V3">
        <f>IF(AND(A3&lt;=U3,U3&lt;=G3),1,0)</f>
        <v>1</v>
      </c>
      <c r="W3" s="21">
        <v>0</v>
      </c>
      <c r="X3" s="20">
        <f>W3*V3</f>
        <v>0</v>
      </c>
      <c r="Z3" t="s">
        <v>141</v>
      </c>
      <c r="AA3"/>
    </row>
    <row r="4" spans="1:27" ht="18">
      <c r="A4" s="202">
        <v>1100001</v>
      </c>
      <c r="B4" s="202"/>
      <c r="C4" s="202"/>
      <c r="D4" s="202"/>
      <c r="E4" s="202"/>
      <c r="F4" s="15" t="s">
        <v>40</v>
      </c>
      <c r="G4" s="202">
        <v>3299999</v>
      </c>
      <c r="H4" s="202"/>
      <c r="I4" s="202"/>
      <c r="J4" s="202"/>
      <c r="K4" s="203"/>
      <c r="L4" s="203" t="s">
        <v>147</v>
      </c>
      <c r="M4" s="204"/>
      <c r="N4" s="204"/>
      <c r="O4" s="204"/>
      <c r="P4" s="204"/>
      <c r="Q4" s="204"/>
      <c r="R4" s="204"/>
      <c r="S4" s="205"/>
      <c r="U4" s="19">
        <f>U3</f>
        <v>0</v>
      </c>
      <c r="V4">
        <f>IF(AND(A4&lt;=U4,U4&lt;=G4),1,0)</f>
        <v>0</v>
      </c>
      <c r="W4" s="21">
        <f>U4-1100000</f>
        <v>-1100000</v>
      </c>
      <c r="X4" s="20">
        <f>W4*V4</f>
        <v>0</v>
      </c>
      <c r="Z4" s="24" t="s">
        <v>3</v>
      </c>
      <c r="AA4" s="25">
        <f>X9</f>
        <v>0</v>
      </c>
    </row>
    <row r="5" spans="1:27" ht="18">
      <c r="A5" s="202">
        <v>3300000</v>
      </c>
      <c r="B5" s="202"/>
      <c r="C5" s="202"/>
      <c r="D5" s="202"/>
      <c r="E5" s="202"/>
      <c r="F5" s="15" t="s">
        <v>40</v>
      </c>
      <c r="G5" s="202">
        <v>4099999</v>
      </c>
      <c r="H5" s="202"/>
      <c r="I5" s="202"/>
      <c r="J5" s="202"/>
      <c r="K5" s="203"/>
      <c r="L5" s="203" t="s">
        <v>144</v>
      </c>
      <c r="M5" s="204"/>
      <c r="N5" s="204"/>
      <c r="O5" s="204"/>
      <c r="P5" s="204"/>
      <c r="Q5" s="204"/>
      <c r="R5" s="204"/>
      <c r="S5" s="205"/>
      <c r="U5" s="19">
        <f t="shared" ref="U5:U8" si="0">U4</f>
        <v>0</v>
      </c>
      <c r="V5">
        <f>IF(AND(A5&lt;=U5,U5&lt;=G5),1,0)</f>
        <v>0</v>
      </c>
      <c r="W5" s="21">
        <f>U5*0.75-275000</f>
        <v>-275000</v>
      </c>
      <c r="X5" s="20">
        <f t="shared" ref="X5:X8" si="1">W5*V5</f>
        <v>0</v>
      </c>
      <c r="Z5" s="26" t="s">
        <v>136</v>
      </c>
      <c r="AA5" s="27">
        <f>X19</f>
        <v>0</v>
      </c>
    </row>
    <row r="6" spans="1:27" ht="18">
      <c r="A6" s="202">
        <v>4100000</v>
      </c>
      <c r="B6" s="202"/>
      <c r="C6" s="202"/>
      <c r="D6" s="202"/>
      <c r="E6" s="202"/>
      <c r="F6" s="15" t="s">
        <v>40</v>
      </c>
      <c r="G6" s="202">
        <v>7699999</v>
      </c>
      <c r="H6" s="202"/>
      <c r="I6" s="202"/>
      <c r="J6" s="202"/>
      <c r="K6" s="203"/>
      <c r="L6" s="203" t="s">
        <v>145</v>
      </c>
      <c r="M6" s="204"/>
      <c r="N6" s="204"/>
      <c r="O6" s="204"/>
      <c r="P6" s="204"/>
      <c r="Q6" s="204"/>
      <c r="R6" s="204"/>
      <c r="S6" s="205"/>
      <c r="U6" s="19">
        <f t="shared" si="0"/>
        <v>0</v>
      </c>
      <c r="V6">
        <f>IF(AND(A6&lt;=U6,U6&lt;=G6),1,0)</f>
        <v>0</v>
      </c>
      <c r="W6" s="21">
        <f>U6*0.85-685000</f>
        <v>-685000</v>
      </c>
      <c r="X6" s="20">
        <f t="shared" si="1"/>
        <v>0</v>
      </c>
      <c r="Z6" s="26" t="s">
        <v>137</v>
      </c>
      <c r="AA6" s="27">
        <f>X29</f>
        <v>0</v>
      </c>
    </row>
    <row r="7" spans="1:27" ht="18">
      <c r="A7" s="202">
        <v>7700000</v>
      </c>
      <c r="B7" s="202"/>
      <c r="C7" s="202"/>
      <c r="D7" s="202"/>
      <c r="E7" s="202"/>
      <c r="F7" s="15" t="s">
        <v>40</v>
      </c>
      <c r="G7" s="202">
        <v>9999999</v>
      </c>
      <c r="H7" s="202"/>
      <c r="I7" s="202"/>
      <c r="J7" s="202"/>
      <c r="K7" s="203"/>
      <c r="L7" s="203" t="s">
        <v>146</v>
      </c>
      <c r="M7" s="204"/>
      <c r="N7" s="204"/>
      <c r="O7" s="204"/>
      <c r="P7" s="204"/>
      <c r="Q7" s="204"/>
      <c r="R7" s="204"/>
      <c r="S7" s="205"/>
      <c r="U7" s="19">
        <f t="shared" si="0"/>
        <v>0</v>
      </c>
      <c r="V7">
        <f>IF(AND(A7&lt;=U7,U7&lt;=G7),1,0)</f>
        <v>0</v>
      </c>
      <c r="W7" s="21">
        <f>U7*0.95-1455000</f>
        <v>-1455000</v>
      </c>
      <c r="X7" s="20">
        <f t="shared" si="1"/>
        <v>0</v>
      </c>
      <c r="Z7" s="26" t="s">
        <v>138</v>
      </c>
      <c r="AA7" s="27">
        <f>X39</f>
        <v>0</v>
      </c>
    </row>
    <row r="8" spans="1:27" ht="18.600000000000001" thickBot="1">
      <c r="A8" s="202">
        <v>10000000</v>
      </c>
      <c r="B8" s="202"/>
      <c r="C8" s="202"/>
      <c r="D8" s="202"/>
      <c r="E8" s="202"/>
      <c r="F8" s="15" t="s">
        <v>40</v>
      </c>
      <c r="G8" s="202"/>
      <c r="H8" s="202"/>
      <c r="I8" s="202"/>
      <c r="J8" s="202"/>
      <c r="K8" s="203"/>
      <c r="L8" s="203" t="s">
        <v>148</v>
      </c>
      <c r="M8" s="204"/>
      <c r="N8" s="204"/>
      <c r="O8" s="204"/>
      <c r="P8" s="204"/>
      <c r="Q8" s="204"/>
      <c r="R8" s="204"/>
      <c r="S8" s="205"/>
      <c r="U8" s="19">
        <f t="shared" si="0"/>
        <v>0</v>
      </c>
      <c r="V8">
        <f>IF(A8&lt;=U8,1,0)</f>
        <v>0</v>
      </c>
      <c r="W8" s="21">
        <f>U8-1955000</f>
        <v>-1955000</v>
      </c>
      <c r="X8" s="20">
        <f t="shared" si="1"/>
        <v>0</v>
      </c>
      <c r="Z8" s="28" t="s">
        <v>139</v>
      </c>
      <c r="AA8" s="29">
        <f>X49</f>
        <v>0</v>
      </c>
    </row>
    <row r="9" spans="1:27" ht="18.600000000000001" thickBot="1">
      <c r="U9" s="19"/>
      <c r="V9"/>
      <c r="W9" s="22" t="s">
        <v>151</v>
      </c>
      <c r="X9" s="23">
        <f>SUM(X3:X8)</f>
        <v>0</v>
      </c>
    </row>
    <row r="11" spans="1:27" ht="18">
      <c r="U11" s="18" t="s">
        <v>133</v>
      </c>
      <c r="V11"/>
      <c r="W11" s="21"/>
      <c r="X11" s="20"/>
    </row>
    <row r="12" spans="1:27" ht="18">
      <c r="A12" s="14"/>
      <c r="B12" s="14"/>
      <c r="C12" s="14"/>
      <c r="D12" s="14"/>
      <c r="E12" s="14"/>
      <c r="F12"/>
      <c r="G12" s="14"/>
      <c r="H12" s="14"/>
      <c r="I12" s="14"/>
      <c r="J12" s="14"/>
      <c r="K12" s="14"/>
      <c r="L12" s="207" t="s">
        <v>142</v>
      </c>
      <c r="M12" s="208"/>
      <c r="N12" s="208"/>
      <c r="O12" s="208"/>
      <c r="P12" s="208"/>
      <c r="Q12" s="208"/>
      <c r="R12" s="208"/>
      <c r="S12" s="209"/>
      <c r="U12" s="19" t="s">
        <v>149</v>
      </c>
      <c r="V12" s="17" t="s">
        <v>129</v>
      </c>
      <c r="W12" s="210" t="s">
        <v>150</v>
      </c>
      <c r="X12" s="210"/>
    </row>
    <row r="13" spans="1:27" ht="18">
      <c r="A13" s="202">
        <v>0</v>
      </c>
      <c r="B13" s="202"/>
      <c r="C13" s="202"/>
      <c r="D13" s="202"/>
      <c r="E13" s="202"/>
      <c r="F13" s="15" t="s">
        <v>40</v>
      </c>
      <c r="G13" s="202">
        <v>1100000</v>
      </c>
      <c r="H13" s="202"/>
      <c r="I13" s="202"/>
      <c r="J13" s="202"/>
      <c r="K13" s="203"/>
      <c r="L13" s="203">
        <v>0</v>
      </c>
      <c r="M13" s="204"/>
      <c r="N13" s="204"/>
      <c r="O13" s="204"/>
      <c r="P13" s="204"/>
      <c r="Q13" s="204"/>
      <c r="R13" s="204"/>
      <c r="S13" s="205"/>
      <c r="U13" s="19">
        <f>試算!AM7</f>
        <v>0</v>
      </c>
      <c r="V13">
        <f>IF(AND(A13&lt;=U13,U13&lt;=G13),1,0)</f>
        <v>1</v>
      </c>
      <c r="W13" s="21">
        <v>0</v>
      </c>
      <c r="X13" s="20">
        <f>W13*V13</f>
        <v>0</v>
      </c>
    </row>
    <row r="14" spans="1:27" ht="18">
      <c r="A14" s="202">
        <v>1100001</v>
      </c>
      <c r="B14" s="202"/>
      <c r="C14" s="202"/>
      <c r="D14" s="202"/>
      <c r="E14" s="202"/>
      <c r="F14" s="15" t="s">
        <v>40</v>
      </c>
      <c r="G14" s="202">
        <v>3299999</v>
      </c>
      <c r="H14" s="202"/>
      <c r="I14" s="202"/>
      <c r="J14" s="202"/>
      <c r="K14" s="203"/>
      <c r="L14" s="203" t="s">
        <v>147</v>
      </c>
      <c r="M14" s="204"/>
      <c r="N14" s="204"/>
      <c r="O14" s="204"/>
      <c r="P14" s="204"/>
      <c r="Q14" s="204"/>
      <c r="R14" s="204"/>
      <c r="S14" s="205"/>
      <c r="U14" s="19">
        <f>U13</f>
        <v>0</v>
      </c>
      <c r="V14">
        <f>IF(AND(A14&lt;=U14,U14&lt;=G14),1,0)</f>
        <v>0</v>
      </c>
      <c r="W14" s="21">
        <f>U14-1100000</f>
        <v>-1100000</v>
      </c>
      <c r="X14" s="20">
        <f>W14*V14</f>
        <v>0</v>
      </c>
    </row>
    <row r="15" spans="1:27" ht="18">
      <c r="A15" s="202">
        <v>3300000</v>
      </c>
      <c r="B15" s="202"/>
      <c r="C15" s="202"/>
      <c r="D15" s="202"/>
      <c r="E15" s="202"/>
      <c r="F15" s="15" t="s">
        <v>40</v>
      </c>
      <c r="G15" s="202">
        <v>4099999</v>
      </c>
      <c r="H15" s="202"/>
      <c r="I15" s="202"/>
      <c r="J15" s="202"/>
      <c r="K15" s="203"/>
      <c r="L15" s="203" t="s">
        <v>144</v>
      </c>
      <c r="M15" s="204"/>
      <c r="N15" s="204"/>
      <c r="O15" s="204"/>
      <c r="P15" s="204"/>
      <c r="Q15" s="204"/>
      <c r="R15" s="204"/>
      <c r="S15" s="205"/>
      <c r="U15" s="19">
        <f t="shared" ref="U15:U18" si="2">U14</f>
        <v>0</v>
      </c>
      <c r="V15">
        <f>IF(AND(A15&lt;=U15,U15&lt;=G15),1,0)</f>
        <v>0</v>
      </c>
      <c r="W15" s="21">
        <f>U15*0.75-275000</f>
        <v>-275000</v>
      </c>
      <c r="X15" s="20">
        <f t="shared" ref="X15:X18" si="3">W15*V15</f>
        <v>0</v>
      </c>
    </row>
    <row r="16" spans="1:27" ht="18">
      <c r="A16" s="202">
        <v>4100000</v>
      </c>
      <c r="B16" s="202"/>
      <c r="C16" s="202"/>
      <c r="D16" s="202"/>
      <c r="E16" s="202"/>
      <c r="F16" s="15" t="s">
        <v>40</v>
      </c>
      <c r="G16" s="202">
        <v>7699999</v>
      </c>
      <c r="H16" s="202"/>
      <c r="I16" s="202"/>
      <c r="J16" s="202"/>
      <c r="K16" s="203"/>
      <c r="L16" s="203" t="s">
        <v>145</v>
      </c>
      <c r="M16" s="204"/>
      <c r="N16" s="204"/>
      <c r="O16" s="204"/>
      <c r="P16" s="204"/>
      <c r="Q16" s="204"/>
      <c r="R16" s="204"/>
      <c r="S16" s="205"/>
      <c r="U16" s="19">
        <f t="shared" si="2"/>
        <v>0</v>
      </c>
      <c r="V16">
        <f>IF(AND(A16&lt;=U16,U16&lt;=G16),1,0)</f>
        <v>0</v>
      </c>
      <c r="W16" s="21">
        <f>U16*0.85-685000</f>
        <v>-685000</v>
      </c>
      <c r="X16" s="20">
        <f t="shared" si="3"/>
        <v>0</v>
      </c>
    </row>
    <row r="17" spans="1:24" ht="18">
      <c r="A17" s="202">
        <v>7700000</v>
      </c>
      <c r="B17" s="202"/>
      <c r="C17" s="202"/>
      <c r="D17" s="202"/>
      <c r="E17" s="202"/>
      <c r="F17" s="15" t="s">
        <v>40</v>
      </c>
      <c r="G17" s="202">
        <v>9999999</v>
      </c>
      <c r="H17" s="202"/>
      <c r="I17" s="202"/>
      <c r="J17" s="202"/>
      <c r="K17" s="203"/>
      <c r="L17" s="203" t="s">
        <v>146</v>
      </c>
      <c r="M17" s="204"/>
      <c r="N17" s="204"/>
      <c r="O17" s="204"/>
      <c r="P17" s="204"/>
      <c r="Q17" s="204"/>
      <c r="R17" s="204"/>
      <c r="S17" s="205"/>
      <c r="U17" s="19">
        <f t="shared" si="2"/>
        <v>0</v>
      </c>
      <c r="V17">
        <f>IF(AND(A17&lt;=U17,U17&lt;=G17),1,0)</f>
        <v>0</v>
      </c>
      <c r="W17" s="21">
        <f>U17*0.95-1455000</f>
        <v>-1455000</v>
      </c>
      <c r="X17" s="20">
        <f t="shared" si="3"/>
        <v>0</v>
      </c>
    </row>
    <row r="18" spans="1:24" ht="18.600000000000001" thickBot="1">
      <c r="A18" s="202">
        <v>10000000</v>
      </c>
      <c r="B18" s="202"/>
      <c r="C18" s="202"/>
      <c r="D18" s="202"/>
      <c r="E18" s="202"/>
      <c r="F18" s="15" t="s">
        <v>40</v>
      </c>
      <c r="G18" s="202"/>
      <c r="H18" s="202"/>
      <c r="I18" s="202"/>
      <c r="J18" s="202"/>
      <c r="K18" s="203"/>
      <c r="L18" s="203" t="s">
        <v>148</v>
      </c>
      <c r="M18" s="204"/>
      <c r="N18" s="204"/>
      <c r="O18" s="204"/>
      <c r="P18" s="204"/>
      <c r="Q18" s="204"/>
      <c r="R18" s="204"/>
      <c r="S18" s="205"/>
      <c r="U18" s="19">
        <f t="shared" si="2"/>
        <v>0</v>
      </c>
      <c r="V18">
        <f>IF(A18&lt;=U18,1,0)</f>
        <v>0</v>
      </c>
      <c r="W18" s="21">
        <f>U18-1955000</f>
        <v>-1955000</v>
      </c>
      <c r="X18" s="20">
        <f t="shared" si="3"/>
        <v>0</v>
      </c>
    </row>
    <row r="19" spans="1:24" ht="18.600000000000001" thickBot="1">
      <c r="U19" s="19"/>
      <c r="V19"/>
      <c r="W19" s="22" t="s">
        <v>151</v>
      </c>
      <c r="X19" s="23">
        <f>SUM(X13:X18)</f>
        <v>0</v>
      </c>
    </row>
    <row r="21" spans="1:24" ht="18">
      <c r="U21" s="18" t="s">
        <v>134</v>
      </c>
      <c r="V21"/>
      <c r="W21" s="21"/>
      <c r="X21" s="20"/>
    </row>
    <row r="22" spans="1:24" ht="18">
      <c r="A22" s="14"/>
      <c r="B22" s="14"/>
      <c r="C22" s="14"/>
      <c r="D22" s="14"/>
      <c r="E22" s="14"/>
      <c r="F22"/>
      <c r="G22" s="14"/>
      <c r="H22" s="14"/>
      <c r="I22" s="14"/>
      <c r="J22" s="14"/>
      <c r="K22" s="14"/>
      <c r="L22" s="207" t="s">
        <v>142</v>
      </c>
      <c r="M22" s="208"/>
      <c r="N22" s="208"/>
      <c r="O22" s="208"/>
      <c r="P22" s="208"/>
      <c r="Q22" s="208"/>
      <c r="R22" s="208"/>
      <c r="S22" s="209"/>
      <c r="U22" s="19" t="s">
        <v>149</v>
      </c>
      <c r="V22" s="17" t="s">
        <v>129</v>
      </c>
      <c r="W22" s="210" t="s">
        <v>150</v>
      </c>
      <c r="X22" s="210"/>
    </row>
    <row r="23" spans="1:24" ht="18">
      <c r="A23" s="202">
        <v>0</v>
      </c>
      <c r="B23" s="202"/>
      <c r="C23" s="202"/>
      <c r="D23" s="202"/>
      <c r="E23" s="202"/>
      <c r="F23" s="15" t="s">
        <v>40</v>
      </c>
      <c r="G23" s="202">
        <v>1100000</v>
      </c>
      <c r="H23" s="202"/>
      <c r="I23" s="202"/>
      <c r="J23" s="202"/>
      <c r="K23" s="203"/>
      <c r="L23" s="203">
        <v>0</v>
      </c>
      <c r="M23" s="204"/>
      <c r="N23" s="204"/>
      <c r="O23" s="204"/>
      <c r="P23" s="204"/>
      <c r="Q23" s="204"/>
      <c r="R23" s="204"/>
      <c r="S23" s="205"/>
      <c r="U23" s="19">
        <f>試算!AM8</f>
        <v>0</v>
      </c>
      <c r="V23">
        <f>IF(AND(A23&lt;=U23,U23&lt;=G23),1,0)</f>
        <v>1</v>
      </c>
      <c r="W23" s="21">
        <v>0</v>
      </c>
      <c r="X23" s="20">
        <f>W23*V23</f>
        <v>0</v>
      </c>
    </row>
    <row r="24" spans="1:24" ht="18">
      <c r="A24" s="202">
        <v>1100001</v>
      </c>
      <c r="B24" s="202"/>
      <c r="C24" s="202"/>
      <c r="D24" s="202"/>
      <c r="E24" s="202"/>
      <c r="F24" s="15" t="s">
        <v>40</v>
      </c>
      <c r="G24" s="202">
        <v>3299999</v>
      </c>
      <c r="H24" s="202"/>
      <c r="I24" s="202"/>
      <c r="J24" s="202"/>
      <c r="K24" s="203"/>
      <c r="L24" s="203" t="s">
        <v>147</v>
      </c>
      <c r="M24" s="204"/>
      <c r="N24" s="204"/>
      <c r="O24" s="204"/>
      <c r="P24" s="204"/>
      <c r="Q24" s="204"/>
      <c r="R24" s="204"/>
      <c r="S24" s="205"/>
      <c r="U24" s="19">
        <f>U23</f>
        <v>0</v>
      </c>
      <c r="V24">
        <f>IF(AND(A24&lt;=U24,U24&lt;=G24),1,0)</f>
        <v>0</v>
      </c>
      <c r="W24" s="21">
        <f>U24-1100000</f>
        <v>-1100000</v>
      </c>
      <c r="X24" s="20">
        <f>W24*V24</f>
        <v>0</v>
      </c>
    </row>
    <row r="25" spans="1:24" ht="18">
      <c r="A25" s="202">
        <v>3300000</v>
      </c>
      <c r="B25" s="202"/>
      <c r="C25" s="202"/>
      <c r="D25" s="202"/>
      <c r="E25" s="202"/>
      <c r="F25" s="15" t="s">
        <v>40</v>
      </c>
      <c r="G25" s="202">
        <v>4099999</v>
      </c>
      <c r="H25" s="202"/>
      <c r="I25" s="202"/>
      <c r="J25" s="202"/>
      <c r="K25" s="203"/>
      <c r="L25" s="203" t="s">
        <v>144</v>
      </c>
      <c r="M25" s="204"/>
      <c r="N25" s="204"/>
      <c r="O25" s="204"/>
      <c r="P25" s="204"/>
      <c r="Q25" s="204"/>
      <c r="R25" s="204"/>
      <c r="S25" s="205"/>
      <c r="U25" s="19">
        <f t="shared" ref="U25:U28" si="4">U24</f>
        <v>0</v>
      </c>
      <c r="V25">
        <f>IF(AND(A25&lt;=U25,U25&lt;=G25),1,0)</f>
        <v>0</v>
      </c>
      <c r="W25" s="21">
        <f>U25*0.75-275000</f>
        <v>-275000</v>
      </c>
      <c r="X25" s="20">
        <f t="shared" ref="X25:X28" si="5">W25*V25</f>
        <v>0</v>
      </c>
    </row>
    <row r="26" spans="1:24" ht="18">
      <c r="A26" s="202">
        <v>4100000</v>
      </c>
      <c r="B26" s="202"/>
      <c r="C26" s="202"/>
      <c r="D26" s="202"/>
      <c r="E26" s="202"/>
      <c r="F26" s="15" t="s">
        <v>40</v>
      </c>
      <c r="G26" s="202">
        <v>7699999</v>
      </c>
      <c r="H26" s="202"/>
      <c r="I26" s="202"/>
      <c r="J26" s="202"/>
      <c r="K26" s="203"/>
      <c r="L26" s="203" t="s">
        <v>145</v>
      </c>
      <c r="M26" s="204"/>
      <c r="N26" s="204"/>
      <c r="O26" s="204"/>
      <c r="P26" s="204"/>
      <c r="Q26" s="204"/>
      <c r="R26" s="204"/>
      <c r="S26" s="205"/>
      <c r="U26" s="19">
        <f t="shared" si="4"/>
        <v>0</v>
      </c>
      <c r="V26">
        <f>IF(AND(A26&lt;=U26,U26&lt;=G26),1,0)</f>
        <v>0</v>
      </c>
      <c r="W26" s="21">
        <f>U26*0.85-685000</f>
        <v>-685000</v>
      </c>
      <c r="X26" s="20">
        <f t="shared" si="5"/>
        <v>0</v>
      </c>
    </row>
    <row r="27" spans="1:24" ht="18">
      <c r="A27" s="202">
        <v>7700000</v>
      </c>
      <c r="B27" s="202"/>
      <c r="C27" s="202"/>
      <c r="D27" s="202"/>
      <c r="E27" s="202"/>
      <c r="F27" s="15" t="s">
        <v>40</v>
      </c>
      <c r="G27" s="202">
        <v>9999999</v>
      </c>
      <c r="H27" s="202"/>
      <c r="I27" s="202"/>
      <c r="J27" s="202"/>
      <c r="K27" s="203"/>
      <c r="L27" s="203" t="s">
        <v>146</v>
      </c>
      <c r="M27" s="204"/>
      <c r="N27" s="204"/>
      <c r="O27" s="204"/>
      <c r="P27" s="204"/>
      <c r="Q27" s="204"/>
      <c r="R27" s="204"/>
      <c r="S27" s="205"/>
      <c r="U27" s="19">
        <f t="shared" si="4"/>
        <v>0</v>
      </c>
      <c r="V27">
        <f>IF(AND(A27&lt;=U27,U27&lt;=G27),1,0)</f>
        <v>0</v>
      </c>
      <c r="W27" s="21">
        <f>U27*0.95-1455000</f>
        <v>-1455000</v>
      </c>
      <c r="X27" s="20">
        <f t="shared" si="5"/>
        <v>0</v>
      </c>
    </row>
    <row r="28" spans="1:24" ht="18.600000000000001" thickBot="1">
      <c r="A28" s="202">
        <v>10000000</v>
      </c>
      <c r="B28" s="202"/>
      <c r="C28" s="202"/>
      <c r="D28" s="202"/>
      <c r="E28" s="202"/>
      <c r="F28" s="15" t="s">
        <v>40</v>
      </c>
      <c r="G28" s="202"/>
      <c r="H28" s="202"/>
      <c r="I28" s="202"/>
      <c r="J28" s="202"/>
      <c r="K28" s="203"/>
      <c r="L28" s="203" t="s">
        <v>148</v>
      </c>
      <c r="M28" s="204"/>
      <c r="N28" s="204"/>
      <c r="O28" s="204"/>
      <c r="P28" s="204"/>
      <c r="Q28" s="204"/>
      <c r="R28" s="204"/>
      <c r="S28" s="205"/>
      <c r="U28" s="19">
        <f t="shared" si="4"/>
        <v>0</v>
      </c>
      <c r="V28">
        <f>IF(A28&lt;=U28,1,0)</f>
        <v>0</v>
      </c>
      <c r="W28" s="21">
        <f>U28-1955000</f>
        <v>-1955000</v>
      </c>
      <c r="X28" s="20">
        <f t="shared" si="5"/>
        <v>0</v>
      </c>
    </row>
    <row r="29" spans="1:24" ht="18.600000000000001" thickBot="1">
      <c r="U29" s="19"/>
      <c r="V29"/>
      <c r="W29" s="22" t="s">
        <v>151</v>
      </c>
      <c r="X29" s="23">
        <f>SUM(X23:X28)</f>
        <v>0</v>
      </c>
    </row>
    <row r="31" spans="1:24" ht="18">
      <c r="U31" s="18" t="s">
        <v>135</v>
      </c>
      <c r="V31"/>
      <c r="W31" s="21"/>
      <c r="X31" s="20"/>
    </row>
    <row r="32" spans="1:24" ht="18">
      <c r="A32" s="14"/>
      <c r="B32" s="14"/>
      <c r="C32" s="14"/>
      <c r="D32" s="14"/>
      <c r="E32" s="14"/>
      <c r="F32"/>
      <c r="G32" s="14"/>
      <c r="H32" s="14"/>
      <c r="I32" s="14"/>
      <c r="J32" s="14"/>
      <c r="K32" s="14"/>
      <c r="L32" s="207" t="s">
        <v>142</v>
      </c>
      <c r="M32" s="208"/>
      <c r="N32" s="208"/>
      <c r="O32" s="208"/>
      <c r="P32" s="208"/>
      <c r="Q32" s="208"/>
      <c r="R32" s="208"/>
      <c r="S32" s="209"/>
      <c r="U32" s="19" t="s">
        <v>149</v>
      </c>
      <c r="V32" s="17" t="s">
        <v>129</v>
      </c>
      <c r="W32" s="210" t="s">
        <v>150</v>
      </c>
      <c r="X32" s="210"/>
    </row>
    <row r="33" spans="1:24" ht="18">
      <c r="A33" s="202">
        <v>0</v>
      </c>
      <c r="B33" s="202"/>
      <c r="C33" s="202"/>
      <c r="D33" s="202"/>
      <c r="E33" s="202"/>
      <c r="F33" s="15" t="s">
        <v>40</v>
      </c>
      <c r="G33" s="202">
        <v>1100000</v>
      </c>
      <c r="H33" s="202"/>
      <c r="I33" s="202"/>
      <c r="J33" s="202"/>
      <c r="K33" s="203"/>
      <c r="L33" s="203">
        <v>0</v>
      </c>
      <c r="M33" s="204"/>
      <c r="N33" s="204"/>
      <c r="O33" s="204"/>
      <c r="P33" s="204"/>
      <c r="Q33" s="204"/>
      <c r="R33" s="204"/>
      <c r="S33" s="205"/>
      <c r="U33" s="19">
        <f>試算!AM9</f>
        <v>0</v>
      </c>
      <c r="V33">
        <f>IF(AND(A33&lt;=U33,U33&lt;=G33),1,0)</f>
        <v>1</v>
      </c>
      <c r="W33" s="21">
        <v>0</v>
      </c>
      <c r="X33" s="20">
        <f>W33*V33</f>
        <v>0</v>
      </c>
    </row>
    <row r="34" spans="1:24" ht="18">
      <c r="A34" s="202">
        <v>1100001</v>
      </c>
      <c r="B34" s="202"/>
      <c r="C34" s="202"/>
      <c r="D34" s="202"/>
      <c r="E34" s="202"/>
      <c r="F34" s="15" t="s">
        <v>40</v>
      </c>
      <c r="G34" s="202">
        <v>3299999</v>
      </c>
      <c r="H34" s="202"/>
      <c r="I34" s="202"/>
      <c r="J34" s="202"/>
      <c r="K34" s="203"/>
      <c r="L34" s="203" t="s">
        <v>147</v>
      </c>
      <c r="M34" s="204"/>
      <c r="N34" s="204"/>
      <c r="O34" s="204"/>
      <c r="P34" s="204"/>
      <c r="Q34" s="204"/>
      <c r="R34" s="204"/>
      <c r="S34" s="205"/>
      <c r="U34" s="19">
        <f>U33</f>
        <v>0</v>
      </c>
      <c r="V34">
        <f>IF(AND(A34&lt;=U34,U34&lt;=G34),1,0)</f>
        <v>0</v>
      </c>
      <c r="W34" s="21">
        <f>U34-1100000</f>
        <v>-1100000</v>
      </c>
      <c r="X34" s="20">
        <f>W34*V34</f>
        <v>0</v>
      </c>
    </row>
    <row r="35" spans="1:24" ht="18">
      <c r="A35" s="202">
        <v>3300000</v>
      </c>
      <c r="B35" s="202"/>
      <c r="C35" s="202"/>
      <c r="D35" s="202"/>
      <c r="E35" s="202"/>
      <c r="F35" s="15" t="s">
        <v>40</v>
      </c>
      <c r="G35" s="202">
        <v>4099999</v>
      </c>
      <c r="H35" s="202"/>
      <c r="I35" s="202"/>
      <c r="J35" s="202"/>
      <c r="K35" s="203"/>
      <c r="L35" s="203" t="s">
        <v>144</v>
      </c>
      <c r="M35" s="204"/>
      <c r="N35" s="204"/>
      <c r="O35" s="204"/>
      <c r="P35" s="204"/>
      <c r="Q35" s="204"/>
      <c r="R35" s="204"/>
      <c r="S35" s="205"/>
      <c r="U35" s="19">
        <f t="shared" ref="U35:U38" si="6">U34</f>
        <v>0</v>
      </c>
      <c r="V35">
        <f>IF(AND(A35&lt;=U35,U35&lt;=G35),1,0)</f>
        <v>0</v>
      </c>
      <c r="W35" s="21">
        <f>U35*0.75-275000</f>
        <v>-275000</v>
      </c>
      <c r="X35" s="20">
        <f t="shared" ref="X35:X38" si="7">W35*V35</f>
        <v>0</v>
      </c>
    </row>
    <row r="36" spans="1:24" ht="18">
      <c r="A36" s="202">
        <v>4100000</v>
      </c>
      <c r="B36" s="202"/>
      <c r="C36" s="202"/>
      <c r="D36" s="202"/>
      <c r="E36" s="202"/>
      <c r="F36" s="15" t="s">
        <v>40</v>
      </c>
      <c r="G36" s="202">
        <v>7699999</v>
      </c>
      <c r="H36" s="202"/>
      <c r="I36" s="202"/>
      <c r="J36" s="202"/>
      <c r="K36" s="203"/>
      <c r="L36" s="203" t="s">
        <v>145</v>
      </c>
      <c r="M36" s="204"/>
      <c r="N36" s="204"/>
      <c r="O36" s="204"/>
      <c r="P36" s="204"/>
      <c r="Q36" s="204"/>
      <c r="R36" s="204"/>
      <c r="S36" s="205"/>
      <c r="U36" s="19">
        <f t="shared" si="6"/>
        <v>0</v>
      </c>
      <c r="V36">
        <f>IF(AND(A36&lt;=U36,U36&lt;=G36),1,0)</f>
        <v>0</v>
      </c>
      <c r="W36" s="21">
        <f>U36*0.85-685000</f>
        <v>-685000</v>
      </c>
      <c r="X36" s="20">
        <f t="shared" si="7"/>
        <v>0</v>
      </c>
    </row>
    <row r="37" spans="1:24" ht="18">
      <c r="A37" s="202">
        <v>7700000</v>
      </c>
      <c r="B37" s="202"/>
      <c r="C37" s="202"/>
      <c r="D37" s="202"/>
      <c r="E37" s="202"/>
      <c r="F37" s="15" t="s">
        <v>40</v>
      </c>
      <c r="G37" s="202">
        <v>9999999</v>
      </c>
      <c r="H37" s="202"/>
      <c r="I37" s="202"/>
      <c r="J37" s="202"/>
      <c r="K37" s="203"/>
      <c r="L37" s="203" t="s">
        <v>146</v>
      </c>
      <c r="M37" s="204"/>
      <c r="N37" s="204"/>
      <c r="O37" s="204"/>
      <c r="P37" s="204"/>
      <c r="Q37" s="204"/>
      <c r="R37" s="204"/>
      <c r="S37" s="205"/>
      <c r="U37" s="19">
        <f t="shared" si="6"/>
        <v>0</v>
      </c>
      <c r="V37">
        <f>IF(AND(A37&lt;=U37,U37&lt;=G37),1,0)</f>
        <v>0</v>
      </c>
      <c r="W37" s="21">
        <f>U37*0.95-1455000</f>
        <v>-1455000</v>
      </c>
      <c r="X37" s="20">
        <f t="shared" si="7"/>
        <v>0</v>
      </c>
    </row>
    <row r="38" spans="1:24" ht="18.600000000000001" thickBot="1">
      <c r="A38" s="202">
        <v>10000000</v>
      </c>
      <c r="B38" s="202"/>
      <c r="C38" s="202"/>
      <c r="D38" s="202"/>
      <c r="E38" s="202"/>
      <c r="F38" s="15" t="s">
        <v>40</v>
      </c>
      <c r="G38" s="202"/>
      <c r="H38" s="202"/>
      <c r="I38" s="202"/>
      <c r="J38" s="202"/>
      <c r="K38" s="203"/>
      <c r="L38" s="203" t="s">
        <v>148</v>
      </c>
      <c r="M38" s="204"/>
      <c r="N38" s="204"/>
      <c r="O38" s="204"/>
      <c r="P38" s="204"/>
      <c r="Q38" s="204"/>
      <c r="R38" s="204"/>
      <c r="S38" s="205"/>
      <c r="U38" s="19">
        <f t="shared" si="6"/>
        <v>0</v>
      </c>
      <c r="V38">
        <f>IF(A38&lt;=U38,1,0)</f>
        <v>0</v>
      </c>
      <c r="W38" s="21">
        <f>U38-1955000</f>
        <v>-1955000</v>
      </c>
      <c r="X38" s="20">
        <f t="shared" si="7"/>
        <v>0</v>
      </c>
    </row>
    <row r="39" spans="1:24" ht="18.600000000000001" thickBot="1">
      <c r="U39" s="19"/>
      <c r="V39"/>
      <c r="W39" s="22" t="s">
        <v>151</v>
      </c>
      <c r="X39" s="23">
        <f>SUM(X33:X38)</f>
        <v>0</v>
      </c>
    </row>
    <row r="41" spans="1:24" ht="18">
      <c r="U41" s="18" t="s">
        <v>140</v>
      </c>
      <c r="V41"/>
      <c r="W41" s="21"/>
      <c r="X41" s="20"/>
    </row>
    <row r="42" spans="1:24" ht="18">
      <c r="A42" s="14"/>
      <c r="B42" s="14"/>
      <c r="C42" s="14"/>
      <c r="D42" s="14"/>
      <c r="E42" s="14"/>
      <c r="F42"/>
      <c r="G42" s="14"/>
      <c r="H42" s="14"/>
      <c r="I42" s="14"/>
      <c r="J42" s="14"/>
      <c r="K42" s="14"/>
      <c r="L42" s="207" t="s">
        <v>142</v>
      </c>
      <c r="M42" s="208"/>
      <c r="N42" s="208"/>
      <c r="O42" s="208"/>
      <c r="P42" s="208"/>
      <c r="Q42" s="208"/>
      <c r="R42" s="208"/>
      <c r="S42" s="209"/>
      <c r="U42" s="19" t="s">
        <v>149</v>
      </c>
      <c r="V42" s="17" t="s">
        <v>129</v>
      </c>
      <c r="W42" s="210" t="s">
        <v>150</v>
      </c>
      <c r="X42" s="210"/>
    </row>
    <row r="43" spans="1:24" ht="18">
      <c r="A43" s="202">
        <v>0</v>
      </c>
      <c r="B43" s="202"/>
      <c r="C43" s="202"/>
      <c r="D43" s="202"/>
      <c r="E43" s="202"/>
      <c r="F43" s="15" t="s">
        <v>40</v>
      </c>
      <c r="G43" s="202">
        <v>1100000</v>
      </c>
      <c r="H43" s="202"/>
      <c r="I43" s="202"/>
      <c r="J43" s="202"/>
      <c r="K43" s="203"/>
      <c r="L43" s="203">
        <v>0</v>
      </c>
      <c r="M43" s="204"/>
      <c r="N43" s="204"/>
      <c r="O43" s="204"/>
      <c r="P43" s="204"/>
      <c r="Q43" s="204"/>
      <c r="R43" s="204"/>
      <c r="S43" s="205"/>
      <c r="U43" s="19">
        <f>試算!AM10</f>
        <v>0</v>
      </c>
      <c r="V43">
        <f>IF(AND(A43&lt;=U43,U43&lt;=G43),1,0)</f>
        <v>1</v>
      </c>
      <c r="W43" s="21">
        <v>0</v>
      </c>
      <c r="X43" s="20">
        <f>W43*V43</f>
        <v>0</v>
      </c>
    </row>
    <row r="44" spans="1:24" ht="18">
      <c r="A44" s="202">
        <v>1100001</v>
      </c>
      <c r="B44" s="202"/>
      <c r="C44" s="202"/>
      <c r="D44" s="202"/>
      <c r="E44" s="202"/>
      <c r="F44" s="15" t="s">
        <v>40</v>
      </c>
      <c r="G44" s="202">
        <v>3299999</v>
      </c>
      <c r="H44" s="202"/>
      <c r="I44" s="202"/>
      <c r="J44" s="202"/>
      <c r="K44" s="203"/>
      <c r="L44" s="203" t="s">
        <v>147</v>
      </c>
      <c r="M44" s="204"/>
      <c r="N44" s="204"/>
      <c r="O44" s="204"/>
      <c r="P44" s="204"/>
      <c r="Q44" s="204"/>
      <c r="R44" s="204"/>
      <c r="S44" s="205"/>
      <c r="U44" s="19">
        <f>U43</f>
        <v>0</v>
      </c>
      <c r="V44">
        <f>IF(AND(A44&lt;=U44,U44&lt;=G44),1,0)</f>
        <v>0</v>
      </c>
      <c r="W44" s="21">
        <f>U44-1100000</f>
        <v>-1100000</v>
      </c>
      <c r="X44" s="20">
        <f>W44*V44</f>
        <v>0</v>
      </c>
    </row>
    <row r="45" spans="1:24" ht="18">
      <c r="A45" s="202">
        <v>3300000</v>
      </c>
      <c r="B45" s="202"/>
      <c r="C45" s="202"/>
      <c r="D45" s="202"/>
      <c r="E45" s="202"/>
      <c r="F45" s="15" t="s">
        <v>40</v>
      </c>
      <c r="G45" s="202">
        <v>4099999</v>
      </c>
      <c r="H45" s="202"/>
      <c r="I45" s="202"/>
      <c r="J45" s="202"/>
      <c r="K45" s="203"/>
      <c r="L45" s="203" t="s">
        <v>144</v>
      </c>
      <c r="M45" s="204"/>
      <c r="N45" s="204"/>
      <c r="O45" s="204"/>
      <c r="P45" s="204"/>
      <c r="Q45" s="204"/>
      <c r="R45" s="204"/>
      <c r="S45" s="205"/>
      <c r="U45" s="19">
        <f t="shared" ref="U45:U48" si="8">U44</f>
        <v>0</v>
      </c>
      <c r="V45">
        <f>IF(AND(A45&lt;=U45,U45&lt;=G45),1,0)</f>
        <v>0</v>
      </c>
      <c r="W45" s="21">
        <f>U45*0.75-275000</f>
        <v>-275000</v>
      </c>
      <c r="X45" s="20">
        <f t="shared" ref="X45:X48" si="9">W45*V45</f>
        <v>0</v>
      </c>
    </row>
    <row r="46" spans="1:24" ht="18">
      <c r="A46" s="202">
        <v>4100000</v>
      </c>
      <c r="B46" s="202"/>
      <c r="C46" s="202"/>
      <c r="D46" s="202"/>
      <c r="E46" s="202"/>
      <c r="F46" s="15" t="s">
        <v>40</v>
      </c>
      <c r="G46" s="202">
        <v>7699999</v>
      </c>
      <c r="H46" s="202"/>
      <c r="I46" s="202"/>
      <c r="J46" s="202"/>
      <c r="K46" s="203"/>
      <c r="L46" s="203" t="s">
        <v>145</v>
      </c>
      <c r="M46" s="204"/>
      <c r="N46" s="204"/>
      <c r="O46" s="204"/>
      <c r="P46" s="204"/>
      <c r="Q46" s="204"/>
      <c r="R46" s="204"/>
      <c r="S46" s="205"/>
      <c r="U46" s="19">
        <f t="shared" si="8"/>
        <v>0</v>
      </c>
      <c r="V46">
        <f>IF(AND(A46&lt;=U46,U46&lt;=G46),1,0)</f>
        <v>0</v>
      </c>
      <c r="W46" s="21">
        <f>U46*0.85-685000</f>
        <v>-685000</v>
      </c>
      <c r="X46" s="20">
        <f t="shared" si="9"/>
        <v>0</v>
      </c>
    </row>
    <row r="47" spans="1:24" ht="18">
      <c r="A47" s="202">
        <v>7700000</v>
      </c>
      <c r="B47" s="202"/>
      <c r="C47" s="202"/>
      <c r="D47" s="202"/>
      <c r="E47" s="202"/>
      <c r="F47" s="15" t="s">
        <v>40</v>
      </c>
      <c r="G47" s="202">
        <v>9999999</v>
      </c>
      <c r="H47" s="202"/>
      <c r="I47" s="202"/>
      <c r="J47" s="202"/>
      <c r="K47" s="203"/>
      <c r="L47" s="203" t="s">
        <v>146</v>
      </c>
      <c r="M47" s="204"/>
      <c r="N47" s="204"/>
      <c r="O47" s="204"/>
      <c r="P47" s="204"/>
      <c r="Q47" s="204"/>
      <c r="R47" s="204"/>
      <c r="S47" s="205"/>
      <c r="U47" s="19">
        <f t="shared" si="8"/>
        <v>0</v>
      </c>
      <c r="V47">
        <f>IF(AND(A47&lt;=U47,U47&lt;=G47),1,0)</f>
        <v>0</v>
      </c>
      <c r="W47" s="21">
        <f>U47*0.95-1455000</f>
        <v>-1455000</v>
      </c>
      <c r="X47" s="20">
        <f t="shared" si="9"/>
        <v>0</v>
      </c>
    </row>
    <row r="48" spans="1:24" ht="18.600000000000001" thickBot="1">
      <c r="A48" s="202">
        <v>10000000</v>
      </c>
      <c r="B48" s="202"/>
      <c r="C48" s="202"/>
      <c r="D48" s="202"/>
      <c r="E48" s="202"/>
      <c r="F48" s="15" t="s">
        <v>40</v>
      </c>
      <c r="G48" s="202"/>
      <c r="H48" s="202"/>
      <c r="I48" s="202"/>
      <c r="J48" s="202"/>
      <c r="K48" s="203"/>
      <c r="L48" s="203" t="s">
        <v>148</v>
      </c>
      <c r="M48" s="204"/>
      <c r="N48" s="204"/>
      <c r="O48" s="204"/>
      <c r="P48" s="204"/>
      <c r="Q48" s="204"/>
      <c r="R48" s="204"/>
      <c r="S48" s="205"/>
      <c r="U48" s="19">
        <f t="shared" si="8"/>
        <v>0</v>
      </c>
      <c r="V48">
        <f>IF(A48&lt;=U48,1,0)</f>
        <v>0</v>
      </c>
      <c r="W48" s="21">
        <f>U48-1955000</f>
        <v>-1955000</v>
      </c>
      <c r="X48" s="20">
        <f t="shared" si="9"/>
        <v>0</v>
      </c>
    </row>
    <row r="49" spans="21:24" ht="18.600000000000001" thickBot="1">
      <c r="U49" s="19"/>
      <c r="V49"/>
      <c r="W49" s="22" t="s">
        <v>151</v>
      </c>
      <c r="X49" s="23">
        <f>SUM(X43:X48)</f>
        <v>0</v>
      </c>
    </row>
  </sheetData>
  <mergeCells count="100">
    <mergeCell ref="A14:E14"/>
    <mergeCell ref="G14:K14"/>
    <mergeCell ref="L14:S14"/>
    <mergeCell ref="A13:E13"/>
    <mergeCell ref="G13:K13"/>
    <mergeCell ref="L13:S13"/>
    <mergeCell ref="L3:S3"/>
    <mergeCell ref="A5:E5"/>
    <mergeCell ref="G5:K5"/>
    <mergeCell ref="L5:S5"/>
    <mergeCell ref="A6:E6"/>
    <mergeCell ref="G6:K6"/>
    <mergeCell ref="W2:X2"/>
    <mergeCell ref="A4:E4"/>
    <mergeCell ref="G4:K4"/>
    <mergeCell ref="L4:S4"/>
    <mergeCell ref="L12:S12"/>
    <mergeCell ref="W12:X12"/>
    <mergeCell ref="L6:S6"/>
    <mergeCell ref="A7:E7"/>
    <mergeCell ref="G7:K7"/>
    <mergeCell ref="L7:S7"/>
    <mergeCell ref="A8:E8"/>
    <mergeCell ref="G8:K8"/>
    <mergeCell ref="L8:S8"/>
    <mergeCell ref="L2:S2"/>
    <mergeCell ref="A3:E3"/>
    <mergeCell ref="G3:K3"/>
    <mergeCell ref="A15:E15"/>
    <mergeCell ref="G15:K15"/>
    <mergeCell ref="L15:S15"/>
    <mergeCell ref="A16:E16"/>
    <mergeCell ref="G16:K16"/>
    <mergeCell ref="L16:S16"/>
    <mergeCell ref="A17:E17"/>
    <mergeCell ref="G17:K17"/>
    <mergeCell ref="L17:S17"/>
    <mergeCell ref="A18:E18"/>
    <mergeCell ref="G18:K18"/>
    <mergeCell ref="L18:S18"/>
    <mergeCell ref="W22:X22"/>
    <mergeCell ref="A23:E23"/>
    <mergeCell ref="G23:K23"/>
    <mergeCell ref="L23:S23"/>
    <mergeCell ref="A25:E25"/>
    <mergeCell ref="G25:K25"/>
    <mergeCell ref="L25:S25"/>
    <mergeCell ref="A24:E24"/>
    <mergeCell ref="G24:K24"/>
    <mergeCell ref="L24:S24"/>
    <mergeCell ref="L22:S22"/>
    <mergeCell ref="A26:E26"/>
    <mergeCell ref="G26:K26"/>
    <mergeCell ref="L26:S26"/>
    <mergeCell ref="A34:E34"/>
    <mergeCell ref="G34:K34"/>
    <mergeCell ref="L34:S34"/>
    <mergeCell ref="A27:E27"/>
    <mergeCell ref="G27:K27"/>
    <mergeCell ref="L27:S27"/>
    <mergeCell ref="A28:E28"/>
    <mergeCell ref="G28:K28"/>
    <mergeCell ref="L28:S28"/>
    <mergeCell ref="L32:S32"/>
    <mergeCell ref="W32:X32"/>
    <mergeCell ref="A33:E33"/>
    <mergeCell ref="G33:K33"/>
    <mergeCell ref="L33:S33"/>
    <mergeCell ref="A35:E35"/>
    <mergeCell ref="G35:K35"/>
    <mergeCell ref="L35:S35"/>
    <mergeCell ref="A36:E36"/>
    <mergeCell ref="G36:K36"/>
    <mergeCell ref="L36:S36"/>
    <mergeCell ref="A44:E44"/>
    <mergeCell ref="G44:K44"/>
    <mergeCell ref="L44:S44"/>
    <mergeCell ref="A37:E37"/>
    <mergeCell ref="G37:K37"/>
    <mergeCell ref="L37:S37"/>
    <mergeCell ref="A38:E38"/>
    <mergeCell ref="G38:K38"/>
    <mergeCell ref="L38:S38"/>
    <mergeCell ref="L42:S42"/>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s>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年度更新</vt:lpstr>
      <vt:lpstr>保険料の計算方法</vt:lpstr>
      <vt:lpstr>このシートの設問に沿って入力してください</vt:lpstr>
      <vt:lpstr>リスト（非表示）</vt:lpstr>
      <vt:lpstr>試算シート転記（非表示）</vt:lpstr>
      <vt:lpstr>試算</vt:lpstr>
      <vt:lpstr>リスト</vt:lpstr>
      <vt:lpstr>給与所得 </vt:lpstr>
      <vt:lpstr>年金（６５歳以上）</vt:lpstr>
      <vt:lpstr>年金（６５歳未満）</vt:lpstr>
      <vt:lpstr>所得額調整控除</vt:lpstr>
      <vt:lpstr>総・軽減所得（給与所得者等人数）</vt:lpstr>
      <vt:lpstr>軽減区分算出</vt:lpstr>
      <vt:lpstr>保険料算出</vt:lpstr>
      <vt:lpstr>試算!Print_Area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2023-12-20T07:26:12Z</cp:lastPrinted>
  <dcterms:created xsi:type="dcterms:W3CDTF">2019-02-26T23:52:53Z</dcterms:created>
  <dcterms:modified xsi:type="dcterms:W3CDTF">2025-03-13T01:22:11Z</dcterms:modified>
</cp:coreProperties>
</file>