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09保険料班\01_賦課\06_保険料試算ツール\R08\"/>
    </mc:Choice>
  </mc:AlternateContent>
  <xr:revisionPtr revIDLastSave="0" documentId="13_ncr:1_{F32A28EA-E55C-4869-A699-C87C68988883}" xr6:coauthVersionLast="47" xr6:coauthVersionMax="47" xr10:uidLastSave="{00000000-0000-0000-0000-000000000000}"/>
  <workbookProtection workbookAlgorithmName="SHA-512" workbookHashValue="9D6QxfZg3DopOGaGyecONDnc2QuXe0TpHZKfcmqUhzz3kbDKjUzg7COmZ2S7mlpAhNAC8/EQIoyWjDjIwum3XQ==" workbookSaltValue="qNDWIHFFgJqJgMDFy0MQ9w==" workbookSpinCount="100000" lockStructure="1"/>
  <bookViews>
    <workbookView xWindow="-108" yWindow="-108" windowWidth="23256" windowHeight="12456" tabRatio="788" firstSheet="1" activeTab="2" xr2:uid="{83498060-2729-4E9B-BA57-31BA718962B7}"/>
  </bookViews>
  <sheets>
    <sheet name="年度更新" sheetId="9" state="hidden" r:id="rId1"/>
    <sheet name="保険料の計算方法" sheetId="18" r:id="rId2"/>
    <sheet name="このシートの設問に沿って入力してください" sheetId="19" r:id="rId3"/>
    <sheet name="試算シート転記（非表示）" sheetId="20" state="hidden" r:id="rId4"/>
    <sheet name="試算" sheetId="1" state="hidden" r:id="rId5"/>
    <sheet name="リスト" sheetId="2" state="hidden" r:id="rId6"/>
    <sheet name="給与所得 " sheetId="11" state="hidden" r:id="rId7"/>
    <sheet name="年金（６５歳以上）" sheetId="12" state="hidden" r:id="rId8"/>
    <sheet name="年金（６５歳未満）" sheetId="14" state="hidden" r:id="rId9"/>
    <sheet name="所得額調整控除" sheetId="15" state="hidden" r:id="rId10"/>
    <sheet name="総・軽減所得（給与所得者等人数）" sheetId="16" state="hidden" r:id="rId11"/>
    <sheet name="軽減区分算出" sheetId="17" state="hidden" r:id="rId12"/>
    <sheet name="保険料算出" sheetId="8" state="hidden" r:id="rId13"/>
  </sheets>
  <definedNames>
    <definedName name="_xlnm._FilterDatabase" localSheetId="11" hidden="1">軽減区分算出!$AD$5:$AF$12</definedName>
    <definedName name="_xlnm._FilterDatabase" localSheetId="4" hidden="1">試算!$B$4:$BU$27</definedName>
    <definedName name="_xlnm.Print_Area" localSheetId="4">試算!$A$1:$BQ$28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9" i="1" l="1"/>
  <c r="BF10" i="1"/>
  <c r="AV9" i="1"/>
  <c r="AV10" i="1"/>
  <c r="Z109" i="11" l="1"/>
  <c r="Z94" i="11"/>
  <c r="Z79" i="11"/>
  <c r="Z64" i="11"/>
  <c r="Z49" i="11"/>
  <c r="Z33" i="11"/>
  <c r="Z18" i="11"/>
  <c r="I26" i="19"/>
  <c r="X109" i="11" l="1"/>
  <c r="U109" i="11"/>
  <c r="U110" i="11" s="1"/>
  <c r="X94" i="11"/>
  <c r="Y94" i="11" s="1"/>
  <c r="W94" i="11"/>
  <c r="U94" i="11"/>
  <c r="U95" i="11" s="1"/>
  <c r="X79" i="11"/>
  <c r="U79" i="11"/>
  <c r="U80" i="11" s="1"/>
  <c r="X64" i="11"/>
  <c r="U64" i="11"/>
  <c r="U65" i="11" s="1"/>
  <c r="X49" i="11"/>
  <c r="U49" i="11"/>
  <c r="U50" i="11" s="1"/>
  <c r="X33" i="11"/>
  <c r="U33" i="11"/>
  <c r="U34" i="11" s="1"/>
  <c r="X18" i="11"/>
  <c r="U18" i="11"/>
  <c r="U19" i="11" s="1"/>
  <c r="BK10" i="1"/>
  <c r="BK9" i="1"/>
  <c r="BK8" i="1"/>
  <c r="BK7" i="1"/>
  <c r="BK6" i="1"/>
  <c r="V10" i="1"/>
  <c r="V9" i="1"/>
  <c r="V8" i="1"/>
  <c r="V7" i="1"/>
  <c r="V6" i="1"/>
  <c r="C22" i="20"/>
  <c r="C21" i="20"/>
  <c r="C20" i="20"/>
  <c r="C19" i="20"/>
  <c r="C18" i="20"/>
  <c r="C14" i="20"/>
  <c r="E14" i="20" s="1"/>
  <c r="D14" i="20" s="1"/>
  <c r="C13" i="20"/>
  <c r="E13" i="20" s="1"/>
  <c r="D13" i="20" s="1"/>
  <c r="C12" i="20"/>
  <c r="E12" i="20" s="1"/>
  <c r="D12" i="20" s="1"/>
  <c r="C11" i="20"/>
  <c r="E11" i="20" s="1"/>
  <c r="D11" i="20" s="1"/>
  <c r="C10" i="20"/>
  <c r="C2" i="20"/>
  <c r="D2" i="20" s="1"/>
  <c r="E2" i="20" s="1"/>
  <c r="AC26" i="19"/>
  <c r="X26" i="19"/>
  <c r="S26" i="19"/>
  <c r="N26" i="19"/>
  <c r="BD34" i="17"/>
  <c r="BD33" i="17"/>
  <c r="BD32" i="17"/>
  <c r="BD31" i="17"/>
  <c r="E10" i="20" l="1"/>
  <c r="I6" i="1" s="1"/>
  <c r="E21" i="20"/>
  <c r="V110" i="11"/>
  <c r="U111" i="11"/>
  <c r="X110" i="11"/>
  <c r="W110" i="11"/>
  <c r="V109" i="11"/>
  <c r="W109" i="11"/>
  <c r="Y109" i="11" s="1"/>
  <c r="U96" i="11"/>
  <c r="V95" i="11"/>
  <c r="X95" i="11"/>
  <c r="W95" i="11"/>
  <c r="V94" i="11"/>
  <c r="W80" i="11"/>
  <c r="X80" i="11"/>
  <c r="Y80" i="11" s="1"/>
  <c r="U81" i="11"/>
  <c r="V80" i="11"/>
  <c r="V79" i="11"/>
  <c r="W79" i="11"/>
  <c r="Y79" i="11" s="1"/>
  <c r="X65" i="11"/>
  <c r="V65" i="11"/>
  <c r="W65" i="11"/>
  <c r="U66" i="11"/>
  <c r="V64" i="11"/>
  <c r="W64" i="11"/>
  <c r="Y64" i="11" s="1"/>
  <c r="U51" i="11"/>
  <c r="X50" i="11"/>
  <c r="W50" i="11"/>
  <c r="V50" i="11"/>
  <c r="V49" i="11"/>
  <c r="W49" i="11"/>
  <c r="Y49" i="11" s="1"/>
  <c r="V34" i="11"/>
  <c r="U35" i="11"/>
  <c r="X34" i="11"/>
  <c r="W34" i="11"/>
  <c r="V33" i="11"/>
  <c r="W33" i="11"/>
  <c r="Y33" i="11" s="1"/>
  <c r="W19" i="11"/>
  <c r="U20" i="11"/>
  <c r="X19" i="11"/>
  <c r="Y19" i="11" s="1"/>
  <c r="V19" i="11"/>
  <c r="Y18" i="11"/>
  <c r="V18" i="11"/>
  <c r="W18" i="11"/>
  <c r="E22" i="20"/>
  <c r="F22" i="20" s="1"/>
  <c r="G22" i="20" s="1"/>
  <c r="E20" i="20"/>
  <c r="F20" i="20" s="1"/>
  <c r="G20" i="20" s="1"/>
  <c r="BF8" i="1" s="1"/>
  <c r="E19" i="20"/>
  <c r="G11" i="20"/>
  <c r="O7" i="1" s="1"/>
  <c r="F11" i="20"/>
  <c r="M7" i="1" s="1"/>
  <c r="G14" i="20"/>
  <c r="O10" i="1" s="1"/>
  <c r="F14" i="20"/>
  <c r="M10" i="1" s="1"/>
  <c r="G13" i="20"/>
  <c r="O9" i="1" s="1"/>
  <c r="F13" i="20"/>
  <c r="M9" i="1" s="1"/>
  <c r="G12" i="20"/>
  <c r="O8" i="1" s="1"/>
  <c r="F12" i="20"/>
  <c r="M8" i="1" s="1"/>
  <c r="I7" i="1"/>
  <c r="I10" i="1"/>
  <c r="F6" i="1"/>
  <c r="I8" i="1"/>
  <c r="I9" i="1"/>
  <c r="F7" i="1"/>
  <c r="F8" i="1"/>
  <c r="F21" i="20"/>
  <c r="G21" i="20" s="1"/>
  <c r="F10" i="1"/>
  <c r="F9" i="1"/>
  <c r="AH45" i="8"/>
  <c r="AH44" i="8"/>
  <c r="AH43" i="8"/>
  <c r="AD45" i="8"/>
  <c r="AD44" i="8"/>
  <c r="AD43" i="8"/>
  <c r="AV8" i="1" l="1"/>
  <c r="D10" i="20"/>
  <c r="F10" i="20"/>
  <c r="M6" i="1" s="1"/>
  <c r="G10" i="20"/>
  <c r="O6" i="1" s="1"/>
  <c r="E18" i="20"/>
  <c r="Y110" i="11"/>
  <c r="U112" i="11"/>
  <c r="V111" i="11"/>
  <c r="X111" i="11" s="1"/>
  <c r="W111" i="11"/>
  <c r="Y95" i="11"/>
  <c r="U97" i="11"/>
  <c r="V96" i="11"/>
  <c r="X96" i="11" s="1"/>
  <c r="Y96" i="11" s="1"/>
  <c r="W96" i="11"/>
  <c r="U82" i="11"/>
  <c r="W81" i="11"/>
  <c r="V81" i="11"/>
  <c r="X81" i="11" s="1"/>
  <c r="Y81" i="11" s="1"/>
  <c r="U67" i="11"/>
  <c r="V66" i="11"/>
  <c r="X66" i="11" s="1"/>
  <c r="Y66" i="11" s="1"/>
  <c r="W66" i="11"/>
  <c r="Y65" i="11"/>
  <c r="Y50" i="11"/>
  <c r="V51" i="11"/>
  <c r="X51" i="11" s="1"/>
  <c r="Y51" i="11" s="1"/>
  <c r="W51" i="11"/>
  <c r="U52" i="11"/>
  <c r="Y34" i="11"/>
  <c r="U36" i="11"/>
  <c r="W35" i="11"/>
  <c r="V35" i="11"/>
  <c r="X35" i="11" s="1"/>
  <c r="Y35" i="11" s="1"/>
  <c r="V20" i="11"/>
  <c r="X20" i="11" s="1"/>
  <c r="U21" i="11"/>
  <c r="W20" i="11"/>
  <c r="F19" i="20"/>
  <c r="AQ20" i="1"/>
  <c r="F18" i="20" l="1"/>
  <c r="AV6" i="1" s="1"/>
  <c r="G19" i="20"/>
  <c r="BF7" i="1" s="1"/>
  <c r="AV7" i="1"/>
  <c r="W112" i="11"/>
  <c r="V112" i="11"/>
  <c r="X112" i="11" s="1"/>
  <c r="Y112" i="11" s="1"/>
  <c r="U113" i="11"/>
  <c r="Y111" i="11"/>
  <c r="W97" i="11"/>
  <c r="V97" i="11"/>
  <c r="X97" i="11" s="1"/>
  <c r="U98" i="11"/>
  <c r="W82" i="11"/>
  <c r="V82" i="11"/>
  <c r="X82" i="11" s="1"/>
  <c r="Y82" i="11" s="1"/>
  <c r="U83" i="11"/>
  <c r="W67" i="11"/>
  <c r="V67" i="11"/>
  <c r="X67" i="11" s="1"/>
  <c r="Y67" i="11" s="1"/>
  <c r="U68" i="11"/>
  <c r="W52" i="11"/>
  <c r="V52" i="11"/>
  <c r="X52" i="11" s="1"/>
  <c r="Y52" i="11" s="1"/>
  <c r="U53" i="11"/>
  <c r="W36" i="11"/>
  <c r="V36" i="11"/>
  <c r="X36" i="11" s="1"/>
  <c r="Y36" i="11" s="1"/>
  <c r="U37" i="11"/>
  <c r="W21" i="11"/>
  <c r="V21" i="11"/>
  <c r="X21" i="11" s="1"/>
  <c r="Y21" i="11" s="1"/>
  <c r="U22" i="11"/>
  <c r="Y20" i="11"/>
  <c r="BF39" i="8"/>
  <c r="BF40" i="8"/>
  <c r="BF41" i="8"/>
  <c r="BF42" i="8"/>
  <c r="BF43" i="8"/>
  <c r="BF44" i="8"/>
  <c r="BF45" i="8"/>
  <c r="BF38" i="8"/>
  <c r="BF25" i="8"/>
  <c r="BG39" i="8"/>
  <c r="BG40" i="8"/>
  <c r="BG41" i="8"/>
  <c r="BG42" i="8"/>
  <c r="BG43" i="8"/>
  <c r="BG44" i="8"/>
  <c r="BG45" i="8"/>
  <c r="BG38" i="8"/>
  <c r="BG25" i="8"/>
  <c r="G18" i="20" l="1"/>
  <c r="BF6" i="1" s="1"/>
  <c r="U114" i="11"/>
  <c r="X113" i="11"/>
  <c r="W113" i="11"/>
  <c r="V113" i="11"/>
  <c r="U99" i="11"/>
  <c r="W98" i="11"/>
  <c r="X98" i="11"/>
  <c r="Y98" i="11" s="1"/>
  <c r="V98" i="11"/>
  <c r="Y97" i="11"/>
  <c r="V83" i="11"/>
  <c r="U84" i="11"/>
  <c r="X83" i="11"/>
  <c r="W83" i="11"/>
  <c r="U69" i="11"/>
  <c r="X68" i="11"/>
  <c r="W68" i="11"/>
  <c r="V68" i="11"/>
  <c r="X53" i="11"/>
  <c r="U54" i="11"/>
  <c r="W53" i="11"/>
  <c r="V53" i="11"/>
  <c r="U38" i="11"/>
  <c r="X37" i="11"/>
  <c r="W37" i="11"/>
  <c r="V37" i="11"/>
  <c r="V22" i="11"/>
  <c r="U23" i="11"/>
  <c r="X22" i="11"/>
  <c r="W22" i="11"/>
  <c r="BD30" i="17"/>
  <c r="BD27" i="17"/>
  <c r="BA27" i="17"/>
  <c r="Y113" i="11" l="1"/>
  <c r="X114" i="11"/>
  <c r="W114" i="11"/>
  <c r="V114" i="11"/>
  <c r="X99" i="11"/>
  <c r="Y99" i="11" s="1"/>
  <c r="W99" i="11"/>
  <c r="V99" i="11"/>
  <c r="Y83" i="11"/>
  <c r="X84" i="11"/>
  <c r="W84" i="11"/>
  <c r="V84" i="11"/>
  <c r="Y68" i="11"/>
  <c r="X69" i="11"/>
  <c r="W69" i="11"/>
  <c r="V69" i="11"/>
  <c r="X54" i="11"/>
  <c r="W54" i="11"/>
  <c r="V54" i="11"/>
  <c r="Y53" i="11"/>
  <c r="Y37" i="11"/>
  <c r="X38" i="11"/>
  <c r="W38" i="11"/>
  <c r="V38" i="11"/>
  <c r="Y22" i="11"/>
  <c r="X23" i="11"/>
  <c r="W23" i="11"/>
  <c r="V23" i="11"/>
  <c r="BA34" i="17"/>
  <c r="BA33" i="17"/>
  <c r="BA31" i="17"/>
  <c r="BA32" i="17"/>
  <c r="BD29" i="17"/>
  <c r="AX27" i="17"/>
  <c r="AX32" i="17" s="1"/>
  <c r="BA30" i="17"/>
  <c r="BA29" i="17"/>
  <c r="Y114" i="11" l="1"/>
  <c r="Y84" i="11"/>
  <c r="Y69" i="11"/>
  <c r="Y54" i="11"/>
  <c r="Y38" i="11"/>
  <c r="Y23" i="11"/>
  <c r="AX30" i="17"/>
  <c r="AX31" i="17"/>
  <c r="AX29" i="17"/>
  <c r="AH59" i="8"/>
  <c r="AX59" i="8"/>
  <c r="AX33" i="8"/>
  <c r="AH33" i="8"/>
  <c r="AX20" i="8"/>
  <c r="AH20" i="8"/>
  <c r="X3" i="11" l="1"/>
  <c r="BG58" i="8"/>
  <c r="BF58" i="8"/>
  <c r="BG57" i="8"/>
  <c r="BF57" i="8"/>
  <c r="BG56" i="8"/>
  <c r="BF56" i="8"/>
  <c r="BG55" i="8"/>
  <c r="BF55" i="8"/>
  <c r="BG54" i="8"/>
  <c r="BF54" i="8"/>
  <c r="BG53" i="8"/>
  <c r="BF53" i="8"/>
  <c r="BG52" i="8"/>
  <c r="BF52" i="8"/>
  <c r="BG32" i="8"/>
  <c r="BF32" i="8"/>
  <c r="BG31" i="8"/>
  <c r="BF31" i="8"/>
  <c r="BG30" i="8"/>
  <c r="BF30" i="8"/>
  <c r="BG29" i="8"/>
  <c r="BF29" i="8"/>
  <c r="BG28" i="8"/>
  <c r="BF28" i="8"/>
  <c r="BG27" i="8"/>
  <c r="BF27" i="8"/>
  <c r="BG26" i="8"/>
  <c r="BF26" i="8"/>
  <c r="BG19" i="8"/>
  <c r="BF19" i="8"/>
  <c r="BG18" i="8"/>
  <c r="BF18" i="8"/>
  <c r="BG17" i="8"/>
  <c r="BF17" i="8"/>
  <c r="BG16" i="8"/>
  <c r="BF16" i="8"/>
  <c r="BG15" i="8"/>
  <c r="BF15" i="8"/>
  <c r="BG14" i="8"/>
  <c r="BF14" i="8"/>
  <c r="BG13" i="8"/>
  <c r="BF13" i="8"/>
  <c r="P19" i="8"/>
  <c r="P18" i="8"/>
  <c r="AD57" i="8" s="1"/>
  <c r="P17" i="8"/>
  <c r="AD56" i="8" s="1"/>
  <c r="P16" i="8"/>
  <c r="P15" i="8"/>
  <c r="P14" i="8"/>
  <c r="P13" i="8"/>
  <c r="N19" i="8"/>
  <c r="N18" i="8"/>
  <c r="N17" i="8"/>
  <c r="N16" i="8"/>
  <c r="N15" i="8"/>
  <c r="N14" i="8"/>
  <c r="N13" i="8"/>
  <c r="J19" i="8"/>
  <c r="J18" i="8"/>
  <c r="J17" i="8"/>
  <c r="J16" i="8"/>
  <c r="J15" i="8"/>
  <c r="J14" i="8"/>
  <c r="J13" i="8"/>
  <c r="G19" i="8"/>
  <c r="G18" i="8"/>
  <c r="G17" i="8"/>
  <c r="G16" i="8"/>
  <c r="G15" i="8"/>
  <c r="G14" i="8"/>
  <c r="G13" i="8"/>
  <c r="AD12" i="17"/>
  <c r="AD11" i="17"/>
  <c r="AD10" i="17"/>
  <c r="AD9" i="17"/>
  <c r="AD8" i="17"/>
  <c r="AD7" i="17"/>
  <c r="AD6" i="17"/>
  <c r="R11" i="16"/>
  <c r="R10" i="16"/>
  <c r="R22" i="16" s="1"/>
  <c r="R9" i="16"/>
  <c r="R21" i="16" s="1"/>
  <c r="R8" i="16"/>
  <c r="R20" i="16" s="1"/>
  <c r="R7" i="16"/>
  <c r="R6" i="16"/>
  <c r="R5" i="16"/>
  <c r="O11" i="15"/>
  <c r="O10" i="15"/>
  <c r="O9" i="15"/>
  <c r="O8" i="15"/>
  <c r="O7" i="15"/>
  <c r="O6" i="15"/>
  <c r="O5" i="15"/>
  <c r="U73" i="14"/>
  <c r="U74" i="14" s="1"/>
  <c r="U63" i="14"/>
  <c r="U64" i="14" s="1"/>
  <c r="U53" i="14"/>
  <c r="U54" i="14" s="1"/>
  <c r="U43" i="14"/>
  <c r="U33" i="14"/>
  <c r="U23" i="14"/>
  <c r="U13" i="14"/>
  <c r="U73" i="12"/>
  <c r="U74" i="12" s="1"/>
  <c r="U63" i="12"/>
  <c r="U64" i="12" s="1"/>
  <c r="U53" i="12"/>
  <c r="U54" i="12" s="1"/>
  <c r="U43" i="12"/>
  <c r="U33" i="12"/>
  <c r="U23" i="12"/>
  <c r="U13" i="12"/>
  <c r="AC7" i="11"/>
  <c r="AD7" i="11" s="1"/>
  <c r="AC6" i="11"/>
  <c r="AD6" i="11" s="1"/>
  <c r="AC5" i="11"/>
  <c r="AD5" i="11" s="1"/>
  <c r="AX43" i="8" l="1"/>
  <c r="AT43" i="8"/>
  <c r="AX44" i="8"/>
  <c r="AT44" i="8"/>
  <c r="AX45" i="8"/>
  <c r="AT45" i="8"/>
  <c r="AT56" i="8"/>
  <c r="AD18" i="8"/>
  <c r="AT18" i="8" s="1"/>
  <c r="AT57" i="8"/>
  <c r="AD17" i="8"/>
  <c r="AT17" i="8" s="1"/>
  <c r="AD31" i="8"/>
  <c r="AT31" i="8" s="1"/>
  <c r="AD30" i="8"/>
  <c r="AT30" i="8" s="1"/>
  <c r="AD19" i="8"/>
  <c r="AT19" i="8" s="1"/>
  <c r="U75" i="14"/>
  <c r="W74" i="14"/>
  <c r="V74" i="14"/>
  <c r="V73" i="14"/>
  <c r="X73" i="14" s="1"/>
  <c r="U65" i="14"/>
  <c r="V64" i="14"/>
  <c r="W64" i="14"/>
  <c r="V63" i="14"/>
  <c r="X63" i="14" s="1"/>
  <c r="U55" i="14"/>
  <c r="V54" i="14"/>
  <c r="W54" i="14"/>
  <c r="V53" i="14"/>
  <c r="X53" i="14" s="1"/>
  <c r="U75" i="12"/>
  <c r="V74" i="12"/>
  <c r="W74" i="12"/>
  <c r="V73" i="12"/>
  <c r="X73" i="12" s="1"/>
  <c r="U65" i="12"/>
  <c r="V64" i="12"/>
  <c r="W64" i="12"/>
  <c r="V63" i="12"/>
  <c r="X63" i="12" s="1"/>
  <c r="U55" i="12"/>
  <c r="V54" i="12"/>
  <c r="W54" i="12"/>
  <c r="V53" i="12"/>
  <c r="X53" i="12" s="1"/>
  <c r="U76" i="14" l="1"/>
  <c r="V75" i="14"/>
  <c r="W75" i="14"/>
  <c r="X74" i="14"/>
  <c r="X64" i="14"/>
  <c r="U66" i="14"/>
  <c r="W65" i="14"/>
  <c r="V65" i="14"/>
  <c r="X54" i="14"/>
  <c r="U56" i="14"/>
  <c r="W55" i="14"/>
  <c r="V55" i="14"/>
  <c r="X74" i="12"/>
  <c r="U76" i="12"/>
  <c r="V75" i="12"/>
  <c r="W75" i="12"/>
  <c r="X64" i="12"/>
  <c r="U66" i="12"/>
  <c r="W65" i="12"/>
  <c r="V65" i="12"/>
  <c r="X54" i="12"/>
  <c r="U56" i="12"/>
  <c r="V55" i="12"/>
  <c r="W55" i="12"/>
  <c r="BG51" i="8"/>
  <c r="BF51" i="8"/>
  <c r="BG12" i="8"/>
  <c r="BF12" i="8"/>
  <c r="X75" i="14" l="1"/>
  <c r="U77" i="14"/>
  <c r="V76" i="14"/>
  <c r="W76" i="14"/>
  <c r="X65" i="14"/>
  <c r="U67" i="14"/>
  <c r="V66" i="14"/>
  <c r="W66" i="14"/>
  <c r="X55" i="14"/>
  <c r="U57" i="14"/>
  <c r="V56" i="14"/>
  <c r="W56" i="14"/>
  <c r="U77" i="12"/>
  <c r="V76" i="12"/>
  <c r="W76" i="12"/>
  <c r="X75" i="12"/>
  <c r="X65" i="12"/>
  <c r="U67" i="12"/>
  <c r="V66" i="12"/>
  <c r="W66" i="12"/>
  <c r="U57" i="12"/>
  <c r="V56" i="12"/>
  <c r="W56" i="12"/>
  <c r="X55" i="12"/>
  <c r="AI26" i="1"/>
  <c r="F15" i="1"/>
  <c r="AU27" i="17"/>
  <c r="AR27" i="17"/>
  <c r="AR34" i="17" s="1"/>
  <c r="AO27" i="17"/>
  <c r="AO34" i="17" s="1"/>
  <c r="AD5" i="17"/>
  <c r="AD16" i="17" s="1"/>
  <c r="R17" i="16"/>
  <c r="R18" i="16"/>
  <c r="R19" i="16"/>
  <c r="R23" i="16"/>
  <c r="R4" i="16"/>
  <c r="R16" i="16" s="1"/>
  <c r="AU31" i="17" l="1"/>
  <c r="AU29" i="17"/>
  <c r="AU34" i="17"/>
  <c r="AX34" i="17"/>
  <c r="X76" i="14"/>
  <c r="X56" i="14"/>
  <c r="U78" i="14"/>
  <c r="V77" i="14"/>
  <c r="W77" i="14"/>
  <c r="U68" i="14"/>
  <c r="V67" i="14"/>
  <c r="W67" i="14"/>
  <c r="X66" i="14"/>
  <c r="U58" i="14"/>
  <c r="V57" i="14"/>
  <c r="W57" i="14"/>
  <c r="X76" i="12"/>
  <c r="U78" i="12"/>
  <c r="V77" i="12"/>
  <c r="W77" i="12"/>
  <c r="X66" i="12"/>
  <c r="U68" i="12"/>
  <c r="V67" i="12"/>
  <c r="W67" i="12"/>
  <c r="U58" i="12"/>
  <c r="V57" i="12"/>
  <c r="W57" i="12"/>
  <c r="X56" i="12"/>
  <c r="AD15" i="17"/>
  <c r="AD17" i="17"/>
  <c r="AD18" i="17"/>
  <c r="AO29" i="17"/>
  <c r="AO30" i="17"/>
  <c r="AO31" i="17"/>
  <c r="AO32" i="17"/>
  <c r="AO33" i="17"/>
  <c r="AR29" i="17"/>
  <c r="AR30" i="17"/>
  <c r="AR31" i="17"/>
  <c r="AR32" i="17"/>
  <c r="AR33" i="17"/>
  <c r="AU30" i="17"/>
  <c r="AU32" i="17"/>
  <c r="AU33" i="17"/>
  <c r="AX33" i="17"/>
  <c r="O4" i="15"/>
  <c r="AC8" i="11"/>
  <c r="AD8" i="11" s="1"/>
  <c r="AC9" i="11"/>
  <c r="AD9" i="11" s="1"/>
  <c r="AC10" i="11"/>
  <c r="AD10" i="11" s="1"/>
  <c r="AC11" i="11"/>
  <c r="AD11" i="11" s="1"/>
  <c r="AC4" i="11"/>
  <c r="AD4" i="11" s="1"/>
  <c r="AD14" i="17" l="1"/>
  <c r="AO7" i="17" s="1"/>
  <c r="X57" i="14"/>
  <c r="X57" i="12"/>
  <c r="X77" i="14"/>
  <c r="W78" i="14"/>
  <c r="V78" i="14"/>
  <c r="X67" i="14"/>
  <c r="W68" i="14"/>
  <c r="V68" i="14"/>
  <c r="W58" i="14"/>
  <c r="V58" i="14"/>
  <c r="W78" i="12"/>
  <c r="V78" i="12"/>
  <c r="X77" i="12"/>
  <c r="X67" i="12"/>
  <c r="W68" i="12"/>
  <c r="V68" i="12"/>
  <c r="W58" i="12"/>
  <c r="V58" i="12"/>
  <c r="AO18" i="17"/>
  <c r="AI28" i="1"/>
  <c r="AO14" i="17"/>
  <c r="N22" i="8" s="1"/>
  <c r="U44" i="14"/>
  <c r="W44" i="14" s="1"/>
  <c r="U34" i="14"/>
  <c r="V23" i="14"/>
  <c r="X23" i="14" s="1"/>
  <c r="U3" i="14"/>
  <c r="U4" i="14" s="1"/>
  <c r="W4" i="14" s="1"/>
  <c r="U44" i="12"/>
  <c r="W44" i="12" s="1"/>
  <c r="U34" i="12"/>
  <c r="W34" i="12" s="1"/>
  <c r="U24" i="12"/>
  <c r="W24" i="12" s="1"/>
  <c r="U14" i="12"/>
  <c r="W14" i="12" s="1"/>
  <c r="U3" i="12"/>
  <c r="U4" i="12" s="1"/>
  <c r="W4" i="12" s="1"/>
  <c r="U3" i="11"/>
  <c r="Z3" i="11" s="1"/>
  <c r="AL16" i="16" s="1"/>
  <c r="W3" i="11" l="1"/>
  <c r="Y3" i="11" s="1"/>
  <c r="V33" i="14"/>
  <c r="X33" i="14" s="1"/>
  <c r="X78" i="14"/>
  <c r="X79" i="14" s="1"/>
  <c r="AA11" i="14" s="1"/>
  <c r="X68" i="14"/>
  <c r="X69" i="14" s="1"/>
  <c r="AA10" i="14" s="1"/>
  <c r="BF12" i="1" s="1"/>
  <c r="X58" i="14"/>
  <c r="X59" i="14" s="1"/>
  <c r="AA9" i="14" s="1"/>
  <c r="BF11" i="1" s="1"/>
  <c r="X78" i="12"/>
  <c r="X79" i="12" s="1"/>
  <c r="AA11" i="12" s="1"/>
  <c r="X68" i="12"/>
  <c r="X69" i="12" s="1"/>
  <c r="AA10" i="12" s="1"/>
  <c r="AV12" i="1" s="1"/>
  <c r="X58" i="12"/>
  <c r="X59" i="12" s="1"/>
  <c r="AA9" i="12" s="1"/>
  <c r="AV11" i="1" s="1"/>
  <c r="V13" i="14"/>
  <c r="X13" i="14" s="1"/>
  <c r="U35" i="14"/>
  <c r="V35" i="14" s="1"/>
  <c r="W34" i="14"/>
  <c r="AT14" i="17"/>
  <c r="AI27" i="1"/>
  <c r="AO8" i="17"/>
  <c r="AO21" i="17"/>
  <c r="AO23" i="17" s="1"/>
  <c r="BA40" i="17" s="1"/>
  <c r="AO20" i="17"/>
  <c r="AO19" i="17"/>
  <c r="V43" i="14"/>
  <c r="X43" i="14" s="1"/>
  <c r="U24" i="14"/>
  <c r="U14" i="14"/>
  <c r="U5" i="14"/>
  <c r="W5" i="14" s="1"/>
  <c r="V4" i="14"/>
  <c r="U45" i="14"/>
  <c r="V3" i="14"/>
  <c r="X3" i="14" s="1"/>
  <c r="V34" i="14"/>
  <c r="V44" i="14"/>
  <c r="X44" i="14" s="1"/>
  <c r="U45" i="12"/>
  <c r="V44" i="12"/>
  <c r="V43" i="12"/>
  <c r="X43" i="12" s="1"/>
  <c r="U35" i="12"/>
  <c r="V34" i="12"/>
  <c r="V33" i="12"/>
  <c r="X33" i="12" s="1"/>
  <c r="U25" i="12"/>
  <c r="V24" i="12"/>
  <c r="V23" i="12"/>
  <c r="X23" i="12" s="1"/>
  <c r="U15" i="12"/>
  <c r="W15" i="12" s="1"/>
  <c r="V14" i="12"/>
  <c r="V13" i="12"/>
  <c r="X13" i="12" s="1"/>
  <c r="U5" i="12"/>
  <c r="U6" i="12" s="1"/>
  <c r="U7" i="12" s="1"/>
  <c r="V3" i="12"/>
  <c r="X3" i="12" s="1"/>
  <c r="V4" i="12"/>
  <c r="V3" i="11"/>
  <c r="U4" i="11"/>
  <c r="W4" i="11" s="1"/>
  <c r="X4" i="11" l="1"/>
  <c r="N10" i="16"/>
  <c r="N22" i="16" s="1"/>
  <c r="D10" i="15"/>
  <c r="J10" i="15" s="1"/>
  <c r="N9" i="16"/>
  <c r="N21" i="16" s="1"/>
  <c r="D9" i="15"/>
  <c r="J9" i="15" s="1"/>
  <c r="C9" i="15"/>
  <c r="I9" i="15" s="1"/>
  <c r="J9" i="16"/>
  <c r="J21" i="16" s="1"/>
  <c r="J10" i="16"/>
  <c r="J22" i="16" s="1"/>
  <c r="C10" i="15"/>
  <c r="I10" i="15" s="1"/>
  <c r="W35" i="14"/>
  <c r="X35" i="14" s="1"/>
  <c r="U36" i="14"/>
  <c r="W36" i="14" s="1"/>
  <c r="N23" i="8"/>
  <c r="V14" i="14"/>
  <c r="W14" i="14"/>
  <c r="V24" i="14"/>
  <c r="W24" i="14"/>
  <c r="U25" i="14"/>
  <c r="U26" i="14" s="1"/>
  <c r="U15" i="14"/>
  <c r="U16" i="14" s="1"/>
  <c r="X34" i="14"/>
  <c r="V5" i="14"/>
  <c r="U6" i="14"/>
  <c r="U46" i="14"/>
  <c r="W45" i="14"/>
  <c r="V45" i="14"/>
  <c r="X4" i="14"/>
  <c r="U8" i="12"/>
  <c r="V7" i="12"/>
  <c r="X4" i="12"/>
  <c r="X44" i="12"/>
  <c r="U46" i="12"/>
  <c r="V45" i="12"/>
  <c r="W45" i="12"/>
  <c r="X34" i="12"/>
  <c r="U36" i="12"/>
  <c r="W35" i="12"/>
  <c r="V35" i="12"/>
  <c r="X24" i="12"/>
  <c r="U26" i="12"/>
  <c r="V25" i="12"/>
  <c r="W25" i="12"/>
  <c r="U16" i="12"/>
  <c r="V15" i="12"/>
  <c r="X14" i="12"/>
  <c r="V5" i="12"/>
  <c r="W5" i="12"/>
  <c r="W6" i="12"/>
  <c r="V4" i="11"/>
  <c r="U5" i="11"/>
  <c r="W5" i="11" s="1"/>
  <c r="V5" i="11" l="1"/>
  <c r="X5" i="11" s="1"/>
  <c r="Y4" i="11"/>
  <c r="AC22" i="16"/>
  <c r="V36" i="14"/>
  <c r="U37" i="14"/>
  <c r="V37" i="14" s="1"/>
  <c r="AC21" i="16"/>
  <c r="X24" i="14"/>
  <c r="X14" i="14"/>
  <c r="V25" i="14"/>
  <c r="W25" i="14"/>
  <c r="V15" i="14"/>
  <c r="W15" i="14"/>
  <c r="X5" i="14"/>
  <c r="V16" i="14"/>
  <c r="U17" i="14"/>
  <c r="W16" i="14"/>
  <c r="U47" i="14"/>
  <c r="W46" i="14"/>
  <c r="V46" i="14"/>
  <c r="X36" i="14"/>
  <c r="V26" i="14"/>
  <c r="W26" i="14"/>
  <c r="U27" i="14"/>
  <c r="X45" i="14"/>
  <c r="W6" i="14"/>
  <c r="U7" i="14"/>
  <c r="V6" i="14"/>
  <c r="X35" i="12"/>
  <c r="U47" i="12"/>
  <c r="W46" i="12"/>
  <c r="V46" i="12"/>
  <c r="X45" i="12"/>
  <c r="U37" i="12"/>
  <c r="V36" i="12"/>
  <c r="W36" i="12"/>
  <c r="U27" i="12"/>
  <c r="V26" i="12"/>
  <c r="W26" i="12"/>
  <c r="X25" i="12"/>
  <c r="X15" i="12"/>
  <c r="U17" i="12"/>
  <c r="V16" i="12"/>
  <c r="W16" i="12"/>
  <c r="X5" i="12"/>
  <c r="V6" i="12"/>
  <c r="X6" i="12" s="1"/>
  <c r="W7" i="12"/>
  <c r="U6" i="11"/>
  <c r="W6" i="11" s="1"/>
  <c r="V6" i="11" l="1"/>
  <c r="X6" i="11" s="1"/>
  <c r="Y6" i="11" s="1"/>
  <c r="Y5" i="11"/>
  <c r="U38" i="14"/>
  <c r="W37" i="14"/>
  <c r="X25" i="14"/>
  <c r="X15" i="14"/>
  <c r="X36" i="12"/>
  <c r="X26" i="14"/>
  <c r="X16" i="14"/>
  <c r="X37" i="14"/>
  <c r="W7" i="14"/>
  <c r="U8" i="14"/>
  <c r="V7" i="14"/>
  <c r="X46" i="14"/>
  <c r="V27" i="14"/>
  <c r="U28" i="14"/>
  <c r="W27" i="14"/>
  <c r="V17" i="14"/>
  <c r="W17" i="14"/>
  <c r="U18" i="14"/>
  <c r="W38" i="14"/>
  <c r="V38" i="14"/>
  <c r="X6" i="14"/>
  <c r="V47" i="14"/>
  <c r="W47" i="14"/>
  <c r="U48" i="14"/>
  <c r="X46" i="12"/>
  <c r="U48" i="12"/>
  <c r="W47" i="12"/>
  <c r="V47" i="12"/>
  <c r="U38" i="12"/>
  <c r="V37" i="12"/>
  <c r="W37" i="12"/>
  <c r="X26" i="12"/>
  <c r="U28" i="12"/>
  <c r="V27" i="12"/>
  <c r="W27" i="12"/>
  <c r="U18" i="12"/>
  <c r="W17" i="12"/>
  <c r="V17" i="12"/>
  <c r="X16" i="12"/>
  <c r="X7" i="12"/>
  <c r="U7" i="11"/>
  <c r="W7" i="11" s="1"/>
  <c r="V7" i="11" l="1"/>
  <c r="X7" i="11"/>
  <c r="X47" i="14"/>
  <c r="X38" i="14"/>
  <c r="X39" i="14" s="1"/>
  <c r="X27" i="14"/>
  <c r="X17" i="14"/>
  <c r="V18" i="14"/>
  <c r="W18" i="14"/>
  <c r="W28" i="14"/>
  <c r="V28" i="14"/>
  <c r="W8" i="14"/>
  <c r="V8" i="14"/>
  <c r="X7" i="14"/>
  <c r="W48" i="14"/>
  <c r="V48" i="14"/>
  <c r="X37" i="12"/>
  <c r="X47" i="12"/>
  <c r="W48" i="12"/>
  <c r="V48" i="12"/>
  <c r="W38" i="12"/>
  <c r="V38" i="12"/>
  <c r="V28" i="12"/>
  <c r="W28" i="12"/>
  <c r="X27" i="12"/>
  <c r="X17" i="12"/>
  <c r="W18" i="12"/>
  <c r="V18" i="12"/>
  <c r="W8" i="12"/>
  <c r="V8" i="12"/>
  <c r="U8" i="11"/>
  <c r="W8" i="11" s="1"/>
  <c r="V8" i="11" l="1"/>
  <c r="X8" i="11"/>
  <c r="Y7" i="11"/>
  <c r="AA7" i="14"/>
  <c r="X18" i="14"/>
  <c r="X19" i="14" s="1"/>
  <c r="X28" i="14"/>
  <c r="X29" i="14" s="1"/>
  <c r="X48" i="14"/>
  <c r="X49" i="14" s="1"/>
  <c r="X8" i="14"/>
  <c r="X9" i="14" s="1"/>
  <c r="AA4" i="14" s="1"/>
  <c r="X48" i="12"/>
  <c r="X49" i="12" s="1"/>
  <c r="X38" i="12"/>
  <c r="X39" i="12" s="1"/>
  <c r="X28" i="12"/>
  <c r="X29" i="12" s="1"/>
  <c r="AA6" i="12" s="1"/>
  <c r="X18" i="12"/>
  <c r="X19" i="12" s="1"/>
  <c r="AA5" i="12" s="1"/>
  <c r="X8" i="12"/>
  <c r="X9" i="12" s="1"/>
  <c r="AA4" i="12" s="1"/>
  <c r="AD58" i="8"/>
  <c r="AT58" i="8" s="1"/>
  <c r="P12" i="8"/>
  <c r="N12" i="8"/>
  <c r="J12" i="8"/>
  <c r="G12" i="8"/>
  <c r="Y8" i="11" l="1"/>
  <c r="J5" i="16"/>
  <c r="C5" i="15"/>
  <c r="AA5" i="14"/>
  <c r="AA6" i="14"/>
  <c r="J6" i="16"/>
  <c r="C6" i="15"/>
  <c r="D7" i="15"/>
  <c r="J7" i="15" s="1"/>
  <c r="N7" i="16"/>
  <c r="N19" i="16" s="1"/>
  <c r="BF13" i="1"/>
  <c r="AA8" i="14"/>
  <c r="AA7" i="12"/>
  <c r="AV13" i="1"/>
  <c r="AA8" i="12"/>
  <c r="P20" i="8"/>
  <c r="BL51" i="8" s="1"/>
  <c r="N20" i="8"/>
  <c r="BL38" i="8" s="1"/>
  <c r="Y120" i="11"/>
  <c r="AB11" i="11" s="1"/>
  <c r="Y105" i="11"/>
  <c r="AB10" i="11" s="1"/>
  <c r="Y90" i="11"/>
  <c r="AB9" i="11" s="1"/>
  <c r="Y14" i="11" l="1"/>
  <c r="AB4" i="11" s="1"/>
  <c r="AH16" i="16" s="1"/>
  <c r="AB16" i="16" s="1"/>
  <c r="BL25" i="8"/>
  <c r="D5" i="15"/>
  <c r="J5" i="15" s="1"/>
  <c r="N5" i="16"/>
  <c r="N17" i="16" s="1"/>
  <c r="N6" i="16"/>
  <c r="N18" i="16" s="1"/>
  <c r="D6" i="15"/>
  <c r="J6" i="15" s="1"/>
  <c r="D8" i="15"/>
  <c r="J8" i="15" s="1"/>
  <c r="N8" i="16"/>
  <c r="N20" i="16" s="1"/>
  <c r="D11" i="15"/>
  <c r="J11" i="15" s="1"/>
  <c r="N11" i="16"/>
  <c r="N23" i="16" s="1"/>
  <c r="J7" i="16"/>
  <c r="J19" i="16" s="1"/>
  <c r="AC19" i="16" s="1"/>
  <c r="C7" i="15"/>
  <c r="I7" i="15" s="1"/>
  <c r="J11" i="16"/>
  <c r="J23" i="16" s="1"/>
  <c r="C11" i="15"/>
  <c r="I11" i="15" s="1"/>
  <c r="C8" i="15"/>
  <c r="I8" i="15" s="1"/>
  <c r="J8" i="16"/>
  <c r="J20" i="16" s="1"/>
  <c r="J4" i="16"/>
  <c r="J16" i="16" s="1"/>
  <c r="C4" i="15"/>
  <c r="I4" i="15" s="1"/>
  <c r="J17" i="16"/>
  <c r="I5" i="15"/>
  <c r="D4" i="15"/>
  <c r="J4" i="15" s="1"/>
  <c r="N4" i="16"/>
  <c r="N16" i="16" s="1"/>
  <c r="J18" i="16"/>
  <c r="I6" i="15"/>
  <c r="BL12" i="8"/>
  <c r="AC20" i="16" l="1"/>
  <c r="AC23" i="16"/>
  <c r="AC16" i="16"/>
  <c r="AD16" i="16" s="1"/>
  <c r="BP6" i="1" s="1"/>
  <c r="AG5" i="17" s="1"/>
  <c r="AC17" i="16"/>
  <c r="AC18" i="16"/>
  <c r="Y60" i="11" l="1"/>
  <c r="V12" i="1" l="1"/>
  <c r="AB7" i="11"/>
  <c r="Y75" i="11"/>
  <c r="Y44" i="11"/>
  <c r="Y29" i="11" l="1"/>
  <c r="AB5" i="11" s="1"/>
  <c r="V11" i="1"/>
  <c r="AH21" i="16" s="1"/>
  <c r="AB21" i="16" s="1"/>
  <c r="AD21" i="16" s="1"/>
  <c r="BP11" i="1" s="1"/>
  <c r="AG10" i="17" s="1"/>
  <c r="AB6" i="11"/>
  <c r="B7" i="15"/>
  <c r="H7" i="15" s="1"/>
  <c r="K7" i="15" s="1"/>
  <c r="L7" i="15" s="1"/>
  <c r="AH19" i="16"/>
  <c r="AB19" i="16" s="1"/>
  <c r="V13" i="1"/>
  <c r="AB8" i="11"/>
  <c r="AE8" i="11" s="1"/>
  <c r="R8" i="15" s="1"/>
  <c r="B10" i="15"/>
  <c r="AH22" i="16"/>
  <c r="AB22" i="16" s="1"/>
  <c r="AD22" i="16" s="1"/>
  <c r="BP12" i="1" s="1"/>
  <c r="AG11" i="17" s="1"/>
  <c r="AE7" i="11"/>
  <c r="R7" i="15" s="1"/>
  <c r="AE10" i="11"/>
  <c r="R10" i="15" s="1"/>
  <c r="B5" i="15" l="1"/>
  <c r="E5" i="15" s="1"/>
  <c r="G5" i="15" s="1"/>
  <c r="AE5" i="11"/>
  <c r="R5" i="15" s="1"/>
  <c r="AH17" i="16"/>
  <c r="AB17" i="16" s="1"/>
  <c r="AD17" i="16" s="1"/>
  <c r="BP7" i="1" s="1"/>
  <c r="AG6" i="17" s="1"/>
  <c r="B9" i="15"/>
  <c r="E9" i="15" s="1"/>
  <c r="G9" i="15" s="1"/>
  <c r="AE4" i="11"/>
  <c r="R4" i="15" s="1"/>
  <c r="B4" i="15"/>
  <c r="H4" i="15" s="1"/>
  <c r="K4" i="15" s="1"/>
  <c r="L4" i="15" s="1"/>
  <c r="AE6" i="11"/>
  <c r="R6" i="15" s="1"/>
  <c r="AH18" i="16"/>
  <c r="AB18" i="16" s="1"/>
  <c r="B6" i="15"/>
  <c r="H6" i="15" s="1"/>
  <c r="K6" i="15" s="1"/>
  <c r="L6" i="15" s="1"/>
  <c r="B11" i="15"/>
  <c r="H11" i="15" s="1"/>
  <c r="K11" i="15" s="1"/>
  <c r="L11" i="15" s="1"/>
  <c r="AH23" i="16"/>
  <c r="AB23" i="16" s="1"/>
  <c r="AH20" i="16"/>
  <c r="AB20" i="16" s="1"/>
  <c r="AD20" i="16" s="1"/>
  <c r="BP10" i="1" s="1"/>
  <c r="AG9" i="17" s="1"/>
  <c r="B8" i="15"/>
  <c r="H8" i="15" s="1"/>
  <c r="K8" i="15" s="1"/>
  <c r="L8" i="15" s="1"/>
  <c r="H10" i="15"/>
  <c r="K10" i="15" s="1"/>
  <c r="L10" i="15" s="1"/>
  <c r="E10" i="15"/>
  <c r="G10" i="15" s="1"/>
  <c r="AD19" i="16"/>
  <c r="E7" i="15"/>
  <c r="G7" i="15" s="1"/>
  <c r="M7" i="15" s="1"/>
  <c r="P7" i="15" s="1"/>
  <c r="AB9" i="1" s="1"/>
  <c r="AE9" i="11"/>
  <c r="R9" i="15" s="1"/>
  <c r="AE11" i="11"/>
  <c r="R11" i="15" s="1"/>
  <c r="H5" i="15" l="1"/>
  <c r="K5" i="15" s="1"/>
  <c r="L5" i="15" s="1"/>
  <c r="M5" i="15" s="1"/>
  <c r="P5" i="15" s="1"/>
  <c r="AB7" i="1" s="1"/>
  <c r="E11" i="15"/>
  <c r="G11" i="15" s="1"/>
  <c r="H9" i="15"/>
  <c r="K9" i="15" s="1"/>
  <c r="L9" i="15" s="1"/>
  <c r="M9" i="15" s="1"/>
  <c r="P9" i="15" s="1"/>
  <c r="AB11" i="1" s="1"/>
  <c r="E4" i="15"/>
  <c r="G4" i="15" s="1"/>
  <c r="M4" i="15" s="1"/>
  <c r="P4" i="15" s="1"/>
  <c r="E8" i="15"/>
  <c r="G8" i="15" s="1"/>
  <c r="M8" i="15" s="1"/>
  <c r="P8" i="15" s="1"/>
  <c r="AB10" i="1" s="1"/>
  <c r="M10" i="15"/>
  <c r="P10" i="15" s="1"/>
  <c r="BP9" i="1"/>
  <c r="AG8" i="17" s="1"/>
  <c r="AD23" i="16"/>
  <c r="AD18" i="16"/>
  <c r="E6" i="15"/>
  <c r="G6" i="15" s="1"/>
  <c r="M6" i="15" s="1"/>
  <c r="P6" i="15" s="1"/>
  <c r="AB8" i="1" s="1"/>
  <c r="S7" i="15"/>
  <c r="M11" i="15"/>
  <c r="P11" i="15" s="1"/>
  <c r="AB13" i="1" s="1"/>
  <c r="S9" i="15" l="1"/>
  <c r="AF11" i="1" s="1"/>
  <c r="F9" i="16" s="1"/>
  <c r="F21" i="16" s="1"/>
  <c r="W21" i="16" s="1"/>
  <c r="BQ23" i="1" s="1"/>
  <c r="AB12" i="1"/>
  <c r="S10" i="15"/>
  <c r="AF12" i="1" s="1"/>
  <c r="F10" i="16" s="1"/>
  <c r="BP13" i="1"/>
  <c r="AG12" i="17" s="1"/>
  <c r="S8" i="15"/>
  <c r="AF10" i="1" s="1"/>
  <c r="F8" i="16" s="1"/>
  <c r="BP8" i="1"/>
  <c r="AG7" i="17" s="1"/>
  <c r="AG13" i="17" s="1"/>
  <c r="AH13" i="17" s="1"/>
  <c r="AF9" i="1"/>
  <c r="F7" i="16" s="1"/>
  <c r="F19" i="16" s="1"/>
  <c r="W19" i="16" s="1"/>
  <c r="BQ21" i="1" s="1"/>
  <c r="AB6" i="1"/>
  <c r="S4" i="15"/>
  <c r="S11" i="15"/>
  <c r="S6" i="15"/>
  <c r="S5" i="15"/>
  <c r="AO5" i="17" l="1"/>
  <c r="AO6" i="17"/>
  <c r="AO4" i="17"/>
  <c r="W9" i="16"/>
  <c r="AB9" i="16" s="1"/>
  <c r="W7" i="16"/>
  <c r="BG21" i="1" s="1"/>
  <c r="W10" i="16"/>
  <c r="F22" i="16"/>
  <c r="W22" i="16" s="1"/>
  <c r="BQ24" i="1" s="1"/>
  <c r="AF8" i="1"/>
  <c r="F6" i="16" s="1"/>
  <c r="F18" i="16" s="1"/>
  <c r="W18" i="16" s="1"/>
  <c r="BQ20" i="1" s="1"/>
  <c r="AF13" i="1"/>
  <c r="F11" i="16" s="1"/>
  <c r="AF7" i="1"/>
  <c r="F5" i="16" s="1"/>
  <c r="F17" i="16" s="1"/>
  <c r="AF6" i="1"/>
  <c r="F4" i="16" s="1"/>
  <c r="BG23" i="1" l="1"/>
  <c r="W6" i="16"/>
  <c r="BG20" i="1" s="1"/>
  <c r="AB7" i="16"/>
  <c r="BL21" i="1" s="1"/>
  <c r="AB10" i="16"/>
  <c r="BG24" i="1"/>
  <c r="BL23" i="1"/>
  <c r="R17" i="8"/>
  <c r="V43" i="8" s="1"/>
  <c r="AP43" i="8" s="1"/>
  <c r="W11" i="16"/>
  <c r="F23" i="16"/>
  <c r="W23" i="16" s="1"/>
  <c r="BQ25" i="1" s="1"/>
  <c r="W5" i="16"/>
  <c r="BG19" i="1" s="1"/>
  <c r="W4" i="16"/>
  <c r="F16" i="16"/>
  <c r="W16" i="16" s="1"/>
  <c r="W17" i="16"/>
  <c r="BQ19" i="1" s="1"/>
  <c r="AB6" i="16" l="1"/>
  <c r="BL20" i="1" s="1"/>
  <c r="R15" i="8"/>
  <c r="BL24" i="1"/>
  <c r="R18" i="8"/>
  <c r="V44" i="8" s="1"/>
  <c r="AP44" i="8" s="1"/>
  <c r="V17" i="8"/>
  <c r="AP17" i="8" s="1"/>
  <c r="V56" i="8"/>
  <c r="AP56" i="8" s="1"/>
  <c r="V30" i="8"/>
  <c r="AP30" i="8" s="1"/>
  <c r="AB11" i="16"/>
  <c r="BG25" i="1"/>
  <c r="F20" i="16"/>
  <c r="W20" i="16" s="1"/>
  <c r="BQ22" i="1" s="1"/>
  <c r="W8" i="16"/>
  <c r="AB5" i="16"/>
  <c r="BQ18" i="1"/>
  <c r="BG18" i="1"/>
  <c r="AB4" i="16"/>
  <c r="V28" i="8" l="1"/>
  <c r="AP28" i="8" s="1"/>
  <c r="V41" i="8"/>
  <c r="AP41" i="8" s="1"/>
  <c r="R14" i="8"/>
  <c r="V15" i="8"/>
  <c r="AP15" i="8" s="1"/>
  <c r="V54" i="8"/>
  <c r="AP54" i="8" s="1"/>
  <c r="BL25" i="1"/>
  <c r="R19" i="8"/>
  <c r="V32" i="8" s="1"/>
  <c r="AP32" i="8" s="1"/>
  <c r="V57" i="8"/>
  <c r="AP57" i="8" s="1"/>
  <c r="V18" i="8"/>
  <c r="AP18" i="8" s="1"/>
  <c r="V31" i="8"/>
  <c r="AP31" i="8" s="1"/>
  <c r="AO10" i="17"/>
  <c r="AO12" i="17" s="1"/>
  <c r="AT12" i="17" s="1"/>
  <c r="AB8" i="16"/>
  <c r="BG22" i="1"/>
  <c r="R13" i="8"/>
  <c r="BL19" i="1"/>
  <c r="R12" i="8"/>
  <c r="BL18" i="1"/>
  <c r="AU12" i="17" l="1"/>
  <c r="Z38" i="8" s="1"/>
  <c r="BA38" i="17"/>
  <c r="Z12" i="8"/>
  <c r="AD12" i="8" s="1"/>
  <c r="AT12" i="8" s="1"/>
  <c r="BD38" i="17"/>
  <c r="BD40" i="17" s="1"/>
  <c r="V25" i="8"/>
  <c r="AP25" i="8" s="1"/>
  <c r="V38" i="8"/>
  <c r="AP38" i="8" s="1"/>
  <c r="V19" i="8"/>
  <c r="AP19" i="8" s="1"/>
  <c r="V45" i="8"/>
  <c r="AP45" i="8" s="1"/>
  <c r="V14" i="8"/>
  <c r="AP14" i="8" s="1"/>
  <c r="V40" i="8"/>
  <c r="AP40" i="8" s="1"/>
  <c r="V13" i="8"/>
  <c r="AP13" i="8" s="1"/>
  <c r="V39" i="8"/>
  <c r="AX38" i="17"/>
  <c r="AX40" i="17" s="1"/>
  <c r="N15" i="1"/>
  <c r="V53" i="8"/>
  <c r="AP53" i="8" s="1"/>
  <c r="V27" i="8"/>
  <c r="AP27" i="8" s="1"/>
  <c r="BL22" i="1"/>
  <c r="R16" i="8"/>
  <c r="V42" i="8" s="1"/>
  <c r="AP42" i="8" s="1"/>
  <c r="V58" i="8"/>
  <c r="AP58" i="8" s="1"/>
  <c r="V26" i="8"/>
  <c r="AP26" i="8" s="1"/>
  <c r="V52" i="8"/>
  <c r="AP52" i="8" s="1"/>
  <c r="V51" i="8"/>
  <c r="AP51" i="8" s="1"/>
  <c r="V12" i="8"/>
  <c r="AU38" i="17"/>
  <c r="AU40" i="17" s="1"/>
  <c r="AO38" i="17"/>
  <c r="AO40" i="17" s="1"/>
  <c r="AR38" i="17"/>
  <c r="AR40" i="17" s="1"/>
  <c r="AI25" i="1" l="1"/>
  <c r="Q64" i="19"/>
  <c r="Z43" i="8"/>
  <c r="Z44" i="8"/>
  <c r="Z45" i="8"/>
  <c r="Z39" i="8"/>
  <c r="AD38" i="8"/>
  <c r="Z40" i="8"/>
  <c r="Z41" i="8"/>
  <c r="Z42" i="8"/>
  <c r="AP39" i="8"/>
  <c r="AP46" i="8" s="1"/>
  <c r="V46" i="8"/>
  <c r="V55" i="8"/>
  <c r="AP55" i="8" s="1"/>
  <c r="AP59" i="8" s="1"/>
  <c r="V16" i="8"/>
  <c r="AP16" i="8" s="1"/>
  <c r="V29" i="8"/>
  <c r="AP29" i="8" s="1"/>
  <c r="AP33" i="8" s="1"/>
  <c r="Z56" i="8"/>
  <c r="Z57" i="8"/>
  <c r="Z55" i="8"/>
  <c r="AD55" i="8" s="1"/>
  <c r="AT55" i="8" s="1"/>
  <c r="Z30" i="8"/>
  <c r="Z31" i="8"/>
  <c r="Z29" i="8"/>
  <c r="AD29" i="8" s="1"/>
  <c r="AT29" i="8" s="1"/>
  <c r="Z18" i="8"/>
  <c r="Z17" i="8"/>
  <c r="Z16" i="8"/>
  <c r="AD16" i="8" s="1"/>
  <c r="AT16" i="8" s="1"/>
  <c r="Z19" i="8"/>
  <c r="AP12" i="8"/>
  <c r="Z14" i="8"/>
  <c r="AD14" i="8" s="1"/>
  <c r="AT14" i="8" s="1"/>
  <c r="Z13" i="8"/>
  <c r="Z53" i="8"/>
  <c r="AD53" i="8" s="1"/>
  <c r="AT53" i="8" s="1"/>
  <c r="Z26" i="8"/>
  <c r="AD26" i="8" s="1"/>
  <c r="AT26" i="8" s="1"/>
  <c r="AL12" i="8"/>
  <c r="Z51" i="8"/>
  <c r="Z52" i="8"/>
  <c r="AD52" i="8" s="1"/>
  <c r="AT52" i="8" s="1"/>
  <c r="Z15" i="8"/>
  <c r="AD15" i="8" s="1"/>
  <c r="AT15" i="8" s="1"/>
  <c r="Z54" i="8"/>
  <c r="AD54" i="8" s="1"/>
  <c r="AT54" i="8" s="1"/>
  <c r="Z32" i="8"/>
  <c r="AD32" i="8" s="1"/>
  <c r="AT32" i="8" s="1"/>
  <c r="Z28" i="8"/>
  <c r="AD28" i="8" s="1"/>
  <c r="AT28" i="8" s="1"/>
  <c r="Z25" i="8"/>
  <c r="Z58" i="8"/>
  <c r="Z27" i="8"/>
  <c r="AD42" i="8" l="1"/>
  <c r="AT42" i="8" s="1"/>
  <c r="AH42" i="8"/>
  <c r="AX42" i="8" s="1"/>
  <c r="AH41" i="8"/>
  <c r="AX41" i="8" s="1"/>
  <c r="AD41" i="8"/>
  <c r="AT41" i="8" s="1"/>
  <c r="AD25" i="8"/>
  <c r="AT25" i="8" s="1"/>
  <c r="AD40" i="8"/>
  <c r="AT40" i="8" s="1"/>
  <c r="AH40" i="8"/>
  <c r="AX40" i="8" s="1"/>
  <c r="AD39" i="8"/>
  <c r="AT39" i="8" s="1"/>
  <c r="AH39" i="8"/>
  <c r="AX39" i="8" s="1"/>
  <c r="AD51" i="8"/>
  <c r="AL51" i="8"/>
  <c r="BB51" i="8" s="1"/>
  <c r="BB59" i="8" s="1"/>
  <c r="AV20" i="1" s="1"/>
  <c r="AQ17" i="1"/>
  <c r="AH38" i="8"/>
  <c r="AX38" i="8" s="1"/>
  <c r="AT38" i="8"/>
  <c r="BB46" i="8"/>
  <c r="AV17" i="1"/>
  <c r="AP20" i="8"/>
  <c r="AG17" i="1" s="1"/>
  <c r="V33" i="8"/>
  <c r="V59" i="8"/>
  <c r="V20" i="8"/>
  <c r="BB12" i="8"/>
  <c r="BB20" i="8" s="1"/>
  <c r="AG20" i="1" s="1"/>
  <c r="AL20" i="8"/>
  <c r="AL17" i="1"/>
  <c r="AD13" i="8"/>
  <c r="AT13" i="8" s="1"/>
  <c r="AL25" i="8"/>
  <c r="AL33" i="8" s="1"/>
  <c r="AD27" i="8"/>
  <c r="AT27" i="8" s="1"/>
  <c r="AH46" i="8" l="1"/>
  <c r="AX46" i="8"/>
  <c r="AQ19" i="1" s="1"/>
  <c r="AL46" i="8"/>
  <c r="AD46" i="8"/>
  <c r="AT46" i="8"/>
  <c r="AQ18" i="1" s="1"/>
  <c r="AD20" i="8"/>
  <c r="AT20" i="8"/>
  <c r="BH12" i="8" s="1"/>
  <c r="AT51" i="8"/>
  <c r="AT59" i="8" s="1"/>
  <c r="BH51" i="8" s="1"/>
  <c r="AL59" i="8"/>
  <c r="BB25" i="8"/>
  <c r="BB33" i="8" s="1"/>
  <c r="AL20" i="1" s="1"/>
  <c r="AD33" i="8"/>
  <c r="AD59" i="8"/>
  <c r="AT33" i="8"/>
  <c r="BH38" i="8" l="1"/>
  <c r="BP38" i="8" s="1"/>
  <c r="BH25" i="8"/>
  <c r="BP25" i="8" s="1"/>
  <c r="BR25" i="8" s="1"/>
  <c r="AL21" i="1" s="1"/>
  <c r="AV18" i="1"/>
  <c r="BP51" i="8"/>
  <c r="AL18" i="1"/>
  <c r="AG18" i="1"/>
  <c r="BP12" i="8"/>
  <c r="BR12" i="8" s="1"/>
  <c r="G20" i="1" s="1"/>
  <c r="H62" i="19" s="1"/>
  <c r="AQ22" i="1" l="1"/>
  <c r="BR38" i="8"/>
  <c r="Q20" i="1" s="1"/>
  <c r="H65" i="19" s="1"/>
  <c r="BR51" i="8"/>
  <c r="AV22" i="1"/>
  <c r="AG21" i="1"/>
  <c r="AG22" i="1"/>
  <c r="L20" i="1"/>
  <c r="H63" i="19" s="1"/>
  <c r="AL22" i="1"/>
  <c r="AV21" i="1" l="1"/>
  <c r="V20" i="1"/>
  <c r="H64" i="19" s="1"/>
  <c r="H66" i="19" s="1"/>
  <c r="AQ21" i="1"/>
  <c r="B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髙橋　優</author>
  </authors>
  <commentList>
    <comment ref="W2" authorId="0" shapeId="0" xr:uid="{78A682E7-7F48-4D65-881E-115DE33B6E94}">
      <text>
        <r>
          <rPr>
            <b/>
            <sz val="9"/>
            <color indexed="81"/>
            <rFont val="MS P ゴシック"/>
            <family val="3"/>
            <charset val="128"/>
          </rPr>
          <t xml:space="preserve">給与収入が区分に合致する場合「1」、異なる場合は「0」
</t>
        </r>
      </text>
    </comment>
    <comment ref="W17" authorId="0" shapeId="0" xr:uid="{DA3C1AB1-3A31-4DD2-810C-1E05DBCBBFC9}">
      <text>
        <r>
          <rPr>
            <b/>
            <sz val="9"/>
            <color indexed="81"/>
            <rFont val="MS P ゴシック"/>
            <family val="3"/>
            <charset val="128"/>
          </rPr>
          <t xml:space="preserve">給与収入が区分に合致する場合「1」、異なる場合は「0」
</t>
        </r>
      </text>
    </comment>
    <comment ref="W32" authorId="0" shapeId="0" xr:uid="{00E15CA6-2AAA-4DD1-82F8-5381272157CF}">
      <text>
        <r>
          <rPr>
            <b/>
            <sz val="9"/>
            <color indexed="81"/>
            <rFont val="MS P ゴシック"/>
            <family val="3"/>
            <charset val="128"/>
          </rPr>
          <t xml:space="preserve">給与収入が区分に合致する場合「1」、異なる場合は「0」
</t>
        </r>
      </text>
    </comment>
    <comment ref="W48" authorId="0" shapeId="0" xr:uid="{BC5C1C2A-0DB3-4958-99CF-751C968CF070}">
      <text>
        <r>
          <rPr>
            <b/>
            <sz val="9"/>
            <color indexed="81"/>
            <rFont val="MS P ゴシック"/>
            <family val="3"/>
            <charset val="128"/>
          </rPr>
          <t xml:space="preserve">給与収入が区分に合致する場合「1」、異なる場合は「0」
</t>
        </r>
      </text>
    </comment>
    <comment ref="W63" authorId="0" shapeId="0" xr:uid="{7FEE26F0-1EBC-42C8-95C6-39641918970B}">
      <text>
        <r>
          <rPr>
            <b/>
            <sz val="9"/>
            <color indexed="81"/>
            <rFont val="MS P ゴシック"/>
            <family val="3"/>
            <charset val="128"/>
          </rPr>
          <t xml:space="preserve">給与収入が区分に合致する場合「1」、異なる場合は「0」
</t>
        </r>
      </text>
    </comment>
    <comment ref="W78" authorId="0" shapeId="0" xr:uid="{24FA5EA0-6F64-49D9-9564-96E99D1E55F7}">
      <text>
        <r>
          <rPr>
            <b/>
            <sz val="9"/>
            <color indexed="81"/>
            <rFont val="MS P ゴシック"/>
            <family val="3"/>
            <charset val="128"/>
          </rPr>
          <t xml:space="preserve">給与収入が区分に合致する場合「1」、異なる場合は「0」
</t>
        </r>
      </text>
    </comment>
    <comment ref="W93" authorId="0" shapeId="0" xr:uid="{4F34B050-6927-40A2-B461-BDABECCA1F16}">
      <text>
        <r>
          <rPr>
            <b/>
            <sz val="9"/>
            <color indexed="81"/>
            <rFont val="MS P ゴシック"/>
            <family val="3"/>
            <charset val="128"/>
          </rPr>
          <t xml:space="preserve">給与収入が区分に合致する場合「1」、異なる場合は「0」
</t>
        </r>
      </text>
    </comment>
    <comment ref="W108" authorId="0" shapeId="0" xr:uid="{F8DF46A7-8FFA-4B86-8893-20D3870C8E81}">
      <text>
        <r>
          <rPr>
            <b/>
            <sz val="9"/>
            <color indexed="81"/>
            <rFont val="MS P ゴシック"/>
            <family val="3"/>
            <charset val="128"/>
          </rPr>
          <t xml:space="preserve">給与収入が区分に合致する場合「1」、異なる場合は「0」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髙橋　優</author>
  </authors>
  <commentList>
    <comment ref="V2" authorId="0" shapeId="0" xr:uid="{F3BA20B8-21D9-4F6A-9E45-02EAD9C4D9CA}">
      <text>
        <r>
          <rPr>
            <b/>
            <sz val="9"/>
            <color indexed="81"/>
            <rFont val="MS P ゴシック"/>
            <family val="3"/>
            <charset val="128"/>
          </rPr>
          <t xml:space="preserve">給与収入が区分に合致する場合「1」、異なる場合は「0」
</t>
        </r>
      </text>
    </comment>
    <comment ref="V12" authorId="0" shapeId="0" xr:uid="{F47AA97E-D04C-4A9C-A833-9EE556804277}">
      <text>
        <r>
          <rPr>
            <b/>
            <sz val="9"/>
            <color indexed="81"/>
            <rFont val="MS P ゴシック"/>
            <family val="3"/>
            <charset val="128"/>
          </rPr>
          <t xml:space="preserve">給与収入が区分に合致する場合「1」、異なる場合は「0」
</t>
        </r>
      </text>
    </comment>
    <comment ref="V22" authorId="0" shapeId="0" xr:uid="{5D75C3A2-2A5F-464E-B87A-8E359EBA3E32}">
      <text>
        <r>
          <rPr>
            <b/>
            <sz val="9"/>
            <color indexed="81"/>
            <rFont val="MS P ゴシック"/>
            <family val="3"/>
            <charset val="128"/>
          </rPr>
          <t xml:space="preserve">給与収入が区分に合致する場合「1」、異なる場合は「0」
</t>
        </r>
      </text>
    </comment>
    <comment ref="V32" authorId="0" shapeId="0" xr:uid="{7EECF2F1-9CE4-441D-B435-5C8DC5E8FFBF}">
      <text>
        <r>
          <rPr>
            <b/>
            <sz val="9"/>
            <color indexed="81"/>
            <rFont val="MS P ゴシック"/>
            <family val="3"/>
            <charset val="128"/>
          </rPr>
          <t xml:space="preserve">給与収入が区分に合致する場合「1」、異なる場合は「0」
</t>
        </r>
      </text>
    </comment>
    <comment ref="V42" authorId="0" shapeId="0" xr:uid="{8BBF9B7E-BB31-4954-B0D3-A1B96B6CD4BB}">
      <text>
        <r>
          <rPr>
            <b/>
            <sz val="9"/>
            <color indexed="81"/>
            <rFont val="MS P ゴシック"/>
            <family val="3"/>
            <charset val="128"/>
          </rPr>
          <t xml:space="preserve">給与収入が区分に合致する場合「1」、異なる場合は「0」
</t>
        </r>
      </text>
    </comment>
    <comment ref="V52" authorId="0" shapeId="0" xr:uid="{0564C0B5-3DE9-4FA8-A819-FCFEFCE38D84}">
      <text>
        <r>
          <rPr>
            <b/>
            <sz val="9"/>
            <color indexed="81"/>
            <rFont val="MS P ゴシック"/>
            <family val="3"/>
            <charset val="128"/>
          </rPr>
          <t xml:space="preserve">給与収入が区分に合致する場合「1」、異なる場合は「0」
</t>
        </r>
      </text>
    </comment>
    <comment ref="V62" authorId="0" shapeId="0" xr:uid="{21B57F49-082A-4B71-8B94-6B2D945E0ACB}">
      <text>
        <r>
          <rPr>
            <b/>
            <sz val="9"/>
            <color indexed="81"/>
            <rFont val="MS P ゴシック"/>
            <family val="3"/>
            <charset val="128"/>
          </rPr>
          <t xml:space="preserve">給与収入が区分に合致する場合「1」、異なる場合は「0」
</t>
        </r>
      </text>
    </comment>
    <comment ref="V72" authorId="0" shapeId="0" xr:uid="{F9CDAC66-36D3-4219-BDB3-3396386366F7}">
      <text>
        <r>
          <rPr>
            <b/>
            <sz val="9"/>
            <color indexed="81"/>
            <rFont val="MS P ゴシック"/>
            <family val="3"/>
            <charset val="128"/>
          </rPr>
          <t xml:space="preserve">給与収入が区分に合致する場合「1」、異なる場合は「0」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髙橋　優</author>
  </authors>
  <commentList>
    <comment ref="V2" authorId="0" shapeId="0" xr:uid="{4A962893-C4BA-41A5-A299-EF9A0439D016}">
      <text>
        <r>
          <rPr>
            <b/>
            <sz val="9"/>
            <color indexed="81"/>
            <rFont val="MS P ゴシック"/>
            <family val="3"/>
            <charset val="128"/>
          </rPr>
          <t xml:space="preserve">給与収入が区分に合致する場合「1」、異なる場合は「0」
</t>
        </r>
      </text>
    </comment>
    <comment ref="V12" authorId="0" shapeId="0" xr:uid="{7B361D25-EEB3-43AE-8E9E-ECF81F83E419}">
      <text>
        <r>
          <rPr>
            <b/>
            <sz val="9"/>
            <color indexed="81"/>
            <rFont val="MS P ゴシック"/>
            <family val="3"/>
            <charset val="128"/>
          </rPr>
          <t xml:space="preserve">給与収入が区分に合致する場合「1」、異なる場合は「0」
</t>
        </r>
      </text>
    </comment>
    <comment ref="V22" authorId="0" shapeId="0" xr:uid="{AE62D763-354D-4A0E-AD5C-CD4418E94D92}">
      <text>
        <r>
          <rPr>
            <b/>
            <sz val="9"/>
            <color indexed="81"/>
            <rFont val="MS P ゴシック"/>
            <family val="3"/>
            <charset val="128"/>
          </rPr>
          <t xml:space="preserve">給与収入が区分に合致する場合「1」、異なる場合は「0」
</t>
        </r>
      </text>
    </comment>
    <comment ref="V32" authorId="0" shapeId="0" xr:uid="{A6119D1C-E909-4D08-A298-50386B5FB013}">
      <text>
        <r>
          <rPr>
            <b/>
            <sz val="9"/>
            <color indexed="81"/>
            <rFont val="MS P ゴシック"/>
            <family val="3"/>
            <charset val="128"/>
          </rPr>
          <t xml:space="preserve">給与収入が区分に合致する場合「1」、異なる場合は「0」
</t>
        </r>
      </text>
    </comment>
    <comment ref="V42" authorId="0" shapeId="0" xr:uid="{0B8CA922-80A6-48BD-8161-02EBD2E2E444}">
      <text>
        <r>
          <rPr>
            <b/>
            <sz val="9"/>
            <color indexed="81"/>
            <rFont val="MS P ゴシック"/>
            <family val="3"/>
            <charset val="128"/>
          </rPr>
          <t xml:space="preserve">給与収入が区分に合致する場合「1」、異なる場合は「0」
</t>
        </r>
      </text>
    </comment>
    <comment ref="V52" authorId="0" shapeId="0" xr:uid="{0A937C11-EAAD-486D-8413-02DDB556CFFD}">
      <text>
        <r>
          <rPr>
            <b/>
            <sz val="9"/>
            <color indexed="81"/>
            <rFont val="MS P ゴシック"/>
            <family val="3"/>
            <charset val="128"/>
          </rPr>
          <t xml:space="preserve">給与収入が区分に合致する場合「1」、異なる場合は「0」
</t>
        </r>
      </text>
    </comment>
    <comment ref="V62" authorId="0" shapeId="0" xr:uid="{77E8C95F-8B45-4D5A-8CAE-6B9A99132F51}">
      <text>
        <r>
          <rPr>
            <b/>
            <sz val="9"/>
            <color indexed="81"/>
            <rFont val="MS P ゴシック"/>
            <family val="3"/>
            <charset val="128"/>
          </rPr>
          <t xml:space="preserve">給与収入が区分に合致する場合「1」、異なる場合は「0」
</t>
        </r>
      </text>
    </comment>
    <comment ref="V72" authorId="0" shapeId="0" xr:uid="{77143255-EF25-4C32-A83A-1D1E82BC82EF}">
      <text>
        <r>
          <rPr>
            <b/>
            <sz val="9"/>
            <color indexed="81"/>
            <rFont val="MS P ゴシック"/>
            <family val="3"/>
            <charset val="128"/>
          </rPr>
          <t xml:space="preserve">給与収入が区分に合致する場合「1」、異なる場合は「0」
</t>
        </r>
      </text>
    </comment>
  </commentList>
</comments>
</file>

<file path=xl/sharedStrings.xml><?xml version="1.0" encoding="utf-8"?>
<sst xmlns="http://schemas.openxmlformats.org/spreadsheetml/2006/main" count="1084" uniqueCount="351">
  <si>
    <t>国民健康保険料　試算</t>
    <rPh sb="0" eb="2">
      <t>コクミン</t>
    </rPh>
    <rPh sb="2" eb="4">
      <t>ケンコウ</t>
    </rPh>
    <rPh sb="4" eb="7">
      <t>ホケンリョウ</t>
    </rPh>
    <rPh sb="8" eb="10">
      <t>シサン</t>
    </rPh>
    <phoneticPr fontId="1"/>
  </si>
  <si>
    <t>※下記の計算結果につきましては試算になります。保険料額につきましては、お手続きいただいたのちに発送します決定（変更）通知をご確認ください。</t>
    <rPh sb="1" eb="3">
      <t>カキ</t>
    </rPh>
    <rPh sb="4" eb="6">
      <t>ケイサン</t>
    </rPh>
    <rPh sb="6" eb="8">
      <t>ケッカ</t>
    </rPh>
    <rPh sb="15" eb="17">
      <t>シサン</t>
    </rPh>
    <rPh sb="23" eb="26">
      <t>ホケンリョウ</t>
    </rPh>
    <rPh sb="26" eb="27">
      <t>ガク</t>
    </rPh>
    <rPh sb="36" eb="38">
      <t>テツヅ</t>
    </rPh>
    <rPh sb="47" eb="49">
      <t>ハッソウ</t>
    </rPh>
    <rPh sb="52" eb="54">
      <t>ケッテイ</t>
    </rPh>
    <rPh sb="55" eb="57">
      <t>ヘンコウ</t>
    </rPh>
    <rPh sb="58" eb="60">
      <t>ツウチ</t>
    </rPh>
    <rPh sb="62" eb="64">
      <t>カクニン</t>
    </rPh>
    <phoneticPr fontId="1"/>
  </si>
  <si>
    <t>世帯構成</t>
    <rPh sb="0" eb="2">
      <t>セタイ</t>
    </rPh>
    <rPh sb="2" eb="4">
      <t>コウセイ</t>
    </rPh>
    <phoneticPr fontId="1"/>
  </si>
  <si>
    <t>世帯主</t>
    <rPh sb="0" eb="3">
      <t>セタイヌシ</t>
    </rPh>
    <phoneticPr fontId="1"/>
  </si>
  <si>
    <t>世帯員</t>
    <rPh sb="0" eb="3">
      <t>セタイイン</t>
    </rPh>
    <phoneticPr fontId="1"/>
  </si>
  <si>
    <t>区分</t>
    <rPh sb="0" eb="2">
      <t>クブン</t>
    </rPh>
    <phoneticPr fontId="1"/>
  </si>
  <si>
    <t>国保被保険者</t>
    <rPh sb="0" eb="2">
      <t>コクホ</t>
    </rPh>
    <rPh sb="2" eb="6">
      <t>ヒホケンシャ</t>
    </rPh>
    <phoneticPr fontId="1"/>
  </si>
  <si>
    <t>区分（世帯主）</t>
    <rPh sb="0" eb="2">
      <t>クブン</t>
    </rPh>
    <rPh sb="3" eb="6">
      <t>セタイヌシ</t>
    </rPh>
    <phoneticPr fontId="1"/>
  </si>
  <si>
    <t>区分（世帯員）</t>
    <rPh sb="0" eb="2">
      <t>クブン</t>
    </rPh>
    <rPh sb="3" eb="6">
      <t>セタイイン</t>
    </rPh>
    <phoneticPr fontId="1"/>
  </si>
  <si>
    <t>擬制世帯主</t>
    <rPh sb="0" eb="2">
      <t>ギセイ</t>
    </rPh>
    <rPh sb="2" eb="5">
      <t>セタイヌシ</t>
    </rPh>
    <phoneticPr fontId="1"/>
  </si>
  <si>
    <t>旧被保険者</t>
    <rPh sb="0" eb="1">
      <t>キュウ</t>
    </rPh>
    <rPh sb="1" eb="5">
      <t>ヒホケンシャ</t>
    </rPh>
    <phoneticPr fontId="1"/>
  </si>
  <si>
    <t>旧被扶養者</t>
    <rPh sb="0" eb="1">
      <t>キュウ</t>
    </rPh>
    <rPh sb="1" eb="5">
      <t>ヒフヨウシャ</t>
    </rPh>
    <phoneticPr fontId="1"/>
  </si>
  <si>
    <t>年齢</t>
    <rPh sb="0" eb="2">
      <t>ネンレイ</t>
    </rPh>
    <phoneticPr fontId="1"/>
  </si>
  <si>
    <t>年齢</t>
    <rPh sb="0" eb="2">
      <t>ネンレイ</t>
    </rPh>
    <phoneticPr fontId="1"/>
  </si>
  <si>
    <t>国保加
入月数</t>
    <rPh sb="0" eb="2">
      <t>コクホ</t>
    </rPh>
    <rPh sb="2" eb="3">
      <t>カ</t>
    </rPh>
    <rPh sb="4" eb="5">
      <t>ニュウ</t>
    </rPh>
    <rPh sb="5" eb="6">
      <t>ツキ</t>
    </rPh>
    <rPh sb="6" eb="7">
      <t>スウ</t>
    </rPh>
    <phoneticPr fontId="1"/>
  </si>
  <si>
    <t>介護加入月数</t>
    <rPh sb="0" eb="2">
      <t>カイゴ</t>
    </rPh>
    <rPh sb="2" eb="4">
      <t>カニュウ</t>
    </rPh>
    <rPh sb="4" eb="5">
      <t>ツキ</t>
    </rPh>
    <rPh sb="5" eb="6">
      <t>スウ</t>
    </rPh>
    <phoneticPr fontId="1"/>
  </si>
  <si>
    <t>加入月数</t>
    <rPh sb="0" eb="2">
      <t>カニュウ</t>
    </rPh>
    <rPh sb="2" eb="4">
      <t>ツキスウ</t>
    </rPh>
    <phoneticPr fontId="1"/>
  </si>
  <si>
    <t>65歳以上</t>
    <rPh sb="2" eb="3">
      <t>サイ</t>
    </rPh>
    <rPh sb="3" eb="5">
      <t>イジョウ</t>
    </rPh>
    <phoneticPr fontId="1"/>
  </si>
  <si>
    <t>収入金額</t>
    <rPh sb="0" eb="2">
      <t>シュウニュウ</t>
    </rPh>
    <rPh sb="2" eb="4">
      <t>キンガク</t>
    </rPh>
    <phoneticPr fontId="1"/>
  </si>
  <si>
    <t>所得金額</t>
    <rPh sb="0" eb="2">
      <t>ショトク</t>
    </rPh>
    <rPh sb="2" eb="4">
      <t>キンガク</t>
    </rPh>
    <phoneticPr fontId="1"/>
  </si>
  <si>
    <t>給与</t>
    <rPh sb="0" eb="2">
      <t>キュウヨ</t>
    </rPh>
    <phoneticPr fontId="1"/>
  </si>
  <si>
    <t>年金（６５歳以上）</t>
    <rPh sb="0" eb="2">
      <t>ネンキン</t>
    </rPh>
    <rPh sb="5" eb="6">
      <t>サイ</t>
    </rPh>
    <rPh sb="6" eb="8">
      <t>イジョウ</t>
    </rPh>
    <phoneticPr fontId="1"/>
  </si>
  <si>
    <t>年金（６５歳未満）</t>
    <rPh sb="0" eb="2">
      <t>ネンキン</t>
    </rPh>
    <rPh sb="5" eb="6">
      <t>サイ</t>
    </rPh>
    <rPh sb="6" eb="8">
      <t>ミマン</t>
    </rPh>
    <phoneticPr fontId="1"/>
  </si>
  <si>
    <t>その他所得</t>
    <rPh sb="2" eb="3">
      <t>タ</t>
    </rPh>
    <rPh sb="3" eb="5">
      <t>ショトク</t>
    </rPh>
    <phoneticPr fontId="1"/>
  </si>
  <si>
    <t>世帯加入月数</t>
    <rPh sb="0" eb="2">
      <t>セタイ</t>
    </rPh>
    <rPh sb="2" eb="4">
      <t>カニュウ</t>
    </rPh>
    <rPh sb="4" eb="6">
      <t>ツキスウ</t>
    </rPh>
    <phoneticPr fontId="1"/>
  </si>
  <si>
    <t>ヵ月</t>
    <rPh sb="1" eb="2">
      <t>ゲツ</t>
    </rPh>
    <phoneticPr fontId="1"/>
  </si>
  <si>
    <t>世帯軽減区分</t>
    <rPh sb="0" eb="2">
      <t>セタイ</t>
    </rPh>
    <rPh sb="2" eb="4">
      <t>ケイゲン</t>
    </rPh>
    <rPh sb="4" eb="6">
      <t>クブン</t>
    </rPh>
    <phoneticPr fontId="1"/>
  </si>
  <si>
    <t>非自発</t>
    <rPh sb="0" eb="1">
      <t>ヒ</t>
    </rPh>
    <rPh sb="1" eb="3">
      <t>ジハツ</t>
    </rPh>
    <phoneticPr fontId="1"/>
  </si>
  <si>
    <t>所得割額</t>
    <rPh sb="0" eb="2">
      <t>ショトク</t>
    </rPh>
    <rPh sb="2" eb="3">
      <t>ワリ</t>
    </rPh>
    <rPh sb="3" eb="4">
      <t>ガク</t>
    </rPh>
    <phoneticPr fontId="1"/>
  </si>
  <si>
    <t>（</t>
    <phoneticPr fontId="1"/>
  </si>
  <si>
    <t>年度</t>
    <rPh sb="0" eb="2">
      <t>ネンド</t>
    </rPh>
    <phoneticPr fontId="1"/>
  </si>
  <si>
    <t>）</t>
    <phoneticPr fontId="1"/>
  </si>
  <si>
    <t>保険料算定額</t>
    <rPh sb="0" eb="3">
      <t>ホケンリョウ</t>
    </rPh>
    <rPh sb="3" eb="5">
      <t>サンテイ</t>
    </rPh>
    <rPh sb="5" eb="6">
      <t>ガク</t>
    </rPh>
    <phoneticPr fontId="1"/>
  </si>
  <si>
    <t>合計</t>
    <rPh sb="0" eb="2">
      <t>ゴウケイ</t>
    </rPh>
    <phoneticPr fontId="1"/>
  </si>
  <si>
    <t>医療</t>
    <rPh sb="0" eb="2">
      <t>イリョウ</t>
    </rPh>
    <phoneticPr fontId="1"/>
  </si>
  <si>
    <t>支援</t>
    <rPh sb="0" eb="2">
      <t>シエン</t>
    </rPh>
    <phoneticPr fontId="1"/>
  </si>
  <si>
    <t>介護</t>
    <rPh sb="0" eb="2">
      <t>カイゴ</t>
    </rPh>
    <phoneticPr fontId="1"/>
  </si>
  <si>
    <t>円</t>
    <rPh sb="0" eb="1">
      <t>エン</t>
    </rPh>
    <phoneticPr fontId="1"/>
  </si>
  <si>
    <t>～</t>
    <phoneticPr fontId="1"/>
  </si>
  <si>
    <t>控除後給与所得の計算方法</t>
    <rPh sb="0" eb="2">
      <t>コウジョ</t>
    </rPh>
    <rPh sb="2" eb="3">
      <t>ゴ</t>
    </rPh>
    <rPh sb="3" eb="5">
      <t>キュウヨ</t>
    </rPh>
    <rPh sb="5" eb="7">
      <t>ショトク</t>
    </rPh>
    <rPh sb="8" eb="10">
      <t>ケイサン</t>
    </rPh>
    <rPh sb="10" eb="12">
      <t>ホウホウ</t>
    </rPh>
    <phoneticPr fontId="1"/>
  </si>
  <si>
    <t>以下</t>
    <rPh sb="0" eb="2">
      <t>イカ</t>
    </rPh>
    <phoneticPr fontId="1"/>
  </si>
  <si>
    <t>給与所得</t>
    <rPh sb="0" eb="2">
      <t>キュウヨ</t>
    </rPh>
    <rPh sb="2" eb="4">
      <t>ショトク</t>
    </rPh>
    <phoneticPr fontId="1"/>
  </si>
  <si>
    <t>年金（65未満）</t>
    <rPh sb="0" eb="2">
      <t>ネンキン</t>
    </rPh>
    <rPh sb="5" eb="7">
      <t>ミマン</t>
    </rPh>
    <phoneticPr fontId="1"/>
  </si>
  <si>
    <t>年金（65以上）</t>
    <rPh sb="0" eb="2">
      <t>ネンキン</t>
    </rPh>
    <rPh sb="5" eb="7">
      <t>イジョウ</t>
    </rPh>
    <phoneticPr fontId="1"/>
  </si>
  <si>
    <t>賦課基準額</t>
    <rPh sb="0" eb="2">
      <t>フカ</t>
    </rPh>
    <rPh sb="2" eb="4">
      <t>キジュン</t>
    </rPh>
    <rPh sb="4" eb="5">
      <t>ガク</t>
    </rPh>
    <phoneticPr fontId="1"/>
  </si>
  <si>
    <t>【賦課基準額の算出】</t>
    <rPh sb="1" eb="3">
      <t>フカ</t>
    </rPh>
    <rPh sb="3" eb="5">
      <t>キジュン</t>
    </rPh>
    <rPh sb="5" eb="6">
      <t>ガク</t>
    </rPh>
    <rPh sb="7" eb="9">
      <t>サンシュツ</t>
    </rPh>
    <phoneticPr fontId="1"/>
  </si>
  <si>
    <t>【軽減判定所得の算出】</t>
    <rPh sb="1" eb="3">
      <t>ケイゲン</t>
    </rPh>
    <rPh sb="3" eb="5">
      <t>ハンテイ</t>
    </rPh>
    <rPh sb="5" eb="7">
      <t>ショトク</t>
    </rPh>
    <rPh sb="8" eb="10">
      <t>サンシュツ</t>
    </rPh>
    <phoneticPr fontId="1"/>
  </si>
  <si>
    <t>※公的年金控除△15万円</t>
    <rPh sb="1" eb="3">
      <t>コウテキ</t>
    </rPh>
    <rPh sb="3" eb="5">
      <t>ネンキン</t>
    </rPh>
    <rPh sb="5" eb="7">
      <t>コウジョ</t>
    </rPh>
    <rPh sb="10" eb="11">
      <t>マン</t>
    </rPh>
    <rPh sb="11" eb="12">
      <t>エン</t>
    </rPh>
    <phoneticPr fontId="1"/>
  </si>
  <si>
    <t>軽減判定所得</t>
    <rPh sb="0" eb="2">
      <t>ケイゲン</t>
    </rPh>
    <rPh sb="2" eb="4">
      <t>ハンテイ</t>
    </rPh>
    <rPh sb="4" eb="6">
      <t>ショトク</t>
    </rPh>
    <phoneticPr fontId="1"/>
  </si>
  <si>
    <t>〇</t>
    <phoneticPr fontId="1"/>
  </si>
  <si>
    <t>【世帯軽減判定】</t>
    <rPh sb="1" eb="3">
      <t>セタイ</t>
    </rPh>
    <rPh sb="3" eb="5">
      <t>ケイゲン</t>
    </rPh>
    <rPh sb="5" eb="7">
      <t>ハンテイ</t>
    </rPh>
    <phoneticPr fontId="1"/>
  </si>
  <si>
    <t>軽減区分</t>
    <rPh sb="0" eb="2">
      <t>ケイゲン</t>
    </rPh>
    <rPh sb="2" eb="4">
      <t>クブン</t>
    </rPh>
    <phoneticPr fontId="1"/>
  </si>
  <si>
    <t>法定軽減</t>
    <rPh sb="0" eb="2">
      <t>ホウテイ</t>
    </rPh>
    <rPh sb="2" eb="4">
      <t>ケイゲン</t>
    </rPh>
    <phoneticPr fontId="1"/>
  </si>
  <si>
    <t>７割</t>
    <rPh sb="1" eb="2">
      <t>ワリ</t>
    </rPh>
    <phoneticPr fontId="1"/>
  </si>
  <si>
    <t>５割</t>
    <rPh sb="1" eb="2">
      <t>ワリ</t>
    </rPh>
    <phoneticPr fontId="1"/>
  </si>
  <si>
    <t>２割</t>
    <rPh sb="1" eb="2">
      <t>ワリ</t>
    </rPh>
    <phoneticPr fontId="1"/>
  </si>
  <si>
    <t>経過措置</t>
    <rPh sb="0" eb="2">
      <t>ケイカ</t>
    </rPh>
    <rPh sb="2" eb="4">
      <t>ソチ</t>
    </rPh>
    <phoneticPr fontId="1"/>
  </si>
  <si>
    <t>市減免</t>
    <rPh sb="0" eb="1">
      <t>シ</t>
    </rPh>
    <rPh sb="1" eb="3">
      <t>ゲンメン</t>
    </rPh>
    <phoneticPr fontId="1"/>
  </si>
  <si>
    <t>基準額</t>
    <rPh sb="0" eb="2">
      <t>キジュン</t>
    </rPh>
    <rPh sb="2" eb="3">
      <t>ガク</t>
    </rPh>
    <phoneticPr fontId="1"/>
  </si>
  <si>
    <t>加算（×被保数）</t>
    <rPh sb="0" eb="2">
      <t>カサン</t>
    </rPh>
    <rPh sb="4" eb="5">
      <t>ヒ</t>
    </rPh>
    <rPh sb="5" eb="6">
      <t>ホ</t>
    </rPh>
    <rPh sb="6" eb="7">
      <t>スウ</t>
    </rPh>
    <phoneticPr fontId="1"/>
  </si>
  <si>
    <t>未満</t>
    <rPh sb="0" eb="2">
      <t>ミマン</t>
    </rPh>
    <phoneticPr fontId="1"/>
  </si>
  <si>
    <t>軽減判定人数</t>
    <rPh sb="0" eb="2">
      <t>ケイゲン</t>
    </rPh>
    <rPh sb="2" eb="4">
      <t>ハンテイ</t>
    </rPh>
    <rPh sb="4" eb="6">
      <t>ニンズウ</t>
    </rPh>
    <phoneticPr fontId="1"/>
  </si>
  <si>
    <t>この世帯の軽減判定所得</t>
    <rPh sb="2" eb="4">
      <t>セタイ</t>
    </rPh>
    <rPh sb="5" eb="7">
      <t>ケイゲン</t>
    </rPh>
    <rPh sb="7" eb="9">
      <t>ハンテイ</t>
    </rPh>
    <rPh sb="9" eb="11">
      <t>ショトク</t>
    </rPh>
    <phoneticPr fontId="1"/>
  </si>
  <si>
    <t>７割軽減</t>
    <rPh sb="1" eb="2">
      <t>ワリ</t>
    </rPh>
    <rPh sb="2" eb="4">
      <t>ケイゲン</t>
    </rPh>
    <phoneticPr fontId="1"/>
  </si>
  <si>
    <t>５割軽減</t>
    <rPh sb="1" eb="2">
      <t>ワリ</t>
    </rPh>
    <rPh sb="2" eb="4">
      <t>ケイゲン</t>
    </rPh>
    <phoneticPr fontId="1"/>
  </si>
  <si>
    <t>２割軽減</t>
    <rPh sb="1" eb="2">
      <t>ワリ</t>
    </rPh>
    <rPh sb="2" eb="4">
      <t>ケイゲン</t>
    </rPh>
    <phoneticPr fontId="1"/>
  </si>
  <si>
    <t>市独自２割減免</t>
    <rPh sb="0" eb="1">
      <t>シ</t>
    </rPh>
    <rPh sb="1" eb="3">
      <t>ドクジ</t>
    </rPh>
    <rPh sb="4" eb="5">
      <t>ワリ</t>
    </rPh>
    <rPh sb="5" eb="7">
      <t>ゲンメン</t>
    </rPh>
    <phoneticPr fontId="1"/>
  </si>
  <si>
    <t>【保険料率】</t>
    <rPh sb="1" eb="4">
      <t>ホケンリョウ</t>
    </rPh>
    <rPh sb="4" eb="5">
      <t>リツ</t>
    </rPh>
    <phoneticPr fontId="1"/>
  </si>
  <si>
    <t>所得割</t>
    <rPh sb="0" eb="2">
      <t>ショトク</t>
    </rPh>
    <rPh sb="2" eb="3">
      <t>ワリ</t>
    </rPh>
    <phoneticPr fontId="1"/>
  </si>
  <si>
    <t>被保険者均等割</t>
    <rPh sb="0" eb="4">
      <t>ヒホケンシャ</t>
    </rPh>
    <rPh sb="4" eb="7">
      <t>キントウワ</t>
    </rPh>
    <phoneticPr fontId="1"/>
  </si>
  <si>
    <t>世帯別平等割</t>
    <rPh sb="0" eb="2">
      <t>セタイ</t>
    </rPh>
    <rPh sb="2" eb="3">
      <t>ベツ</t>
    </rPh>
    <rPh sb="3" eb="5">
      <t>ビョウドウ</t>
    </rPh>
    <rPh sb="5" eb="6">
      <t>ワリ</t>
    </rPh>
    <phoneticPr fontId="1"/>
  </si>
  <si>
    <t>世帯割</t>
    <rPh sb="0" eb="2">
      <t>セタイ</t>
    </rPh>
    <rPh sb="2" eb="3">
      <t>ワリ</t>
    </rPh>
    <phoneticPr fontId="1"/>
  </si>
  <si>
    <t>被保割</t>
    <rPh sb="0" eb="1">
      <t>ヒ</t>
    </rPh>
    <rPh sb="1" eb="2">
      <t>ホ</t>
    </rPh>
    <rPh sb="2" eb="3">
      <t>ワリ</t>
    </rPh>
    <phoneticPr fontId="1"/>
  </si>
  <si>
    <t>１年間保険料算出（限度考慮前）</t>
    <rPh sb="1" eb="3">
      <t>ネンカン</t>
    </rPh>
    <rPh sb="3" eb="6">
      <t>ホケンリョウ</t>
    </rPh>
    <rPh sb="6" eb="8">
      <t>サンシュツ</t>
    </rPh>
    <rPh sb="9" eb="11">
      <t>ゲンド</t>
    </rPh>
    <rPh sb="11" eb="13">
      <t>コウリョ</t>
    </rPh>
    <rPh sb="13" eb="14">
      <t>マエ</t>
    </rPh>
    <phoneticPr fontId="1"/>
  </si>
  <si>
    <t>限度額</t>
    <rPh sb="0" eb="2">
      <t>ゲンド</t>
    </rPh>
    <rPh sb="2" eb="3">
      <t>ガク</t>
    </rPh>
    <phoneticPr fontId="1"/>
  </si>
  <si>
    <t>医療</t>
    <rPh sb="0" eb="2">
      <t>イリョウ</t>
    </rPh>
    <phoneticPr fontId="1"/>
  </si>
  <si>
    <t>最大加入数→</t>
    <rPh sb="0" eb="2">
      <t>サイダイ</t>
    </rPh>
    <rPh sb="2" eb="4">
      <t>カニュウ</t>
    </rPh>
    <rPh sb="4" eb="5">
      <t>スウ</t>
    </rPh>
    <phoneticPr fontId="1"/>
  </si>
  <si>
    <t>月割保険料算出（限度考慮前）</t>
    <rPh sb="0" eb="1">
      <t>ツキ</t>
    </rPh>
    <rPh sb="1" eb="2">
      <t>ワリ</t>
    </rPh>
    <rPh sb="2" eb="5">
      <t>ホケンリョウ</t>
    </rPh>
    <rPh sb="5" eb="7">
      <t>サンシュツ</t>
    </rPh>
    <rPh sb="8" eb="10">
      <t>ゲンド</t>
    </rPh>
    <rPh sb="10" eb="12">
      <t>コウリョ</t>
    </rPh>
    <rPh sb="12" eb="13">
      <t>マエ</t>
    </rPh>
    <phoneticPr fontId="1"/>
  </si>
  <si>
    <t>限度額</t>
    <rPh sb="0" eb="2">
      <t>ゲンド</t>
    </rPh>
    <rPh sb="2" eb="3">
      <t>ガク</t>
    </rPh>
    <phoneticPr fontId="1"/>
  </si>
  <si>
    <t>限度
判定</t>
    <rPh sb="0" eb="2">
      <t>ゲンド</t>
    </rPh>
    <rPh sb="3" eb="5">
      <t>ハンテイ</t>
    </rPh>
    <phoneticPr fontId="1"/>
  </si>
  <si>
    <t>保険料</t>
    <rPh sb="0" eb="3">
      <t>ホケンリョウ</t>
    </rPh>
    <phoneticPr fontId="1"/>
  </si>
  <si>
    <t>保険料
（限度後）</t>
    <rPh sb="0" eb="3">
      <t>ホケンリョウ</t>
    </rPh>
    <rPh sb="5" eb="7">
      <t>ゲンド</t>
    </rPh>
    <rPh sb="7" eb="8">
      <t>ゴ</t>
    </rPh>
    <phoneticPr fontId="1"/>
  </si>
  <si>
    <t>旧国保減免判定</t>
    <rPh sb="0" eb="1">
      <t>キュウ</t>
    </rPh>
    <rPh sb="1" eb="3">
      <t>コクホ</t>
    </rPh>
    <rPh sb="3" eb="5">
      <t>ゲンメン</t>
    </rPh>
    <rPh sb="5" eb="7">
      <t>ハンテイ</t>
    </rPh>
    <phoneticPr fontId="1"/>
  </si>
  <si>
    <t>旧国減免</t>
    <rPh sb="0" eb="1">
      <t>キュウ</t>
    </rPh>
    <rPh sb="1" eb="2">
      <t>コク</t>
    </rPh>
    <rPh sb="2" eb="4">
      <t>ゲンメン</t>
    </rPh>
    <phoneticPr fontId="1"/>
  </si>
  <si>
    <t>【保険料合計の内訳】</t>
    <rPh sb="1" eb="4">
      <t>ホケンリョウ</t>
    </rPh>
    <rPh sb="4" eb="6">
      <t>ゴウケイ</t>
    </rPh>
    <rPh sb="7" eb="9">
      <t>ウチワケ</t>
    </rPh>
    <phoneticPr fontId="1"/>
  </si>
  <si>
    <t>所得割額</t>
    <rPh sb="0" eb="2">
      <t>ショトク</t>
    </rPh>
    <rPh sb="2" eb="3">
      <t>ワリ</t>
    </rPh>
    <rPh sb="3" eb="4">
      <t>ガク</t>
    </rPh>
    <phoneticPr fontId="1"/>
  </si>
  <si>
    <t>被保割額</t>
    <rPh sb="0" eb="1">
      <t>ヒ</t>
    </rPh>
    <rPh sb="1" eb="2">
      <t>ホ</t>
    </rPh>
    <rPh sb="2" eb="3">
      <t>ワリ</t>
    </rPh>
    <rPh sb="3" eb="4">
      <t>ガク</t>
    </rPh>
    <phoneticPr fontId="1"/>
  </si>
  <si>
    <t>世帯割額</t>
    <rPh sb="0" eb="2">
      <t>セタイ</t>
    </rPh>
    <rPh sb="2" eb="3">
      <t>ワリ</t>
    </rPh>
    <rPh sb="3" eb="4">
      <t>ガク</t>
    </rPh>
    <phoneticPr fontId="1"/>
  </si>
  <si>
    <t>保険料額</t>
    <rPh sb="0" eb="3">
      <t>ホケンリョウ</t>
    </rPh>
    <rPh sb="3" eb="4">
      <t>ガク</t>
    </rPh>
    <phoneticPr fontId="1"/>
  </si>
  <si>
    <t>限度額判定</t>
    <rPh sb="0" eb="2">
      <t>ゲンド</t>
    </rPh>
    <rPh sb="2" eb="3">
      <t>ガク</t>
    </rPh>
    <rPh sb="3" eb="5">
      <t>ハンテイ</t>
    </rPh>
    <phoneticPr fontId="1"/>
  </si>
  <si>
    <t>【軽減・減免等の適用】</t>
    <rPh sb="1" eb="3">
      <t>ケイゲン</t>
    </rPh>
    <rPh sb="4" eb="6">
      <t>ゲンメン</t>
    </rPh>
    <rPh sb="6" eb="7">
      <t>ナド</t>
    </rPh>
    <rPh sb="8" eb="10">
      <t>テキヨウ</t>
    </rPh>
    <phoneticPr fontId="1"/>
  </si>
  <si>
    <t>軽減・減免区分</t>
    <rPh sb="0" eb="2">
      <t>ケイゲン</t>
    </rPh>
    <rPh sb="3" eb="5">
      <t>ゲンメン</t>
    </rPh>
    <rPh sb="5" eb="7">
      <t>クブン</t>
    </rPh>
    <phoneticPr fontId="1"/>
  </si>
  <si>
    <t>非自発適用</t>
    <rPh sb="0" eb="1">
      <t>ヒ</t>
    </rPh>
    <rPh sb="1" eb="3">
      <t>ジハツ</t>
    </rPh>
    <rPh sb="3" eb="5">
      <t>テキヨウ</t>
    </rPh>
    <phoneticPr fontId="1"/>
  </si>
  <si>
    <t>旧被保険者適用</t>
    <rPh sb="0" eb="1">
      <t>キュウ</t>
    </rPh>
    <rPh sb="1" eb="5">
      <t>ヒホケンシャ</t>
    </rPh>
    <rPh sb="5" eb="7">
      <t>テキヨウ</t>
    </rPh>
    <phoneticPr fontId="1"/>
  </si>
  <si>
    <t>旧被扶養者減免</t>
    <rPh sb="0" eb="1">
      <t>キュウ</t>
    </rPh>
    <rPh sb="1" eb="5">
      <t>ヒフヨウシャ</t>
    </rPh>
    <rPh sb="5" eb="7">
      <t>ゲンメン</t>
    </rPh>
    <phoneticPr fontId="1"/>
  </si>
  <si>
    <t>【旧被扶養者減免の判定】</t>
    <rPh sb="1" eb="2">
      <t>キュウ</t>
    </rPh>
    <rPh sb="2" eb="6">
      <t>ヒフヨウシャ</t>
    </rPh>
    <rPh sb="6" eb="8">
      <t>ゲンメン</t>
    </rPh>
    <rPh sb="9" eb="11">
      <t>ハンテイ</t>
    </rPh>
    <phoneticPr fontId="1"/>
  </si>
  <si>
    <t>旧被扶養者減免の有無</t>
    <rPh sb="0" eb="1">
      <t>キュウ</t>
    </rPh>
    <rPh sb="1" eb="5">
      <t>ヒフヨウシャ</t>
    </rPh>
    <rPh sb="5" eb="7">
      <t>ゲンメン</t>
    </rPh>
    <rPh sb="8" eb="10">
      <t>ウム</t>
    </rPh>
    <phoneticPr fontId="1"/>
  </si>
  <si>
    <t>被保険者割</t>
    <rPh sb="0" eb="4">
      <t>ヒホケンシャ</t>
    </rPh>
    <rPh sb="4" eb="5">
      <t>ワリ</t>
    </rPh>
    <phoneticPr fontId="1"/>
  </si>
  <si>
    <t>被保＋世帯割</t>
    <rPh sb="0" eb="1">
      <t>ヒ</t>
    </rPh>
    <rPh sb="1" eb="2">
      <t>ホ</t>
    </rPh>
    <rPh sb="3" eb="5">
      <t>セタイ</t>
    </rPh>
    <rPh sb="5" eb="6">
      <t>ワリ</t>
    </rPh>
    <phoneticPr fontId="1"/>
  </si>
  <si>
    <t>軽減する割合</t>
    <rPh sb="0" eb="2">
      <t>ケイゲン</t>
    </rPh>
    <rPh sb="4" eb="6">
      <t>ワリアイ</t>
    </rPh>
    <phoneticPr fontId="1"/>
  </si>
  <si>
    <t>世帯に旧被扶以外あり</t>
    <rPh sb="0" eb="2">
      <t>セタイ</t>
    </rPh>
    <rPh sb="3" eb="4">
      <t>キュウ</t>
    </rPh>
    <rPh sb="4" eb="5">
      <t>ヒ</t>
    </rPh>
    <rPh sb="5" eb="6">
      <t>フ</t>
    </rPh>
    <rPh sb="6" eb="8">
      <t>イガイ</t>
    </rPh>
    <phoneticPr fontId="1"/>
  </si>
  <si>
    <t>世帯に旧被扶のみ</t>
    <rPh sb="0" eb="2">
      <t>セタイ</t>
    </rPh>
    <rPh sb="3" eb="4">
      <t>キュウ</t>
    </rPh>
    <rPh sb="4" eb="5">
      <t>ヒ</t>
    </rPh>
    <rPh sb="5" eb="6">
      <t>フ</t>
    </rPh>
    <phoneticPr fontId="1"/>
  </si>
  <si>
    <t>旧被扶A減免</t>
    <rPh sb="0" eb="1">
      <t>キュウ</t>
    </rPh>
    <rPh sb="1" eb="2">
      <t>ヒ</t>
    </rPh>
    <rPh sb="2" eb="3">
      <t>フ</t>
    </rPh>
    <rPh sb="4" eb="6">
      <t>ゲンメン</t>
    </rPh>
    <phoneticPr fontId="1"/>
  </si>
  <si>
    <t>旧被扶B減免</t>
    <rPh sb="0" eb="1">
      <t>キュウ</t>
    </rPh>
    <rPh sb="1" eb="2">
      <t>ヒ</t>
    </rPh>
    <rPh sb="2" eb="3">
      <t>フ</t>
    </rPh>
    <rPh sb="4" eb="6">
      <t>ゲンメン</t>
    </rPh>
    <phoneticPr fontId="1"/>
  </si>
  <si>
    <t>区分表記</t>
    <rPh sb="0" eb="2">
      <t>クブン</t>
    </rPh>
    <rPh sb="2" eb="4">
      <t>ヒョウキ</t>
    </rPh>
    <phoneticPr fontId="1"/>
  </si>
  <si>
    <t>旧被扶養者減免区分</t>
    <rPh sb="0" eb="1">
      <t>キュウ</t>
    </rPh>
    <rPh sb="1" eb="5">
      <t>ヒフヨウシャ</t>
    </rPh>
    <rPh sb="5" eb="7">
      <t>ゲンメン</t>
    </rPh>
    <rPh sb="7" eb="9">
      <t>クブン</t>
    </rPh>
    <phoneticPr fontId="1"/>
  </si>
  <si>
    <t>軽減</t>
    <rPh sb="0" eb="2">
      <t>ケイゲン</t>
    </rPh>
    <phoneticPr fontId="1"/>
  </si>
  <si>
    <t>旧被扶</t>
    <rPh sb="0" eb="1">
      <t>キュウ</t>
    </rPh>
    <rPh sb="1" eb="2">
      <t>ヒ</t>
    </rPh>
    <rPh sb="2" eb="3">
      <t>フ</t>
    </rPh>
    <phoneticPr fontId="1"/>
  </si>
  <si>
    <t>保険料率</t>
    <rPh sb="0" eb="3">
      <t>ホケンリョウ</t>
    </rPh>
    <rPh sb="3" eb="4">
      <t>リツ</t>
    </rPh>
    <phoneticPr fontId="1"/>
  </si>
  <si>
    <t>軽減減免なし</t>
    <rPh sb="0" eb="2">
      <t>ケイゲン</t>
    </rPh>
    <rPh sb="2" eb="4">
      <t>ゲンメン</t>
    </rPh>
    <phoneticPr fontId="1"/>
  </si>
  <si>
    <t>減免なし</t>
    <rPh sb="0" eb="2">
      <t>ゲンメン</t>
    </rPh>
    <phoneticPr fontId="1"/>
  </si>
  <si>
    <t>旧被扶養者減免</t>
    <rPh sb="0" eb="1">
      <t>キュウ</t>
    </rPh>
    <rPh sb="1" eb="5">
      <t>ヒフヨウシャ</t>
    </rPh>
    <rPh sb="5" eb="7">
      <t>ゲンメン</t>
    </rPh>
    <phoneticPr fontId="1"/>
  </si>
  <si>
    <t>令和</t>
    <rPh sb="0" eb="2">
      <t>レイワ</t>
    </rPh>
    <phoneticPr fontId="1"/>
  </si>
  <si>
    <t>年度を変更する。</t>
    <rPh sb="0" eb="1">
      <t>ネン</t>
    </rPh>
    <rPh sb="1" eb="2">
      <t>ド</t>
    </rPh>
    <rPh sb="3" eb="5">
      <t>ヘンコウ</t>
    </rPh>
    <phoneticPr fontId="1"/>
  </si>
  <si>
    <t>軽減区分とかを変更する。</t>
    <rPh sb="0" eb="2">
      <t>ケイゲン</t>
    </rPh>
    <rPh sb="2" eb="4">
      <t>クブン</t>
    </rPh>
    <rPh sb="7" eb="9">
      <t>ヘンコウ</t>
    </rPh>
    <phoneticPr fontId="1"/>
  </si>
  <si>
    <t>料率を変更する。</t>
    <rPh sb="0" eb="2">
      <t>リョウリツ</t>
    </rPh>
    <rPh sb="3" eb="5">
      <t>ヘンコウ</t>
    </rPh>
    <phoneticPr fontId="1"/>
  </si>
  <si>
    <t>注意！！この試算ツール、年金とか給与所得計算とか変更したら絶対修正できない・・・・まして、軽減計算方法が変わったら絶対無理・・・
その時は、１から作った方がいいと思います～</t>
    <rPh sb="0" eb="2">
      <t>チュウイ</t>
    </rPh>
    <rPh sb="6" eb="8">
      <t>シサン</t>
    </rPh>
    <rPh sb="12" eb="14">
      <t>ネンキン</t>
    </rPh>
    <rPh sb="16" eb="18">
      <t>キュウヨ</t>
    </rPh>
    <rPh sb="18" eb="20">
      <t>ショトク</t>
    </rPh>
    <rPh sb="20" eb="22">
      <t>ケイサン</t>
    </rPh>
    <rPh sb="24" eb="26">
      <t>ヘンコウ</t>
    </rPh>
    <rPh sb="29" eb="31">
      <t>ゼッタイ</t>
    </rPh>
    <rPh sb="31" eb="33">
      <t>シュウセイ</t>
    </rPh>
    <rPh sb="45" eb="47">
      <t>ケイゲン</t>
    </rPh>
    <rPh sb="47" eb="49">
      <t>ケイサン</t>
    </rPh>
    <rPh sb="49" eb="51">
      <t>ホウホウ</t>
    </rPh>
    <rPh sb="52" eb="53">
      <t>カ</t>
    </rPh>
    <rPh sb="57" eb="59">
      <t>ゼッタイ</t>
    </rPh>
    <rPh sb="59" eb="61">
      <t>ムリ</t>
    </rPh>
    <rPh sb="67" eb="68">
      <t>トキ</t>
    </rPh>
    <rPh sb="73" eb="74">
      <t>ツク</t>
    </rPh>
    <rPh sb="76" eb="77">
      <t>ホウ</t>
    </rPh>
    <rPh sb="81" eb="82">
      <t>オモ</t>
    </rPh>
    <phoneticPr fontId="1"/>
  </si>
  <si>
    <t>調整控除額</t>
    <rPh sb="0" eb="2">
      <t>チョウセイ</t>
    </rPh>
    <rPh sb="2" eb="4">
      <t>コウジョ</t>
    </rPh>
    <rPh sb="4" eb="5">
      <t>ガク</t>
    </rPh>
    <phoneticPr fontId="1"/>
  </si>
  <si>
    <t>B × 2.8 － 80,000</t>
    <phoneticPr fontId="1"/>
  </si>
  <si>
    <t>B × 3.2 － 440,000</t>
    <phoneticPr fontId="1"/>
  </si>
  <si>
    <t>A × 0.9 － 1,100,000</t>
    <phoneticPr fontId="1"/>
  </si>
  <si>
    <t>A － 1,950,000</t>
    <phoneticPr fontId="1"/>
  </si>
  <si>
    <t>A ÷４＝（B）　　（千円未満切捨）</t>
    <phoneticPr fontId="1"/>
  </si>
  <si>
    <t>計算対象者の給与収入</t>
    <rPh sb="0" eb="2">
      <t>ケイサン</t>
    </rPh>
    <rPh sb="2" eb="5">
      <t>タイショウシャ</t>
    </rPh>
    <rPh sb="6" eb="8">
      <t>キュウヨ</t>
    </rPh>
    <rPh sb="8" eb="10">
      <t>シュウニュウ</t>
    </rPh>
    <phoneticPr fontId="1"/>
  </si>
  <si>
    <t>世帯主</t>
    <rPh sb="0" eb="3">
      <t>セタイヌシ</t>
    </rPh>
    <phoneticPr fontId="1"/>
  </si>
  <si>
    <t>算出区分</t>
    <rPh sb="0" eb="2">
      <t>サンシュツ</t>
    </rPh>
    <rPh sb="2" eb="4">
      <t>クブン</t>
    </rPh>
    <phoneticPr fontId="1"/>
  </si>
  <si>
    <t>給与所得の算出</t>
    <rPh sb="0" eb="2">
      <t>キュウヨ</t>
    </rPh>
    <rPh sb="2" eb="4">
      <t>ショトク</t>
    </rPh>
    <rPh sb="5" eb="7">
      <t>サンシュツ</t>
    </rPh>
    <phoneticPr fontId="1"/>
  </si>
  <si>
    <t>A ÷４（千円未満切捨）</t>
    <phoneticPr fontId="1"/>
  </si>
  <si>
    <t>給与所得</t>
    <rPh sb="0" eb="2">
      <t>キュウヨ</t>
    </rPh>
    <rPh sb="2" eb="4">
      <t>ショトク</t>
    </rPh>
    <phoneticPr fontId="1"/>
  </si>
  <si>
    <t>世帯員①</t>
    <rPh sb="0" eb="2">
      <t>セタイ</t>
    </rPh>
    <rPh sb="2" eb="3">
      <t>イン</t>
    </rPh>
    <phoneticPr fontId="1"/>
  </si>
  <si>
    <t>世帯員②</t>
    <rPh sb="0" eb="2">
      <t>セタイ</t>
    </rPh>
    <rPh sb="2" eb="3">
      <t>イン</t>
    </rPh>
    <phoneticPr fontId="1"/>
  </si>
  <si>
    <t>世帯員③</t>
    <rPh sb="0" eb="2">
      <t>セタイ</t>
    </rPh>
    <rPh sb="2" eb="3">
      <t>イン</t>
    </rPh>
    <phoneticPr fontId="1"/>
  </si>
  <si>
    <t>世帯員①</t>
    <rPh sb="0" eb="3">
      <t>セタイイン</t>
    </rPh>
    <phoneticPr fontId="1"/>
  </si>
  <si>
    <t>世帯員②</t>
    <rPh sb="0" eb="3">
      <t>セタイイン</t>
    </rPh>
    <phoneticPr fontId="1"/>
  </si>
  <si>
    <t>世帯員③</t>
    <rPh sb="0" eb="3">
      <t>セタイイン</t>
    </rPh>
    <phoneticPr fontId="1"/>
  </si>
  <si>
    <t>世帯員④</t>
    <rPh sb="0" eb="3">
      <t>セタイイン</t>
    </rPh>
    <phoneticPr fontId="1"/>
  </si>
  <si>
    <t>世帯員④</t>
    <rPh sb="0" eb="2">
      <t>セタイ</t>
    </rPh>
    <rPh sb="2" eb="3">
      <t>イン</t>
    </rPh>
    <phoneticPr fontId="1"/>
  </si>
  <si>
    <t>給与所得金額</t>
    <rPh sb="0" eb="2">
      <t>キュウヨ</t>
    </rPh>
    <rPh sb="2" eb="4">
      <t>ショトク</t>
    </rPh>
    <rPh sb="4" eb="6">
      <t>キンガク</t>
    </rPh>
    <phoneticPr fontId="1"/>
  </si>
  <si>
    <t>公的年金所得</t>
    <rPh sb="0" eb="2">
      <t>コウテキ</t>
    </rPh>
    <rPh sb="2" eb="4">
      <t>ネンキン</t>
    </rPh>
    <rPh sb="4" eb="6">
      <t>ショトク</t>
    </rPh>
    <phoneticPr fontId="1"/>
  </si>
  <si>
    <t>A－600,000円</t>
    <rPh sb="9" eb="10">
      <t>エン</t>
    </rPh>
    <phoneticPr fontId="1"/>
  </si>
  <si>
    <t>A×0.75－275,000円</t>
    <phoneticPr fontId="1"/>
  </si>
  <si>
    <t>A×0.85－685,000円</t>
    <phoneticPr fontId="1"/>
  </si>
  <si>
    <t>A×0.95－1,455,000円</t>
    <phoneticPr fontId="1"/>
  </si>
  <si>
    <t>A－1,100,000円</t>
    <rPh sb="11" eb="12">
      <t>エン</t>
    </rPh>
    <phoneticPr fontId="1"/>
  </si>
  <si>
    <t>A－1,955,000円</t>
    <phoneticPr fontId="1"/>
  </si>
  <si>
    <t>計算対象者の年金収入</t>
    <rPh sb="0" eb="2">
      <t>ケイサン</t>
    </rPh>
    <rPh sb="2" eb="5">
      <t>タイショウシャ</t>
    </rPh>
    <rPh sb="6" eb="8">
      <t>ネンキン</t>
    </rPh>
    <rPh sb="8" eb="10">
      <t>シュウニュウ</t>
    </rPh>
    <phoneticPr fontId="1"/>
  </si>
  <si>
    <t>年金所得の算出</t>
    <rPh sb="0" eb="2">
      <t>ネンキン</t>
    </rPh>
    <rPh sb="2" eb="4">
      <t>ショトク</t>
    </rPh>
    <rPh sb="5" eb="7">
      <t>サンシュツ</t>
    </rPh>
    <phoneticPr fontId="1"/>
  </si>
  <si>
    <t>年金所得</t>
    <rPh sb="0" eb="2">
      <t>ネンキン</t>
    </rPh>
    <rPh sb="2" eb="4">
      <t>ショトク</t>
    </rPh>
    <phoneticPr fontId="1"/>
  </si>
  <si>
    <t>非自発適用の有無</t>
    <rPh sb="0" eb="1">
      <t>ヒ</t>
    </rPh>
    <rPh sb="1" eb="3">
      <t>ジハツ</t>
    </rPh>
    <rPh sb="3" eb="5">
      <t>テキヨウ</t>
    </rPh>
    <rPh sb="6" eb="8">
      <t>ウム</t>
    </rPh>
    <phoneticPr fontId="1"/>
  </si>
  <si>
    <t>非自発適用後給与所得</t>
    <rPh sb="0" eb="1">
      <t>ヒ</t>
    </rPh>
    <rPh sb="1" eb="3">
      <t>ジハツ</t>
    </rPh>
    <rPh sb="3" eb="5">
      <t>テキヨウ</t>
    </rPh>
    <rPh sb="5" eb="6">
      <t>ゴ</t>
    </rPh>
    <rPh sb="6" eb="8">
      <t>キュウヨ</t>
    </rPh>
    <rPh sb="8" eb="10">
      <t>ショトク</t>
    </rPh>
    <phoneticPr fontId="1"/>
  </si>
  <si>
    <t>年金所得（65以上）</t>
    <rPh sb="0" eb="2">
      <t>ネンキン</t>
    </rPh>
    <rPh sb="2" eb="4">
      <t>ショトク</t>
    </rPh>
    <rPh sb="7" eb="9">
      <t>イジョウ</t>
    </rPh>
    <phoneticPr fontId="1"/>
  </si>
  <si>
    <t>年金所得（65未満）</t>
    <rPh sb="0" eb="2">
      <t>ネンキン</t>
    </rPh>
    <rPh sb="2" eb="4">
      <t>ショトク</t>
    </rPh>
    <rPh sb="7" eb="9">
      <t>ミマン</t>
    </rPh>
    <phoneticPr fontId="1"/>
  </si>
  <si>
    <t>該当有無</t>
    <rPh sb="0" eb="2">
      <t>ガイトウ</t>
    </rPh>
    <rPh sb="2" eb="4">
      <t>ウム</t>
    </rPh>
    <phoneticPr fontId="1"/>
  </si>
  <si>
    <t>給与＋年金</t>
    <rPh sb="0" eb="2">
      <t>キュウヨ</t>
    </rPh>
    <rPh sb="3" eb="5">
      <t>ネンキン</t>
    </rPh>
    <phoneticPr fontId="1"/>
  </si>
  <si>
    <t>判断基準</t>
    <rPh sb="0" eb="2">
      <t>ハンダン</t>
    </rPh>
    <rPh sb="2" eb="4">
      <t>キジュン</t>
    </rPh>
    <phoneticPr fontId="1"/>
  </si>
  <si>
    <t>年金65↑</t>
    <rPh sb="0" eb="2">
      <t>ネンキン</t>
    </rPh>
    <phoneticPr fontId="1"/>
  </si>
  <si>
    <t>年金65↓</t>
    <rPh sb="0" eb="2">
      <t>ネンキン</t>
    </rPh>
    <phoneticPr fontId="1"/>
  </si>
  <si>
    <t>調整控除</t>
    <rPh sb="0" eb="2">
      <t>チョウセイ</t>
    </rPh>
    <rPh sb="2" eb="4">
      <t>コウジョ</t>
    </rPh>
    <phoneticPr fontId="1"/>
  </si>
  <si>
    <t>適用調整控除</t>
    <rPh sb="0" eb="2">
      <t>テキヨウ</t>
    </rPh>
    <rPh sb="2" eb="4">
      <t>チョウセイ</t>
    </rPh>
    <rPh sb="4" eb="6">
      <t>コウジョ</t>
    </rPh>
    <phoneticPr fontId="1"/>
  </si>
  <si>
    <t>手動入力</t>
    <rPh sb="0" eb="2">
      <t>シュドウ</t>
    </rPh>
    <rPh sb="2" eb="4">
      <t>ニュウリョク</t>
    </rPh>
    <phoneticPr fontId="1"/>
  </si>
  <si>
    <t>調整控除</t>
    <rPh sb="0" eb="2">
      <t>チョウセイ</t>
    </rPh>
    <rPh sb="2" eb="4">
      <t>コウジョ</t>
    </rPh>
    <phoneticPr fontId="1"/>
  </si>
  <si>
    <t>最終的に用いる調整控除</t>
    <rPh sb="0" eb="2">
      <t>サイシュウ</t>
    </rPh>
    <rPh sb="2" eb="3">
      <t>テキ</t>
    </rPh>
    <rPh sb="4" eb="5">
      <t>モチ</t>
    </rPh>
    <rPh sb="7" eb="9">
      <t>チョウセイ</t>
    </rPh>
    <rPh sb="9" eb="11">
      <t>コウジョ</t>
    </rPh>
    <phoneticPr fontId="1"/>
  </si>
  <si>
    <t>非自発的失業後給与所得</t>
    <rPh sb="0" eb="1">
      <t>ヒ</t>
    </rPh>
    <rPh sb="1" eb="3">
      <t>ジハツ</t>
    </rPh>
    <rPh sb="3" eb="4">
      <t>テキ</t>
    </rPh>
    <rPh sb="4" eb="6">
      <t>シツギョウ</t>
    </rPh>
    <rPh sb="6" eb="7">
      <t>ゴ</t>
    </rPh>
    <rPh sb="7" eb="9">
      <t>キュウヨ</t>
    </rPh>
    <rPh sb="9" eb="11">
      <t>ショトク</t>
    </rPh>
    <phoneticPr fontId="1"/>
  </si>
  <si>
    <t>所得金額
（非自発・調整後）</t>
    <rPh sb="0" eb="2">
      <t>ショトク</t>
    </rPh>
    <rPh sb="2" eb="4">
      <t>キンガク</t>
    </rPh>
    <rPh sb="6" eb="7">
      <t>ヒ</t>
    </rPh>
    <rPh sb="7" eb="9">
      <t>ジハツ</t>
    </rPh>
    <rPh sb="10" eb="12">
      <t>チョウセイ</t>
    </rPh>
    <rPh sb="12" eb="13">
      <t>ゴ</t>
    </rPh>
    <phoneticPr fontId="1"/>
  </si>
  <si>
    <t>適用調整後給与所得</t>
    <rPh sb="0" eb="2">
      <t>テキヨウ</t>
    </rPh>
    <rPh sb="2" eb="4">
      <t>チョウセイ</t>
    </rPh>
    <rPh sb="4" eb="5">
      <t>ゴ</t>
    </rPh>
    <rPh sb="5" eb="7">
      <t>キュウヨ</t>
    </rPh>
    <rPh sb="7" eb="9">
      <t>ショトク</t>
    </rPh>
    <phoneticPr fontId="1"/>
  </si>
  <si>
    <t>給与所得
（非自発・調整控除適用）</t>
    <rPh sb="0" eb="2">
      <t>キュウヨ</t>
    </rPh>
    <rPh sb="2" eb="4">
      <t>ショトク</t>
    </rPh>
    <rPh sb="6" eb="7">
      <t>ヒ</t>
    </rPh>
    <rPh sb="7" eb="9">
      <t>ジハツ</t>
    </rPh>
    <rPh sb="10" eb="12">
      <t>チョウセイ</t>
    </rPh>
    <rPh sb="12" eb="14">
      <t>コウジョ</t>
    </rPh>
    <rPh sb="14" eb="16">
      <t>テキヨウ</t>
    </rPh>
    <phoneticPr fontId="1"/>
  </si>
  <si>
    <t>総所得金額</t>
    <rPh sb="0" eb="3">
      <t>ソウショトク</t>
    </rPh>
    <rPh sb="3" eb="5">
      <t>キンガク</t>
    </rPh>
    <phoneticPr fontId="1"/>
  </si>
  <si>
    <t>賦課基準</t>
    <rPh sb="0" eb="2">
      <t>フカ</t>
    </rPh>
    <rPh sb="2" eb="4">
      <t>キジュン</t>
    </rPh>
    <phoneticPr fontId="1"/>
  </si>
  <si>
    <t>年金</t>
    <rPh sb="0" eb="2">
      <t>ネンキン</t>
    </rPh>
    <phoneticPr fontId="1"/>
  </si>
  <si>
    <t>判定</t>
    <rPh sb="0" eb="2">
      <t>ハンテイ</t>
    </rPh>
    <phoneticPr fontId="1"/>
  </si>
  <si>
    <t>給与所得
（非自発・調整控除適用前）</t>
    <rPh sb="0" eb="2">
      <t>キュウヨ</t>
    </rPh>
    <rPh sb="2" eb="4">
      <t>ショトク</t>
    </rPh>
    <rPh sb="6" eb="7">
      <t>ヒ</t>
    </rPh>
    <rPh sb="7" eb="9">
      <t>ジハツ</t>
    </rPh>
    <rPh sb="10" eb="12">
      <t>チョウセイ</t>
    </rPh>
    <rPh sb="12" eb="14">
      <t>コウジョ</t>
    </rPh>
    <rPh sb="14" eb="16">
      <t>テキヨウ</t>
    </rPh>
    <rPh sb="16" eb="17">
      <t>マエ</t>
    </rPh>
    <phoneticPr fontId="1"/>
  </si>
  <si>
    <t>加算（×有所得者数-1）</t>
    <rPh sb="0" eb="2">
      <t>カサン</t>
    </rPh>
    <rPh sb="4" eb="5">
      <t>ユウ</t>
    </rPh>
    <rPh sb="5" eb="7">
      <t>ショトク</t>
    </rPh>
    <rPh sb="7" eb="8">
      <t>シャ</t>
    </rPh>
    <rPh sb="8" eb="9">
      <t>スウ</t>
    </rPh>
    <phoneticPr fontId="1"/>
  </si>
  <si>
    <t>給与所得者等判定</t>
    <rPh sb="0" eb="2">
      <t>キュウヨ</t>
    </rPh>
    <rPh sb="2" eb="4">
      <t>ショトク</t>
    </rPh>
    <rPh sb="4" eb="5">
      <t>シャ</t>
    </rPh>
    <rPh sb="5" eb="6">
      <t>ナド</t>
    </rPh>
    <rPh sb="6" eb="8">
      <t>ハンテイ</t>
    </rPh>
    <phoneticPr fontId="1"/>
  </si>
  <si>
    <t>有所得</t>
    <rPh sb="0" eb="1">
      <t>ユウ</t>
    </rPh>
    <rPh sb="1" eb="3">
      <t>ショトク</t>
    </rPh>
    <phoneticPr fontId="1"/>
  </si>
  <si>
    <t>3％減免（経過措置）</t>
    <rPh sb="2" eb="4">
      <t>ゲンメン</t>
    </rPh>
    <rPh sb="5" eb="7">
      <t>ケイカ</t>
    </rPh>
    <rPh sb="7" eb="9">
      <t>ソチ</t>
    </rPh>
    <phoneticPr fontId="1"/>
  </si>
  <si>
    <t>総所得金額等
非自発・調整後</t>
    <rPh sb="0" eb="3">
      <t>ソウショトク</t>
    </rPh>
    <rPh sb="3" eb="5">
      <t>キンガク</t>
    </rPh>
    <rPh sb="5" eb="6">
      <t>ナド</t>
    </rPh>
    <rPh sb="7" eb="8">
      <t>ヒ</t>
    </rPh>
    <rPh sb="8" eb="10">
      <t>ジハツ</t>
    </rPh>
    <rPh sb="11" eb="13">
      <t>チョウセイ</t>
    </rPh>
    <rPh sb="13" eb="14">
      <t>ゴ</t>
    </rPh>
    <phoneticPr fontId="1"/>
  </si>
  <si>
    <t>軽減判定時所得</t>
    <rPh sb="0" eb="2">
      <t>ケイゲン</t>
    </rPh>
    <rPh sb="2" eb="4">
      <t>ハンテイ</t>
    </rPh>
    <rPh sb="4" eb="5">
      <t>ジ</t>
    </rPh>
    <rPh sb="5" eb="7">
      <t>ショトク</t>
    </rPh>
    <phoneticPr fontId="1"/>
  </si>
  <si>
    <t>未就学児</t>
    <rPh sb="0" eb="4">
      <t>ミシュウガクジ</t>
    </rPh>
    <phoneticPr fontId="1"/>
  </si>
  <si>
    <t>産前産後</t>
    <rPh sb="0" eb="2">
      <t>サンゼン</t>
    </rPh>
    <rPh sb="2" eb="4">
      <t>サンゴ</t>
    </rPh>
    <phoneticPr fontId="1"/>
  </si>
  <si>
    <t>総減免月数</t>
    <rPh sb="0" eb="1">
      <t>ソウ</t>
    </rPh>
    <rPh sb="1" eb="3">
      <t>ゲンメン</t>
    </rPh>
    <rPh sb="3" eb="5">
      <t>ツキスウ</t>
    </rPh>
    <phoneticPr fontId="1"/>
  </si>
  <si>
    <t>うち介護</t>
    <rPh sb="2" eb="4">
      <t>カイゴ</t>
    </rPh>
    <phoneticPr fontId="1"/>
  </si>
  <si>
    <t>産前</t>
    <rPh sb="0" eb="2">
      <t>サンゼン</t>
    </rPh>
    <phoneticPr fontId="1"/>
  </si>
  <si>
    <t>月数</t>
    <rPh sb="0" eb="2">
      <t>ツキスウ</t>
    </rPh>
    <phoneticPr fontId="1"/>
  </si>
  <si>
    <t>介護</t>
    <rPh sb="0" eb="2">
      <t>カイゴ</t>
    </rPh>
    <phoneticPr fontId="1"/>
  </si>
  <si>
    <t>世帯員⑤</t>
    <rPh sb="0" eb="3">
      <t>セタイイン</t>
    </rPh>
    <phoneticPr fontId="1"/>
  </si>
  <si>
    <t>世帯員⑥</t>
    <rPh sb="0" eb="3">
      <t>セタイイン</t>
    </rPh>
    <phoneticPr fontId="1"/>
  </si>
  <si>
    <t>世帯員⑦</t>
    <rPh sb="0" eb="3">
      <t>セタイイン</t>
    </rPh>
    <phoneticPr fontId="1"/>
  </si>
  <si>
    <t>世帯員⑤</t>
    <rPh sb="0" eb="2">
      <t>セタイ</t>
    </rPh>
    <rPh sb="2" eb="3">
      <t>イン</t>
    </rPh>
    <phoneticPr fontId="1"/>
  </si>
  <si>
    <t>世帯員⑥</t>
    <rPh sb="0" eb="2">
      <t>セタイ</t>
    </rPh>
    <rPh sb="2" eb="3">
      <t>イン</t>
    </rPh>
    <phoneticPr fontId="1"/>
  </si>
  <si>
    <t>世帯員⑦</t>
    <rPh sb="0" eb="2">
      <t>セタイ</t>
    </rPh>
    <rPh sb="2" eb="3">
      <t>イン</t>
    </rPh>
    <phoneticPr fontId="1"/>
  </si>
  <si>
    <t>※Ｓ36.1.1以前生</t>
    <rPh sb="8" eb="10">
      <t>イゼン</t>
    </rPh>
    <rPh sb="10" eb="11">
      <t>セイ</t>
    </rPh>
    <phoneticPr fontId="1"/>
  </si>
  <si>
    <t>※Ｓ36.1.2以後生</t>
    <rPh sb="8" eb="10">
      <t>イゴ</t>
    </rPh>
    <rPh sb="10" eb="11">
      <t>セイ</t>
    </rPh>
    <phoneticPr fontId="1"/>
  </si>
  <si>
    <t>A － 650,000</t>
    <phoneticPr fontId="1"/>
  </si>
  <si>
    <t>子ども</t>
    <rPh sb="0" eb="1">
      <t>コ</t>
    </rPh>
    <phoneticPr fontId="1"/>
  </si>
  <si>
    <t>18歳以上均等割</t>
    <rPh sb="2" eb="3">
      <t>サイ</t>
    </rPh>
    <rPh sb="3" eb="5">
      <t>イジョウ</t>
    </rPh>
    <rPh sb="5" eb="8">
      <t>キントウワ</t>
    </rPh>
    <phoneticPr fontId="1"/>
  </si>
  <si>
    <t>18歳以上被保割</t>
    <rPh sb="2" eb="3">
      <t>サイ</t>
    </rPh>
    <rPh sb="3" eb="5">
      <t>イジョウ</t>
    </rPh>
    <rPh sb="5" eb="6">
      <t>ヒ</t>
    </rPh>
    <rPh sb="6" eb="7">
      <t>ホ</t>
    </rPh>
    <rPh sb="7" eb="8">
      <t>ワリ</t>
    </rPh>
    <phoneticPr fontId="1"/>
  </si>
  <si>
    <t>18歳以上
被保険者割</t>
    <rPh sb="2" eb="5">
      <t>サイイジョウ</t>
    </rPh>
    <rPh sb="6" eb="10">
      <t>ヒホケンシャ</t>
    </rPh>
    <rPh sb="10" eb="11">
      <t>ワリ</t>
    </rPh>
    <phoneticPr fontId="1"/>
  </si>
  <si>
    <t>未就学児以上～18歳未満</t>
    <rPh sb="0" eb="4">
      <t>ミシュウガクジ</t>
    </rPh>
    <rPh sb="4" eb="6">
      <t>イジョウ</t>
    </rPh>
    <rPh sb="9" eb="10">
      <t>サイ</t>
    </rPh>
    <rPh sb="10" eb="12">
      <t>ミマン</t>
    </rPh>
    <phoneticPr fontId="1"/>
  </si>
  <si>
    <t>18歳以上被保割額</t>
    <rPh sb="2" eb="3">
      <t>サイ</t>
    </rPh>
    <rPh sb="3" eb="5">
      <t>イジョウ</t>
    </rPh>
    <rPh sb="5" eb="6">
      <t>ヒ</t>
    </rPh>
    <rPh sb="6" eb="7">
      <t>ホ</t>
    </rPh>
    <rPh sb="7" eb="8">
      <t>ワリ</t>
    </rPh>
    <rPh sb="8" eb="9">
      <t>ガク</t>
    </rPh>
    <phoneticPr fontId="1"/>
  </si>
  <si>
    <t>－</t>
    <phoneticPr fontId="1"/>
  </si>
  <si>
    <t>18歳以上～40歳未満</t>
    <rPh sb="2" eb="3">
      <t>サイ</t>
    </rPh>
    <rPh sb="3" eb="5">
      <t>イジョウ</t>
    </rPh>
    <rPh sb="8" eb="9">
      <t>サイ</t>
    </rPh>
    <rPh sb="9" eb="11">
      <t>ミマン</t>
    </rPh>
    <phoneticPr fontId="1"/>
  </si>
  <si>
    <t>40歳以上～65歳未満【介】</t>
    <rPh sb="2" eb="3">
      <t>サイ</t>
    </rPh>
    <rPh sb="3" eb="5">
      <t>イジョウ</t>
    </rPh>
    <rPh sb="8" eb="9">
      <t>サイ</t>
    </rPh>
    <rPh sb="9" eb="11">
      <t>ミマン</t>
    </rPh>
    <rPh sb="12" eb="13">
      <t>スケ</t>
    </rPh>
    <phoneticPr fontId="1"/>
  </si>
  <si>
    <t>※40歳以上～65歳未満は介護あり　※2020年(令和2年)4月2日以後生が未就学児　※2008年(平成20年）4月2日以後生が18歳未満</t>
    <rPh sb="13" eb="15">
      <t>カイゴ</t>
    </rPh>
    <rPh sb="36" eb="37">
      <t>セイ</t>
    </rPh>
    <rPh sb="38" eb="42">
      <t>ミシュウガクジ</t>
    </rPh>
    <rPh sb="48" eb="49">
      <t>ネン</t>
    </rPh>
    <rPh sb="50" eb="52">
      <t>ヘイセイ</t>
    </rPh>
    <rPh sb="54" eb="55">
      <t>ネン</t>
    </rPh>
    <rPh sb="57" eb="58">
      <t>ガツ</t>
    </rPh>
    <rPh sb="59" eb="60">
      <t>ニチ</t>
    </rPh>
    <rPh sb="62" eb="63">
      <t>ウ</t>
    </rPh>
    <rPh sb="66" eb="67">
      <t>サイ</t>
    </rPh>
    <rPh sb="67" eb="69">
      <t>ミマン</t>
    </rPh>
    <phoneticPr fontId="1"/>
  </si>
  <si>
    <t>子</t>
    <rPh sb="0" eb="1">
      <t>コ</t>
    </rPh>
    <phoneticPr fontId="1"/>
  </si>
  <si>
    <t>※「市独自２割減免」の場合、
　医療・後期・介護に適用</t>
    <phoneticPr fontId="1"/>
  </si>
  <si>
    <t>後期</t>
    <rPh sb="0" eb="2">
      <t>コウキ</t>
    </rPh>
    <phoneticPr fontId="1"/>
  </si>
  <si>
    <t>軽減判定用の給与所得有無</t>
    <rPh sb="0" eb="5">
      <t>ケイゲンハンテイヨウ</t>
    </rPh>
    <rPh sb="6" eb="8">
      <t>キュウヨ</t>
    </rPh>
    <rPh sb="8" eb="10">
      <t>ショトク</t>
    </rPh>
    <rPh sb="10" eb="12">
      <t>ウム</t>
    </rPh>
    <phoneticPr fontId="1"/>
  </si>
  <si>
    <t>給与軽減判定用　給与所得０でも軽減判定人数にはいるため・・・</t>
    <rPh sb="0" eb="2">
      <t>キュウヨ</t>
    </rPh>
    <rPh sb="2" eb="6">
      <t>ケイゲンハンテイ</t>
    </rPh>
    <rPh sb="6" eb="7">
      <t>ヨウ</t>
    </rPh>
    <rPh sb="8" eb="10">
      <t>キュウヨ</t>
    </rPh>
    <rPh sb="10" eb="12">
      <t>ショトク</t>
    </rPh>
    <rPh sb="15" eb="17">
      <t>ケイゲン</t>
    </rPh>
    <rPh sb="17" eb="19">
      <t>ハンテイ</t>
    </rPh>
    <rPh sb="19" eb="21">
      <t>ニンズウ</t>
    </rPh>
    <phoneticPr fontId="1"/>
  </si>
  <si>
    <t>千葉市国民健康保険料の計算方法について</t>
    <rPh sb="0" eb="3">
      <t>チバシ</t>
    </rPh>
    <rPh sb="3" eb="5">
      <t>コクミン</t>
    </rPh>
    <rPh sb="5" eb="7">
      <t>ケンコウ</t>
    </rPh>
    <rPh sb="7" eb="10">
      <t>ホケンリョウ</t>
    </rPh>
    <rPh sb="11" eb="13">
      <t>ケイサン</t>
    </rPh>
    <rPh sb="13" eb="15">
      <t>ホウホウ</t>
    </rPh>
    <phoneticPr fontId="1"/>
  </si>
  <si>
    <t>所得割額（Ａ）</t>
    <rPh sb="0" eb="2">
      <t>ショトク</t>
    </rPh>
    <rPh sb="2" eb="3">
      <t>ワリ</t>
    </rPh>
    <rPh sb="3" eb="4">
      <t>ガク</t>
    </rPh>
    <phoneticPr fontId="1"/>
  </si>
  <si>
    <t>＋</t>
    <phoneticPr fontId="1"/>
  </si>
  <si>
    <t>被保険者均等割額（Ｂ）</t>
    <rPh sb="0" eb="4">
      <t>ヒホケンシャ</t>
    </rPh>
    <rPh sb="4" eb="6">
      <t>キントウ</t>
    </rPh>
    <rPh sb="6" eb="7">
      <t>ワリ</t>
    </rPh>
    <rPh sb="7" eb="8">
      <t>ガク</t>
    </rPh>
    <phoneticPr fontId="1"/>
  </si>
  <si>
    <t>世帯別平等割額（Ｃ）</t>
    <rPh sb="0" eb="2">
      <t>セタイ</t>
    </rPh>
    <rPh sb="2" eb="3">
      <t>ベツ</t>
    </rPh>
    <rPh sb="3" eb="5">
      <t>ビョウドウ</t>
    </rPh>
    <rPh sb="5" eb="6">
      <t>ワリ</t>
    </rPh>
    <rPh sb="6" eb="7">
      <t>ガク</t>
    </rPh>
    <phoneticPr fontId="1"/>
  </si>
  <si>
    <t>＝</t>
    <phoneticPr fontId="1"/>
  </si>
  <si>
    <t>算出額（10円未満切捨て）</t>
    <rPh sb="0" eb="2">
      <t>サンシュツ</t>
    </rPh>
    <rPh sb="2" eb="3">
      <t>ガク</t>
    </rPh>
    <rPh sb="6" eb="7">
      <t>エン</t>
    </rPh>
    <rPh sb="7" eb="9">
      <t>ミマン</t>
    </rPh>
    <rPh sb="9" eb="11">
      <t>キリス</t>
    </rPh>
    <phoneticPr fontId="1"/>
  </si>
  <si>
    <t>医療分保険料</t>
    <rPh sb="0" eb="2">
      <t>イリョウ</t>
    </rPh>
    <rPh sb="2" eb="3">
      <t>ブン</t>
    </rPh>
    <rPh sb="3" eb="6">
      <t>ホケンリョウ</t>
    </rPh>
    <phoneticPr fontId="1"/>
  </si>
  <si>
    <t>賦課
基準</t>
    <rPh sb="0" eb="2">
      <t>フカ</t>
    </rPh>
    <rPh sb="3" eb="5">
      <t>キジュン</t>
    </rPh>
    <phoneticPr fontId="1"/>
  </si>
  <si>
    <t>×</t>
    <phoneticPr fontId="1"/>
  </si>
  <si>
    <t>％</t>
    <phoneticPr fontId="1"/>
  </si>
  <si>
    <t>被保険者数</t>
    <rPh sb="0" eb="4">
      <t>ヒホケンシャ</t>
    </rPh>
    <rPh sb="4" eb="5">
      <t>スウ</t>
    </rPh>
    <phoneticPr fontId="1"/>
  </si>
  <si>
    <t>１世帯当たり</t>
    <rPh sb="1" eb="3">
      <t>セタイ</t>
    </rPh>
    <rPh sb="3" eb="4">
      <t>ア</t>
    </rPh>
    <phoneticPr fontId="1"/>
  </si>
  <si>
    <t>円</t>
    <rPh sb="0" eb="1">
      <t>エ</t>
    </rPh>
    <phoneticPr fontId="1"/>
  </si>
  <si>
    <t>（Ａ）＋（Ｂ）＋（Ｃ）</t>
    <phoneticPr fontId="1"/>
  </si>
  <si>
    <r>
      <t xml:space="preserve">介護分保険料
</t>
    </r>
    <r>
      <rPr>
        <sz val="9"/>
        <rFont val="メイリオ"/>
        <family val="3"/>
        <charset val="128"/>
      </rPr>
      <t>（40歳～64歳対象）</t>
    </r>
    <rPh sb="0" eb="2">
      <t>カイゴ</t>
    </rPh>
    <rPh sb="2" eb="3">
      <t>ブン</t>
    </rPh>
    <rPh sb="3" eb="6">
      <t>ホケンリョウ</t>
    </rPh>
    <rPh sb="10" eb="11">
      <t>サイ</t>
    </rPh>
    <rPh sb="14" eb="15">
      <t>サイ</t>
    </rPh>
    <rPh sb="15" eb="17">
      <t>タイショウ</t>
    </rPh>
    <phoneticPr fontId="1"/>
  </si>
  <si>
    <t>介護分保険料</t>
    <rPh sb="0" eb="2">
      <t>カイゴ</t>
    </rPh>
    <rPh sb="2" eb="3">
      <t>ブン</t>
    </rPh>
    <rPh sb="3" eb="6">
      <t>ホケンリョウ</t>
    </rPh>
    <phoneticPr fontId="1"/>
  </si>
  <si>
    <t>医療分</t>
    <rPh sb="0" eb="2">
      <t>イリョウ</t>
    </rPh>
    <rPh sb="2" eb="3">
      <t>ブン</t>
    </rPh>
    <phoneticPr fontId="1"/>
  </si>
  <si>
    <t>：</t>
    <phoneticPr fontId="1"/>
  </si>
  <si>
    <t>国保被保険者の医療給付費の費用に充てられる保険料です。全ての被保険者が対象です。</t>
    <rPh sb="16" eb="17">
      <t>ア</t>
    </rPh>
    <phoneticPr fontId="1"/>
  </si>
  <si>
    <t>後期高齢者医療制度の被保険者の医療給付費を支援するための保険料です。全ての被保険者が対象です。</t>
    <phoneticPr fontId="1"/>
  </si>
  <si>
    <t>介護分</t>
    <rPh sb="0" eb="2">
      <t>カイゴ</t>
    </rPh>
    <rPh sb="2" eb="3">
      <t>ブン</t>
    </rPh>
    <phoneticPr fontId="1"/>
  </si>
  <si>
    <t>介護保険の第2号被保険者としての保険料です。40歳以上65歳未満の被保険者のみが対象です。</t>
    <phoneticPr fontId="1"/>
  </si>
  <si>
    <t>65歳以上の方の介護保険料は国民健康保険料と別途納めていただきます。</t>
    <phoneticPr fontId="1"/>
  </si>
  <si>
    <t>賦課基準の算出方法</t>
    <rPh sb="0" eb="2">
      <t>フカ</t>
    </rPh>
    <rPh sb="2" eb="4">
      <t>キジュン</t>
    </rPh>
    <rPh sb="5" eb="7">
      <t>サンシュツ</t>
    </rPh>
    <rPh sb="7" eb="9">
      <t>ホウホウ</t>
    </rPh>
    <phoneticPr fontId="1"/>
  </si>
  <si>
    <t>賦課限度額</t>
    <rPh sb="0" eb="2">
      <t>フカ</t>
    </rPh>
    <rPh sb="2" eb="4">
      <t>ゲンド</t>
    </rPh>
    <rPh sb="4" eb="5">
      <t>ガク</t>
    </rPh>
    <phoneticPr fontId="1"/>
  </si>
  <si>
    <t>所得</t>
    <rPh sb="0" eb="2">
      <t>ショトク</t>
    </rPh>
    <phoneticPr fontId="1"/>
  </si>
  <si>
    <t>―</t>
    <phoneticPr fontId="1"/>
  </si>
  <si>
    <t>基礎控除</t>
    <rPh sb="0" eb="2">
      <t>キソ</t>
    </rPh>
    <rPh sb="2" eb="4">
      <t>コウジョ</t>
    </rPh>
    <phoneticPr fontId="1"/>
  </si>
  <si>
    <t>１世帯当たりの保険料賦課限度額は次のとおりとなります。</t>
    <rPh sb="1" eb="3">
      <t>セタイ</t>
    </rPh>
    <rPh sb="3" eb="4">
      <t>ア</t>
    </rPh>
    <rPh sb="7" eb="10">
      <t>ホケンリョウ</t>
    </rPh>
    <rPh sb="10" eb="12">
      <t>フカ</t>
    </rPh>
    <rPh sb="12" eb="14">
      <t>ゲンド</t>
    </rPh>
    <rPh sb="14" eb="15">
      <t>ガク</t>
    </rPh>
    <rPh sb="16" eb="17">
      <t>ツギ</t>
    </rPh>
    <phoneticPr fontId="1"/>
  </si>
  <si>
    <t>（前年1月～12月）</t>
    <rPh sb="1" eb="2">
      <t>マエ</t>
    </rPh>
    <rPh sb="2" eb="3">
      <t>ネン</t>
    </rPh>
    <rPh sb="4" eb="5">
      <t>ガツ</t>
    </rPh>
    <rPh sb="8" eb="9">
      <t>ガツ</t>
    </rPh>
    <phoneticPr fontId="1"/>
  </si>
  <si>
    <t>43万円</t>
    <rPh sb="2" eb="4">
      <t>マンエン</t>
    </rPh>
    <phoneticPr fontId="1"/>
  </si>
  <si>
    <t>（100円未満切捨て）</t>
    <rPh sb="4" eb="5">
      <t>エン</t>
    </rPh>
    <rPh sb="5" eb="7">
      <t>ミマン</t>
    </rPh>
    <rPh sb="7" eb="9">
      <t>キリス</t>
    </rPh>
    <phoneticPr fontId="1"/>
  </si>
  <si>
    <t>加入者ごとに算出して世帯で合算したものが賦課基準となります。</t>
    <rPh sb="0" eb="2">
      <t>カニュウ</t>
    </rPh>
    <rPh sb="2" eb="3">
      <t>シャ</t>
    </rPh>
    <rPh sb="6" eb="8">
      <t>サンシュツ</t>
    </rPh>
    <rPh sb="10" eb="12">
      <t>セタイ</t>
    </rPh>
    <rPh sb="13" eb="15">
      <t>ガッサン</t>
    </rPh>
    <rPh sb="20" eb="22">
      <t>フカ</t>
    </rPh>
    <rPh sb="22" eb="24">
      <t>キジュン</t>
    </rPh>
    <phoneticPr fontId="1"/>
  </si>
  <si>
    <t>※所得税、住民税では所得から扶養控除、社会保険料等各種所得控除を引いた金額を</t>
    <rPh sb="1" eb="4">
      <t>ショトクゼイ</t>
    </rPh>
    <rPh sb="5" eb="8">
      <t>ジュウミンゼイ</t>
    </rPh>
    <rPh sb="10" eb="12">
      <t>ショトク</t>
    </rPh>
    <rPh sb="14" eb="16">
      <t>フヨウ</t>
    </rPh>
    <rPh sb="16" eb="18">
      <t>コウジョ</t>
    </rPh>
    <rPh sb="19" eb="21">
      <t>シャカイ</t>
    </rPh>
    <rPh sb="21" eb="23">
      <t>ホケン</t>
    </rPh>
    <rPh sb="23" eb="24">
      <t>リョウ</t>
    </rPh>
    <rPh sb="24" eb="25">
      <t>ナド</t>
    </rPh>
    <rPh sb="25" eb="27">
      <t>カクシュ</t>
    </rPh>
    <rPh sb="27" eb="29">
      <t>ショトク</t>
    </rPh>
    <rPh sb="29" eb="31">
      <t>コウジョ</t>
    </rPh>
    <rPh sb="32" eb="33">
      <t>ヒ</t>
    </rPh>
    <phoneticPr fontId="1"/>
  </si>
  <si>
    <t>基に算出しますが、国民健康保険料では基礎控除のみ引いて算出します。</t>
    <rPh sb="0" eb="1">
      <t>モト</t>
    </rPh>
    <rPh sb="2" eb="4">
      <t>サンシュツ</t>
    </rPh>
    <rPh sb="9" eb="11">
      <t>コクミン</t>
    </rPh>
    <rPh sb="11" eb="13">
      <t>ケンコウ</t>
    </rPh>
    <rPh sb="13" eb="15">
      <t>ホケン</t>
    </rPh>
    <rPh sb="15" eb="16">
      <t>リョウ</t>
    </rPh>
    <rPh sb="18" eb="20">
      <t>キソ</t>
    </rPh>
    <rPh sb="20" eb="22">
      <t>コウジョ</t>
    </rPh>
    <rPh sb="24" eb="25">
      <t>ヒ</t>
    </rPh>
    <rPh sb="27" eb="29">
      <t>サンシュツ</t>
    </rPh>
    <phoneticPr fontId="1"/>
  </si>
  <si>
    <t>上記の計算式以外で、世帯の総所得等に応じて保険料が軽減・減免されることがあります。</t>
    <rPh sb="0" eb="2">
      <t>ジョウキ</t>
    </rPh>
    <rPh sb="3" eb="5">
      <t>ケイサン</t>
    </rPh>
    <rPh sb="5" eb="6">
      <t>シキ</t>
    </rPh>
    <rPh sb="6" eb="8">
      <t>イガイ</t>
    </rPh>
    <rPh sb="10" eb="12">
      <t>セタイ</t>
    </rPh>
    <rPh sb="13" eb="16">
      <t>ソウショトク</t>
    </rPh>
    <rPh sb="16" eb="17">
      <t>ナド</t>
    </rPh>
    <rPh sb="18" eb="19">
      <t>オウ</t>
    </rPh>
    <rPh sb="21" eb="24">
      <t>ホケンリョウ</t>
    </rPh>
    <rPh sb="25" eb="27">
      <t>ケイゲン</t>
    </rPh>
    <rPh sb="28" eb="30">
      <t>ゲンメン</t>
    </rPh>
    <phoneticPr fontId="1"/>
  </si>
  <si>
    <t>詳しくは、千葉市役所ホームページで公開しています「国保のしおり」をご覧ください。</t>
    <rPh sb="0" eb="1">
      <t>クワ</t>
    </rPh>
    <rPh sb="5" eb="8">
      <t>チバシ</t>
    </rPh>
    <rPh sb="8" eb="10">
      <t>ヤクショ</t>
    </rPh>
    <rPh sb="17" eb="19">
      <t>コウカイ</t>
    </rPh>
    <rPh sb="25" eb="27">
      <t>コクホ</t>
    </rPh>
    <rPh sb="34" eb="35">
      <t>ラン</t>
    </rPh>
    <phoneticPr fontId="1"/>
  </si>
  <si>
    <t>千葉市　国保のしおり</t>
    <rPh sb="0" eb="3">
      <t>チバシ</t>
    </rPh>
    <rPh sb="4" eb="6">
      <t>コクホ</t>
    </rPh>
    <phoneticPr fontId="1"/>
  </si>
  <si>
    <t>検索</t>
    <rPh sb="0" eb="2">
      <t>ケンサク</t>
    </rPh>
    <phoneticPr fontId="1"/>
  </si>
  <si>
    <t>【保険料の試算をする前に必ずご確認ください。】</t>
    <rPh sb="1" eb="4">
      <t>ホケンリョウ</t>
    </rPh>
    <rPh sb="5" eb="7">
      <t>シサン</t>
    </rPh>
    <rPh sb="10" eb="11">
      <t>マエ</t>
    </rPh>
    <rPh sb="12" eb="13">
      <t>カナラ</t>
    </rPh>
    <rPh sb="15" eb="17">
      <t>カクニン</t>
    </rPh>
    <phoneticPr fontId="1"/>
  </si>
  <si>
    <t>●</t>
    <phoneticPr fontId="1"/>
  </si>
  <si>
    <t>試算結果は、実際の保険料と異なる場合があります。</t>
    <rPh sb="0" eb="2">
      <t>シサン</t>
    </rPh>
    <rPh sb="2" eb="4">
      <t>ケッカ</t>
    </rPh>
    <rPh sb="6" eb="8">
      <t>ジッサイ</t>
    </rPh>
    <rPh sb="9" eb="12">
      <t>ホケンリョウ</t>
    </rPh>
    <rPh sb="13" eb="14">
      <t>コト</t>
    </rPh>
    <rPh sb="16" eb="18">
      <t>バアイ</t>
    </rPh>
    <phoneticPr fontId="1"/>
  </si>
  <si>
    <t>より詳しく保険料について確認されたい場合は、お住まいの区の区役所市民総合窓口課へお問い合わせください。</t>
    <rPh sb="2" eb="3">
      <t>クワ</t>
    </rPh>
    <rPh sb="5" eb="8">
      <t>ホケンリョウ</t>
    </rPh>
    <rPh sb="12" eb="14">
      <t>カクニン</t>
    </rPh>
    <rPh sb="18" eb="20">
      <t>バアイ</t>
    </rPh>
    <rPh sb="23" eb="24">
      <t>ス</t>
    </rPh>
    <rPh sb="27" eb="28">
      <t>ク</t>
    </rPh>
    <rPh sb="29" eb="32">
      <t>クヤクショ</t>
    </rPh>
    <rPh sb="30" eb="32">
      <t>ヤクショ</t>
    </rPh>
    <rPh sb="32" eb="34">
      <t>シミン</t>
    </rPh>
    <rPh sb="34" eb="36">
      <t>ソウゴウ</t>
    </rPh>
    <rPh sb="36" eb="38">
      <t>マドグチ</t>
    </rPh>
    <rPh sb="38" eb="39">
      <t>カ</t>
    </rPh>
    <rPh sb="41" eb="42">
      <t>ト</t>
    </rPh>
    <rPh sb="43" eb="44">
      <t>ア</t>
    </rPh>
    <phoneticPr fontId="1"/>
  </si>
  <si>
    <t>実際の保険料につきましては、６月下旬または加入等の手続をいただきました翌月下旬に「国民健康保</t>
    <rPh sb="0" eb="2">
      <t>ジッサイ</t>
    </rPh>
    <rPh sb="3" eb="6">
      <t>ホケンリョウ</t>
    </rPh>
    <rPh sb="15" eb="16">
      <t>ガツ</t>
    </rPh>
    <rPh sb="16" eb="18">
      <t>ゲジュン</t>
    </rPh>
    <rPh sb="21" eb="23">
      <t>カニュウ</t>
    </rPh>
    <rPh sb="23" eb="24">
      <t>ナド</t>
    </rPh>
    <rPh sb="25" eb="27">
      <t>テツヅキ</t>
    </rPh>
    <rPh sb="35" eb="37">
      <t>ヨクゲツ</t>
    </rPh>
    <rPh sb="37" eb="39">
      <t>ゲジュン</t>
    </rPh>
    <rPh sb="39" eb="40">
      <t>ナカゴロ</t>
    </rPh>
    <rPh sb="41" eb="43">
      <t>コクミン</t>
    </rPh>
    <rPh sb="43" eb="45">
      <t>ケンコウ</t>
    </rPh>
    <rPh sb="45" eb="46">
      <t>タモツ</t>
    </rPh>
    <phoneticPr fontId="1"/>
  </si>
  <si>
    <t>険料通知書」を送付しますので、そちらをご確認ください。</t>
    <rPh sb="7" eb="9">
      <t>ソウフ</t>
    </rPh>
    <rPh sb="20" eb="22">
      <t>カクニン</t>
    </rPh>
    <phoneticPr fontId="1"/>
  </si>
  <si>
    <t>【お問い合わせ先】　各区役所　市民総合窓口課　国民健康保険班</t>
    <rPh sb="2" eb="3">
      <t>ト</t>
    </rPh>
    <rPh sb="4" eb="5">
      <t>ア</t>
    </rPh>
    <rPh sb="7" eb="8">
      <t>サキ</t>
    </rPh>
    <rPh sb="10" eb="11">
      <t>カク</t>
    </rPh>
    <rPh sb="11" eb="14">
      <t>クヤクショ</t>
    </rPh>
    <rPh sb="15" eb="17">
      <t>シミン</t>
    </rPh>
    <rPh sb="17" eb="19">
      <t>ソウゴウ</t>
    </rPh>
    <rPh sb="19" eb="21">
      <t>マドグチ</t>
    </rPh>
    <rPh sb="21" eb="22">
      <t>カ</t>
    </rPh>
    <rPh sb="23" eb="25">
      <t>コクミン</t>
    </rPh>
    <rPh sb="25" eb="27">
      <t>ケンコウ</t>
    </rPh>
    <rPh sb="27" eb="29">
      <t>ホケン</t>
    </rPh>
    <rPh sb="29" eb="30">
      <t>ハン</t>
    </rPh>
    <phoneticPr fontId="1"/>
  </si>
  <si>
    <t>中央区にお住まいの方</t>
    <rPh sb="0" eb="3">
      <t>チュウオウク</t>
    </rPh>
    <rPh sb="5" eb="6">
      <t>ス</t>
    </rPh>
    <rPh sb="9" eb="10">
      <t>カタ</t>
    </rPh>
    <phoneticPr fontId="1"/>
  </si>
  <si>
    <t>221-2131</t>
    <phoneticPr fontId="1"/>
  </si>
  <si>
    <t>花見川区にお住まいの方</t>
    <rPh sb="0" eb="4">
      <t>ハ</t>
    </rPh>
    <rPh sb="6" eb="7">
      <t>ス</t>
    </rPh>
    <rPh sb="10" eb="11">
      <t>カタ</t>
    </rPh>
    <phoneticPr fontId="1"/>
  </si>
  <si>
    <t>275-6255</t>
    <phoneticPr fontId="1"/>
  </si>
  <si>
    <t>稲毛区にお住まいの方</t>
    <rPh sb="0" eb="3">
      <t>イ</t>
    </rPh>
    <rPh sb="2" eb="3">
      <t>ク</t>
    </rPh>
    <rPh sb="5" eb="6">
      <t>ス</t>
    </rPh>
    <rPh sb="9" eb="10">
      <t>カタ</t>
    </rPh>
    <phoneticPr fontId="1"/>
  </si>
  <si>
    <t>284-6119</t>
    <phoneticPr fontId="1"/>
  </si>
  <si>
    <t>若葉区にお住まいの方</t>
    <rPh sb="0" eb="3">
      <t>ワ</t>
    </rPh>
    <rPh sb="5" eb="6">
      <t>ス</t>
    </rPh>
    <rPh sb="9" eb="10">
      <t>カタ</t>
    </rPh>
    <phoneticPr fontId="1"/>
  </si>
  <si>
    <t>233-8131</t>
    <phoneticPr fontId="1"/>
  </si>
  <si>
    <t>緑区にお住まいの方</t>
    <rPh sb="0" eb="2">
      <t>ミドリク</t>
    </rPh>
    <rPh sb="4" eb="5">
      <t>ス</t>
    </rPh>
    <rPh sb="8" eb="9">
      <t>カタ</t>
    </rPh>
    <phoneticPr fontId="1"/>
  </si>
  <si>
    <t>292-8119</t>
    <phoneticPr fontId="1"/>
  </si>
  <si>
    <t>美浜区にお住まいの方</t>
    <rPh sb="0" eb="3">
      <t>ミハマク</t>
    </rPh>
    <rPh sb="5" eb="6">
      <t>ス</t>
    </rPh>
    <rPh sb="9" eb="10">
      <t>カタ</t>
    </rPh>
    <phoneticPr fontId="1"/>
  </si>
  <si>
    <t>270-3131</t>
    <phoneticPr fontId="1"/>
  </si>
  <si>
    <t>下記の情報を入力をしてください。算出結果はこのシートの下に表示されます。</t>
    <rPh sb="0" eb="2">
      <t>カキ</t>
    </rPh>
    <rPh sb="3" eb="5">
      <t>ジョウホウ</t>
    </rPh>
    <rPh sb="6" eb="8">
      <t>ニュウリョク</t>
    </rPh>
    <rPh sb="16" eb="18">
      <t>サンシュツ</t>
    </rPh>
    <rPh sb="18" eb="20">
      <t>ケッカ</t>
    </rPh>
    <rPh sb="27" eb="28">
      <t>シタ</t>
    </rPh>
    <rPh sb="29" eb="31">
      <t>ヒョウジ</t>
    </rPh>
    <phoneticPr fontId="1"/>
  </si>
  <si>
    <t>(入力する部分は</t>
  </si>
  <si>
    <t>です）</t>
    <phoneticPr fontId="1"/>
  </si>
  <si>
    <t>世帯員１</t>
    <rPh sb="0" eb="2">
      <t>セタイ</t>
    </rPh>
    <rPh sb="2" eb="3">
      <t>イン</t>
    </rPh>
    <phoneticPr fontId="1"/>
  </si>
  <si>
    <t>世帯員２</t>
    <rPh sb="0" eb="2">
      <t>セタイ</t>
    </rPh>
    <rPh sb="2" eb="3">
      <t>イン</t>
    </rPh>
    <phoneticPr fontId="1"/>
  </si>
  <si>
    <t>世帯員３</t>
    <rPh sb="0" eb="2">
      <t>セタイ</t>
    </rPh>
    <rPh sb="2" eb="3">
      <t>イン</t>
    </rPh>
    <phoneticPr fontId="1"/>
  </si>
  <si>
    <t>世帯員４</t>
    <rPh sb="0" eb="2">
      <t>セタイ</t>
    </rPh>
    <rPh sb="2" eb="3">
      <t>イン</t>
    </rPh>
    <phoneticPr fontId="1"/>
  </si>
  <si>
    <t>①</t>
    <phoneticPr fontId="1"/>
  </si>
  <si>
    <t>国民健康保険加入の状況</t>
    <rPh sb="0" eb="2">
      <t>コクミン</t>
    </rPh>
    <rPh sb="2" eb="4">
      <t>ケンコウ</t>
    </rPh>
    <rPh sb="4" eb="6">
      <t>ホケン</t>
    </rPh>
    <rPh sb="6" eb="8">
      <t>カニュウ</t>
    </rPh>
    <rPh sb="9" eb="11">
      <t>ジョウキョウ</t>
    </rPh>
    <phoneticPr fontId="1"/>
  </si>
  <si>
    <t>②</t>
    <phoneticPr fontId="1"/>
  </si>
  <si>
    <t>年齢区分</t>
    <rPh sb="0" eb="2">
      <t>ネンレイ</t>
    </rPh>
    <rPh sb="2" eb="4">
      <t>クブン</t>
    </rPh>
    <phoneticPr fontId="1"/>
  </si>
  <si>
    <t>③</t>
    <phoneticPr fontId="1"/>
  </si>
  <si>
    <t>　　所得の状況について</t>
    <rPh sb="2" eb="4">
      <t>ショトク</t>
    </rPh>
    <rPh sb="5" eb="7">
      <t>ジョウキョウ</t>
    </rPh>
    <phoneticPr fontId="1"/>
  </si>
  <si>
    <t>公的年金等所得</t>
    <rPh sb="0" eb="2">
      <t>コウテキ</t>
    </rPh>
    <rPh sb="2" eb="4">
      <t>ネンキン</t>
    </rPh>
    <rPh sb="4" eb="5">
      <t>ナド</t>
    </rPh>
    <rPh sb="5" eb="7">
      <t>ショトク</t>
    </rPh>
    <phoneticPr fontId="1"/>
  </si>
  <si>
    <t>その他所得</t>
    <rPh sb="2" eb="3">
      <t>ホカ</t>
    </rPh>
    <rPh sb="3" eb="5">
      <t>ショトク</t>
    </rPh>
    <phoneticPr fontId="1"/>
  </si>
  <si>
    <t>「①国民健康保険加入の状況」について</t>
    <phoneticPr fontId="1"/>
  </si>
  <si>
    <t>世帯主の所得は国民健康保険に加入していなくても保険料軽減・減免の判定に影響します。</t>
    <phoneticPr fontId="1"/>
  </si>
  <si>
    <t>国民健康保険に加入する場合には「加入」、加入しない場合には「加入しない」を選択してください。</t>
    <rPh sb="0" eb="2">
      <t>コクミン</t>
    </rPh>
    <rPh sb="2" eb="4">
      <t>ケンコウ</t>
    </rPh>
    <rPh sb="4" eb="6">
      <t>ホケン</t>
    </rPh>
    <rPh sb="7" eb="9">
      <t>カニュウ</t>
    </rPh>
    <rPh sb="11" eb="13">
      <t>バアイ</t>
    </rPh>
    <rPh sb="16" eb="18">
      <t>カニュウ</t>
    </rPh>
    <rPh sb="20" eb="22">
      <t>カニュウ</t>
    </rPh>
    <rPh sb="25" eb="27">
      <t>バアイ</t>
    </rPh>
    <rPh sb="30" eb="32">
      <t>カニュウ</t>
    </rPh>
    <rPh sb="37" eb="39">
      <t>センタク</t>
    </rPh>
    <phoneticPr fontId="1"/>
  </si>
  <si>
    <t>「②年齢区分」について</t>
    <rPh sb="2" eb="4">
      <t>ネンレイ</t>
    </rPh>
    <rPh sb="4" eb="6">
      <t>クブン</t>
    </rPh>
    <phoneticPr fontId="1"/>
  </si>
  <si>
    <t>小学校入学前の子どもは未就学児を選択してください。</t>
    <rPh sb="0" eb="3">
      <t>ショウガッコウ</t>
    </rPh>
    <rPh sb="3" eb="6">
      <t>ニュウガクマエ</t>
    </rPh>
    <rPh sb="7" eb="8">
      <t>コ</t>
    </rPh>
    <rPh sb="11" eb="15">
      <t>ミシュウガクジ</t>
    </rPh>
    <rPh sb="16" eb="18">
      <t>センタク</t>
    </rPh>
    <phoneticPr fontId="1"/>
  </si>
  <si>
    <t>「③所得状況について」について</t>
    <rPh sb="2" eb="4">
      <t>ショトク</t>
    </rPh>
    <rPh sb="4" eb="6">
      <t>ジョウキョウ</t>
    </rPh>
    <phoneticPr fontId="1"/>
  </si>
  <si>
    <t>給与所得について</t>
    <rPh sb="0" eb="2">
      <t>キュウヨ</t>
    </rPh>
    <rPh sb="2" eb="4">
      <t>ショトク</t>
    </rPh>
    <phoneticPr fontId="1"/>
  </si>
  <si>
    <t>※下記の条件に該当する所得金額調整控除がある場合には適用後の金額を入力してください。</t>
    <rPh sb="1" eb="3">
      <t>カキ</t>
    </rPh>
    <rPh sb="4" eb="6">
      <t>ジョウケン</t>
    </rPh>
    <rPh sb="7" eb="9">
      <t>ガイトウ</t>
    </rPh>
    <rPh sb="11" eb="13">
      <t>ショトク</t>
    </rPh>
    <rPh sb="13" eb="15">
      <t>キンガク</t>
    </rPh>
    <rPh sb="15" eb="17">
      <t>チョウセイ</t>
    </rPh>
    <rPh sb="17" eb="19">
      <t>コウジョ</t>
    </rPh>
    <rPh sb="22" eb="24">
      <t>バアイ</t>
    </rPh>
    <rPh sb="26" eb="28">
      <t>テキヨウ</t>
    </rPh>
    <rPh sb="28" eb="29">
      <t>ゴ</t>
    </rPh>
    <rPh sb="30" eb="32">
      <t>キンガク</t>
    </rPh>
    <rPh sb="33" eb="35">
      <t>ニュウリョク</t>
    </rPh>
    <phoneticPr fontId="1"/>
  </si>
  <si>
    <t>給与等の収入金額が850万円を超え、次のいずれかに該当する。</t>
    <rPh sb="0" eb="2">
      <t>キュウヨ</t>
    </rPh>
    <rPh sb="2" eb="3">
      <t>ナド</t>
    </rPh>
    <rPh sb="4" eb="6">
      <t>シュウニュウ</t>
    </rPh>
    <rPh sb="6" eb="8">
      <t>キンガク</t>
    </rPh>
    <rPh sb="12" eb="14">
      <t>マンエン</t>
    </rPh>
    <rPh sb="15" eb="16">
      <t>コ</t>
    </rPh>
    <rPh sb="18" eb="19">
      <t>ツギ</t>
    </rPh>
    <rPh sb="25" eb="27">
      <t>ガイトウ</t>
    </rPh>
    <phoneticPr fontId="1"/>
  </si>
  <si>
    <t>・特別障害者に該当する　・年齢23歳未満の扶養親族を有する　　</t>
    <rPh sb="1" eb="3">
      <t>トクベツ</t>
    </rPh>
    <rPh sb="3" eb="6">
      <t>ショウガイシャ</t>
    </rPh>
    <rPh sb="7" eb="9">
      <t>ガイトウ</t>
    </rPh>
    <rPh sb="13" eb="15">
      <t>ネンレイ</t>
    </rPh>
    <rPh sb="17" eb="18">
      <t>サイ</t>
    </rPh>
    <rPh sb="18" eb="20">
      <t>ミマン</t>
    </rPh>
    <rPh sb="21" eb="23">
      <t>フヨウ</t>
    </rPh>
    <rPh sb="23" eb="25">
      <t>シンゾク</t>
    </rPh>
    <rPh sb="26" eb="27">
      <t>ユウ</t>
    </rPh>
    <phoneticPr fontId="1"/>
  </si>
  <si>
    <t>・特別障害者である同一生計配偶者若しくは扶養親族を有する</t>
    <phoneticPr fontId="1"/>
  </si>
  <si>
    <t>※給与と公的年金等所得の両方を有する方に対する所得金額調整控除は適用せず給与所得金額を入力してください。</t>
    <rPh sb="1" eb="3">
      <t>キュウヨ</t>
    </rPh>
    <rPh sb="4" eb="6">
      <t>コウテキ</t>
    </rPh>
    <rPh sb="6" eb="8">
      <t>ネンキン</t>
    </rPh>
    <rPh sb="8" eb="9">
      <t>ナド</t>
    </rPh>
    <rPh sb="9" eb="11">
      <t>ショトク</t>
    </rPh>
    <rPh sb="12" eb="14">
      <t>リョウホウ</t>
    </rPh>
    <rPh sb="15" eb="16">
      <t>ユウ</t>
    </rPh>
    <rPh sb="18" eb="19">
      <t>カタ</t>
    </rPh>
    <rPh sb="20" eb="21">
      <t>タイ</t>
    </rPh>
    <rPh sb="23" eb="25">
      <t>ショトク</t>
    </rPh>
    <rPh sb="25" eb="27">
      <t>キンガク</t>
    </rPh>
    <rPh sb="27" eb="29">
      <t>チョウセイ</t>
    </rPh>
    <rPh sb="29" eb="31">
      <t>コウジョ</t>
    </rPh>
    <rPh sb="32" eb="34">
      <t>テキヨウ</t>
    </rPh>
    <rPh sb="36" eb="38">
      <t>キュウヨ</t>
    </rPh>
    <rPh sb="38" eb="40">
      <t>ショトク</t>
    </rPh>
    <rPh sb="40" eb="42">
      <t>キンガク</t>
    </rPh>
    <rPh sb="43" eb="45">
      <t>ニュウリョク</t>
    </rPh>
    <phoneticPr fontId="1"/>
  </si>
  <si>
    <t>※国民健康保険加入者で非自発的失業者の適用がある場合には、給与所得を100分の30として計算してください。</t>
    <rPh sb="1" eb="3">
      <t>コクミン</t>
    </rPh>
    <rPh sb="3" eb="5">
      <t>ケンコウ</t>
    </rPh>
    <rPh sb="5" eb="7">
      <t>ホケン</t>
    </rPh>
    <rPh sb="7" eb="9">
      <t>カニュウ</t>
    </rPh>
    <rPh sb="9" eb="10">
      <t>シャ</t>
    </rPh>
    <rPh sb="11" eb="12">
      <t>ヒ</t>
    </rPh>
    <rPh sb="12" eb="15">
      <t>ジハツテキ</t>
    </rPh>
    <rPh sb="15" eb="18">
      <t>シツギョウシャ</t>
    </rPh>
    <rPh sb="19" eb="21">
      <t>テキヨウ</t>
    </rPh>
    <rPh sb="24" eb="26">
      <t>バアイ</t>
    </rPh>
    <rPh sb="29" eb="31">
      <t>キュウヨ</t>
    </rPh>
    <rPh sb="31" eb="33">
      <t>ショトク</t>
    </rPh>
    <rPh sb="37" eb="38">
      <t>ブン</t>
    </rPh>
    <rPh sb="44" eb="46">
      <t>ケイサン</t>
    </rPh>
    <phoneticPr fontId="1"/>
  </si>
  <si>
    <t>その他所得について</t>
    <rPh sb="2" eb="3">
      <t>タ</t>
    </rPh>
    <rPh sb="3" eb="5">
      <t>ショトク</t>
    </rPh>
    <phoneticPr fontId="1"/>
  </si>
  <si>
    <t>※下記に該当する所得の合算額を入力してください。</t>
    <rPh sb="1" eb="3">
      <t>カキ</t>
    </rPh>
    <rPh sb="4" eb="6">
      <t>ガイトウ</t>
    </rPh>
    <rPh sb="8" eb="10">
      <t>ショトク</t>
    </rPh>
    <rPh sb="11" eb="13">
      <t>ガッサン</t>
    </rPh>
    <rPh sb="13" eb="14">
      <t>ガク</t>
    </rPh>
    <rPh sb="15" eb="17">
      <t>ニュウリョク</t>
    </rPh>
    <phoneticPr fontId="1"/>
  </si>
  <si>
    <t>【入力する所得について】</t>
    <rPh sb="1" eb="3">
      <t>ニュウリョク</t>
    </rPh>
    <rPh sb="5" eb="7">
      <t>ショトク</t>
    </rPh>
    <phoneticPr fontId="1"/>
  </si>
  <si>
    <t>山林所得</t>
    <rPh sb="0" eb="2">
      <t>サンリン</t>
    </rPh>
    <rPh sb="2" eb="4">
      <t>ショトク</t>
    </rPh>
    <phoneticPr fontId="1"/>
  </si>
  <si>
    <t>雑所得（公的年金以外）</t>
    <rPh sb="0" eb="3">
      <t>ザツショトク</t>
    </rPh>
    <rPh sb="4" eb="6">
      <t>コウテキ</t>
    </rPh>
    <rPh sb="6" eb="8">
      <t>ネンキン</t>
    </rPh>
    <rPh sb="8" eb="10">
      <t>イガイ</t>
    </rPh>
    <phoneticPr fontId="1"/>
  </si>
  <si>
    <t>事業所得</t>
    <rPh sb="0" eb="2">
      <t>ジギョウ</t>
    </rPh>
    <rPh sb="2" eb="4">
      <t>ショトク</t>
    </rPh>
    <phoneticPr fontId="1"/>
  </si>
  <si>
    <t>不動産所得</t>
    <rPh sb="0" eb="3">
      <t>フドウサン</t>
    </rPh>
    <rPh sb="3" eb="5">
      <t>ショトク</t>
    </rPh>
    <phoneticPr fontId="1"/>
  </si>
  <si>
    <t>利子所得</t>
    <rPh sb="0" eb="2">
      <t>リシ</t>
    </rPh>
    <rPh sb="2" eb="4">
      <t>ショトク</t>
    </rPh>
    <phoneticPr fontId="1"/>
  </si>
  <si>
    <t>配当所得</t>
    <rPh sb="0" eb="2">
      <t>ハイトウ</t>
    </rPh>
    <rPh sb="2" eb="4">
      <t>ショトク</t>
    </rPh>
    <phoneticPr fontId="1"/>
  </si>
  <si>
    <t>株式の配当等</t>
    <rPh sb="0" eb="2">
      <t>カブシキ</t>
    </rPh>
    <rPh sb="3" eb="5">
      <t>ハイトウ</t>
    </rPh>
    <rPh sb="5" eb="6">
      <t>ナド</t>
    </rPh>
    <phoneticPr fontId="1"/>
  </si>
  <si>
    <t>総合短期譲渡所得</t>
    <rPh sb="0" eb="2">
      <t>ソウゴウ</t>
    </rPh>
    <rPh sb="2" eb="4">
      <t>タンキ</t>
    </rPh>
    <rPh sb="4" eb="6">
      <t>ジョウト</t>
    </rPh>
    <rPh sb="6" eb="8">
      <t>ショトク</t>
    </rPh>
    <phoneticPr fontId="1"/>
  </si>
  <si>
    <t>総合長期譲渡所得（土地や建物以外の財産を売った時の所得）</t>
    <rPh sb="0" eb="2">
      <t>ソウゴウ</t>
    </rPh>
    <rPh sb="2" eb="4">
      <t>チョウキ</t>
    </rPh>
    <rPh sb="4" eb="6">
      <t>ジョウト</t>
    </rPh>
    <rPh sb="6" eb="8">
      <t>ショトク</t>
    </rPh>
    <rPh sb="9" eb="11">
      <t>トチ</t>
    </rPh>
    <rPh sb="12" eb="14">
      <t>タテモノ</t>
    </rPh>
    <rPh sb="14" eb="16">
      <t>イガイ</t>
    </rPh>
    <rPh sb="17" eb="19">
      <t>ザイサン</t>
    </rPh>
    <rPh sb="20" eb="21">
      <t>ウ</t>
    </rPh>
    <rPh sb="23" eb="24">
      <t>トキ</t>
    </rPh>
    <rPh sb="25" eb="27">
      <t>ショトク</t>
    </rPh>
    <phoneticPr fontId="1"/>
  </si>
  <si>
    <t>分離短期譲渡所得</t>
    <rPh sb="0" eb="2">
      <t>ブンリ</t>
    </rPh>
    <rPh sb="2" eb="4">
      <t>タンキ</t>
    </rPh>
    <rPh sb="4" eb="6">
      <t>ジョウト</t>
    </rPh>
    <rPh sb="6" eb="8">
      <t>ショトク</t>
    </rPh>
    <phoneticPr fontId="1"/>
  </si>
  <si>
    <t>分離長期譲渡所得（土地や建物を売った時の所得）</t>
    <rPh sb="0" eb="2">
      <t>ブンリ</t>
    </rPh>
    <rPh sb="2" eb="4">
      <t>チョウキ</t>
    </rPh>
    <rPh sb="4" eb="6">
      <t>ジョウト</t>
    </rPh>
    <rPh sb="6" eb="8">
      <t>ショトク</t>
    </rPh>
    <rPh sb="9" eb="11">
      <t>トチ</t>
    </rPh>
    <rPh sb="12" eb="14">
      <t>タテモノ</t>
    </rPh>
    <rPh sb="15" eb="16">
      <t>ウ</t>
    </rPh>
    <rPh sb="18" eb="19">
      <t>トキ</t>
    </rPh>
    <rPh sb="20" eb="22">
      <t>ショトク</t>
    </rPh>
    <phoneticPr fontId="1"/>
  </si>
  <si>
    <t>株式譲渡所得</t>
    <rPh sb="0" eb="2">
      <t>カブシキ</t>
    </rPh>
    <rPh sb="2" eb="4">
      <t>ジョウト</t>
    </rPh>
    <rPh sb="4" eb="6">
      <t>ショトク</t>
    </rPh>
    <phoneticPr fontId="1"/>
  </si>
  <si>
    <t>申告分離の上場株式等の配当所得</t>
    <rPh sb="0" eb="2">
      <t>シンコク</t>
    </rPh>
    <rPh sb="2" eb="4">
      <t>ブンリ</t>
    </rPh>
    <rPh sb="5" eb="7">
      <t>ジョウジョウ</t>
    </rPh>
    <rPh sb="7" eb="9">
      <t>カブシキ</t>
    </rPh>
    <rPh sb="9" eb="10">
      <t>ナド</t>
    </rPh>
    <rPh sb="11" eb="13">
      <t>ハイトウ</t>
    </rPh>
    <rPh sb="13" eb="15">
      <t>ショトク</t>
    </rPh>
    <phoneticPr fontId="1"/>
  </si>
  <si>
    <t>一時所得（懸賞金等継続性のない一時的所得）</t>
    <rPh sb="0" eb="2">
      <t>イチジ</t>
    </rPh>
    <rPh sb="2" eb="4">
      <t>ショトク</t>
    </rPh>
    <rPh sb="5" eb="8">
      <t>ケンショウキン</t>
    </rPh>
    <rPh sb="8" eb="9">
      <t>ナド</t>
    </rPh>
    <rPh sb="9" eb="11">
      <t>ケイゾク</t>
    </rPh>
    <rPh sb="11" eb="12">
      <t>セイ</t>
    </rPh>
    <rPh sb="15" eb="18">
      <t>イチジテキ</t>
    </rPh>
    <rPh sb="18" eb="20">
      <t>ショトク</t>
    </rPh>
    <phoneticPr fontId="1"/>
  </si>
  <si>
    <t>その他の注意点</t>
    <rPh sb="2" eb="3">
      <t>ホカ</t>
    </rPh>
    <rPh sb="4" eb="7">
      <t>チュウイテン</t>
    </rPh>
    <phoneticPr fontId="1"/>
  </si>
  <si>
    <t>※</t>
    <phoneticPr fontId="1"/>
  </si>
  <si>
    <t>総合課税の対象となる所得、分離課税の対象となる所得それぞれについて損益通算、</t>
    <phoneticPr fontId="1"/>
  </si>
  <si>
    <t>各繰越損失額・特別控除額の控除（繰越雑損失を除く）を行い、総合課税分及び分離課税分の算定額を合計します。</t>
    <phoneticPr fontId="1"/>
  </si>
  <si>
    <t>なお、算定額がマイナスになる場合は0円として合算します。</t>
    <phoneticPr fontId="1"/>
  </si>
  <si>
    <t>退職所得、傷病手当金、失業手当、遺族・障害年金は算定対象になりません。</t>
    <phoneticPr fontId="1"/>
  </si>
  <si>
    <t>詳細は千葉市役所ホームページで公開しています「国保のしおり」をご覧ください。</t>
    <phoneticPr fontId="1"/>
  </si>
  <si>
    <t>保険料試算結果</t>
    <rPh sb="0" eb="3">
      <t>ホケンリョウ</t>
    </rPh>
    <rPh sb="3" eb="5">
      <t>シサン</t>
    </rPh>
    <rPh sb="5" eb="7">
      <t>ケッカ</t>
    </rPh>
    <phoneticPr fontId="1"/>
  </si>
  <si>
    <t>軽減・減免の適用</t>
    <rPh sb="0" eb="2">
      <t>ケイゲン</t>
    </rPh>
    <rPh sb="3" eb="5">
      <t>ゲンメン</t>
    </rPh>
    <rPh sb="6" eb="8">
      <t>テキヨウ</t>
    </rPh>
    <phoneticPr fontId="1"/>
  </si>
  <si>
    <t>この試算では、「被保険者均等割額」「世帯別平等割額」を</t>
    <rPh sb="2" eb="4">
      <t>シサン</t>
    </rPh>
    <rPh sb="8" eb="12">
      <t>ヒホケンシャ</t>
    </rPh>
    <rPh sb="12" eb="14">
      <t>キントウ</t>
    </rPh>
    <rPh sb="14" eb="15">
      <t>ワリ</t>
    </rPh>
    <rPh sb="15" eb="16">
      <t>ガク</t>
    </rPh>
    <rPh sb="18" eb="20">
      <t>セタイ</t>
    </rPh>
    <rPh sb="20" eb="21">
      <t>ベツ</t>
    </rPh>
    <rPh sb="21" eb="23">
      <t>ビョウドウ</t>
    </rPh>
    <rPh sb="23" eb="24">
      <t>ワリ</t>
    </rPh>
    <rPh sb="24" eb="25">
      <t>ガク</t>
    </rPh>
    <phoneticPr fontId="1"/>
  </si>
  <si>
    <t>で計算しています。</t>
    <rPh sb="1" eb="3">
      <t>ケイサン</t>
    </rPh>
    <phoneticPr fontId="1"/>
  </si>
  <si>
    <t>介護保険料は各区保健福祉センター高齢障害支援課介護保険室にお問合せください。</t>
    <rPh sb="0" eb="2">
      <t>カイゴ</t>
    </rPh>
    <rPh sb="2" eb="5">
      <t>ホケンリョウ</t>
    </rPh>
    <rPh sb="6" eb="8">
      <t>カクク</t>
    </rPh>
    <rPh sb="8" eb="10">
      <t>ホケン</t>
    </rPh>
    <rPh sb="10" eb="12">
      <t>フクシ</t>
    </rPh>
    <rPh sb="16" eb="18">
      <t>コウレイ</t>
    </rPh>
    <rPh sb="18" eb="20">
      <t>ショウガイ</t>
    </rPh>
    <rPh sb="20" eb="22">
      <t>シエン</t>
    </rPh>
    <rPh sb="22" eb="23">
      <t>カ</t>
    </rPh>
    <rPh sb="23" eb="25">
      <t>カイゴ</t>
    </rPh>
    <rPh sb="25" eb="27">
      <t>ホケン</t>
    </rPh>
    <rPh sb="27" eb="28">
      <t>シツ</t>
    </rPh>
    <rPh sb="30" eb="31">
      <t>ト</t>
    </rPh>
    <rPh sb="31" eb="32">
      <t>ア</t>
    </rPh>
    <phoneticPr fontId="1"/>
  </si>
  <si>
    <t>令和8年度（2026年度）版の国民健康保険料率・計算方法は、次のとおりです。</t>
    <rPh sb="0" eb="2">
      <t>レイワ</t>
    </rPh>
    <rPh sb="3" eb="5">
      <t>ネンド</t>
    </rPh>
    <rPh sb="10" eb="12">
      <t>ネンド</t>
    </rPh>
    <rPh sb="13" eb="14">
      <t>ハン</t>
    </rPh>
    <rPh sb="15" eb="16">
      <t>リョウ</t>
    </rPh>
    <rPh sb="16" eb="17">
      <t>リツ</t>
    </rPh>
    <rPh sb="18" eb="20">
      <t>ケイサン</t>
    </rPh>
    <rPh sb="20" eb="22">
      <t>ホウホウ</t>
    </rPh>
    <rPh sb="24" eb="25">
      <t>ツギ</t>
    </rPh>
    <phoneticPr fontId="1"/>
  </si>
  <si>
    <t>（Ａ）＋（Ｂ）</t>
    <phoneticPr fontId="1"/>
  </si>
  <si>
    <t>後期支援金分保険料</t>
    <rPh sb="0" eb="2">
      <t>コウキ</t>
    </rPh>
    <rPh sb="2" eb="5">
      <t>シエンキン</t>
    </rPh>
    <rPh sb="5" eb="6">
      <t>ブン</t>
    </rPh>
    <rPh sb="6" eb="9">
      <t>ホケンリョウ</t>
    </rPh>
    <phoneticPr fontId="1"/>
  </si>
  <si>
    <t>子ども子育て支援金分
保険料</t>
    <rPh sb="0" eb="1">
      <t>コ</t>
    </rPh>
    <rPh sb="3" eb="5">
      <t>コソダ</t>
    </rPh>
    <rPh sb="6" eb="10">
      <t>シエンキンブン</t>
    </rPh>
    <rPh sb="11" eb="14">
      <t>ホケンリョウ</t>
    </rPh>
    <phoneticPr fontId="1"/>
  </si>
  <si>
    <t>後期分</t>
    <rPh sb="0" eb="2">
      <t>コウキ</t>
    </rPh>
    <rPh sb="2" eb="3">
      <t>ブン</t>
    </rPh>
    <phoneticPr fontId="1"/>
  </si>
  <si>
    <t>子ども分</t>
    <rPh sb="0" eb="1">
      <t>コ</t>
    </rPh>
    <rPh sb="3" eb="4">
      <t>ブン</t>
    </rPh>
    <phoneticPr fontId="1"/>
  </si>
  <si>
    <t>後期分保険料</t>
    <rPh sb="0" eb="2">
      <t>コウキ</t>
    </rPh>
    <rPh sb="2" eb="3">
      <t>ブン</t>
    </rPh>
    <rPh sb="3" eb="6">
      <t>ホケンリョウ</t>
    </rPh>
    <phoneticPr fontId="1"/>
  </si>
  <si>
    <t>令和8年度（2026年度）版　千葉市国民健康保険料試算</t>
    <rPh sb="0" eb="2">
      <t>レイワ</t>
    </rPh>
    <rPh sb="3" eb="5">
      <t>ネンド</t>
    </rPh>
    <rPh sb="10" eb="12">
      <t>ネンド</t>
    </rPh>
    <rPh sb="13" eb="14">
      <t>ハン</t>
    </rPh>
    <rPh sb="15" eb="18">
      <t>チバシ</t>
    </rPh>
    <rPh sb="18" eb="20">
      <t>コクミン</t>
    </rPh>
    <rPh sb="20" eb="22">
      <t>ケンコウ</t>
    </rPh>
    <rPh sb="22" eb="25">
      <t>ホケンリョウ</t>
    </rPh>
    <rPh sb="25" eb="27">
      <t>シサン</t>
    </rPh>
    <phoneticPr fontId="1"/>
  </si>
  <si>
    <t>加入</t>
    <rPh sb="0" eb="2">
      <t>カニュウ</t>
    </rPh>
    <phoneticPr fontId="1"/>
  </si>
  <si>
    <t>加入しない</t>
    <rPh sb="0" eb="2">
      <t>カニュウ</t>
    </rPh>
    <phoneticPr fontId="1"/>
  </si>
  <si>
    <t>令和7年中（2025年中）の所得金額を「給与所得」「公的年金等所得」「その他所得」に分け入力してください。</t>
    <rPh sb="0" eb="2">
      <t>レイワ</t>
    </rPh>
    <rPh sb="3" eb="4">
      <t>ネン</t>
    </rPh>
    <rPh sb="4" eb="5">
      <t>チュウ</t>
    </rPh>
    <rPh sb="10" eb="11">
      <t>ネン</t>
    </rPh>
    <rPh sb="11" eb="12">
      <t>チュウ</t>
    </rPh>
    <rPh sb="14" eb="16">
      <t>ショトク</t>
    </rPh>
    <rPh sb="16" eb="18">
      <t>キンガク</t>
    </rPh>
    <rPh sb="20" eb="22">
      <t>キュウヨ</t>
    </rPh>
    <rPh sb="22" eb="24">
      <t>ショトク</t>
    </rPh>
    <rPh sb="26" eb="28">
      <t>コウテキ</t>
    </rPh>
    <rPh sb="28" eb="30">
      <t>ネンキン</t>
    </rPh>
    <rPh sb="30" eb="31">
      <t>ナド</t>
    </rPh>
    <rPh sb="31" eb="33">
      <t>ショトク</t>
    </rPh>
    <rPh sb="37" eb="38">
      <t>タ</t>
    </rPh>
    <rPh sb="38" eb="40">
      <t>ショトク</t>
    </rPh>
    <rPh sb="42" eb="43">
      <t>ワ</t>
    </rPh>
    <rPh sb="44" eb="46">
      <t>ニュウリョク</t>
    </rPh>
    <phoneticPr fontId="1"/>
  </si>
  <si>
    <t>合計（①+②+③+④）</t>
    <rPh sb="0" eb="2">
      <t>ゴウケイ</t>
    </rPh>
    <phoneticPr fontId="1"/>
  </si>
  <si>
    <t>加入区分</t>
    <rPh sb="0" eb="2">
      <t>カニュウ</t>
    </rPh>
    <rPh sb="2" eb="4">
      <t>クブン</t>
    </rPh>
    <phoneticPr fontId="1"/>
  </si>
  <si>
    <t>HP</t>
    <phoneticPr fontId="1"/>
  </si>
  <si>
    <t>試算ツール</t>
    <rPh sb="0" eb="2">
      <t>シサン</t>
    </rPh>
    <phoneticPr fontId="1"/>
  </si>
  <si>
    <t>国保加入数</t>
    <rPh sb="0" eb="2">
      <t>コクホ</t>
    </rPh>
    <rPh sb="2" eb="4">
      <t>カニュウ</t>
    </rPh>
    <rPh sb="4" eb="5">
      <t>スウ</t>
    </rPh>
    <phoneticPr fontId="1"/>
  </si>
  <si>
    <t>65以上</t>
    <rPh sb="2" eb="4">
      <t>イジョウ</t>
    </rPh>
    <phoneticPr fontId="1"/>
  </si>
  <si>
    <t>65未満</t>
    <rPh sb="2" eb="4">
      <t>ミマン</t>
    </rPh>
    <phoneticPr fontId="1"/>
  </si>
  <si>
    <t>子ども子育て支援金分保険料</t>
    <rPh sb="0" eb="1">
      <t>コ</t>
    </rPh>
    <rPh sb="3" eb="5">
      <t>コソダ</t>
    </rPh>
    <rPh sb="6" eb="8">
      <t>シエン</t>
    </rPh>
    <rPh sb="8" eb="9">
      <t>キン</t>
    </rPh>
    <rPh sb="9" eb="10">
      <t>ブン</t>
    </rPh>
    <rPh sb="10" eb="13">
      <t>ホケンリョウ</t>
    </rPh>
    <phoneticPr fontId="1"/>
  </si>
  <si>
    <t>子ども子育て支援金分を指します。子育て世帯を支える財源のための保険料です。全ての被保険者が対象です。（均等割額に18歳以上均等割額120円が含みます。）</t>
    <rPh sb="11" eb="12">
      <t>サ</t>
    </rPh>
    <rPh sb="16" eb="18">
      <t>コソダ</t>
    </rPh>
    <rPh sb="19" eb="21">
      <t>セタイ</t>
    </rPh>
    <rPh sb="22" eb="23">
      <t>ササ</t>
    </rPh>
    <rPh sb="25" eb="27">
      <t>ザイゲン</t>
    </rPh>
    <rPh sb="31" eb="34">
      <t>ホケンリョウ</t>
    </rPh>
    <rPh sb="37" eb="38">
      <t>スベ</t>
    </rPh>
    <rPh sb="40" eb="44">
      <t>ヒホケンシャ</t>
    </rPh>
    <rPh sb="45" eb="47">
      <t>タイショウ</t>
    </rPh>
    <rPh sb="51" eb="54">
      <t>キントウワリ</t>
    </rPh>
    <rPh sb="54" eb="55">
      <t>ガク</t>
    </rPh>
    <rPh sb="58" eb="59">
      <t>サイ</t>
    </rPh>
    <rPh sb="59" eb="61">
      <t>イジョウ</t>
    </rPh>
    <rPh sb="61" eb="65">
      <t>キントウワリガク</t>
    </rPh>
    <rPh sb="68" eb="69">
      <t>エン</t>
    </rPh>
    <rPh sb="70" eb="71">
      <t>フク</t>
    </rPh>
    <phoneticPr fontId="1"/>
  </si>
  <si>
    <t>子ども分保険料</t>
    <rPh sb="0" eb="1">
      <t>コ</t>
    </rPh>
    <rPh sb="3" eb="4">
      <t>ブン</t>
    </rPh>
    <rPh sb="4" eb="7">
      <t>ホケンリョウ</t>
    </rPh>
    <phoneticPr fontId="1"/>
  </si>
  <si>
    <t>④</t>
    <phoneticPr fontId="1"/>
  </si>
  <si>
    <t>40歳以上～65歳未満【介護あり】</t>
    <rPh sb="2" eb="3">
      <t>サイ</t>
    </rPh>
    <rPh sb="3" eb="5">
      <t>イジョウ</t>
    </rPh>
    <rPh sb="8" eb="9">
      <t>サイ</t>
    </rPh>
    <rPh sb="9" eb="11">
      <t>ミマン</t>
    </rPh>
    <rPh sb="12" eb="14">
      <t>カイゴ</t>
    </rPh>
    <phoneticPr fontId="1"/>
  </si>
  <si>
    <t>令和８年（2026年）４月１日時点の年齢区分を選択してください。</t>
    <rPh sb="0" eb="2">
      <t>レイワ</t>
    </rPh>
    <rPh sb="3" eb="4">
      <t>ネン</t>
    </rPh>
    <rPh sb="9" eb="10">
      <t>ネン</t>
    </rPh>
    <rPh sb="12" eb="13">
      <t>ガツ</t>
    </rPh>
    <rPh sb="14" eb="15">
      <t>ニチ</t>
    </rPh>
    <rPh sb="15" eb="17">
      <t>ジテン</t>
    </rPh>
    <rPh sb="18" eb="20">
      <t>ネンレイ</t>
    </rPh>
    <rPh sb="20" eb="22">
      <t>クブン</t>
    </rPh>
    <rPh sb="23" eb="25">
      <t>センタク</t>
    </rPh>
    <phoneticPr fontId="1"/>
  </si>
  <si>
    <t>令和８年4月～令和９年3月の1年間の保険料額です。</t>
    <rPh sb="0" eb="2">
      <t>レイワ</t>
    </rPh>
    <rPh sb="7" eb="9">
      <t>レイワ</t>
    </rPh>
    <rPh sb="15" eb="17">
      <t>ネンカン</t>
    </rPh>
    <rPh sb="18" eb="21">
      <t>ホケンリョウ</t>
    </rPh>
    <rPh sb="21" eb="22">
      <t>ガク</t>
    </rPh>
    <phoneticPr fontId="1"/>
  </si>
  <si>
    <t>年度途中から加入する方は上記金額を12で割り加入する月から令和９年3月までの月数を乗じた額が保険料額となります。</t>
    <rPh sb="0" eb="2">
      <t>ネンド</t>
    </rPh>
    <rPh sb="2" eb="4">
      <t>トチュウ</t>
    </rPh>
    <rPh sb="6" eb="8">
      <t>カニュウ</t>
    </rPh>
    <rPh sb="10" eb="11">
      <t>カタ</t>
    </rPh>
    <rPh sb="12" eb="14">
      <t>ジョウキ</t>
    </rPh>
    <rPh sb="14" eb="16">
      <t>キンガク</t>
    </rPh>
    <rPh sb="20" eb="21">
      <t>ワ</t>
    </rPh>
    <rPh sb="22" eb="24">
      <t>カニュウ</t>
    </rPh>
    <rPh sb="26" eb="27">
      <t>ツキ</t>
    </rPh>
    <rPh sb="29" eb="31">
      <t>レイワ</t>
    </rPh>
    <rPh sb="32" eb="33">
      <t>ネン</t>
    </rPh>
    <rPh sb="34" eb="35">
      <t>ガツ</t>
    </rPh>
    <rPh sb="38" eb="39">
      <t>ツキ</t>
    </rPh>
    <rPh sb="39" eb="40">
      <t>スウ</t>
    </rPh>
    <rPh sb="41" eb="42">
      <t>ジョウ</t>
    </rPh>
    <rPh sb="44" eb="45">
      <t>ガク</t>
    </rPh>
    <rPh sb="46" eb="49">
      <t>ホケンリョウ</t>
    </rPh>
    <rPh sb="49" eb="50">
      <t>ガク</t>
    </rPh>
    <phoneticPr fontId="1"/>
  </si>
  <si>
    <t>65歳以上の方の介護保険料は国民健康保険料と別に納めていただきます。</t>
    <rPh sb="2" eb="3">
      <t>サイ</t>
    </rPh>
    <rPh sb="3" eb="5">
      <t>イジョウ</t>
    </rPh>
    <rPh sb="6" eb="7">
      <t>カタ</t>
    </rPh>
    <rPh sb="8" eb="10">
      <t>カイゴ</t>
    </rPh>
    <rPh sb="10" eb="13">
      <t>ホケンリョウ</t>
    </rPh>
    <rPh sb="14" eb="16">
      <t>コクミン</t>
    </rPh>
    <rPh sb="20" eb="21">
      <t>リョウ</t>
    </rPh>
    <rPh sb="22" eb="23">
      <t>ベツ</t>
    </rPh>
    <rPh sb="24" eb="25">
      <t>オサ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</si>
</sst>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_ "/>
    <numFmt numFmtId="178" formatCode="#,##0_);[Red]\(#,##0\)"/>
    <numFmt numFmtId="179" formatCode="#,##0;&quot;△ &quot;#,##0"/>
    <numFmt numFmtId="180" formatCode="0.00_ "/>
  </numFmts>
  <fonts count="21">
    <font>
      <sz val="11"/>
      <color theme="1"/>
      <name val="游ゴシック"/>
      <family val="2"/>
      <charset val="128"/>
      <scheme val="minor"/>
    </font>
    <font>
      <sz val="6"/>
      <name val="游ゴシック"/>
      <family val="2"/>
      <charset val="128"/>
      <scheme val="minor"/>
    </font>
    <font>
      <sz val="10"/>
      <color theme="1"/>
      <name val="メイリオ"/>
      <family val="3"/>
      <charset val="128"/>
    </font>
    <font>
      <sz val="14"/>
      <color theme="1"/>
      <name val="メイリオ"/>
      <family val="3"/>
      <charset val="128"/>
    </font>
    <font>
      <sz val="11"/>
      <color theme="1"/>
      <name val="メイリオ"/>
      <family val="3"/>
      <charset val="128"/>
    </font>
    <font>
      <sz val="11"/>
      <name val="メイリオ"/>
      <family val="3"/>
      <charset val="128"/>
    </font>
    <font>
      <sz val="9"/>
      <color theme="1"/>
      <name val="メイリオ"/>
      <family val="3"/>
      <charset val="128"/>
    </font>
    <font>
      <b/>
      <sz val="20"/>
      <color rgb="FFFF0000"/>
      <name val="游ゴシック"/>
      <family val="3"/>
      <charset val="128"/>
      <scheme val="minor"/>
    </font>
    <font>
      <sz val="11"/>
      <color theme="1"/>
      <name val="游ゴシック"/>
      <family val="3"/>
      <charset val="128"/>
      <scheme val="minor"/>
    </font>
    <font>
      <b/>
      <sz val="9"/>
      <color indexed="81"/>
      <name val="MS P ゴシック"/>
      <family val="3"/>
      <charset val="128"/>
    </font>
    <font>
      <sz val="11"/>
      <color rgb="FFFF0000"/>
      <name val="メイリオ"/>
      <family val="3"/>
      <charset val="128"/>
    </font>
    <font>
      <sz val="10"/>
      <color rgb="FFFF0000"/>
      <name val="メイリオ"/>
      <family val="3"/>
      <charset val="128"/>
    </font>
    <font>
      <sz val="14"/>
      <color rgb="FFFF0000"/>
      <name val="メイリオ"/>
      <family val="3"/>
      <charset val="128"/>
    </font>
    <font>
      <sz val="11"/>
      <color rgb="FFFF0000"/>
      <name val="游ゴシック"/>
      <family val="2"/>
      <charset val="128"/>
      <scheme val="minor"/>
    </font>
    <font>
      <sz val="11"/>
      <color rgb="FFFF0000"/>
      <name val="游ゴシック"/>
      <family val="3"/>
      <charset val="128"/>
      <scheme val="minor"/>
    </font>
    <font>
      <sz val="28"/>
      <color rgb="FFFF0000"/>
      <name val="メイリオ"/>
      <family val="3"/>
      <charset val="128"/>
    </font>
    <font>
      <sz val="8"/>
      <color theme="1"/>
      <name val="メイリオ"/>
      <family val="3"/>
      <charset val="128"/>
    </font>
    <font>
      <sz val="10"/>
      <name val="メイリオ"/>
      <family val="3"/>
      <charset val="128"/>
    </font>
    <font>
      <sz val="9"/>
      <name val="メイリオ"/>
      <family val="3"/>
      <charset val="128"/>
    </font>
    <font>
      <sz val="14"/>
      <name val="メイリオ"/>
      <family val="3"/>
      <charset val="128"/>
    </font>
    <font>
      <sz val="10"/>
      <color rgb="FF00B0F0"/>
      <name val="メイリオ"/>
      <family val="3"/>
      <charset val="128"/>
    </font>
  </fonts>
  <fills count="11">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4" tint="0.5999938962981048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style="thin">
        <color indexed="64"/>
      </top>
      <bottom/>
      <diagonal/>
    </border>
    <border>
      <left/>
      <right style="thin">
        <color theme="1"/>
      </right>
      <top style="thin">
        <color indexed="64"/>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alignment vertical="center"/>
    </xf>
  </cellStyleXfs>
  <cellXfs count="349">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4" fillId="0" borderId="0" xfId="0" applyFont="1">
      <alignment vertical="center"/>
    </xf>
    <xf numFmtId="0" fontId="4" fillId="2" borderId="1" xfId="0" applyFont="1" applyFill="1" applyBorder="1">
      <alignment vertical="center"/>
    </xf>
    <xf numFmtId="0" fontId="4" fillId="0" borderId="0" xfId="0" applyFont="1" applyAlignment="1">
      <alignment horizontal="right" vertical="center"/>
    </xf>
    <xf numFmtId="0" fontId="5" fillId="2" borderId="1" xfId="0" applyFont="1" applyFill="1" applyBorder="1">
      <alignment vertical="center"/>
    </xf>
    <xf numFmtId="0" fontId="7" fillId="0" borderId="0" xfId="0" applyFont="1">
      <alignment vertical="center"/>
    </xf>
    <xf numFmtId="0" fontId="2" fillId="5" borderId="0" xfId="0" applyFont="1" applyFill="1">
      <alignment vertical="center"/>
    </xf>
    <xf numFmtId="0" fontId="2" fillId="2" borderId="31" xfId="0" applyFont="1" applyFill="1" applyBorder="1">
      <alignment vertical="center"/>
    </xf>
    <xf numFmtId="0" fontId="2" fillId="2" borderId="32" xfId="0" applyFont="1" applyFill="1" applyBorder="1">
      <alignment vertical="center"/>
    </xf>
    <xf numFmtId="0" fontId="2" fillId="0" borderId="32" xfId="0" applyFont="1" applyBorder="1">
      <alignment vertical="center"/>
    </xf>
    <xf numFmtId="0" fontId="2" fillId="0" borderId="33" xfId="0" applyFont="1" applyBorder="1">
      <alignment vertical="center"/>
    </xf>
    <xf numFmtId="0" fontId="3" fillId="5" borderId="0" xfId="0" applyFont="1" applyFill="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176" fontId="0" fillId="2" borderId="0" xfId="0" applyNumberFormat="1" applyFill="1" applyAlignment="1">
      <alignment horizontal="center" vertical="center"/>
    </xf>
    <xf numFmtId="176" fontId="0" fillId="0" borderId="0" xfId="0" applyNumberFormat="1">
      <alignment vertical="center"/>
    </xf>
    <xf numFmtId="178" fontId="0" fillId="0" borderId="0" xfId="0" applyNumberFormat="1">
      <alignment vertical="center"/>
    </xf>
    <xf numFmtId="179" fontId="0" fillId="0" borderId="0" xfId="0" applyNumberFormat="1">
      <alignment vertical="center"/>
    </xf>
    <xf numFmtId="179" fontId="0" fillId="2" borderId="34" xfId="0" applyNumberFormat="1" applyFill="1" applyBorder="1" applyAlignment="1">
      <alignment horizontal="center" vertical="center"/>
    </xf>
    <xf numFmtId="178" fontId="0" fillId="2" borderId="33" xfId="0" applyNumberFormat="1" applyFill="1" applyBorder="1" applyAlignment="1">
      <alignment horizontal="center" vertical="center"/>
    </xf>
    <xf numFmtId="0" fontId="0" fillId="0" borderId="35" xfId="0" applyBorder="1" applyAlignment="1">
      <alignment horizontal="center" vertical="center"/>
    </xf>
    <xf numFmtId="178" fontId="0" fillId="0" borderId="29" xfId="0" applyNumberFormat="1" applyBorder="1">
      <alignment vertical="center"/>
    </xf>
    <xf numFmtId="0" fontId="0" fillId="0" borderId="36" xfId="0" applyBorder="1" applyAlignment="1">
      <alignment horizontal="center" vertical="center"/>
    </xf>
    <xf numFmtId="178" fontId="0" fillId="0" borderId="37" xfId="0" applyNumberFormat="1" applyBorder="1">
      <alignment vertical="center"/>
    </xf>
    <xf numFmtId="0" fontId="0" fillId="0" borderId="38" xfId="0" applyBorder="1" applyAlignment="1">
      <alignment horizontal="center" vertical="center"/>
    </xf>
    <xf numFmtId="178" fontId="0" fillId="0" borderId="39" xfId="0" applyNumberFormat="1" applyBorder="1">
      <alignment vertical="center"/>
    </xf>
    <xf numFmtId="0" fontId="0" fillId="5" borderId="35" xfId="0" applyFill="1" applyBorder="1" applyAlignment="1">
      <alignment horizontal="center" vertical="center"/>
    </xf>
    <xf numFmtId="0" fontId="0" fillId="5" borderId="36" xfId="0" applyFill="1" applyBorder="1" applyAlignment="1">
      <alignment horizontal="center" vertical="center"/>
    </xf>
    <xf numFmtId="0" fontId="0" fillId="5" borderId="38" xfId="0" applyFill="1" applyBorder="1" applyAlignment="1">
      <alignment horizontal="center" vertical="center"/>
    </xf>
    <xf numFmtId="176" fontId="0" fillId="5" borderId="42" xfId="0" applyNumberFormat="1" applyFill="1" applyBorder="1">
      <alignment vertical="center"/>
    </xf>
    <xf numFmtId="176" fontId="0" fillId="5" borderId="43" xfId="0" applyNumberFormat="1" applyFill="1" applyBorder="1">
      <alignment vertical="center"/>
    </xf>
    <xf numFmtId="176" fontId="0" fillId="5" borderId="44" xfId="0" applyNumberFormat="1" applyFill="1" applyBorder="1">
      <alignment vertical="center"/>
    </xf>
    <xf numFmtId="0" fontId="0" fillId="0" borderId="40" xfId="0" applyBorder="1" applyAlignment="1">
      <alignment horizontal="center" vertical="center"/>
    </xf>
    <xf numFmtId="0" fontId="0" fillId="0" borderId="29" xfId="0" applyBorder="1" applyAlignment="1">
      <alignment horizontal="center" vertical="center"/>
    </xf>
    <xf numFmtId="0" fontId="0" fillId="0" borderId="43" xfId="0" applyBorder="1">
      <alignment vertical="center"/>
    </xf>
    <xf numFmtId="0" fontId="0" fillId="0" borderId="44" xfId="0" applyBorder="1">
      <alignment vertical="center"/>
    </xf>
    <xf numFmtId="0" fontId="0" fillId="2" borderId="0" xfId="0" applyFill="1" applyAlignment="1">
      <alignment horizontal="center" vertical="center"/>
    </xf>
    <xf numFmtId="0" fontId="0" fillId="5" borderId="42" xfId="0" applyFill="1" applyBorder="1" applyAlignment="1">
      <alignment horizontal="center" vertical="center"/>
    </xf>
    <xf numFmtId="176" fontId="0" fillId="5" borderId="42" xfId="0" applyNumberFormat="1" applyFill="1" applyBorder="1" applyAlignment="1">
      <alignment horizontal="center" vertical="center"/>
    </xf>
    <xf numFmtId="178" fontId="0" fillId="0" borderId="43" xfId="0" applyNumberFormat="1" applyBorder="1">
      <alignment vertical="center"/>
    </xf>
    <xf numFmtId="178" fontId="0" fillId="0" borderId="44" xfId="0" applyNumberFormat="1" applyBorder="1">
      <alignment vertical="center"/>
    </xf>
    <xf numFmtId="0" fontId="0" fillId="0" borderId="42" xfId="0" applyBorder="1" applyAlignment="1">
      <alignment horizontal="center" vertical="center"/>
    </xf>
    <xf numFmtId="178" fontId="0" fillId="5" borderId="43" xfId="0" applyNumberFormat="1" applyFill="1" applyBorder="1">
      <alignment vertical="center"/>
    </xf>
    <xf numFmtId="178" fontId="0" fillId="5" borderId="44" xfId="0" applyNumberFormat="1" applyFill="1" applyBorder="1">
      <alignment vertical="center"/>
    </xf>
    <xf numFmtId="0" fontId="4" fillId="0" borderId="0" xfId="0" applyFont="1" applyAlignment="1">
      <alignment vertical="center" textRotation="255"/>
    </xf>
    <xf numFmtId="0" fontId="0" fillId="0" borderId="41" xfId="0" applyBorder="1" applyAlignment="1">
      <alignment horizontal="center" vertical="center"/>
    </xf>
    <xf numFmtId="178" fontId="0" fillId="5" borderId="29" xfId="0" applyNumberFormat="1" applyFill="1" applyBorder="1">
      <alignment vertical="center"/>
    </xf>
    <xf numFmtId="178" fontId="0" fillId="5" borderId="37" xfId="0" applyNumberFormat="1" applyFill="1" applyBorder="1">
      <alignment vertical="center"/>
    </xf>
    <xf numFmtId="178" fontId="0" fillId="5" borderId="39" xfId="0" applyNumberFormat="1" applyFill="1" applyBorder="1">
      <alignment vertical="center"/>
    </xf>
    <xf numFmtId="0" fontId="4" fillId="0" borderId="0" xfId="0" applyFont="1" applyAlignment="1">
      <alignment horizontal="center" vertical="center"/>
    </xf>
    <xf numFmtId="0" fontId="4" fillId="0" borderId="1" xfId="0" applyFont="1" applyBorder="1">
      <alignment vertical="center"/>
    </xf>
    <xf numFmtId="0" fontId="4" fillId="0" borderId="26" xfId="0" applyFont="1" applyBorder="1">
      <alignment vertical="center"/>
    </xf>
    <xf numFmtId="0" fontId="4" fillId="5" borderId="31" xfId="0" applyFont="1" applyFill="1" applyBorder="1">
      <alignment vertical="center"/>
    </xf>
    <xf numFmtId="0" fontId="4" fillId="5" borderId="33" xfId="0" applyFont="1" applyFill="1" applyBorder="1">
      <alignment vertical="center"/>
    </xf>
    <xf numFmtId="0" fontId="2" fillId="5" borderId="0" xfId="0" applyFont="1" applyFill="1" applyAlignment="1">
      <alignment horizontal="center" vertical="center"/>
    </xf>
    <xf numFmtId="176" fontId="2" fillId="5" borderId="0" xfId="0" applyNumberFormat="1" applyFont="1" applyFill="1" applyAlignment="1">
      <alignment horizontal="right" vertical="center"/>
    </xf>
    <xf numFmtId="176" fontId="2" fillId="0" borderId="1" xfId="0" applyNumberFormat="1" applyFont="1" applyBorder="1">
      <alignment vertical="center"/>
    </xf>
    <xf numFmtId="176" fontId="2" fillId="0" borderId="21" xfId="0" applyNumberFormat="1" applyFont="1" applyBorder="1">
      <alignment vertical="center"/>
    </xf>
    <xf numFmtId="176" fontId="4" fillId="0" borderId="1" xfId="0" applyNumberFormat="1" applyFont="1" applyBorder="1" applyAlignment="1">
      <alignment horizontal="right" vertical="center"/>
    </xf>
    <xf numFmtId="176" fontId="4" fillId="0" borderId="6" xfId="0" applyNumberFormat="1" applyFont="1" applyBorder="1" applyAlignment="1">
      <alignment horizontal="right" vertical="center"/>
    </xf>
    <xf numFmtId="0" fontId="4" fillId="3" borderId="0" xfId="0" applyFont="1" applyFill="1" applyAlignment="1">
      <alignment horizontal="right" vertical="center"/>
    </xf>
    <xf numFmtId="0" fontId="11" fillId="5" borderId="0" xfId="0" applyFont="1" applyFill="1">
      <alignment vertical="center"/>
    </xf>
    <xf numFmtId="179" fontId="13" fillId="0" borderId="0" xfId="0" applyNumberFormat="1" applyFont="1">
      <alignment vertical="center"/>
    </xf>
    <xf numFmtId="0" fontId="11" fillId="0" borderId="0" xfId="0" applyFont="1">
      <alignment vertical="center"/>
    </xf>
    <xf numFmtId="0" fontId="15" fillId="0" borderId="0" xfId="0" applyFont="1">
      <alignment vertical="center"/>
    </xf>
    <xf numFmtId="0" fontId="0" fillId="2" borderId="34" xfId="0" applyFill="1" applyBorder="1">
      <alignment vertical="center"/>
    </xf>
    <xf numFmtId="0" fontId="2" fillId="0" borderId="2" xfId="0" applyFont="1" applyBorder="1" applyAlignment="1">
      <alignment horizontal="center"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9" xfId="0" applyFont="1" applyBorder="1">
      <alignment vertical="center"/>
    </xf>
    <xf numFmtId="0" fontId="4" fillId="0" borderId="0" xfId="0" applyFont="1" applyAlignment="1">
      <alignment horizontal="left" vertical="center"/>
    </xf>
    <xf numFmtId="0" fontId="17" fillId="0" borderId="0" xfId="0" applyFont="1">
      <alignment vertical="center"/>
    </xf>
    <xf numFmtId="0" fontId="17" fillId="0" borderId="0" xfId="0" applyFont="1" applyAlignment="1">
      <alignment horizontal="center" vertical="center"/>
    </xf>
    <xf numFmtId="0" fontId="17" fillId="0" borderId="9" xfId="0" applyFont="1" applyBorder="1" applyAlignment="1">
      <alignment vertical="center" wrapText="1"/>
    </xf>
    <xf numFmtId="0" fontId="2" fillId="0" borderId="0" xfId="0" applyFont="1" applyAlignment="1">
      <alignment horizontal="center" vertical="center"/>
    </xf>
    <xf numFmtId="0" fontId="6" fillId="0" borderId="0" xfId="0" applyFont="1">
      <alignment vertical="center"/>
    </xf>
    <xf numFmtId="0" fontId="2" fillId="2" borderId="0" xfId="0" applyFont="1" applyFill="1">
      <alignment vertical="center"/>
    </xf>
    <xf numFmtId="0" fontId="2" fillId="0" borderId="12" xfId="0" applyFont="1" applyBorder="1">
      <alignment vertical="center"/>
    </xf>
    <xf numFmtId="0" fontId="2" fillId="0" borderId="13" xfId="0" applyFont="1" applyBorder="1">
      <alignment vertical="center"/>
    </xf>
    <xf numFmtId="0" fontId="2" fillId="8" borderId="5" xfId="0" applyFont="1" applyFill="1" applyBorder="1">
      <alignment vertical="center"/>
    </xf>
    <xf numFmtId="0" fontId="20" fillId="0" borderId="12" xfId="0" applyFont="1" applyBorder="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center" vertical="center"/>
    </xf>
    <xf numFmtId="0" fontId="2" fillId="0" borderId="3" xfId="0" applyFont="1" applyBorder="1">
      <alignment vertical="center"/>
    </xf>
    <xf numFmtId="0" fontId="2" fillId="2" borderId="0" xfId="0" applyFont="1" applyFill="1" applyAlignment="1">
      <alignment horizontal="center" vertical="center"/>
    </xf>
    <xf numFmtId="0" fontId="0" fillId="0" borderId="1" xfId="0" applyBorder="1">
      <alignment vertical="center"/>
    </xf>
    <xf numFmtId="0" fontId="0" fillId="0" borderId="11" xfId="0" applyBorder="1">
      <alignment vertical="center"/>
    </xf>
    <xf numFmtId="0" fontId="0" fillId="9" borderId="0" xfId="0" applyFill="1">
      <alignment vertical="center"/>
    </xf>
    <xf numFmtId="0" fontId="17" fillId="0" borderId="12"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xf>
    <xf numFmtId="0" fontId="17" fillId="0" borderId="5" xfId="0" applyFont="1" applyBorder="1" applyAlignment="1">
      <alignment horizontal="center" vertical="center"/>
    </xf>
    <xf numFmtId="176" fontId="17" fillId="0" borderId="0" xfId="0" applyNumberFormat="1" applyFont="1" applyAlignment="1">
      <alignment horizontal="center" vertical="center"/>
    </xf>
    <xf numFmtId="176" fontId="17" fillId="0" borderId="5" xfId="0" applyNumberFormat="1" applyFont="1" applyBorder="1" applyAlignment="1">
      <alignment horizontal="center" vertical="center"/>
    </xf>
    <xf numFmtId="0" fontId="17" fillId="0" borderId="13" xfId="0" applyFont="1" applyBorder="1" applyAlignment="1">
      <alignment horizontal="center" vertical="center"/>
    </xf>
    <xf numFmtId="0" fontId="17" fillId="0" borderId="9"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74" xfId="0" applyFont="1" applyBorder="1" applyAlignment="1">
      <alignment horizontal="center" vertical="center" wrapText="1"/>
    </xf>
    <xf numFmtId="0" fontId="2" fillId="0" borderId="0" xfId="0" applyFont="1" applyAlignment="1">
      <alignment horizontal="center" vertical="center"/>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180" fontId="17" fillId="0" borderId="0" xfId="0" applyNumberFormat="1" applyFont="1" applyAlignment="1">
      <alignment horizontal="center" vertical="center"/>
    </xf>
    <xf numFmtId="180" fontId="17" fillId="0" borderId="5" xfId="0" applyNumberFormat="1"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176" fontId="2" fillId="0" borderId="0" xfId="0" applyNumberFormat="1" applyFont="1" applyAlignment="1">
      <alignment horizontal="center"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3" fontId="17" fillId="0" borderId="4" xfId="0" applyNumberFormat="1" applyFont="1" applyBorder="1" applyAlignment="1">
      <alignment horizontal="right" vertical="center" wrapText="1"/>
    </xf>
    <xf numFmtId="3" fontId="17" fillId="0" borderId="5" xfId="0" applyNumberFormat="1" applyFont="1" applyBorder="1" applyAlignment="1">
      <alignment horizontal="right" vertical="center" wrapText="1"/>
    </xf>
    <xf numFmtId="0" fontId="3" fillId="0" borderId="0" xfId="0" applyFont="1" applyAlignment="1">
      <alignment horizontal="center" vertical="center"/>
    </xf>
    <xf numFmtId="0" fontId="17" fillId="0" borderId="2" xfId="0" applyFont="1" applyBorder="1" applyAlignment="1">
      <alignment horizontal="center" vertical="center"/>
    </xf>
    <xf numFmtId="0" fontId="17" fillId="0" borderId="10" xfId="0" applyFont="1" applyBorder="1" applyAlignment="1">
      <alignment horizontal="center" vertical="center"/>
    </xf>
    <xf numFmtId="0" fontId="17" fillId="0" borderId="3" xfId="0" applyFont="1" applyBorder="1" applyAlignment="1">
      <alignment horizontal="center" vertical="center"/>
    </xf>
    <xf numFmtId="0" fontId="17" fillId="0" borderId="66"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2" fillId="0" borderId="66" xfId="0" applyFont="1" applyBorder="1" applyAlignment="1">
      <alignment horizontal="center" vertical="center"/>
    </xf>
    <xf numFmtId="176" fontId="2" fillId="0" borderId="2" xfId="0" applyNumberFormat="1" applyFont="1" applyBorder="1" applyAlignment="1">
      <alignment horizontal="right" vertical="center"/>
    </xf>
    <xf numFmtId="176" fontId="2" fillId="0" borderId="10" xfId="0" applyNumberFormat="1" applyFont="1" applyBorder="1" applyAlignment="1">
      <alignment horizontal="right" vertical="center"/>
    </xf>
    <xf numFmtId="0" fontId="2" fillId="0" borderId="10" xfId="0" applyFont="1" applyBorder="1" applyAlignment="1">
      <alignment horizontal="left" vertical="center"/>
    </xf>
    <xf numFmtId="0" fontId="2" fillId="0" borderId="3" xfId="0" applyFont="1" applyBorder="1" applyAlignment="1">
      <alignment horizontal="left" vertical="center"/>
    </xf>
    <xf numFmtId="0" fontId="17" fillId="0" borderId="4" xfId="0" applyFont="1" applyBorder="1" applyAlignment="1">
      <alignment horizontal="center" vertical="center"/>
    </xf>
    <xf numFmtId="176" fontId="2" fillId="0" borderId="1" xfId="0" applyNumberFormat="1" applyFont="1" applyBorder="1" applyAlignment="1" applyProtection="1">
      <alignment horizontal="center" vertical="center"/>
      <protection locked="0"/>
    </xf>
    <xf numFmtId="0" fontId="2" fillId="0" borderId="1" xfId="0" applyFont="1" applyBorder="1" applyAlignment="1">
      <alignment horizontal="center" vertical="center"/>
    </xf>
    <xf numFmtId="176" fontId="2" fillId="8" borderId="1" xfId="0" applyNumberFormat="1" applyFont="1" applyFill="1" applyBorder="1" applyAlignment="1" applyProtection="1">
      <alignment horizontal="center" vertical="center"/>
      <protection locked="0"/>
    </xf>
    <xf numFmtId="0" fontId="2" fillId="0" borderId="2" xfId="0" applyFont="1" applyBorder="1" applyAlignment="1">
      <alignment horizontal="left" vertical="center"/>
    </xf>
    <xf numFmtId="0" fontId="2" fillId="0" borderId="68" xfId="0" applyFont="1" applyBorder="1" applyAlignment="1">
      <alignment horizontal="center" vertical="center"/>
    </xf>
    <xf numFmtId="176" fontId="2" fillId="8" borderId="68" xfId="0" applyNumberFormat="1" applyFont="1" applyFill="1" applyBorder="1" applyAlignment="1" applyProtection="1">
      <alignment horizontal="center" vertical="center"/>
      <protection locked="0"/>
    </xf>
    <xf numFmtId="0" fontId="2" fillId="8" borderId="6" xfId="0" applyFont="1" applyFill="1" applyBorder="1" applyAlignment="1" applyProtection="1">
      <alignment horizontal="center" vertical="center" wrapText="1"/>
      <protection locked="0"/>
    </xf>
    <xf numFmtId="0" fontId="2" fillId="8" borderId="7" xfId="0" applyFont="1" applyFill="1" applyBorder="1" applyAlignment="1" applyProtection="1">
      <alignment horizontal="center" vertical="center" wrapText="1"/>
      <protection locked="0"/>
    </xf>
    <xf numFmtId="0" fontId="2" fillId="8" borderId="8" xfId="0" applyFont="1" applyFill="1" applyBorder="1" applyAlignment="1" applyProtection="1">
      <alignment horizontal="center" vertical="center" wrapText="1"/>
      <protection locked="0"/>
    </xf>
    <xf numFmtId="0" fontId="2" fillId="8" borderId="2" xfId="0" applyFont="1" applyFill="1" applyBorder="1" applyAlignment="1">
      <alignment horizontal="center" vertical="center" shrinkToFit="1"/>
    </xf>
    <xf numFmtId="0" fontId="2" fillId="8" borderId="10" xfId="0" applyFont="1" applyFill="1" applyBorder="1" applyAlignment="1">
      <alignment horizontal="center" vertical="center" shrinkToFit="1"/>
    </xf>
    <xf numFmtId="0" fontId="2" fillId="8" borderId="3" xfId="0" applyFont="1" applyFill="1" applyBorder="1" applyAlignment="1">
      <alignment horizontal="center" vertical="center" shrinkToFit="1"/>
    </xf>
    <xf numFmtId="0" fontId="2" fillId="0" borderId="67" xfId="0" applyFont="1" applyBorder="1" applyAlignment="1" applyProtection="1">
      <alignment horizontal="center" vertical="center"/>
      <protection locked="0"/>
    </xf>
    <xf numFmtId="0" fontId="2" fillId="0" borderId="26" xfId="0" applyFont="1" applyBorder="1" applyAlignment="1">
      <alignment horizontal="center" vertical="center"/>
    </xf>
    <xf numFmtId="0" fontId="19" fillId="0" borderId="0" xfId="0" applyFont="1" applyAlignment="1">
      <alignment horizontal="center" vertical="center"/>
    </xf>
    <xf numFmtId="176" fontId="2" fillId="0" borderId="1" xfId="0" applyNumberFormat="1" applyFont="1" applyBorder="1" applyAlignment="1">
      <alignment horizontal="right" vertical="center"/>
    </xf>
    <xf numFmtId="176" fontId="16" fillId="0" borderId="1" xfId="0" applyNumberFormat="1" applyFont="1" applyBorder="1" applyAlignment="1">
      <alignment horizontal="center" vertical="center"/>
    </xf>
    <xf numFmtId="176" fontId="2" fillId="0" borderId="2" xfId="0" quotePrefix="1" applyNumberFormat="1" applyFont="1" applyBorder="1" applyAlignment="1">
      <alignment horizontal="right" vertical="center"/>
    </xf>
    <xf numFmtId="176" fontId="2" fillId="0" borderId="3" xfId="0" applyNumberFormat="1" applyFont="1" applyBorder="1" applyAlignment="1">
      <alignment horizontal="right" vertical="center"/>
    </xf>
    <xf numFmtId="176" fontId="11" fillId="0" borderId="1" xfId="0" applyNumberFormat="1" applyFont="1" applyBorder="1" applyAlignment="1">
      <alignment horizontal="right" vertical="center"/>
    </xf>
    <xf numFmtId="176" fontId="2" fillId="2" borderId="3" xfId="0" applyNumberFormat="1" applyFont="1" applyFill="1" applyBorder="1" applyAlignment="1">
      <alignment horizontal="right" vertical="center"/>
    </xf>
    <xf numFmtId="176" fontId="2" fillId="2" borderId="1" xfId="0" applyNumberFormat="1" applyFont="1" applyFill="1" applyBorder="1" applyAlignment="1">
      <alignment horizontal="right" vertical="center"/>
    </xf>
    <xf numFmtId="0" fontId="2" fillId="0" borderId="1" xfId="0" applyFont="1" applyBorder="1" applyAlignment="1">
      <alignment horizontal="center" vertical="center" wrapText="1"/>
    </xf>
    <xf numFmtId="176" fontId="2" fillId="2" borderId="20" xfId="0" applyNumberFormat="1" applyFont="1" applyFill="1" applyBorder="1" applyAlignment="1">
      <alignment horizontal="right" vertical="center"/>
    </xf>
    <xf numFmtId="176" fontId="2" fillId="2" borderId="21" xfId="0" applyNumberFormat="1" applyFont="1" applyFill="1" applyBorder="1" applyAlignment="1">
      <alignment horizontal="right" vertical="center"/>
    </xf>
    <xf numFmtId="176" fontId="2" fillId="0" borderId="21" xfId="0" applyNumberFormat="1" applyFont="1" applyBorder="1" applyAlignment="1">
      <alignment horizontal="right" vertical="center"/>
    </xf>
    <xf numFmtId="0" fontId="2" fillId="2" borderId="3"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22" xfId="0" applyFont="1" applyFill="1" applyBorder="1" applyAlignment="1">
      <alignment horizontal="center" vertical="center"/>
    </xf>
    <xf numFmtId="176" fontId="2" fillId="0" borderId="22" xfId="0" applyNumberFormat="1" applyFont="1" applyBorder="1" applyAlignment="1">
      <alignment horizontal="right" vertical="center"/>
    </xf>
    <xf numFmtId="176" fontId="2" fillId="0" borderId="1" xfId="0" applyNumberFormat="1" applyFont="1" applyBorder="1" applyAlignment="1">
      <alignment horizontal="center" vertical="center"/>
    </xf>
    <xf numFmtId="176" fontId="2" fillId="0" borderId="19" xfId="0" applyNumberFormat="1" applyFont="1" applyBorder="1" applyAlignment="1">
      <alignment horizontal="right" vertical="center"/>
    </xf>
    <xf numFmtId="0" fontId="11" fillId="0" borderId="1" xfId="0" applyFont="1" applyBorder="1" applyAlignment="1">
      <alignment horizontal="center" vertical="center"/>
    </xf>
    <xf numFmtId="176" fontId="2" fillId="0" borderId="52" xfId="0" applyNumberFormat="1" applyFont="1" applyBorder="1" applyAlignment="1">
      <alignment horizontal="right" vertical="center"/>
    </xf>
    <xf numFmtId="176" fontId="2" fillId="0" borderId="49" xfId="0" applyNumberFormat="1" applyFont="1" applyBorder="1" applyAlignment="1">
      <alignment horizontal="right" vertical="center"/>
    </xf>
    <xf numFmtId="176" fontId="2" fillId="0" borderId="51" xfId="0" applyNumberFormat="1" applyFont="1" applyBorder="1" applyAlignment="1">
      <alignment horizontal="right" vertical="center"/>
    </xf>
    <xf numFmtId="0" fontId="2" fillId="2" borderId="1" xfId="0" applyFont="1" applyFill="1" applyBorder="1" applyAlignment="1">
      <alignment horizontal="center" vertical="center" shrinkToFit="1"/>
    </xf>
    <xf numFmtId="176" fontId="2" fillId="2" borderId="18" xfId="0" applyNumberFormat="1" applyFont="1" applyFill="1" applyBorder="1" applyAlignment="1">
      <alignment horizontal="right" vertical="center"/>
    </xf>
    <xf numFmtId="0" fontId="6"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6" fillId="0" borderId="19" xfId="0" applyFont="1" applyBorder="1" applyAlignment="1">
      <alignment horizontal="center" vertical="center" shrinkToFi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176" fontId="2" fillId="8" borderId="1" xfId="0" applyNumberFormat="1" applyFont="1" applyFill="1" applyBorder="1" applyAlignment="1">
      <alignment horizontal="right" vertical="center"/>
    </xf>
    <xf numFmtId="176" fontId="2" fillId="8" borderId="21" xfId="0" applyNumberFormat="1" applyFont="1" applyFill="1" applyBorder="1" applyAlignment="1">
      <alignment horizontal="right"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45"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12" fillId="5" borderId="0" xfId="0" applyFont="1" applyFill="1" applyAlignment="1">
      <alignment horizontal="center" vertical="center"/>
    </xf>
    <xf numFmtId="0" fontId="3" fillId="5" borderId="0" xfId="0" applyFont="1" applyFill="1" applyAlignment="1">
      <alignment horizontal="center" vertical="center"/>
    </xf>
    <xf numFmtId="0" fontId="2" fillId="0" borderId="18"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5" borderId="0" xfId="0" applyFont="1" applyFill="1" applyAlignment="1">
      <alignment horizontal="center" vertical="center"/>
    </xf>
    <xf numFmtId="0" fontId="2" fillId="0" borderId="58" xfId="0" applyFont="1" applyBorder="1" applyAlignment="1">
      <alignment horizontal="center"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9" xfId="0" applyFont="1" applyBorder="1">
      <alignment vertical="center"/>
    </xf>
    <xf numFmtId="0" fontId="2" fillId="5" borderId="12" xfId="0" applyFont="1" applyFill="1" applyBorder="1" applyAlignment="1">
      <alignment horizontal="left" vertical="center" wrapText="1"/>
    </xf>
    <xf numFmtId="0" fontId="2" fillId="5" borderId="0" xfId="0" applyFont="1" applyFill="1" applyAlignment="1">
      <alignment horizontal="left" vertical="center" wrapText="1"/>
    </xf>
    <xf numFmtId="176" fontId="2" fillId="10" borderId="1" xfId="0" applyNumberFormat="1" applyFont="1" applyFill="1" applyBorder="1" applyAlignment="1">
      <alignment horizontal="right" vertical="center"/>
    </xf>
    <xf numFmtId="176" fontId="2" fillId="10" borderId="19" xfId="0" applyNumberFormat="1" applyFont="1" applyFill="1" applyBorder="1" applyAlignment="1">
      <alignment horizontal="right" vertical="center"/>
    </xf>
    <xf numFmtId="176" fontId="2" fillId="2" borderId="1" xfId="0" applyNumberFormat="1" applyFont="1" applyFill="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40"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176" fontId="2" fillId="0" borderId="59"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2" fillId="0" borderId="61" xfId="0" applyNumberFormat="1" applyFont="1" applyBorder="1" applyAlignment="1">
      <alignment horizontal="right" vertical="center"/>
    </xf>
    <xf numFmtId="176" fontId="2" fillId="0" borderId="62" xfId="0" applyNumberFormat="1" applyFont="1" applyBorder="1" applyAlignment="1">
      <alignment horizontal="right" vertical="center"/>
    </xf>
    <xf numFmtId="0" fontId="2" fillId="0" borderId="63" xfId="0" applyFont="1" applyBorder="1" applyAlignment="1">
      <alignment horizontal="center" vertical="center"/>
    </xf>
    <xf numFmtId="176" fontId="2" fillId="0" borderId="6" xfId="0" applyNumberFormat="1" applyFont="1" applyBorder="1" applyAlignment="1">
      <alignment horizontal="right" vertical="center"/>
    </xf>
    <xf numFmtId="176" fontId="2" fillId="0" borderId="64" xfId="0" applyNumberFormat="1" applyFont="1" applyBorder="1" applyAlignment="1">
      <alignment horizontal="right" vertical="center"/>
    </xf>
    <xf numFmtId="0" fontId="2" fillId="0" borderId="60" xfId="0" applyFont="1" applyBorder="1" applyAlignment="1">
      <alignment horizontal="center" vertical="center"/>
    </xf>
    <xf numFmtId="0" fontId="2" fillId="0" borderId="65" xfId="0" applyFont="1" applyBorder="1" applyAlignment="1">
      <alignment horizontal="center" vertical="center"/>
    </xf>
    <xf numFmtId="176" fontId="11" fillId="0" borderId="6" xfId="0" applyNumberFormat="1" applyFont="1" applyBorder="1" applyAlignment="1">
      <alignment horizontal="right" vertical="center"/>
    </xf>
    <xf numFmtId="176" fontId="11" fillId="0" borderId="7" xfId="0" applyNumberFormat="1" applyFont="1" applyBorder="1" applyAlignment="1">
      <alignment horizontal="right" vertical="center"/>
    </xf>
    <xf numFmtId="176" fontId="11" fillId="0" borderId="64" xfId="0" applyNumberFormat="1" applyFont="1" applyBorder="1" applyAlignment="1">
      <alignment horizontal="right" vertical="center"/>
    </xf>
    <xf numFmtId="176" fontId="11" fillId="0" borderId="62" xfId="0" applyNumberFormat="1" applyFont="1" applyBorder="1" applyAlignment="1">
      <alignment horizontal="right" vertical="center"/>
    </xf>
    <xf numFmtId="0" fontId="11" fillId="0" borderId="8" xfId="0" applyFont="1" applyBorder="1" applyAlignment="1">
      <alignment horizontal="center" vertical="center"/>
    </xf>
    <xf numFmtId="0" fontId="11" fillId="0" borderId="63" xfId="0" applyFont="1" applyBorder="1" applyAlignment="1">
      <alignment horizontal="center" vertical="center"/>
    </xf>
    <xf numFmtId="0" fontId="2" fillId="0" borderId="57" xfId="0" applyFont="1" applyBorder="1" applyAlignment="1">
      <alignment horizontal="center" vertical="center"/>
    </xf>
    <xf numFmtId="176" fontId="0" fillId="0" borderId="1" xfId="0" applyNumberFormat="1" applyBorder="1" applyAlignment="1">
      <alignment horizontal="right" vertical="center"/>
    </xf>
    <xf numFmtId="176" fontId="8" fillId="0" borderId="2" xfId="0" applyNumberFormat="1" applyFont="1" applyBorder="1" applyAlignment="1">
      <alignment horizontal="right" vertical="center"/>
    </xf>
    <xf numFmtId="176" fontId="8" fillId="0" borderId="10" xfId="0" applyNumberFormat="1" applyFont="1" applyBorder="1" applyAlignment="1">
      <alignment horizontal="right" vertical="center"/>
    </xf>
    <xf numFmtId="176" fontId="8" fillId="0" borderId="3" xfId="0" applyNumberFormat="1" applyFont="1" applyBorder="1" applyAlignment="1">
      <alignment horizontal="right" vertical="center"/>
    </xf>
    <xf numFmtId="176" fontId="0" fillId="0" borderId="2" xfId="0" applyNumberFormat="1" applyBorder="1" applyAlignment="1">
      <alignment horizontal="right" vertical="center"/>
    </xf>
    <xf numFmtId="176" fontId="0" fillId="0" borderId="10" xfId="0" applyNumberFormat="1" applyBorder="1" applyAlignment="1">
      <alignment horizontal="right" vertical="center"/>
    </xf>
    <xf numFmtId="176" fontId="0" fillId="0" borderId="3" xfId="0" applyNumberFormat="1" applyBorder="1" applyAlignment="1">
      <alignment horizontal="right" vertical="center"/>
    </xf>
    <xf numFmtId="176" fontId="13" fillId="0" borderId="1" xfId="0" applyNumberFormat="1" applyFont="1" applyBorder="1" applyAlignment="1">
      <alignment horizontal="right" vertical="center"/>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6" fontId="14" fillId="0" borderId="10" xfId="0" applyNumberFormat="1" applyFont="1" applyBorder="1" applyAlignment="1">
      <alignment horizontal="right" vertical="center"/>
    </xf>
    <xf numFmtId="176" fontId="14" fillId="0" borderId="3" xfId="0" applyNumberFormat="1" applyFont="1" applyBorder="1" applyAlignment="1">
      <alignment horizontal="right" vertical="center"/>
    </xf>
    <xf numFmtId="176" fontId="0" fillId="0" borderId="2"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3" xfId="0" applyNumberFormat="1" applyBorder="1" applyAlignment="1">
      <alignment horizontal="center" vertical="center"/>
    </xf>
    <xf numFmtId="179" fontId="0" fillId="0" borderId="0" xfId="0" applyNumberFormat="1" applyAlignment="1">
      <alignment horizontal="center" vertical="center"/>
    </xf>
    <xf numFmtId="0" fontId="0" fillId="0" borderId="0" xfId="0" applyAlignment="1">
      <alignment horizontal="center" vertical="center"/>
    </xf>
    <xf numFmtId="0" fontId="4" fillId="5" borderId="15"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17" xfId="0" applyFont="1" applyFill="1" applyBorder="1" applyAlignment="1">
      <alignment horizontal="center" vertical="center"/>
    </xf>
    <xf numFmtId="176" fontId="4" fillId="0" borderId="1" xfId="0" applyNumberFormat="1" applyFont="1" applyBorder="1" applyAlignment="1">
      <alignment horizontal="right" vertical="center"/>
    </xf>
    <xf numFmtId="176" fontId="4" fillId="5" borderId="18" xfId="0" applyNumberFormat="1" applyFont="1" applyFill="1" applyBorder="1" applyAlignment="1">
      <alignment horizontal="right" vertical="center"/>
    </xf>
    <xf numFmtId="176" fontId="4" fillId="5" borderId="1" xfId="0" applyNumberFormat="1" applyFont="1" applyFill="1" applyBorder="1" applyAlignment="1">
      <alignment horizontal="right" vertical="center"/>
    </xf>
    <xf numFmtId="176" fontId="4" fillId="5" borderId="19" xfId="0" applyNumberFormat="1" applyFont="1" applyFill="1" applyBorder="1" applyAlignment="1">
      <alignment horizontal="righ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5" borderId="27" xfId="0" applyFont="1" applyFill="1" applyBorder="1" applyAlignment="1">
      <alignment horizontal="center" vertical="center"/>
    </xf>
    <xf numFmtId="0" fontId="4" fillId="5" borderId="28" xfId="0" applyFont="1" applyFill="1" applyBorder="1" applyAlignment="1">
      <alignment horizontal="center" vertical="center"/>
    </xf>
    <xf numFmtId="0" fontId="4" fillId="5" borderId="45" xfId="0" applyFont="1" applyFill="1" applyBorder="1" applyAlignment="1">
      <alignment horizontal="center" vertical="center"/>
    </xf>
    <xf numFmtId="176" fontId="4" fillId="5" borderId="46" xfId="0" applyNumberFormat="1" applyFont="1" applyFill="1" applyBorder="1" applyAlignment="1">
      <alignment horizontal="right" vertical="center"/>
    </xf>
    <xf numFmtId="176" fontId="4" fillId="5" borderId="10" xfId="0" applyNumberFormat="1" applyFont="1" applyFill="1" applyBorder="1" applyAlignment="1">
      <alignment horizontal="right" vertical="center"/>
    </xf>
    <xf numFmtId="176" fontId="4" fillId="5" borderId="47" xfId="0" applyNumberFormat="1" applyFont="1" applyFill="1" applyBorder="1" applyAlignment="1">
      <alignment horizontal="right" vertical="center"/>
    </xf>
    <xf numFmtId="176" fontId="4" fillId="5" borderId="20" xfId="0" applyNumberFormat="1" applyFont="1" applyFill="1" applyBorder="1" applyAlignment="1">
      <alignment horizontal="right" vertical="center"/>
    </xf>
    <xf numFmtId="176" fontId="4" fillId="5" borderId="21" xfId="0" applyNumberFormat="1" applyFont="1" applyFill="1" applyBorder="1" applyAlignment="1">
      <alignment horizontal="right" vertical="center"/>
    </xf>
    <xf numFmtId="176" fontId="4" fillId="5" borderId="22" xfId="0" applyNumberFormat="1" applyFont="1" applyFill="1" applyBorder="1" applyAlignment="1">
      <alignment horizontal="right" vertical="center"/>
    </xf>
    <xf numFmtId="176" fontId="4" fillId="5" borderId="48" xfId="0" applyNumberFormat="1" applyFont="1" applyFill="1" applyBorder="1" applyAlignment="1">
      <alignment horizontal="right" vertical="center"/>
    </xf>
    <xf numFmtId="176" fontId="4" fillId="5" borderId="49" xfId="0" applyNumberFormat="1" applyFont="1" applyFill="1" applyBorder="1" applyAlignment="1">
      <alignment horizontal="right" vertical="center"/>
    </xf>
    <xf numFmtId="176" fontId="4" fillId="5" borderId="50" xfId="0" applyNumberFormat="1" applyFont="1" applyFill="1" applyBorder="1" applyAlignment="1">
      <alignment horizontal="right" vertical="center"/>
    </xf>
    <xf numFmtId="176" fontId="4" fillId="0" borderId="19" xfId="0" applyNumberFormat="1" applyFont="1" applyBorder="1" applyAlignment="1">
      <alignment horizontal="right" vertical="center"/>
    </xf>
    <xf numFmtId="176" fontId="4" fillId="0" borderId="21" xfId="0" applyNumberFormat="1" applyFont="1" applyBorder="1" applyAlignment="1">
      <alignment horizontal="right" vertical="center"/>
    </xf>
    <xf numFmtId="176" fontId="4" fillId="0" borderId="22" xfId="0" applyNumberFormat="1" applyFont="1" applyBorder="1" applyAlignment="1">
      <alignment horizontal="right" vertical="center"/>
    </xf>
    <xf numFmtId="0" fontId="10" fillId="0" borderId="1" xfId="0" applyFont="1" applyBorder="1" applyAlignment="1">
      <alignment horizontal="center" vertical="center"/>
    </xf>
    <xf numFmtId="0" fontId="4" fillId="0" borderId="26" xfId="0" applyFont="1" applyBorder="1" applyAlignment="1">
      <alignment horizontal="center" vertical="center"/>
    </xf>
    <xf numFmtId="176" fontId="4" fillId="0" borderId="14" xfId="0" applyNumberFormat="1" applyFont="1" applyBorder="1" applyAlignment="1">
      <alignment horizontal="right" vertical="center"/>
    </xf>
    <xf numFmtId="176" fontId="4" fillId="0" borderId="16" xfId="0" applyNumberFormat="1" applyFont="1" applyBorder="1" applyAlignment="1">
      <alignment horizontal="right" vertical="center"/>
    </xf>
    <xf numFmtId="176" fontId="4" fillId="0" borderId="17" xfId="0" applyNumberFormat="1" applyFont="1" applyBorder="1" applyAlignment="1">
      <alignment horizontal="right" vertical="center"/>
    </xf>
    <xf numFmtId="0" fontId="4" fillId="0" borderId="1" xfId="0" applyFont="1" applyBorder="1" applyAlignment="1">
      <alignment horizontal="center" vertical="center" shrinkToFit="1"/>
    </xf>
    <xf numFmtId="0" fontId="4" fillId="0" borderId="1" xfId="0" applyFont="1" applyBorder="1" applyAlignment="1">
      <alignment horizontal="center" vertical="center" textRotation="255" shrinkToFit="1"/>
    </xf>
    <xf numFmtId="0" fontId="4" fillId="0" borderId="2" xfId="0" applyFont="1" applyBorder="1" applyAlignment="1">
      <alignment horizontal="center" vertical="center"/>
    </xf>
    <xf numFmtId="0" fontId="2" fillId="0" borderId="1" xfId="0" applyFont="1" applyBorder="1" applyAlignment="1">
      <alignment horizontal="center" vertical="center" shrinkToFit="1"/>
    </xf>
    <xf numFmtId="176" fontId="10" fillId="0" borderId="1" xfId="0" applyNumberFormat="1" applyFont="1" applyBorder="1" applyAlignment="1">
      <alignment horizontal="right" vertical="center"/>
    </xf>
    <xf numFmtId="0" fontId="4" fillId="0" borderId="3" xfId="0" applyFont="1" applyBorder="1" applyAlignment="1">
      <alignment horizontal="center" vertical="center"/>
    </xf>
    <xf numFmtId="0" fontId="4" fillId="2" borderId="1" xfId="0" applyFont="1" applyFill="1" applyBorder="1" applyAlignment="1">
      <alignment horizontal="center" vertical="center"/>
    </xf>
    <xf numFmtId="0" fontId="6" fillId="0" borderId="1" xfId="0" applyFont="1" applyBorder="1" applyAlignment="1">
      <alignment horizontal="center" vertical="center"/>
    </xf>
    <xf numFmtId="0" fontId="4" fillId="4" borderId="1" xfId="0" applyFont="1" applyFill="1" applyBorder="1" applyAlignment="1">
      <alignment horizontal="center" vertical="center"/>
    </xf>
    <xf numFmtId="176" fontId="4" fillId="0" borderId="18" xfId="0" applyNumberFormat="1" applyFont="1" applyBorder="1" applyAlignment="1">
      <alignment horizontal="right" vertical="center"/>
    </xf>
    <xf numFmtId="176" fontId="4" fillId="0" borderId="2" xfId="0" applyNumberFormat="1" applyFont="1" applyBorder="1" applyAlignment="1">
      <alignment horizontal="right" vertical="center"/>
    </xf>
    <xf numFmtId="176" fontId="4" fillId="0" borderId="15" xfId="0" applyNumberFormat="1" applyFont="1" applyBorder="1" applyAlignment="1">
      <alignment horizontal="right" vertical="center"/>
    </xf>
    <xf numFmtId="176" fontId="4" fillId="0" borderId="53" xfId="0" applyNumberFormat="1" applyFont="1" applyBorder="1" applyAlignment="1">
      <alignment horizontal="right" vertical="center"/>
    </xf>
    <xf numFmtId="176" fontId="4" fillId="0" borderId="23" xfId="0" applyNumberFormat="1" applyFont="1" applyBorder="1" applyAlignment="1">
      <alignment horizontal="right" vertical="center"/>
    </xf>
    <xf numFmtId="176" fontId="4" fillId="0" borderId="24" xfId="0" applyNumberFormat="1" applyFont="1" applyBorder="1" applyAlignment="1">
      <alignment horizontal="right" vertical="center"/>
    </xf>
    <xf numFmtId="176" fontId="4" fillId="0" borderId="25" xfId="0" applyNumberFormat="1" applyFont="1" applyBorder="1" applyAlignment="1">
      <alignment horizontal="right" vertical="center"/>
    </xf>
    <xf numFmtId="176" fontId="4" fillId="0" borderId="20" xfId="0" applyNumberFormat="1" applyFont="1" applyBorder="1" applyAlignment="1">
      <alignment horizontal="right" vertical="center"/>
    </xf>
    <xf numFmtId="176" fontId="4" fillId="0" borderId="52" xfId="0" applyNumberFormat="1" applyFont="1" applyBorder="1" applyAlignment="1">
      <alignment horizontal="right" vertical="center"/>
    </xf>
    <xf numFmtId="176" fontId="4" fillId="0" borderId="11" xfId="0" applyNumberFormat="1" applyFont="1" applyBorder="1" applyAlignment="1">
      <alignment horizontal="right" vertical="center"/>
    </xf>
    <xf numFmtId="176" fontId="4" fillId="3" borderId="1" xfId="0" applyNumberFormat="1" applyFont="1" applyFill="1" applyBorder="1" applyAlignment="1">
      <alignment horizontal="right" vertical="center"/>
    </xf>
    <xf numFmtId="0" fontId="4" fillId="3" borderId="1" xfId="0" applyFont="1" applyFill="1" applyBorder="1" applyAlignment="1">
      <alignment horizontal="right" vertical="center"/>
    </xf>
    <xf numFmtId="176" fontId="4" fillId="0" borderId="10" xfId="0" applyNumberFormat="1" applyFont="1" applyBorder="1" applyAlignment="1">
      <alignment horizontal="right" vertical="center"/>
    </xf>
    <xf numFmtId="176" fontId="4" fillId="0" borderId="3" xfId="0" applyNumberFormat="1" applyFont="1" applyBorder="1" applyAlignment="1">
      <alignment horizontal="right" vertical="center"/>
    </xf>
    <xf numFmtId="0" fontId="4" fillId="4" borderId="2"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3"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3" xfId="0" applyFont="1" applyFill="1" applyBorder="1" applyAlignment="1">
      <alignment horizontal="center" vertical="center"/>
    </xf>
    <xf numFmtId="0" fontId="4" fillId="0" borderId="1" xfId="0" applyFont="1" applyBorder="1" applyAlignment="1">
      <alignment horizontal="left" vertical="center"/>
    </xf>
    <xf numFmtId="176" fontId="10" fillId="4" borderId="1" xfId="0" applyNumberFormat="1" applyFont="1" applyFill="1" applyBorder="1" applyAlignment="1">
      <alignment horizontal="right" vertical="center"/>
    </xf>
    <xf numFmtId="176" fontId="4" fillId="4" borderId="1" xfId="0" applyNumberFormat="1" applyFont="1" applyFill="1" applyBorder="1" applyAlignment="1">
      <alignment horizontal="right" vertical="center"/>
    </xf>
    <xf numFmtId="177" fontId="4" fillId="4" borderId="1" xfId="0" applyNumberFormat="1" applyFont="1" applyFill="1" applyBorder="1" applyAlignment="1">
      <alignment horizontal="right" vertical="center"/>
    </xf>
    <xf numFmtId="0" fontId="10" fillId="0" borderId="2" xfId="0" applyFont="1" applyBorder="1" applyAlignment="1">
      <alignment horizontal="center" vertical="center"/>
    </xf>
    <xf numFmtId="0" fontId="10" fillId="0" borderId="10" xfId="0" applyFont="1" applyBorder="1" applyAlignment="1">
      <alignment horizontal="center" vertical="center"/>
    </xf>
    <xf numFmtId="0" fontId="10" fillId="0" borderId="3" xfId="0" applyFont="1" applyBorder="1" applyAlignment="1">
      <alignment horizontal="center" vertical="center"/>
    </xf>
    <xf numFmtId="177" fontId="10" fillId="4" borderId="1" xfId="0" applyNumberFormat="1" applyFont="1" applyFill="1" applyBorder="1" applyAlignment="1">
      <alignment horizontal="right" vertical="center"/>
    </xf>
    <xf numFmtId="176" fontId="10" fillId="6" borderId="1" xfId="0" applyNumberFormat="1" applyFont="1" applyFill="1" applyBorder="1" applyAlignment="1">
      <alignment horizontal="right" vertical="center"/>
    </xf>
    <xf numFmtId="176" fontId="4" fillId="6" borderId="2" xfId="0" applyNumberFormat="1" applyFont="1" applyFill="1" applyBorder="1" applyAlignment="1">
      <alignment horizontal="right" vertical="center"/>
    </xf>
    <xf numFmtId="176" fontId="4" fillId="6" borderId="10" xfId="0" applyNumberFormat="1" applyFont="1" applyFill="1" applyBorder="1" applyAlignment="1">
      <alignment horizontal="right" vertical="center"/>
    </xf>
    <xf numFmtId="176" fontId="4" fillId="6" borderId="3" xfId="0" applyNumberFormat="1" applyFont="1" applyFill="1" applyBorder="1" applyAlignment="1">
      <alignment horizontal="right" vertical="center"/>
    </xf>
    <xf numFmtId="176" fontId="10" fillId="4" borderId="2" xfId="0" applyNumberFormat="1" applyFont="1" applyFill="1" applyBorder="1" applyAlignment="1">
      <alignment horizontal="right" vertical="center"/>
    </xf>
    <xf numFmtId="176" fontId="10" fillId="4" borderId="10" xfId="0" applyNumberFormat="1" applyFont="1" applyFill="1" applyBorder="1" applyAlignment="1">
      <alignment horizontal="right" vertical="center"/>
    </xf>
    <xf numFmtId="176" fontId="10" fillId="4" borderId="3" xfId="0" applyNumberFormat="1" applyFont="1" applyFill="1" applyBorder="1" applyAlignment="1">
      <alignment horizontal="right" vertical="center"/>
    </xf>
    <xf numFmtId="176" fontId="4" fillId="0" borderId="6"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13"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9" xfId="0" applyNumberFormat="1" applyFont="1" applyBorder="1" applyAlignment="1">
      <alignment horizontal="center" vertical="center"/>
    </xf>
    <xf numFmtId="0" fontId="4" fillId="0" borderId="10" xfId="0" applyFont="1" applyBorder="1" applyAlignment="1">
      <alignment horizontal="center" vertical="center"/>
    </xf>
    <xf numFmtId="176" fontId="4" fillId="0" borderId="1" xfId="0" applyNumberFormat="1" applyFont="1" applyBorder="1" applyAlignment="1">
      <alignment horizontal="center" vertical="center"/>
    </xf>
    <xf numFmtId="0" fontId="2" fillId="7" borderId="1" xfId="0" applyFont="1" applyFill="1" applyBorder="1" applyAlignment="1">
      <alignment horizontal="center" vertical="center"/>
    </xf>
    <xf numFmtId="176" fontId="4" fillId="2" borderId="2" xfId="0" applyNumberFormat="1" applyFont="1" applyFill="1" applyBorder="1" applyAlignment="1">
      <alignment horizontal="right" vertical="center"/>
    </xf>
    <xf numFmtId="176" fontId="4" fillId="2" borderId="10"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0" fontId="17" fillId="2" borderId="0" xfId="0" applyFont="1" applyFill="1">
      <alignment vertical="center"/>
    </xf>
  </cellXfs>
  <cellStyles count="1">
    <cellStyle name="標準" xfId="0" builtinId="0"/>
  </cellStyles>
  <dxfs count="39">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19</xdr:col>
      <xdr:colOff>55514</xdr:colOff>
      <xdr:row>30</xdr:row>
      <xdr:rowOff>103899</xdr:rowOff>
    </xdr:to>
    <xdr:pic>
      <xdr:nvPicPr>
        <xdr:cNvPr id="2" name="図 1">
          <a:extLst>
            <a:ext uri="{FF2B5EF4-FFF2-40B4-BE49-F238E27FC236}">
              <a16:creationId xmlns:a16="http://schemas.microsoft.com/office/drawing/2014/main" id="{9AB4B15D-76AE-4AEB-B2DC-C10D28D35E75}"/>
            </a:ext>
          </a:extLst>
        </xdr:cNvPr>
        <xdr:cNvPicPr>
          <a:picLocks noChangeAspect="1"/>
        </xdr:cNvPicPr>
      </xdr:nvPicPr>
      <xdr:blipFill>
        <a:blip xmlns:r="http://schemas.openxmlformats.org/officeDocument/2006/relationships" r:embed="rId1"/>
        <a:stretch>
          <a:fillRect/>
        </a:stretch>
      </xdr:blipFill>
      <xdr:spPr>
        <a:xfrm>
          <a:off x="0" y="0"/>
          <a:ext cx="13085714" cy="7009524"/>
        </a:xfrm>
        <a:prstGeom prst="rect">
          <a:avLst/>
        </a:prstGeom>
      </xdr:spPr>
    </xdr:pic>
    <xdr:clientData/>
  </xdr:twoCellAnchor>
  <xdr:twoCellAnchor>
    <xdr:from>
      <xdr:col>2</xdr:col>
      <xdr:colOff>675409</xdr:colOff>
      <xdr:row>8</xdr:row>
      <xdr:rowOff>155863</xdr:rowOff>
    </xdr:from>
    <xdr:to>
      <xdr:col>5</xdr:col>
      <xdr:colOff>675409</xdr:colOff>
      <xdr:row>12</xdr:row>
      <xdr:rowOff>17317</xdr:rowOff>
    </xdr:to>
    <xdr:sp macro="" textlink="">
      <xdr:nvSpPr>
        <xdr:cNvPr id="3" name="正方形/長方形 2">
          <a:extLst>
            <a:ext uri="{FF2B5EF4-FFF2-40B4-BE49-F238E27FC236}">
              <a16:creationId xmlns:a16="http://schemas.microsoft.com/office/drawing/2014/main" id="{00845710-CB64-481E-9B04-07C9D4A7E725}"/>
            </a:ext>
          </a:extLst>
        </xdr:cNvPr>
        <xdr:cNvSpPr/>
      </xdr:nvSpPr>
      <xdr:spPr>
        <a:xfrm>
          <a:off x="2060864" y="1853045"/>
          <a:ext cx="2078181" cy="83127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31</xdr:row>
      <xdr:rowOff>0</xdr:rowOff>
    </xdr:from>
    <xdr:to>
      <xdr:col>18</xdr:col>
      <xdr:colOff>616623</xdr:colOff>
      <xdr:row>59</xdr:row>
      <xdr:rowOff>220797</xdr:rowOff>
    </xdr:to>
    <xdr:pic>
      <xdr:nvPicPr>
        <xdr:cNvPr id="4" name="図 3">
          <a:extLst>
            <a:ext uri="{FF2B5EF4-FFF2-40B4-BE49-F238E27FC236}">
              <a16:creationId xmlns:a16="http://schemas.microsoft.com/office/drawing/2014/main" id="{F701CB53-12F6-430A-9BB3-00CF1A432E94}"/>
            </a:ext>
          </a:extLst>
        </xdr:cNvPr>
        <xdr:cNvPicPr>
          <a:picLocks noChangeAspect="1"/>
        </xdr:cNvPicPr>
      </xdr:nvPicPr>
      <xdr:blipFill>
        <a:blip xmlns:r="http://schemas.openxmlformats.org/officeDocument/2006/relationships" r:embed="rId2"/>
        <a:stretch>
          <a:fillRect/>
        </a:stretch>
      </xdr:blipFill>
      <xdr:spPr>
        <a:xfrm>
          <a:off x="0" y="7273636"/>
          <a:ext cx="13085714" cy="7009524"/>
        </a:xfrm>
        <a:prstGeom prst="rect">
          <a:avLst/>
        </a:prstGeom>
      </xdr:spPr>
    </xdr:pic>
    <xdr:clientData/>
  </xdr:twoCellAnchor>
  <xdr:twoCellAnchor>
    <xdr:from>
      <xdr:col>3</xdr:col>
      <xdr:colOff>138546</xdr:colOff>
      <xdr:row>43</xdr:row>
      <xdr:rowOff>17318</xdr:rowOff>
    </xdr:from>
    <xdr:to>
      <xdr:col>6</xdr:col>
      <xdr:colOff>138545</xdr:colOff>
      <xdr:row>46</xdr:row>
      <xdr:rowOff>121226</xdr:rowOff>
    </xdr:to>
    <xdr:sp macro="" textlink="">
      <xdr:nvSpPr>
        <xdr:cNvPr id="5" name="正方形/長方形 4">
          <a:extLst>
            <a:ext uri="{FF2B5EF4-FFF2-40B4-BE49-F238E27FC236}">
              <a16:creationId xmlns:a16="http://schemas.microsoft.com/office/drawing/2014/main" id="{625AE55C-0A3D-4FF6-88CD-A1C3CA919994}"/>
            </a:ext>
          </a:extLst>
        </xdr:cNvPr>
        <xdr:cNvSpPr/>
      </xdr:nvSpPr>
      <xdr:spPr>
        <a:xfrm>
          <a:off x="2216728" y="10200409"/>
          <a:ext cx="2078181" cy="83127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294409</xdr:colOff>
      <xdr:row>43</xdr:row>
      <xdr:rowOff>190500</xdr:rowOff>
    </xdr:from>
    <xdr:to>
      <xdr:col>15</xdr:col>
      <xdr:colOff>284883</xdr:colOff>
      <xdr:row>47</xdr:row>
      <xdr:rowOff>51954</xdr:rowOff>
    </xdr:to>
    <xdr:sp macro="" textlink="">
      <xdr:nvSpPr>
        <xdr:cNvPr id="6" name="正方形/長方形 5">
          <a:extLst>
            <a:ext uri="{FF2B5EF4-FFF2-40B4-BE49-F238E27FC236}">
              <a16:creationId xmlns:a16="http://schemas.microsoft.com/office/drawing/2014/main" id="{83CB5CB9-A8F4-4BF2-B3D5-AE987913F946}"/>
            </a:ext>
          </a:extLst>
        </xdr:cNvPr>
        <xdr:cNvSpPr/>
      </xdr:nvSpPr>
      <xdr:spPr>
        <a:xfrm>
          <a:off x="8607136" y="10373591"/>
          <a:ext cx="2068656" cy="83127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60</xdr:row>
      <xdr:rowOff>0</xdr:rowOff>
    </xdr:from>
    <xdr:to>
      <xdr:col>18</xdr:col>
      <xdr:colOff>616623</xdr:colOff>
      <xdr:row>88</xdr:row>
      <xdr:rowOff>220797</xdr:rowOff>
    </xdr:to>
    <xdr:pic>
      <xdr:nvPicPr>
        <xdr:cNvPr id="7" name="図 6">
          <a:extLst>
            <a:ext uri="{FF2B5EF4-FFF2-40B4-BE49-F238E27FC236}">
              <a16:creationId xmlns:a16="http://schemas.microsoft.com/office/drawing/2014/main" id="{4AF8329C-9F9A-4E26-A687-A87392AC6012}"/>
            </a:ext>
          </a:extLst>
        </xdr:cNvPr>
        <xdr:cNvPicPr>
          <a:picLocks noChangeAspect="1"/>
        </xdr:cNvPicPr>
      </xdr:nvPicPr>
      <xdr:blipFill>
        <a:blip xmlns:r="http://schemas.openxmlformats.org/officeDocument/2006/relationships" r:embed="rId3"/>
        <a:stretch>
          <a:fillRect/>
        </a:stretch>
      </xdr:blipFill>
      <xdr:spPr>
        <a:xfrm>
          <a:off x="0" y="14304818"/>
          <a:ext cx="13085714" cy="7009524"/>
        </a:xfrm>
        <a:prstGeom prst="rect">
          <a:avLst/>
        </a:prstGeom>
      </xdr:spPr>
    </xdr:pic>
    <xdr:clientData/>
  </xdr:twoCellAnchor>
  <xdr:twoCellAnchor>
    <xdr:from>
      <xdr:col>8</xdr:col>
      <xdr:colOff>346364</xdr:colOff>
      <xdr:row>74</xdr:row>
      <xdr:rowOff>86590</xdr:rowOff>
    </xdr:from>
    <xdr:to>
      <xdr:col>11</xdr:col>
      <xdr:colOff>336838</xdr:colOff>
      <xdr:row>77</xdr:row>
      <xdr:rowOff>190499</xdr:rowOff>
    </xdr:to>
    <xdr:sp macro="" textlink="">
      <xdr:nvSpPr>
        <xdr:cNvPr id="8" name="正方形/長方形 7">
          <a:extLst>
            <a:ext uri="{FF2B5EF4-FFF2-40B4-BE49-F238E27FC236}">
              <a16:creationId xmlns:a16="http://schemas.microsoft.com/office/drawing/2014/main" id="{68EDC3D7-C8D6-4C77-9220-0232A8940AC8}"/>
            </a:ext>
          </a:extLst>
        </xdr:cNvPr>
        <xdr:cNvSpPr/>
      </xdr:nvSpPr>
      <xdr:spPr>
        <a:xfrm>
          <a:off x="5888182" y="17785772"/>
          <a:ext cx="2068656" cy="83127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259773</xdr:colOff>
      <xdr:row>79</xdr:row>
      <xdr:rowOff>51954</xdr:rowOff>
    </xdr:from>
    <xdr:to>
      <xdr:col>19</xdr:col>
      <xdr:colOff>250247</xdr:colOff>
      <xdr:row>82</xdr:row>
      <xdr:rowOff>155863</xdr:rowOff>
    </xdr:to>
    <xdr:sp macro="" textlink="">
      <xdr:nvSpPr>
        <xdr:cNvPr id="9" name="正方形/長方形 8">
          <a:extLst>
            <a:ext uri="{FF2B5EF4-FFF2-40B4-BE49-F238E27FC236}">
              <a16:creationId xmlns:a16="http://schemas.microsoft.com/office/drawing/2014/main" id="{061EC260-2A7A-4DD2-898E-1132328D932C}"/>
            </a:ext>
          </a:extLst>
        </xdr:cNvPr>
        <xdr:cNvSpPr/>
      </xdr:nvSpPr>
      <xdr:spPr>
        <a:xfrm>
          <a:off x="11343409" y="18963409"/>
          <a:ext cx="2068656" cy="83127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6.59</a:t>
          </a:r>
          <a:endParaRPr kumimoji="1" lang="ja-JP" altLang="en-US" sz="1100"/>
        </a:p>
      </xdr:txBody>
    </xdr:sp>
    <xdr:clientData/>
  </xdr:twoCellAnchor>
  <xdr:twoCellAnchor editAs="oneCell">
    <xdr:from>
      <xdr:col>0</xdr:col>
      <xdr:colOff>0</xdr:colOff>
      <xdr:row>90</xdr:row>
      <xdr:rowOff>0</xdr:rowOff>
    </xdr:from>
    <xdr:to>
      <xdr:col>18</xdr:col>
      <xdr:colOff>616623</xdr:colOff>
      <xdr:row>118</xdr:row>
      <xdr:rowOff>220797</xdr:rowOff>
    </xdr:to>
    <xdr:pic>
      <xdr:nvPicPr>
        <xdr:cNvPr id="10" name="図 9">
          <a:extLst>
            <a:ext uri="{FF2B5EF4-FFF2-40B4-BE49-F238E27FC236}">
              <a16:creationId xmlns:a16="http://schemas.microsoft.com/office/drawing/2014/main" id="{944218F0-3FA9-46A8-AC5F-3DA96C357CE4}"/>
            </a:ext>
          </a:extLst>
        </xdr:cNvPr>
        <xdr:cNvPicPr>
          <a:picLocks noChangeAspect="1"/>
        </xdr:cNvPicPr>
      </xdr:nvPicPr>
      <xdr:blipFill>
        <a:blip xmlns:r="http://schemas.openxmlformats.org/officeDocument/2006/relationships" r:embed="rId4"/>
        <a:stretch>
          <a:fillRect/>
        </a:stretch>
      </xdr:blipFill>
      <xdr:spPr>
        <a:xfrm>
          <a:off x="0" y="21578455"/>
          <a:ext cx="13085714" cy="7009524"/>
        </a:xfrm>
        <a:prstGeom prst="rect">
          <a:avLst/>
        </a:prstGeom>
      </xdr:spPr>
    </xdr:pic>
    <xdr:clientData/>
  </xdr:twoCellAnchor>
  <xdr:twoCellAnchor>
    <xdr:from>
      <xdr:col>2</xdr:col>
      <xdr:colOff>225136</xdr:colOff>
      <xdr:row>100</xdr:row>
      <xdr:rowOff>225136</xdr:rowOff>
    </xdr:from>
    <xdr:to>
      <xdr:col>7</xdr:col>
      <xdr:colOff>155864</xdr:colOff>
      <xdr:row>104</xdr:row>
      <xdr:rowOff>138546</xdr:rowOff>
    </xdr:to>
    <xdr:sp macro="" textlink="">
      <xdr:nvSpPr>
        <xdr:cNvPr id="11" name="正方形/長方形 10">
          <a:extLst>
            <a:ext uri="{FF2B5EF4-FFF2-40B4-BE49-F238E27FC236}">
              <a16:creationId xmlns:a16="http://schemas.microsoft.com/office/drawing/2014/main" id="{481A7C12-9563-43EC-8806-7CEF7DF35B1C}"/>
            </a:ext>
          </a:extLst>
        </xdr:cNvPr>
        <xdr:cNvSpPr/>
      </xdr:nvSpPr>
      <xdr:spPr>
        <a:xfrm>
          <a:off x="1610591" y="24228136"/>
          <a:ext cx="3394364" cy="883228"/>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6.59</a:t>
          </a: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32</xdr:col>
      <xdr:colOff>84666</xdr:colOff>
      <xdr:row>13</xdr:row>
      <xdr:rowOff>158750</xdr:rowOff>
    </xdr:from>
    <xdr:to>
      <xdr:col>33</xdr:col>
      <xdr:colOff>95250</xdr:colOff>
      <xdr:row>16</xdr:row>
      <xdr:rowOff>148166</xdr:rowOff>
    </xdr:to>
    <xdr:sp macro="" textlink="">
      <xdr:nvSpPr>
        <xdr:cNvPr id="2" name="矢印: 左カーブ 1">
          <a:extLst>
            <a:ext uri="{FF2B5EF4-FFF2-40B4-BE49-F238E27FC236}">
              <a16:creationId xmlns:a16="http://schemas.microsoft.com/office/drawing/2014/main" id="{E194EC77-F911-4B80-9AE5-63B156B44335}"/>
            </a:ext>
          </a:extLst>
        </xdr:cNvPr>
        <xdr:cNvSpPr/>
      </xdr:nvSpPr>
      <xdr:spPr>
        <a:xfrm flipV="1">
          <a:off x="6971241" y="2540000"/>
          <a:ext cx="248709" cy="703791"/>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229178</xdr:colOff>
      <xdr:row>28</xdr:row>
      <xdr:rowOff>131475</xdr:rowOff>
    </xdr:from>
    <xdr:to>
      <xdr:col>36</xdr:col>
      <xdr:colOff>133210</xdr:colOff>
      <xdr:row>29</xdr:row>
      <xdr:rowOff>184300</xdr:rowOff>
    </xdr:to>
    <xdr:sp macro="" textlink="">
      <xdr:nvSpPr>
        <xdr:cNvPr id="3" name="上矢印 3">
          <a:extLst>
            <a:ext uri="{FF2B5EF4-FFF2-40B4-BE49-F238E27FC236}">
              <a16:creationId xmlns:a16="http://schemas.microsoft.com/office/drawing/2014/main" id="{3F49F1E5-0D3E-400D-BFBA-07D90E65AC82}"/>
            </a:ext>
          </a:extLst>
        </xdr:cNvPr>
        <xdr:cNvSpPr/>
      </xdr:nvSpPr>
      <xdr:spPr>
        <a:xfrm rot="18900000">
          <a:off x="9341428" y="6005225"/>
          <a:ext cx="164382" cy="287775"/>
        </a:xfrm>
        <a:prstGeom prs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38098</xdr:colOff>
      <xdr:row>20</xdr:row>
      <xdr:rowOff>228603</xdr:rowOff>
    </xdr:from>
    <xdr:to>
      <xdr:col>14</xdr:col>
      <xdr:colOff>171449</xdr:colOff>
      <xdr:row>22</xdr:row>
      <xdr:rowOff>3</xdr:rowOff>
    </xdr:to>
    <xdr:sp macro="" textlink="">
      <xdr:nvSpPr>
        <xdr:cNvPr id="4" name="右中かっこ 3">
          <a:extLst>
            <a:ext uri="{FF2B5EF4-FFF2-40B4-BE49-F238E27FC236}">
              <a16:creationId xmlns:a16="http://schemas.microsoft.com/office/drawing/2014/main" id="{EAA3DB61-C9B5-4868-9577-39EBE592F8D5}"/>
            </a:ext>
          </a:extLst>
        </xdr:cNvPr>
        <xdr:cNvSpPr/>
      </xdr:nvSpPr>
      <xdr:spPr>
        <a:xfrm rot="5400000">
          <a:off x="2066924" y="2714627"/>
          <a:ext cx="241300" cy="3257551"/>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35</xdr:col>
      <xdr:colOff>229178</xdr:colOff>
      <xdr:row>28</xdr:row>
      <xdr:rowOff>131475</xdr:rowOff>
    </xdr:from>
    <xdr:to>
      <xdr:col>36</xdr:col>
      <xdr:colOff>133210</xdr:colOff>
      <xdr:row>29</xdr:row>
      <xdr:rowOff>184300</xdr:rowOff>
    </xdr:to>
    <xdr:sp macro="" textlink="">
      <xdr:nvSpPr>
        <xdr:cNvPr id="5" name="上矢印 3">
          <a:extLst>
            <a:ext uri="{FF2B5EF4-FFF2-40B4-BE49-F238E27FC236}">
              <a16:creationId xmlns:a16="http://schemas.microsoft.com/office/drawing/2014/main" id="{5A24E4F5-8A68-41EA-9680-B52F85F40E83}"/>
            </a:ext>
          </a:extLst>
        </xdr:cNvPr>
        <xdr:cNvSpPr/>
      </xdr:nvSpPr>
      <xdr:spPr>
        <a:xfrm rot="18900000">
          <a:off x="9341428" y="6005225"/>
          <a:ext cx="164382" cy="287775"/>
        </a:xfrm>
        <a:prstGeom prs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71</xdr:col>
      <xdr:colOff>2399</xdr:colOff>
      <xdr:row>5</xdr:row>
      <xdr:rowOff>156883</xdr:rowOff>
    </xdr:from>
    <xdr:to>
      <xdr:col>90</xdr:col>
      <xdr:colOff>40498</xdr:colOff>
      <xdr:row>10</xdr:row>
      <xdr:rowOff>448236</xdr:rowOff>
    </xdr:to>
    <xdr:sp macro="" textlink="">
      <xdr:nvSpPr>
        <xdr:cNvPr id="3" name="テキスト ボックス 2">
          <a:extLst>
            <a:ext uri="{FF2B5EF4-FFF2-40B4-BE49-F238E27FC236}">
              <a16:creationId xmlns:a16="http://schemas.microsoft.com/office/drawing/2014/main" id="{8BB277BA-B038-46F1-803F-57919998D7D6}"/>
            </a:ext>
          </a:extLst>
        </xdr:cNvPr>
        <xdr:cNvSpPr txBox="1"/>
      </xdr:nvSpPr>
      <xdr:spPr>
        <a:xfrm>
          <a:off x="14267487" y="1636059"/>
          <a:ext cx="4509246" cy="12550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入力をする部分は原則、黄色セル部分。</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→所得部分に直接入力をしてもいいが数式が壊れるので保存しないようにする。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年金の年齢区分については、市税で発送する申告書のチラシに書いてあるのでそれを参照する。</a:t>
          </a:r>
        </a:p>
      </xdr:txBody>
    </xdr:sp>
    <xdr:clientData/>
  </xdr:twoCellAnchor>
  <xdr:twoCellAnchor>
    <xdr:from>
      <xdr:col>80</xdr:col>
      <xdr:colOff>201313</xdr:colOff>
      <xdr:row>11</xdr:row>
      <xdr:rowOff>75078</xdr:rowOff>
    </xdr:from>
    <xdr:to>
      <xdr:col>100</xdr:col>
      <xdr:colOff>15855</xdr:colOff>
      <xdr:row>17</xdr:row>
      <xdr:rowOff>207868</xdr:rowOff>
    </xdr:to>
    <xdr:sp macro="" textlink="">
      <xdr:nvSpPr>
        <xdr:cNvPr id="4" name="テキスト ボックス 3">
          <a:extLst>
            <a:ext uri="{FF2B5EF4-FFF2-40B4-BE49-F238E27FC236}">
              <a16:creationId xmlns:a16="http://schemas.microsoft.com/office/drawing/2014/main" id="{5ED14137-F95B-492A-AA4B-A4DE42CD0816}"/>
            </a:ext>
          </a:extLst>
        </xdr:cNvPr>
        <xdr:cNvSpPr txBox="1"/>
      </xdr:nvSpPr>
      <xdr:spPr>
        <a:xfrm>
          <a:off x="17592842" y="4387102"/>
          <a:ext cx="4476189" cy="20153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所得調整控除の適用を受けるためには、確定申告が必須となっている。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もし、年金と給与の所得があり確定申告をしていない場合には、所得額調整控除の適用がされない可能性がある。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rPr>
            <a:t>※</a:t>
          </a:r>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千葉市では、給与と年金の所得があり、確定申告がなくとも適用をさせるとのことだった。</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このことを踏まえ、調整控除の自動計算を適用するかの可否を選択できるようにする。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「１」＝自動適用　「０」＝適用なし</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81</xdr:col>
      <xdr:colOff>15288</xdr:colOff>
      <xdr:row>18</xdr:row>
      <xdr:rowOff>78441</xdr:rowOff>
    </xdr:from>
    <xdr:to>
      <xdr:col>100</xdr:col>
      <xdr:colOff>62912</xdr:colOff>
      <xdr:row>28</xdr:row>
      <xdr:rowOff>89647</xdr:rowOff>
    </xdr:to>
    <xdr:sp macro="" textlink="">
      <xdr:nvSpPr>
        <xdr:cNvPr id="5" name="テキスト ボックス 4">
          <a:extLst>
            <a:ext uri="{FF2B5EF4-FFF2-40B4-BE49-F238E27FC236}">
              <a16:creationId xmlns:a16="http://schemas.microsoft.com/office/drawing/2014/main" id="{51F0A09F-5338-4DFA-9EC3-2B56E87CAD64}"/>
            </a:ext>
          </a:extLst>
        </xdr:cNvPr>
        <xdr:cNvSpPr txBox="1"/>
      </xdr:nvSpPr>
      <xdr:spPr>
        <a:xfrm>
          <a:off x="15221670" y="5143500"/>
          <a:ext cx="4518771" cy="23644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給与所得金額を直接入力する際の注意点</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給与所得を収入から入力するのではなく所得金額を直接入力する場合には</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特別調整控除前後を入力を確認すること。</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ツール的には</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①収入で入力することを想定</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②所得をベタ打ちするのであれば控除前の所得金額を入力</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　</a:t>
          </a:r>
          <a:r>
            <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rPr>
            <a:t>※</a:t>
          </a:r>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この方法であれば、ある程度①と同様の結果が得られると思う</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③所得調整控除後をベタ打ちする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　控除前を算出して入力しないと、多分軽減の判定で差異が出ると思う。</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71</xdr:col>
      <xdr:colOff>11201</xdr:colOff>
      <xdr:row>0</xdr:row>
      <xdr:rowOff>78439</xdr:rowOff>
    </xdr:from>
    <xdr:to>
      <xdr:col>90</xdr:col>
      <xdr:colOff>49300</xdr:colOff>
      <xdr:row>5</xdr:row>
      <xdr:rowOff>134470</xdr:rowOff>
    </xdr:to>
    <xdr:sp macro="" textlink="">
      <xdr:nvSpPr>
        <xdr:cNvPr id="6" name="テキスト ボックス 5">
          <a:extLst>
            <a:ext uri="{FF2B5EF4-FFF2-40B4-BE49-F238E27FC236}">
              <a16:creationId xmlns:a16="http://schemas.microsoft.com/office/drawing/2014/main" id="{878081F1-CB29-4007-94D9-CCE8DB1E33F8}"/>
            </a:ext>
          </a:extLst>
        </xdr:cNvPr>
        <xdr:cNvSpPr txBox="1"/>
      </xdr:nvSpPr>
      <xdr:spPr>
        <a:xfrm>
          <a:off x="15217583" y="78439"/>
          <a:ext cx="4509246" cy="153520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rPr>
            <a:t>R</a:t>
          </a:r>
          <a:r>
            <a:rPr kumimoji="1" lang="ja-JP" altLang="en-US" sz="1100" b="0">
              <a:solidFill>
                <a:srgbClr val="FF0000"/>
              </a:solidFill>
              <a:latin typeface="UD デジタル 教科書体 NK-B" panose="02020700000000000000" pitchFamily="18" charset="-128"/>
              <a:ea typeface="UD デジタル 教科書体 NK-B" panose="02020700000000000000" pitchFamily="18" charset="-128"/>
            </a:rPr>
            <a:t>４年度の変更点</a:t>
          </a:r>
          <a:endPar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b="0">
              <a:solidFill>
                <a:srgbClr val="FF0000"/>
              </a:solidFill>
              <a:latin typeface="UD デジタル 教科書体 NK-B" panose="02020700000000000000" pitchFamily="18" charset="-128"/>
              <a:ea typeface="UD デジタル 教科書体 NK-B" panose="02020700000000000000" pitchFamily="18" charset="-128"/>
            </a:rPr>
            <a:t>・未就学児の均等割軽減が導入されました。</a:t>
          </a:r>
          <a:endPar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b="0">
              <a:solidFill>
                <a:srgbClr val="FF0000"/>
              </a:solidFill>
              <a:latin typeface="UD デジタル 教科書体 NK-B" panose="02020700000000000000" pitchFamily="18" charset="-128"/>
              <a:ea typeface="UD デジタル 教科書体 NK-B" panose="02020700000000000000" pitchFamily="18" charset="-128"/>
            </a:rPr>
            <a:t>→年齢区分に未就学児を設けました。年齢を聞き取りし小学校入学前の子どもの場合、未就学児を選んでください。</a:t>
          </a:r>
          <a:endPar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b="0">
              <a:solidFill>
                <a:srgbClr val="FF0000"/>
              </a:solidFill>
              <a:latin typeface="UD デジタル 教科書体 NK-B" panose="02020700000000000000" pitchFamily="18" charset="-128"/>
              <a:ea typeface="UD デジタル 教科書体 NK-B" panose="02020700000000000000" pitchFamily="18" charset="-128"/>
            </a:rPr>
            <a:t>・賦課限度額が変更されました。</a:t>
          </a:r>
          <a:endPar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b="0">
              <a:solidFill>
                <a:srgbClr val="FF0000"/>
              </a:solidFill>
              <a:latin typeface="UD デジタル 教科書体 NK-B" panose="02020700000000000000" pitchFamily="18" charset="-128"/>
              <a:ea typeface="UD デジタル 教科書体 NK-B" panose="02020700000000000000" pitchFamily="18" charset="-128"/>
            </a:rPr>
            <a:t>・独自減免の経過措置が終了しました。</a:t>
          </a:r>
          <a:endParaRPr kumimoji="1" lang="en-US" altLang="ja-JP" sz="1100" b="0">
            <a:solidFill>
              <a:srgbClr val="FF0000"/>
            </a:solidFill>
            <a:latin typeface="UD デジタル 教科書体 NK-B" panose="02020700000000000000" pitchFamily="18" charset="-128"/>
            <a:ea typeface="UD デジタル 教科書体 NK-B" panose="02020700000000000000" pitchFamily="18" charset="-128"/>
          </a:endParaRPr>
        </a:p>
        <a:p>
          <a:endPar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666750</xdr:colOff>
      <xdr:row>1</xdr:row>
      <xdr:rowOff>28575</xdr:rowOff>
    </xdr:from>
    <xdr:to>
      <xdr:col>13</xdr:col>
      <xdr:colOff>428625</xdr:colOff>
      <xdr:row>12</xdr:row>
      <xdr:rowOff>66675</xdr:rowOff>
    </xdr:to>
    <xdr:sp macro="" textlink="">
      <xdr:nvSpPr>
        <xdr:cNvPr id="2" name="テキスト ボックス 1">
          <a:extLst>
            <a:ext uri="{FF2B5EF4-FFF2-40B4-BE49-F238E27FC236}">
              <a16:creationId xmlns:a16="http://schemas.microsoft.com/office/drawing/2014/main" id="{F0231C77-5441-450A-8BBA-C0C2E8B42263}"/>
            </a:ext>
          </a:extLst>
        </xdr:cNvPr>
        <xdr:cNvSpPr txBox="1"/>
      </xdr:nvSpPr>
      <xdr:spPr>
        <a:xfrm>
          <a:off x="7219950" y="247650"/>
          <a:ext cx="4562475" cy="2343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「試算」シートのリストに表示させる項目を設定する。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（メモ）令和４年度からは、未就学児の減免に対応する必要がある場合には、区分（世帯員）に未就学を追加する必要があるかも・・・・</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そもそも計算ツールは作成し直しだと思う。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22412</xdr:colOff>
      <xdr:row>11</xdr:row>
      <xdr:rowOff>156882</xdr:rowOff>
    </xdr:from>
    <xdr:to>
      <xdr:col>28</xdr:col>
      <xdr:colOff>1223122</xdr:colOff>
      <xdr:row>13</xdr:row>
      <xdr:rowOff>0</xdr:rowOff>
    </xdr:to>
    <xdr:sp macro="" textlink="">
      <xdr:nvSpPr>
        <xdr:cNvPr id="2" name="テキスト ボックス 1">
          <a:extLst>
            <a:ext uri="{FF2B5EF4-FFF2-40B4-BE49-F238E27FC236}">
              <a16:creationId xmlns:a16="http://schemas.microsoft.com/office/drawing/2014/main" id="{484B84EE-DE25-4781-8792-DC8731F2A891}"/>
            </a:ext>
          </a:extLst>
        </xdr:cNvPr>
        <xdr:cNvSpPr txBox="1"/>
      </xdr:nvSpPr>
      <xdr:spPr>
        <a:xfrm>
          <a:off x="12281647" y="2050676"/>
          <a:ext cx="4562475" cy="3137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↑「試算」シートの給与所得部分に転記する！！</a:t>
          </a:r>
        </a:p>
      </xdr:txBody>
    </xdr:sp>
    <xdr:clientData/>
  </xdr:twoCellAnchor>
  <xdr:twoCellAnchor>
    <xdr:from>
      <xdr:col>26</xdr:col>
      <xdr:colOff>0</xdr:colOff>
      <xdr:row>14</xdr:row>
      <xdr:rowOff>0</xdr:rowOff>
    </xdr:from>
    <xdr:to>
      <xdr:col>28</xdr:col>
      <xdr:colOff>1200710</xdr:colOff>
      <xdr:row>17</xdr:row>
      <xdr:rowOff>78441</xdr:rowOff>
    </xdr:to>
    <xdr:sp macro="" textlink="">
      <xdr:nvSpPr>
        <xdr:cNvPr id="3" name="テキスト ボックス 2">
          <a:extLst>
            <a:ext uri="{FF2B5EF4-FFF2-40B4-BE49-F238E27FC236}">
              <a16:creationId xmlns:a16="http://schemas.microsoft.com/office/drawing/2014/main" id="{5FD49BED-78B2-4669-B0BA-5913F72F3DC7}"/>
            </a:ext>
          </a:extLst>
        </xdr:cNvPr>
        <xdr:cNvSpPr txBox="1"/>
      </xdr:nvSpPr>
      <xdr:spPr>
        <a:xfrm>
          <a:off x="12259235" y="2599765"/>
          <a:ext cx="4562475" cy="806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非自発の適用については、上記で算出した給与所得（調整控除適用前）で算出する。（富士通様提供の改造詳細仕様書のＦＡＱより）</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9</xdr:col>
      <xdr:colOff>76200</xdr:colOff>
      <xdr:row>18</xdr:row>
      <xdr:rowOff>182880</xdr:rowOff>
    </xdr:from>
    <xdr:to>
      <xdr:col>21</xdr:col>
      <xdr:colOff>228600</xdr:colOff>
      <xdr:row>25</xdr:row>
      <xdr:rowOff>114300</xdr:rowOff>
    </xdr:to>
    <xdr:sp macro="" textlink="">
      <xdr:nvSpPr>
        <xdr:cNvPr id="4" name="テキスト ボックス 3">
          <a:extLst>
            <a:ext uri="{FF2B5EF4-FFF2-40B4-BE49-F238E27FC236}">
              <a16:creationId xmlns:a16="http://schemas.microsoft.com/office/drawing/2014/main" id="{1CD7011D-CCC8-4406-4DAC-67B9735F1F70}"/>
            </a:ext>
          </a:extLst>
        </xdr:cNvPr>
        <xdr:cNvSpPr txBox="1"/>
      </xdr:nvSpPr>
      <xdr:spPr>
        <a:xfrm>
          <a:off x="2202180" y="4328160"/>
          <a:ext cx="4442460" cy="1539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ここを変える　ひとまず世帯主だけ変えてます</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確定申告の書類か、年末調整表がでたら再確認してみる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358587</xdr:colOff>
      <xdr:row>11</xdr:row>
      <xdr:rowOff>78441</xdr:rowOff>
    </xdr:from>
    <xdr:to>
      <xdr:col>31</xdr:col>
      <xdr:colOff>136151</xdr:colOff>
      <xdr:row>13</xdr:row>
      <xdr:rowOff>179294</xdr:rowOff>
    </xdr:to>
    <xdr:sp macro="" textlink="">
      <xdr:nvSpPr>
        <xdr:cNvPr id="3" name="テキスト ボックス 2">
          <a:extLst>
            <a:ext uri="{FF2B5EF4-FFF2-40B4-BE49-F238E27FC236}">
              <a16:creationId xmlns:a16="http://schemas.microsoft.com/office/drawing/2014/main" id="{82272B4E-8E8C-456F-B207-842C3E3B48CF}"/>
            </a:ext>
          </a:extLst>
        </xdr:cNvPr>
        <xdr:cNvSpPr txBox="1"/>
      </xdr:nvSpPr>
      <xdr:spPr>
        <a:xfrm>
          <a:off x="10230969" y="2689412"/>
          <a:ext cx="4562476"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公的年金等雑所得以外の合計所得金額が１０００万円以下で計算します。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358587</xdr:colOff>
      <xdr:row>11</xdr:row>
      <xdr:rowOff>78441</xdr:rowOff>
    </xdr:from>
    <xdr:to>
      <xdr:col>31</xdr:col>
      <xdr:colOff>136151</xdr:colOff>
      <xdr:row>13</xdr:row>
      <xdr:rowOff>179294</xdr:rowOff>
    </xdr:to>
    <xdr:sp macro="" textlink="">
      <xdr:nvSpPr>
        <xdr:cNvPr id="2" name="テキスト ボックス 1">
          <a:extLst>
            <a:ext uri="{FF2B5EF4-FFF2-40B4-BE49-F238E27FC236}">
              <a16:creationId xmlns:a16="http://schemas.microsoft.com/office/drawing/2014/main" id="{744409EE-4943-4878-A391-05EDDBCD6BB3}"/>
            </a:ext>
          </a:extLst>
        </xdr:cNvPr>
        <xdr:cNvSpPr txBox="1"/>
      </xdr:nvSpPr>
      <xdr:spPr>
        <a:xfrm>
          <a:off x="10293162" y="2726391"/>
          <a:ext cx="5435414" cy="5771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公的年金等雑所得以外の合計所得金額が１０００万円以下で計算します。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13</xdr:row>
      <xdr:rowOff>9525</xdr:rowOff>
    </xdr:from>
    <xdr:to>
      <xdr:col>3</xdr:col>
      <xdr:colOff>295925</xdr:colOff>
      <xdr:row>16</xdr:row>
      <xdr:rowOff>114414</xdr:rowOff>
    </xdr:to>
    <xdr:pic>
      <xdr:nvPicPr>
        <xdr:cNvPr id="2" name="図 1">
          <a:extLst>
            <a:ext uri="{FF2B5EF4-FFF2-40B4-BE49-F238E27FC236}">
              <a16:creationId xmlns:a16="http://schemas.microsoft.com/office/drawing/2014/main" id="{BB9579E9-7929-4936-A884-11FFBF331903}"/>
            </a:ext>
          </a:extLst>
        </xdr:cNvPr>
        <xdr:cNvPicPr>
          <a:picLocks noChangeAspect="1"/>
        </xdr:cNvPicPr>
      </xdr:nvPicPr>
      <xdr:blipFill>
        <a:blip xmlns:r="http://schemas.openxmlformats.org/officeDocument/2006/relationships" r:embed="rId1"/>
        <a:stretch>
          <a:fillRect/>
        </a:stretch>
      </xdr:blipFill>
      <xdr:spPr>
        <a:xfrm>
          <a:off x="0" y="2171700"/>
          <a:ext cx="4658375" cy="819264"/>
        </a:xfrm>
        <a:prstGeom prst="rect">
          <a:avLst/>
        </a:prstGeom>
        <a:ln>
          <a:solidFill>
            <a:schemeClr val="tx1"/>
          </a:solidFill>
        </a:ln>
      </xdr:spPr>
    </xdr:pic>
    <xdr:clientData/>
  </xdr:twoCellAnchor>
  <xdr:twoCellAnchor>
    <xdr:from>
      <xdr:col>8</xdr:col>
      <xdr:colOff>0</xdr:colOff>
      <xdr:row>12</xdr:row>
      <xdr:rowOff>0</xdr:rowOff>
    </xdr:from>
    <xdr:to>
      <xdr:col>14</xdr:col>
      <xdr:colOff>514350</xdr:colOff>
      <xdr:row>18</xdr:row>
      <xdr:rowOff>81242</xdr:rowOff>
    </xdr:to>
    <xdr:sp macro="" textlink="">
      <xdr:nvSpPr>
        <xdr:cNvPr id="3" name="テキスト ボックス 2">
          <a:extLst>
            <a:ext uri="{FF2B5EF4-FFF2-40B4-BE49-F238E27FC236}">
              <a16:creationId xmlns:a16="http://schemas.microsoft.com/office/drawing/2014/main" id="{83C9340C-C8B3-4F93-8DD4-46C0F657645F}"/>
            </a:ext>
          </a:extLst>
        </xdr:cNvPr>
        <xdr:cNvSpPr txBox="1"/>
      </xdr:nvSpPr>
      <xdr:spPr>
        <a:xfrm>
          <a:off x="8763000" y="2162175"/>
          <a:ext cx="4562475" cy="15099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所得調整控除の適用を受けるためには、確定申告が必須となっている。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もし、年金と給与の所得があり確定申告をしていない場合には、所得額調整控除の適用がされない可能性が高い。</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このことを踏まえ、調整控除の自動計算を適用するかの可否を選択できるようにする。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「１」＝自動適用　「０」＝適用なし</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0</xdr:colOff>
      <xdr:row>24</xdr:row>
      <xdr:rowOff>0</xdr:rowOff>
    </xdr:from>
    <xdr:to>
      <xdr:col>37</xdr:col>
      <xdr:colOff>53789</xdr:colOff>
      <xdr:row>29</xdr:row>
      <xdr:rowOff>152400</xdr:rowOff>
    </xdr:to>
    <xdr:sp macro="" textlink="">
      <xdr:nvSpPr>
        <xdr:cNvPr id="2" name="テキスト ボックス 1">
          <a:extLst>
            <a:ext uri="{FF2B5EF4-FFF2-40B4-BE49-F238E27FC236}">
              <a16:creationId xmlns:a16="http://schemas.microsoft.com/office/drawing/2014/main" id="{058FFDBE-669B-43D6-B325-6ECC2BE892AC}"/>
            </a:ext>
          </a:extLst>
        </xdr:cNvPr>
        <xdr:cNvSpPr txBox="1"/>
      </xdr:nvSpPr>
      <xdr:spPr>
        <a:xfrm>
          <a:off x="5314950" y="4819650"/>
          <a:ext cx="5435414"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軽減判定に用いる給与所得者等の人数については、少々条件が異なるが、試算であることを踏まえ、給与については、非自発・調整控除適用前の金額が１円以上、年金は所得額は１円以上となる場合には、有所得者数と判定をする。微妙に判定基準が異なる</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a:p>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これは、試算をする際に、所得を直接入力することが多いことから、所得金額にて算出することとした。</a:t>
          </a:r>
          <a:endPar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8354C-65E6-4FAE-A679-77E824C79717}">
  <sheetPr>
    <tabColor rgb="FFFFFF00"/>
  </sheetPr>
  <dimension ref="A1:U97"/>
  <sheetViews>
    <sheetView workbookViewId="0"/>
  </sheetViews>
  <sheetFormatPr defaultRowHeight="18"/>
  <sheetData>
    <row r="1" spans="1:21" ht="55.5" customHeight="1">
      <c r="A1" s="7" t="s">
        <v>116</v>
      </c>
    </row>
    <row r="4" spans="1:21">
      <c r="U4" t="s">
        <v>113</v>
      </c>
    </row>
    <row r="43" spans="20:20">
      <c r="T43" t="s">
        <v>114</v>
      </c>
    </row>
    <row r="97" spans="21:21">
      <c r="U97" t="s">
        <v>115</v>
      </c>
    </row>
  </sheetData>
  <phoneticPr fontId="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4172A-0FB7-4017-B74E-B40F4030AA82}">
  <dimension ref="A2:S11"/>
  <sheetViews>
    <sheetView topLeftCell="G1" workbookViewId="0">
      <selection activeCell="A20" sqref="A20:E20"/>
    </sheetView>
  </sheetViews>
  <sheetFormatPr defaultRowHeight="18"/>
  <cols>
    <col min="1" max="1" width="9" bestFit="1" customWidth="1"/>
    <col min="2" max="4" width="24.09765625" customWidth="1"/>
    <col min="5" max="5" width="11" bestFit="1" customWidth="1"/>
    <col min="7" max="7" width="4.59765625" customWidth="1"/>
    <col min="13" max="13" width="13" bestFit="1" customWidth="1"/>
    <col min="14" max="14" width="4.09765625" customWidth="1"/>
    <col min="16" max="16" width="12.09765625" customWidth="1"/>
    <col min="18" max="18" width="23.5" bestFit="1" customWidth="1"/>
    <col min="19" max="19" width="19.19921875" bestFit="1" customWidth="1"/>
  </cols>
  <sheetData>
    <row r="2" spans="1:19" ht="18.600000000000001" thickBot="1">
      <c r="E2" s="259" t="s">
        <v>152</v>
      </c>
      <c r="F2" s="259"/>
      <c r="G2" s="259"/>
      <c r="P2" t="s">
        <v>161</v>
      </c>
    </row>
    <row r="3" spans="1:19" s="17" customFormat="1">
      <c r="A3" s="45"/>
      <c r="B3" s="36" t="s">
        <v>41</v>
      </c>
      <c r="C3" s="36" t="s">
        <v>150</v>
      </c>
      <c r="D3" s="37" t="s">
        <v>151</v>
      </c>
      <c r="E3" s="17" t="s">
        <v>153</v>
      </c>
      <c r="F3" s="17" t="s">
        <v>154</v>
      </c>
      <c r="H3" s="17" t="s">
        <v>20</v>
      </c>
      <c r="I3" s="17" t="s">
        <v>155</v>
      </c>
      <c r="J3" s="17" t="s">
        <v>156</v>
      </c>
      <c r="K3" s="17" t="s">
        <v>33</v>
      </c>
      <c r="L3" s="17" t="s">
        <v>157</v>
      </c>
      <c r="M3" s="42" t="s">
        <v>158</v>
      </c>
      <c r="O3" s="17" t="s">
        <v>159</v>
      </c>
      <c r="P3" s="42" t="s">
        <v>158</v>
      </c>
      <c r="R3" s="45" t="s">
        <v>162</v>
      </c>
      <c r="S3" s="41" t="s">
        <v>164</v>
      </c>
    </row>
    <row r="4" spans="1:19">
      <c r="A4" s="38" t="s">
        <v>3</v>
      </c>
      <c r="B4" s="20">
        <f>試算!V6</f>
        <v>0</v>
      </c>
      <c r="C4" s="20">
        <f>試算!AV6</f>
        <v>0</v>
      </c>
      <c r="D4" s="27">
        <f>試算!BF6</f>
        <v>0</v>
      </c>
      <c r="E4" s="20">
        <f>SUM(B4:D4)</f>
        <v>0</v>
      </c>
      <c r="F4" s="19">
        <v>100001</v>
      </c>
      <c r="G4" s="40">
        <f>IF(F4&lt;=E4,1,0)</f>
        <v>0</v>
      </c>
      <c r="H4">
        <f>IF(100000&lt;=B4,100000,B4)</f>
        <v>0</v>
      </c>
      <c r="I4">
        <f>IF(100000&lt;=C4,100000,C4)</f>
        <v>0</v>
      </c>
      <c r="J4">
        <f>IF(100000&lt;=D4,100000,D4)</f>
        <v>0</v>
      </c>
      <c r="K4">
        <f>SUM(H4:J4)</f>
        <v>0</v>
      </c>
      <c r="L4">
        <f>K4-100000</f>
        <v>-100000</v>
      </c>
      <c r="M4" s="34">
        <f>L4*G4</f>
        <v>0</v>
      </c>
      <c r="O4">
        <f>試算!AA6</f>
        <v>1</v>
      </c>
      <c r="P4" s="34">
        <f>M4*O4</f>
        <v>0</v>
      </c>
      <c r="R4" s="43">
        <f>'給与所得 '!AE4</f>
        <v>0</v>
      </c>
      <c r="S4" s="46">
        <f>IF((R4-P4)&lt;0,0,(R4-P4))</f>
        <v>0</v>
      </c>
    </row>
    <row r="5" spans="1:19">
      <c r="A5" s="38" t="s">
        <v>132</v>
      </c>
      <c r="B5" s="20">
        <f>試算!V7</f>
        <v>0</v>
      </c>
      <c r="C5" s="20">
        <f>試算!AV7</f>
        <v>0</v>
      </c>
      <c r="D5" s="27">
        <f>試算!BF7</f>
        <v>0</v>
      </c>
      <c r="E5" s="20">
        <f t="shared" ref="E5:E11" si="0">SUM(B5:D5)</f>
        <v>0</v>
      </c>
      <c r="F5" s="19">
        <v>100001</v>
      </c>
      <c r="G5" s="40">
        <f t="shared" ref="G5:G11" si="1">IF(F5&lt;=E5,1,0)</f>
        <v>0</v>
      </c>
      <c r="H5">
        <f>IF(100000&lt;=B5,100000,B5)</f>
        <v>0</v>
      </c>
      <c r="I5">
        <f t="shared" ref="I5:I11" si="2">IF(100000&lt;=C5,100000,C5)</f>
        <v>0</v>
      </c>
      <c r="J5">
        <f t="shared" ref="J5:J11" si="3">IF(100000&lt;=D5,100000,D5)</f>
        <v>0</v>
      </c>
      <c r="K5">
        <f t="shared" ref="K5:K11" si="4">SUM(H5:J5)</f>
        <v>0</v>
      </c>
      <c r="L5">
        <f t="shared" ref="L5:L11" si="5">K5-100000</f>
        <v>-100000</v>
      </c>
      <c r="M5" s="34">
        <f t="shared" ref="M5:M11" si="6">L5*G5</f>
        <v>0</v>
      </c>
      <c r="O5">
        <f>試算!AA7</f>
        <v>1</v>
      </c>
      <c r="P5" s="34">
        <f t="shared" ref="P5:P11" si="7">M5*O5</f>
        <v>0</v>
      </c>
      <c r="R5" s="43">
        <f>'給与所得 '!AE5</f>
        <v>0</v>
      </c>
      <c r="S5" s="46">
        <f t="shared" ref="S5:S11" si="8">IF((R5-P5)&lt;0,0,(R5-P5))</f>
        <v>0</v>
      </c>
    </row>
    <row r="6" spans="1:19">
      <c r="A6" s="38" t="s">
        <v>133</v>
      </c>
      <c r="B6" s="20">
        <f>試算!V8</f>
        <v>0</v>
      </c>
      <c r="C6" s="20">
        <f>試算!AV8</f>
        <v>0</v>
      </c>
      <c r="D6" s="27">
        <f>試算!BF8</f>
        <v>0</v>
      </c>
      <c r="E6" s="20">
        <f t="shared" si="0"/>
        <v>0</v>
      </c>
      <c r="F6" s="19">
        <v>100001</v>
      </c>
      <c r="G6" s="40">
        <f t="shared" si="1"/>
        <v>0</v>
      </c>
      <c r="H6">
        <f t="shared" ref="H6:H11" si="9">IF(100000&lt;=B6,100000,B6)</f>
        <v>0</v>
      </c>
      <c r="I6">
        <f t="shared" si="2"/>
        <v>0</v>
      </c>
      <c r="J6">
        <f t="shared" si="3"/>
        <v>0</v>
      </c>
      <c r="K6">
        <f t="shared" si="4"/>
        <v>0</v>
      </c>
      <c r="L6">
        <f t="shared" si="5"/>
        <v>-100000</v>
      </c>
      <c r="M6" s="34">
        <f t="shared" si="6"/>
        <v>0</v>
      </c>
      <c r="O6">
        <f>試算!AA8</f>
        <v>1</v>
      </c>
      <c r="P6" s="34">
        <f t="shared" si="7"/>
        <v>0</v>
      </c>
      <c r="R6" s="43">
        <f>'給与所得 '!AE6</f>
        <v>0</v>
      </c>
      <c r="S6" s="46">
        <f t="shared" si="8"/>
        <v>0</v>
      </c>
    </row>
    <row r="7" spans="1:19">
      <c r="A7" s="38" t="s">
        <v>134</v>
      </c>
      <c r="B7" s="20">
        <f>試算!V9</f>
        <v>0</v>
      </c>
      <c r="C7" s="20">
        <f>試算!AV9</f>
        <v>0</v>
      </c>
      <c r="D7" s="27">
        <f>試算!BF9</f>
        <v>0</v>
      </c>
      <c r="E7" s="20">
        <f t="shared" si="0"/>
        <v>0</v>
      </c>
      <c r="F7" s="19">
        <v>100001</v>
      </c>
      <c r="G7" s="40">
        <f t="shared" si="1"/>
        <v>0</v>
      </c>
      <c r="H7">
        <f t="shared" si="9"/>
        <v>0</v>
      </c>
      <c r="I7">
        <f t="shared" si="2"/>
        <v>0</v>
      </c>
      <c r="J7">
        <f t="shared" si="3"/>
        <v>0</v>
      </c>
      <c r="K7">
        <f t="shared" si="4"/>
        <v>0</v>
      </c>
      <c r="L7">
        <f t="shared" si="5"/>
        <v>-100000</v>
      </c>
      <c r="M7" s="34">
        <f t="shared" si="6"/>
        <v>0</v>
      </c>
      <c r="O7">
        <f>試算!AA9</f>
        <v>1</v>
      </c>
      <c r="P7" s="34">
        <f t="shared" si="7"/>
        <v>0</v>
      </c>
      <c r="R7" s="43">
        <f>'給与所得 '!AE7</f>
        <v>0</v>
      </c>
      <c r="S7" s="46">
        <f>IF((R7-P7)&lt;0,0,(R7-P7))</f>
        <v>0</v>
      </c>
    </row>
    <row r="8" spans="1:19">
      <c r="A8" s="38" t="s">
        <v>135</v>
      </c>
      <c r="B8" s="20">
        <f>試算!V10</f>
        <v>0</v>
      </c>
      <c r="C8" s="20">
        <f>試算!AV10</f>
        <v>0</v>
      </c>
      <c r="D8" s="27">
        <f>試算!BF10</f>
        <v>0</v>
      </c>
      <c r="E8" s="20">
        <f t="shared" ref="E8:E10" si="10">SUM(B8:D8)</f>
        <v>0</v>
      </c>
      <c r="F8" s="19">
        <v>100001</v>
      </c>
      <c r="G8" s="40">
        <f t="shared" ref="G8:G10" si="11">IF(F8&lt;=E8,1,0)</f>
        <v>0</v>
      </c>
      <c r="H8">
        <f>IF(100000&lt;=B8,100000,B8)</f>
        <v>0</v>
      </c>
      <c r="I8">
        <f t="shared" ref="I8:I10" si="12">IF(100000&lt;=C8,100000,C8)</f>
        <v>0</v>
      </c>
      <c r="J8">
        <f t="shared" ref="J8:J10" si="13">IF(100000&lt;=D8,100000,D8)</f>
        <v>0</v>
      </c>
      <c r="K8">
        <f t="shared" ref="K8:K10" si="14">SUM(H8:J8)</f>
        <v>0</v>
      </c>
      <c r="L8">
        <f t="shared" ref="L8:L10" si="15">K8-100000</f>
        <v>-100000</v>
      </c>
      <c r="M8" s="34">
        <f t="shared" ref="M8:M10" si="16">L8*G8</f>
        <v>0</v>
      </c>
      <c r="O8">
        <f>試算!AA10</f>
        <v>1</v>
      </c>
      <c r="P8" s="34">
        <f t="shared" ref="P8:P10" si="17">M8*O8</f>
        <v>0</v>
      </c>
      <c r="R8" s="43">
        <f>'給与所得 '!AE8</f>
        <v>0</v>
      </c>
      <c r="S8" s="46">
        <f t="shared" ref="S8:S9" si="18">IF((R8-P8)&lt;0,0,(R8-P8))</f>
        <v>0</v>
      </c>
    </row>
    <row r="9" spans="1:19">
      <c r="A9" s="38" t="s">
        <v>184</v>
      </c>
      <c r="B9" s="20">
        <f>試算!V11</f>
        <v>0</v>
      </c>
      <c r="C9" s="20">
        <f>試算!AV11</f>
        <v>0</v>
      </c>
      <c r="D9" s="27">
        <f>試算!BF11</f>
        <v>0</v>
      </c>
      <c r="E9" s="20">
        <f t="shared" si="10"/>
        <v>0</v>
      </c>
      <c r="F9" s="19">
        <v>100001</v>
      </c>
      <c r="G9" s="40">
        <f t="shared" si="11"/>
        <v>0</v>
      </c>
      <c r="H9">
        <f t="shared" ref="H9:H10" si="19">IF(100000&lt;=B9,100000,B9)</f>
        <v>0</v>
      </c>
      <c r="I9">
        <f t="shared" si="12"/>
        <v>0</v>
      </c>
      <c r="J9">
        <f t="shared" si="13"/>
        <v>0</v>
      </c>
      <c r="K9">
        <f t="shared" si="14"/>
        <v>0</v>
      </c>
      <c r="L9">
        <f t="shared" si="15"/>
        <v>-100000</v>
      </c>
      <c r="M9" s="34">
        <f t="shared" si="16"/>
        <v>0</v>
      </c>
      <c r="O9">
        <f>試算!AA11</f>
        <v>1</v>
      </c>
      <c r="P9" s="34">
        <f t="shared" si="17"/>
        <v>0</v>
      </c>
      <c r="R9" s="43">
        <f>'給与所得 '!AE9</f>
        <v>0</v>
      </c>
      <c r="S9" s="46">
        <f t="shared" si="18"/>
        <v>0</v>
      </c>
    </row>
    <row r="10" spans="1:19">
      <c r="A10" s="38" t="s">
        <v>185</v>
      </c>
      <c r="B10" s="20">
        <f>試算!V12</f>
        <v>0</v>
      </c>
      <c r="C10" s="20">
        <f>試算!AV12</f>
        <v>0</v>
      </c>
      <c r="D10" s="27">
        <f>試算!BF12</f>
        <v>0</v>
      </c>
      <c r="E10" s="20">
        <f t="shared" si="10"/>
        <v>0</v>
      </c>
      <c r="F10" s="19">
        <v>100001</v>
      </c>
      <c r="G10" s="40">
        <f t="shared" si="11"/>
        <v>0</v>
      </c>
      <c r="H10">
        <f t="shared" si="19"/>
        <v>0</v>
      </c>
      <c r="I10">
        <f t="shared" si="12"/>
        <v>0</v>
      </c>
      <c r="J10">
        <f t="shared" si="13"/>
        <v>0</v>
      </c>
      <c r="K10">
        <f t="shared" si="14"/>
        <v>0</v>
      </c>
      <c r="L10">
        <f t="shared" si="15"/>
        <v>-100000</v>
      </c>
      <c r="M10" s="34">
        <f t="shared" si="16"/>
        <v>0</v>
      </c>
      <c r="O10">
        <f>試算!AA12</f>
        <v>1</v>
      </c>
      <c r="P10" s="34">
        <f t="shared" si="17"/>
        <v>0</v>
      </c>
      <c r="R10" s="43">
        <f>'給与所得 '!AE10</f>
        <v>0</v>
      </c>
      <c r="S10" s="46">
        <f>IF((R10-P10)&lt;0,0,(R10-P10))</f>
        <v>0</v>
      </c>
    </row>
    <row r="11" spans="1:19" ht="18.600000000000001" thickBot="1">
      <c r="A11" s="39" t="s">
        <v>186</v>
      </c>
      <c r="B11" s="20">
        <f>試算!V13</f>
        <v>0</v>
      </c>
      <c r="C11" s="20">
        <f>試算!AV13</f>
        <v>0</v>
      </c>
      <c r="D11" s="27">
        <f>試算!BF13</f>
        <v>0</v>
      </c>
      <c r="E11" s="20">
        <f t="shared" si="0"/>
        <v>0</v>
      </c>
      <c r="F11" s="19">
        <v>100001</v>
      </c>
      <c r="G11" s="40">
        <f t="shared" si="1"/>
        <v>0</v>
      </c>
      <c r="H11">
        <f t="shared" si="9"/>
        <v>0</v>
      </c>
      <c r="I11">
        <f t="shared" si="2"/>
        <v>0</v>
      </c>
      <c r="J11">
        <f t="shared" si="3"/>
        <v>0</v>
      </c>
      <c r="K11">
        <f t="shared" si="4"/>
        <v>0</v>
      </c>
      <c r="L11">
        <f t="shared" si="5"/>
        <v>-100000</v>
      </c>
      <c r="M11" s="35">
        <f t="shared" si="6"/>
        <v>0</v>
      </c>
      <c r="O11">
        <f>試算!AA13</f>
        <v>1</v>
      </c>
      <c r="P11" s="35">
        <f t="shared" si="7"/>
        <v>0</v>
      </c>
      <c r="R11" s="44">
        <f>'給与所得 '!AE11</f>
        <v>0</v>
      </c>
      <c r="S11" s="47">
        <f t="shared" si="8"/>
        <v>0</v>
      </c>
    </row>
  </sheetData>
  <mergeCells count="1">
    <mergeCell ref="E2:G2"/>
  </mergeCells>
  <phoneticPr fontId="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9A771-756C-4716-8A4F-85AA56E0FA7B}">
  <dimension ref="B1:AL24"/>
  <sheetViews>
    <sheetView workbookViewId="0">
      <selection activeCell="A20" sqref="A20:E20"/>
    </sheetView>
  </sheetViews>
  <sheetFormatPr defaultColWidth="9" defaultRowHeight="17.399999999999999"/>
  <cols>
    <col min="1" max="5" width="3.09765625" style="3" customWidth="1"/>
    <col min="6" max="7" width="5.3984375" style="3" customWidth="1"/>
    <col min="8" max="8" width="8" style="3" customWidth="1"/>
    <col min="9" max="9" width="5.3984375" style="3" customWidth="1"/>
    <col min="10" max="21" width="3.69921875" style="3" customWidth="1"/>
    <col min="22" max="22" width="3.09765625" style="3" customWidth="1"/>
    <col min="23" max="31" width="3.69921875" style="3" customWidth="1"/>
    <col min="32" max="33" width="3.09765625" style="3" customWidth="1"/>
    <col min="34" max="36" width="4.8984375" style="3" customWidth="1"/>
    <col min="37" max="37" width="11.19921875" style="3" customWidth="1"/>
    <col min="38" max="169" width="3.09765625" style="3" customWidth="1"/>
    <col min="170" max="16384" width="9" style="3"/>
  </cols>
  <sheetData>
    <row r="1" spans="2:38">
      <c r="B1" s="3" t="s">
        <v>45</v>
      </c>
    </row>
    <row r="2" spans="2:38" ht="18" thickBot="1"/>
    <row r="3" spans="2:38" ht="38.25" customHeight="1">
      <c r="F3" s="267" t="s">
        <v>165</v>
      </c>
      <c r="G3" s="268"/>
      <c r="H3" s="268"/>
      <c r="I3" s="268"/>
      <c r="J3" s="268" t="s">
        <v>43</v>
      </c>
      <c r="K3" s="268"/>
      <c r="L3" s="268"/>
      <c r="M3" s="268"/>
      <c r="N3" s="268" t="s">
        <v>42</v>
      </c>
      <c r="O3" s="268"/>
      <c r="P3" s="268"/>
      <c r="Q3" s="268"/>
      <c r="R3" s="268" t="s">
        <v>23</v>
      </c>
      <c r="S3" s="268"/>
      <c r="T3" s="268"/>
      <c r="U3" s="268"/>
      <c r="W3" s="269" t="s">
        <v>166</v>
      </c>
      <c r="X3" s="270"/>
      <c r="Y3" s="270"/>
      <c r="Z3" s="271"/>
      <c r="AB3" s="260" t="s">
        <v>167</v>
      </c>
      <c r="AC3" s="261"/>
      <c r="AD3" s="261"/>
      <c r="AE3" s="262"/>
    </row>
    <row r="4" spans="2:38">
      <c r="B4" s="2">
        <v>1</v>
      </c>
      <c r="C4" s="146" t="s">
        <v>3</v>
      </c>
      <c r="D4" s="146"/>
      <c r="E4" s="146"/>
      <c r="F4" s="263">
        <f>試算!AF6</f>
        <v>0</v>
      </c>
      <c r="G4" s="263"/>
      <c r="H4" s="263"/>
      <c r="I4" s="263"/>
      <c r="J4" s="263">
        <f>試算!AV6</f>
        <v>0</v>
      </c>
      <c r="K4" s="263"/>
      <c r="L4" s="263"/>
      <c r="M4" s="263"/>
      <c r="N4" s="263">
        <f>試算!BF6</f>
        <v>0</v>
      </c>
      <c r="O4" s="263"/>
      <c r="P4" s="263"/>
      <c r="Q4" s="263"/>
      <c r="R4" s="263">
        <f>試算!BK6</f>
        <v>0</v>
      </c>
      <c r="S4" s="263"/>
      <c r="T4" s="263"/>
      <c r="U4" s="263"/>
      <c r="W4" s="264">
        <f>SUM(F4:U4)</f>
        <v>0</v>
      </c>
      <c r="X4" s="265"/>
      <c r="Y4" s="265"/>
      <c r="Z4" s="266"/>
      <c r="AB4" s="272">
        <f t="shared" ref="AB4:AB11" si="0">IF((ROUNDDOWN(W4-430000,-2))&lt;0,0,(ROUNDDOWN(W4-430000,-2)))</f>
        <v>0</v>
      </c>
      <c r="AC4" s="273"/>
      <c r="AD4" s="273"/>
      <c r="AE4" s="274"/>
    </row>
    <row r="5" spans="2:38">
      <c r="B5" s="2">
        <v>2</v>
      </c>
      <c r="C5" s="146" t="s">
        <v>4</v>
      </c>
      <c r="D5" s="146"/>
      <c r="E5" s="146"/>
      <c r="F5" s="263">
        <f>試算!AF7</f>
        <v>0</v>
      </c>
      <c r="G5" s="263"/>
      <c r="H5" s="263"/>
      <c r="I5" s="263"/>
      <c r="J5" s="263">
        <f>試算!AV7</f>
        <v>0</v>
      </c>
      <c r="K5" s="263"/>
      <c r="L5" s="263"/>
      <c r="M5" s="263"/>
      <c r="N5" s="263">
        <f>試算!BF7</f>
        <v>0</v>
      </c>
      <c r="O5" s="263"/>
      <c r="P5" s="263"/>
      <c r="Q5" s="263"/>
      <c r="R5" s="263">
        <f>試算!BK7</f>
        <v>0</v>
      </c>
      <c r="S5" s="263"/>
      <c r="T5" s="263"/>
      <c r="U5" s="263"/>
      <c r="W5" s="264">
        <f t="shared" ref="W5:W7" si="1">SUM(F5:U5)</f>
        <v>0</v>
      </c>
      <c r="X5" s="265"/>
      <c r="Y5" s="265"/>
      <c r="Z5" s="266"/>
      <c r="AB5" s="272">
        <f t="shared" si="0"/>
        <v>0</v>
      </c>
      <c r="AC5" s="273"/>
      <c r="AD5" s="273"/>
      <c r="AE5" s="274"/>
    </row>
    <row r="6" spans="2:38">
      <c r="B6" s="2">
        <v>3</v>
      </c>
      <c r="C6" s="146" t="s">
        <v>4</v>
      </c>
      <c r="D6" s="146"/>
      <c r="E6" s="146"/>
      <c r="F6" s="263">
        <f>試算!AF8</f>
        <v>0</v>
      </c>
      <c r="G6" s="263"/>
      <c r="H6" s="263"/>
      <c r="I6" s="263"/>
      <c r="J6" s="263">
        <f>試算!AV8</f>
        <v>0</v>
      </c>
      <c r="K6" s="263"/>
      <c r="L6" s="263"/>
      <c r="M6" s="263"/>
      <c r="N6" s="263">
        <f>試算!BF8</f>
        <v>0</v>
      </c>
      <c r="O6" s="263"/>
      <c r="P6" s="263"/>
      <c r="Q6" s="263"/>
      <c r="R6" s="263">
        <f>試算!BK8</f>
        <v>0</v>
      </c>
      <c r="S6" s="263"/>
      <c r="T6" s="263"/>
      <c r="U6" s="263"/>
      <c r="W6" s="264">
        <f t="shared" si="1"/>
        <v>0</v>
      </c>
      <c r="X6" s="265"/>
      <c r="Y6" s="265"/>
      <c r="Z6" s="266"/>
      <c r="AB6" s="272">
        <f t="shared" si="0"/>
        <v>0</v>
      </c>
      <c r="AC6" s="273"/>
      <c r="AD6" s="273"/>
      <c r="AE6" s="274"/>
    </row>
    <row r="7" spans="2:38">
      <c r="B7" s="2">
        <v>4</v>
      </c>
      <c r="C7" s="146" t="s">
        <v>4</v>
      </c>
      <c r="D7" s="146"/>
      <c r="E7" s="146"/>
      <c r="F7" s="263">
        <f>試算!AF9</f>
        <v>0</v>
      </c>
      <c r="G7" s="263"/>
      <c r="H7" s="263"/>
      <c r="I7" s="263"/>
      <c r="J7" s="263">
        <f>試算!AV9</f>
        <v>0</v>
      </c>
      <c r="K7" s="263"/>
      <c r="L7" s="263"/>
      <c r="M7" s="263"/>
      <c r="N7" s="263">
        <f>試算!BF9</f>
        <v>0</v>
      </c>
      <c r="O7" s="263"/>
      <c r="P7" s="263"/>
      <c r="Q7" s="263"/>
      <c r="R7" s="263">
        <f>試算!BK9</f>
        <v>0</v>
      </c>
      <c r="S7" s="263"/>
      <c r="T7" s="263"/>
      <c r="U7" s="263"/>
      <c r="W7" s="264">
        <f t="shared" si="1"/>
        <v>0</v>
      </c>
      <c r="X7" s="265"/>
      <c r="Y7" s="265"/>
      <c r="Z7" s="266"/>
      <c r="AB7" s="272">
        <f t="shared" si="0"/>
        <v>0</v>
      </c>
      <c r="AC7" s="273"/>
      <c r="AD7" s="273"/>
      <c r="AE7" s="274"/>
    </row>
    <row r="8" spans="2:38">
      <c r="B8" s="2">
        <v>5</v>
      </c>
      <c r="C8" s="146" t="s">
        <v>4</v>
      </c>
      <c r="D8" s="146"/>
      <c r="E8" s="146"/>
      <c r="F8" s="263">
        <f>試算!AF10</f>
        <v>0</v>
      </c>
      <c r="G8" s="263"/>
      <c r="H8" s="263"/>
      <c r="I8" s="263"/>
      <c r="J8" s="263">
        <f>試算!AV10</f>
        <v>0</v>
      </c>
      <c r="K8" s="263"/>
      <c r="L8" s="263"/>
      <c r="M8" s="263"/>
      <c r="N8" s="263">
        <f>試算!BF10</f>
        <v>0</v>
      </c>
      <c r="O8" s="263"/>
      <c r="P8" s="263"/>
      <c r="Q8" s="263"/>
      <c r="R8" s="263">
        <f>試算!BK10</f>
        <v>0</v>
      </c>
      <c r="S8" s="263"/>
      <c r="T8" s="263"/>
      <c r="U8" s="263"/>
      <c r="W8" s="264">
        <f t="shared" ref="W8:W10" si="2">SUM(F8:U8)</f>
        <v>0</v>
      </c>
      <c r="X8" s="265"/>
      <c r="Y8" s="265"/>
      <c r="Z8" s="266"/>
      <c r="AB8" s="272">
        <f t="shared" si="0"/>
        <v>0</v>
      </c>
      <c r="AC8" s="273"/>
      <c r="AD8" s="273"/>
      <c r="AE8" s="274"/>
    </row>
    <row r="9" spans="2:38">
      <c r="B9" s="2">
        <v>6</v>
      </c>
      <c r="C9" s="146" t="s">
        <v>4</v>
      </c>
      <c r="D9" s="146"/>
      <c r="E9" s="146"/>
      <c r="F9" s="263">
        <f>試算!AF11</f>
        <v>0</v>
      </c>
      <c r="G9" s="263"/>
      <c r="H9" s="263"/>
      <c r="I9" s="263"/>
      <c r="J9" s="263">
        <f>試算!AV11</f>
        <v>0</v>
      </c>
      <c r="K9" s="263"/>
      <c r="L9" s="263"/>
      <c r="M9" s="263"/>
      <c r="N9" s="263">
        <f>試算!BF11</f>
        <v>0</v>
      </c>
      <c r="O9" s="263"/>
      <c r="P9" s="263"/>
      <c r="Q9" s="263"/>
      <c r="R9" s="263">
        <f>試算!BK11</f>
        <v>0</v>
      </c>
      <c r="S9" s="263"/>
      <c r="T9" s="263"/>
      <c r="U9" s="263"/>
      <c r="W9" s="264">
        <f t="shared" si="2"/>
        <v>0</v>
      </c>
      <c r="X9" s="265"/>
      <c r="Y9" s="265"/>
      <c r="Z9" s="266"/>
      <c r="AB9" s="272">
        <f t="shared" si="0"/>
        <v>0</v>
      </c>
      <c r="AC9" s="273"/>
      <c r="AD9" s="273"/>
      <c r="AE9" s="274"/>
    </row>
    <row r="10" spans="2:38">
      <c r="B10" s="2">
        <v>7</v>
      </c>
      <c r="C10" s="146" t="s">
        <v>4</v>
      </c>
      <c r="D10" s="146"/>
      <c r="E10" s="146"/>
      <c r="F10" s="263">
        <f>試算!AF12</f>
        <v>0</v>
      </c>
      <c r="G10" s="263"/>
      <c r="H10" s="263"/>
      <c r="I10" s="263"/>
      <c r="J10" s="263">
        <f>試算!AV12</f>
        <v>0</v>
      </c>
      <c r="K10" s="263"/>
      <c r="L10" s="263"/>
      <c r="M10" s="263"/>
      <c r="N10" s="263">
        <f>試算!BF12</f>
        <v>0</v>
      </c>
      <c r="O10" s="263"/>
      <c r="P10" s="263"/>
      <c r="Q10" s="263"/>
      <c r="R10" s="263">
        <f>試算!BK12</f>
        <v>0</v>
      </c>
      <c r="S10" s="263"/>
      <c r="T10" s="263"/>
      <c r="U10" s="263"/>
      <c r="W10" s="264">
        <f t="shared" si="2"/>
        <v>0</v>
      </c>
      <c r="X10" s="265"/>
      <c r="Y10" s="265"/>
      <c r="Z10" s="266"/>
      <c r="AB10" s="272">
        <f t="shared" si="0"/>
        <v>0</v>
      </c>
      <c r="AC10" s="273"/>
      <c r="AD10" s="273"/>
      <c r="AE10" s="274"/>
    </row>
    <row r="11" spans="2:38" ht="18" thickBot="1">
      <c r="B11" s="2">
        <v>8</v>
      </c>
      <c r="C11" s="146" t="s">
        <v>4</v>
      </c>
      <c r="D11" s="146"/>
      <c r="E11" s="146"/>
      <c r="F11" s="263">
        <f>試算!AF13</f>
        <v>0</v>
      </c>
      <c r="G11" s="263"/>
      <c r="H11" s="263"/>
      <c r="I11" s="263"/>
      <c r="J11" s="263">
        <f>試算!AV13</f>
        <v>0</v>
      </c>
      <c r="K11" s="263"/>
      <c r="L11" s="263"/>
      <c r="M11" s="263"/>
      <c r="N11" s="263">
        <f>試算!BF13</f>
        <v>0</v>
      </c>
      <c r="O11" s="263"/>
      <c r="P11" s="263"/>
      <c r="Q11" s="263"/>
      <c r="R11" s="263">
        <f>試算!BK13</f>
        <v>0</v>
      </c>
      <c r="S11" s="263"/>
      <c r="T11" s="263"/>
      <c r="U11" s="263"/>
      <c r="W11" s="275">
        <f>SUM(F11:U11)</f>
        <v>0</v>
      </c>
      <c r="X11" s="276"/>
      <c r="Y11" s="276"/>
      <c r="Z11" s="277"/>
      <c r="AB11" s="278">
        <f t="shared" si="0"/>
        <v>0</v>
      </c>
      <c r="AC11" s="279"/>
      <c r="AD11" s="279"/>
      <c r="AE11" s="280"/>
    </row>
    <row r="13" spans="2:38">
      <c r="B13" s="3" t="s">
        <v>46</v>
      </c>
    </row>
    <row r="14" spans="2:38" ht="18" thickBot="1"/>
    <row r="15" spans="2:38" ht="38.25" customHeight="1">
      <c r="F15" s="267" t="s">
        <v>165</v>
      </c>
      <c r="G15" s="268"/>
      <c r="H15" s="268"/>
      <c r="I15" s="268"/>
      <c r="J15" s="268" t="s">
        <v>43</v>
      </c>
      <c r="K15" s="268"/>
      <c r="L15" s="268"/>
      <c r="M15" s="268"/>
      <c r="N15" s="268" t="s">
        <v>42</v>
      </c>
      <c r="O15" s="268"/>
      <c r="P15" s="268"/>
      <c r="Q15" s="268"/>
      <c r="R15" s="268" t="s">
        <v>23</v>
      </c>
      <c r="S15" s="268"/>
      <c r="T15" s="268"/>
      <c r="U15" s="268"/>
      <c r="W15" s="269" t="s">
        <v>166</v>
      </c>
      <c r="X15" s="270"/>
      <c r="Y15" s="270"/>
      <c r="Z15" s="271"/>
      <c r="AB15" s="48" t="s">
        <v>20</v>
      </c>
      <c r="AC15" s="48" t="s">
        <v>168</v>
      </c>
      <c r="AD15" s="48" t="s">
        <v>169</v>
      </c>
      <c r="AH15" s="267" t="s">
        <v>170</v>
      </c>
      <c r="AI15" s="268"/>
      <c r="AJ15" s="268"/>
      <c r="AK15" s="268"/>
      <c r="AL15" s="77" t="s">
        <v>207</v>
      </c>
    </row>
    <row r="16" spans="2:38">
      <c r="B16" s="2">
        <v>1</v>
      </c>
      <c r="C16" s="146" t="s">
        <v>3</v>
      </c>
      <c r="D16" s="146"/>
      <c r="E16" s="146"/>
      <c r="F16" s="263">
        <f t="shared" ref="F16:F23" si="3">F4</f>
        <v>0</v>
      </c>
      <c r="G16" s="263"/>
      <c r="H16" s="263"/>
      <c r="I16" s="263"/>
      <c r="J16" s="263">
        <f t="shared" ref="J16:J22" si="4">IF(J4-150000&gt;0,(J4-150000),0)</f>
        <v>0</v>
      </c>
      <c r="K16" s="263"/>
      <c r="L16" s="263"/>
      <c r="M16" s="263"/>
      <c r="N16" s="263">
        <f t="shared" ref="N16:N22" si="5">N4</f>
        <v>0</v>
      </c>
      <c r="O16" s="263"/>
      <c r="P16" s="263"/>
      <c r="Q16" s="263"/>
      <c r="R16" s="263">
        <f t="shared" ref="R16:R23" si="6">R4</f>
        <v>0</v>
      </c>
      <c r="S16" s="263"/>
      <c r="T16" s="263"/>
      <c r="U16" s="263"/>
      <c r="W16" s="264">
        <f>SUM(F16:U16)</f>
        <v>0</v>
      </c>
      <c r="X16" s="265"/>
      <c r="Y16" s="265"/>
      <c r="Z16" s="266"/>
      <c r="AB16" s="3">
        <f>IF(0&lt;AH16,1,IF(AL16=1,1,0))</f>
        <v>0</v>
      </c>
      <c r="AC16" s="3">
        <f>IF(0&lt;(J16+N16),1,0)</f>
        <v>0</v>
      </c>
      <c r="AD16" s="3">
        <f>IF(1&lt;=(AB16+AC16),1,0)</f>
        <v>0</v>
      </c>
      <c r="AH16" s="263">
        <f>試算!V6</f>
        <v>0</v>
      </c>
      <c r="AI16" s="263"/>
      <c r="AJ16" s="263"/>
      <c r="AK16" s="263"/>
      <c r="AL16" s="4">
        <f>'給与所得 '!Z3</f>
        <v>0</v>
      </c>
    </row>
    <row r="17" spans="2:38">
      <c r="B17" s="2">
        <v>2</v>
      </c>
      <c r="C17" s="146" t="s">
        <v>4</v>
      </c>
      <c r="D17" s="146"/>
      <c r="E17" s="146"/>
      <c r="F17" s="263">
        <f t="shared" si="3"/>
        <v>0</v>
      </c>
      <c r="G17" s="263"/>
      <c r="H17" s="263"/>
      <c r="I17" s="263"/>
      <c r="J17" s="263">
        <f t="shared" si="4"/>
        <v>0</v>
      </c>
      <c r="K17" s="263"/>
      <c r="L17" s="263"/>
      <c r="M17" s="263"/>
      <c r="N17" s="263">
        <f t="shared" si="5"/>
        <v>0</v>
      </c>
      <c r="O17" s="263"/>
      <c r="P17" s="263"/>
      <c r="Q17" s="263"/>
      <c r="R17" s="263">
        <f t="shared" si="6"/>
        <v>0</v>
      </c>
      <c r="S17" s="263"/>
      <c r="T17" s="263"/>
      <c r="U17" s="263"/>
      <c r="W17" s="264">
        <f t="shared" ref="W17:W23" si="7">SUM(F17:U17)</f>
        <v>0</v>
      </c>
      <c r="X17" s="265"/>
      <c r="Y17" s="265"/>
      <c r="Z17" s="266"/>
      <c r="AB17" s="3">
        <f t="shared" ref="AB17:AB22" si="8">IF(0&lt;AH17,1,0)</f>
        <v>0</v>
      </c>
      <c r="AC17" s="3">
        <f>IF(0&lt;(J17+N17),1,0)</f>
        <v>0</v>
      </c>
      <c r="AD17" s="3">
        <f t="shared" ref="AD17:AD23" si="9">IF(1&lt;=(AB17+AC17),1,0)</f>
        <v>0</v>
      </c>
      <c r="AH17" s="263">
        <f>試算!V7</f>
        <v>0</v>
      </c>
      <c r="AI17" s="263"/>
      <c r="AJ17" s="263"/>
      <c r="AK17" s="263"/>
      <c r="AL17" s="54"/>
    </row>
    <row r="18" spans="2:38">
      <c r="B18" s="2">
        <v>3</v>
      </c>
      <c r="C18" s="146" t="s">
        <v>4</v>
      </c>
      <c r="D18" s="146"/>
      <c r="E18" s="146"/>
      <c r="F18" s="263">
        <f t="shared" si="3"/>
        <v>0</v>
      </c>
      <c r="G18" s="263"/>
      <c r="H18" s="263"/>
      <c r="I18" s="263"/>
      <c r="J18" s="263">
        <f t="shared" si="4"/>
        <v>0</v>
      </c>
      <c r="K18" s="263"/>
      <c r="L18" s="263"/>
      <c r="M18" s="263"/>
      <c r="N18" s="263">
        <f t="shared" si="5"/>
        <v>0</v>
      </c>
      <c r="O18" s="263"/>
      <c r="P18" s="263"/>
      <c r="Q18" s="263"/>
      <c r="R18" s="263">
        <f t="shared" si="6"/>
        <v>0</v>
      </c>
      <c r="S18" s="263"/>
      <c r="T18" s="263"/>
      <c r="U18" s="263"/>
      <c r="W18" s="264">
        <f t="shared" si="7"/>
        <v>0</v>
      </c>
      <c r="X18" s="265"/>
      <c r="Y18" s="265"/>
      <c r="Z18" s="266"/>
      <c r="AB18" s="3">
        <f t="shared" si="8"/>
        <v>0</v>
      </c>
      <c r="AC18" s="3">
        <f t="shared" ref="AC18:AC23" si="10">IF(0&lt;(J18+N18),1,0)</f>
        <v>0</v>
      </c>
      <c r="AD18" s="3">
        <f t="shared" si="9"/>
        <v>0</v>
      </c>
      <c r="AH18" s="263">
        <f>試算!V8</f>
        <v>0</v>
      </c>
      <c r="AI18" s="263"/>
      <c r="AJ18" s="263"/>
      <c r="AK18" s="263"/>
      <c r="AL18" s="54"/>
    </row>
    <row r="19" spans="2:38">
      <c r="B19" s="2">
        <v>4</v>
      </c>
      <c r="C19" s="146" t="s">
        <v>4</v>
      </c>
      <c r="D19" s="146"/>
      <c r="E19" s="146"/>
      <c r="F19" s="263">
        <f t="shared" si="3"/>
        <v>0</v>
      </c>
      <c r="G19" s="263"/>
      <c r="H19" s="263"/>
      <c r="I19" s="263"/>
      <c r="J19" s="263">
        <f t="shared" si="4"/>
        <v>0</v>
      </c>
      <c r="K19" s="263"/>
      <c r="L19" s="263"/>
      <c r="M19" s="263"/>
      <c r="N19" s="263">
        <f t="shared" si="5"/>
        <v>0</v>
      </c>
      <c r="O19" s="263"/>
      <c r="P19" s="263"/>
      <c r="Q19" s="263"/>
      <c r="R19" s="263">
        <f t="shared" si="6"/>
        <v>0</v>
      </c>
      <c r="S19" s="263"/>
      <c r="T19" s="263"/>
      <c r="U19" s="263"/>
      <c r="W19" s="264">
        <f>SUM(F19:U19)</f>
        <v>0</v>
      </c>
      <c r="X19" s="265"/>
      <c r="Y19" s="265"/>
      <c r="Z19" s="266"/>
      <c r="AB19" s="3">
        <f t="shared" si="8"/>
        <v>0</v>
      </c>
      <c r="AC19" s="3">
        <f t="shared" si="10"/>
        <v>0</v>
      </c>
      <c r="AD19" s="3">
        <f t="shared" si="9"/>
        <v>0</v>
      </c>
      <c r="AH19" s="263">
        <f>試算!V9</f>
        <v>0</v>
      </c>
      <c r="AI19" s="263"/>
      <c r="AJ19" s="263"/>
      <c r="AK19" s="263"/>
      <c r="AL19" s="54"/>
    </row>
    <row r="20" spans="2:38">
      <c r="B20" s="2">
        <v>5</v>
      </c>
      <c r="C20" s="146" t="s">
        <v>4</v>
      </c>
      <c r="D20" s="146"/>
      <c r="E20" s="146"/>
      <c r="F20" s="263">
        <f t="shared" si="3"/>
        <v>0</v>
      </c>
      <c r="G20" s="263"/>
      <c r="H20" s="263"/>
      <c r="I20" s="263"/>
      <c r="J20" s="263">
        <f t="shared" si="4"/>
        <v>0</v>
      </c>
      <c r="K20" s="263"/>
      <c r="L20" s="263"/>
      <c r="M20" s="263"/>
      <c r="N20" s="263">
        <f t="shared" si="5"/>
        <v>0</v>
      </c>
      <c r="O20" s="263"/>
      <c r="P20" s="263"/>
      <c r="Q20" s="263"/>
      <c r="R20" s="263">
        <f t="shared" si="6"/>
        <v>0</v>
      </c>
      <c r="S20" s="263"/>
      <c r="T20" s="263"/>
      <c r="U20" s="263"/>
      <c r="W20" s="264">
        <f t="shared" ref="W20:W21" si="11">SUM(F20:U20)</f>
        <v>0</v>
      </c>
      <c r="X20" s="265"/>
      <c r="Y20" s="265"/>
      <c r="Z20" s="266"/>
      <c r="AB20" s="3">
        <f t="shared" si="8"/>
        <v>0</v>
      </c>
      <c r="AC20" s="3">
        <f>IF(0&lt;(J20+N20),1,0)</f>
        <v>0</v>
      </c>
      <c r="AD20" s="3">
        <f t="shared" ref="AD20:AD22" si="12">IF(1&lt;=(AB20+AC20),1,0)</f>
        <v>0</v>
      </c>
      <c r="AH20" s="263">
        <f>試算!V10</f>
        <v>0</v>
      </c>
      <c r="AI20" s="263"/>
      <c r="AJ20" s="263"/>
      <c r="AK20" s="263"/>
      <c r="AL20" s="54"/>
    </row>
    <row r="21" spans="2:38">
      <c r="B21" s="2">
        <v>6</v>
      </c>
      <c r="C21" s="146" t="s">
        <v>4</v>
      </c>
      <c r="D21" s="146"/>
      <c r="E21" s="146"/>
      <c r="F21" s="263">
        <f t="shared" si="3"/>
        <v>0</v>
      </c>
      <c r="G21" s="263"/>
      <c r="H21" s="263"/>
      <c r="I21" s="263"/>
      <c r="J21" s="263">
        <f t="shared" si="4"/>
        <v>0</v>
      </c>
      <c r="K21" s="263"/>
      <c r="L21" s="263"/>
      <c r="M21" s="263"/>
      <c r="N21" s="263">
        <f t="shared" si="5"/>
        <v>0</v>
      </c>
      <c r="O21" s="263"/>
      <c r="P21" s="263"/>
      <c r="Q21" s="263"/>
      <c r="R21" s="263">
        <f t="shared" si="6"/>
        <v>0</v>
      </c>
      <c r="S21" s="263"/>
      <c r="T21" s="263"/>
      <c r="U21" s="263"/>
      <c r="W21" s="264">
        <f t="shared" si="11"/>
        <v>0</v>
      </c>
      <c r="X21" s="265"/>
      <c r="Y21" s="265"/>
      <c r="Z21" s="266"/>
      <c r="AB21" s="3">
        <f t="shared" si="8"/>
        <v>0</v>
      </c>
      <c r="AC21" s="3">
        <f t="shared" ref="AC21:AC22" si="13">IF(0&lt;(J21+N21),1,0)</f>
        <v>0</v>
      </c>
      <c r="AD21" s="3">
        <f t="shared" si="12"/>
        <v>0</v>
      </c>
      <c r="AH21" s="263">
        <f>試算!V11</f>
        <v>0</v>
      </c>
      <c r="AI21" s="263"/>
      <c r="AJ21" s="263"/>
      <c r="AK21" s="263"/>
      <c r="AL21" s="54"/>
    </row>
    <row r="22" spans="2:38">
      <c r="B22" s="2">
        <v>7</v>
      </c>
      <c r="C22" s="146" t="s">
        <v>4</v>
      </c>
      <c r="D22" s="146"/>
      <c r="E22" s="146"/>
      <c r="F22" s="263">
        <f t="shared" si="3"/>
        <v>0</v>
      </c>
      <c r="G22" s="263"/>
      <c r="H22" s="263"/>
      <c r="I22" s="263"/>
      <c r="J22" s="263">
        <f t="shared" si="4"/>
        <v>0</v>
      </c>
      <c r="K22" s="263"/>
      <c r="L22" s="263"/>
      <c r="M22" s="263"/>
      <c r="N22" s="263">
        <f t="shared" si="5"/>
        <v>0</v>
      </c>
      <c r="O22" s="263"/>
      <c r="P22" s="263"/>
      <c r="Q22" s="263"/>
      <c r="R22" s="263">
        <f t="shared" si="6"/>
        <v>0</v>
      </c>
      <c r="S22" s="263"/>
      <c r="T22" s="263"/>
      <c r="U22" s="263"/>
      <c r="W22" s="264">
        <f>SUM(F22:U22)</f>
        <v>0</v>
      </c>
      <c r="X22" s="265"/>
      <c r="Y22" s="265"/>
      <c r="Z22" s="266"/>
      <c r="AB22" s="3">
        <f t="shared" si="8"/>
        <v>0</v>
      </c>
      <c r="AC22" s="3">
        <f t="shared" si="13"/>
        <v>0</v>
      </c>
      <c r="AD22" s="3">
        <f t="shared" si="12"/>
        <v>0</v>
      </c>
      <c r="AH22" s="263">
        <f>試算!V12</f>
        <v>0</v>
      </c>
      <c r="AI22" s="263"/>
      <c r="AJ22" s="263"/>
      <c r="AK22" s="263"/>
      <c r="AL22" s="54"/>
    </row>
    <row r="23" spans="2:38" ht="18" thickBot="1">
      <c r="B23" s="2">
        <v>8</v>
      </c>
      <c r="C23" s="146" t="s">
        <v>4</v>
      </c>
      <c r="D23" s="146"/>
      <c r="E23" s="146"/>
      <c r="F23" s="263">
        <f t="shared" si="3"/>
        <v>0</v>
      </c>
      <c r="G23" s="263"/>
      <c r="H23" s="263"/>
      <c r="I23" s="263"/>
      <c r="J23" s="263">
        <f t="shared" ref="J23" si="14">IF(J11-150000&gt;0,(J11-150000),0)</f>
        <v>0</v>
      </c>
      <c r="K23" s="263"/>
      <c r="L23" s="263"/>
      <c r="M23" s="263"/>
      <c r="N23" s="263">
        <f t="shared" ref="N23" si="15">N11</f>
        <v>0</v>
      </c>
      <c r="O23" s="263"/>
      <c r="P23" s="263"/>
      <c r="Q23" s="263"/>
      <c r="R23" s="263">
        <f t="shared" si="6"/>
        <v>0</v>
      </c>
      <c r="S23" s="263"/>
      <c r="T23" s="263"/>
      <c r="U23" s="263"/>
      <c r="W23" s="275">
        <f t="shared" si="7"/>
        <v>0</v>
      </c>
      <c r="X23" s="276"/>
      <c r="Y23" s="276"/>
      <c r="Z23" s="277"/>
      <c r="AB23" s="3">
        <f t="shared" ref="AB23" si="16">IF(0&lt;AH23,1,0)</f>
        <v>0</v>
      </c>
      <c r="AC23" s="3">
        <f t="shared" si="10"/>
        <v>0</v>
      </c>
      <c r="AD23" s="3">
        <f t="shared" si="9"/>
        <v>0</v>
      </c>
      <c r="AH23" s="263">
        <f>試算!V13</f>
        <v>0</v>
      </c>
      <c r="AI23" s="263"/>
      <c r="AJ23" s="263"/>
      <c r="AK23" s="263"/>
      <c r="AL23" s="54"/>
    </row>
    <row r="24" spans="2:38">
      <c r="J24" s="3" t="s">
        <v>47</v>
      </c>
    </row>
  </sheetData>
  <mergeCells count="124">
    <mergeCell ref="J18:M18"/>
    <mergeCell ref="N18:Q18"/>
    <mergeCell ref="R18:U18"/>
    <mergeCell ref="C20:E20"/>
    <mergeCell ref="F20:I20"/>
    <mergeCell ref="J20:M20"/>
    <mergeCell ref="N20:Q20"/>
    <mergeCell ref="R20:U20"/>
    <mergeCell ref="W9:Z9"/>
    <mergeCell ref="C10:E10"/>
    <mergeCell ref="F10:I10"/>
    <mergeCell ref="J10:M10"/>
    <mergeCell ref="N10:Q10"/>
    <mergeCell ref="R10:U10"/>
    <mergeCell ref="W10:Z10"/>
    <mergeCell ref="C9:E9"/>
    <mergeCell ref="F9:I9"/>
    <mergeCell ref="J9:M9"/>
    <mergeCell ref="N9:Q9"/>
    <mergeCell ref="R9:U9"/>
    <mergeCell ref="C18:E18"/>
    <mergeCell ref="F18:I18"/>
    <mergeCell ref="C17:E17"/>
    <mergeCell ref="F17:I17"/>
    <mergeCell ref="W23:Z23"/>
    <mergeCell ref="AH15:AK15"/>
    <mergeCell ref="AH16:AK16"/>
    <mergeCell ref="AH17:AK17"/>
    <mergeCell ref="AH18:AK18"/>
    <mergeCell ref="AH19:AK19"/>
    <mergeCell ref="AH23:AK23"/>
    <mergeCell ref="W18:Z18"/>
    <mergeCell ref="W19:Z19"/>
    <mergeCell ref="W16:Z16"/>
    <mergeCell ref="W17:Z17"/>
    <mergeCell ref="W20:Z20"/>
    <mergeCell ref="AH20:AK20"/>
    <mergeCell ref="W21:Z21"/>
    <mergeCell ref="AH21:AK21"/>
    <mergeCell ref="W22:Z22"/>
    <mergeCell ref="AH22:AK22"/>
    <mergeCell ref="W15:Z15"/>
    <mergeCell ref="C23:E23"/>
    <mergeCell ref="F23:I23"/>
    <mergeCell ref="J23:M23"/>
    <mergeCell ref="N23:Q23"/>
    <mergeCell ref="R23:U23"/>
    <mergeCell ref="C19:E19"/>
    <mergeCell ref="F19:I19"/>
    <mergeCell ref="J19:M19"/>
    <mergeCell ref="N19:Q19"/>
    <mergeCell ref="R19:U19"/>
    <mergeCell ref="C22:E22"/>
    <mergeCell ref="F22:I22"/>
    <mergeCell ref="J22:M22"/>
    <mergeCell ref="N22:Q22"/>
    <mergeCell ref="R22:U22"/>
    <mergeCell ref="C21:E21"/>
    <mergeCell ref="F21:I21"/>
    <mergeCell ref="J21:M21"/>
    <mergeCell ref="N21:Q21"/>
    <mergeCell ref="R21:U21"/>
    <mergeCell ref="N17:Q17"/>
    <mergeCell ref="R17:U17"/>
    <mergeCell ref="C16:E16"/>
    <mergeCell ref="F16:I16"/>
    <mergeCell ref="J16:M16"/>
    <mergeCell ref="N16:Q16"/>
    <mergeCell ref="R16:U16"/>
    <mergeCell ref="F15:I15"/>
    <mergeCell ref="J15:M15"/>
    <mergeCell ref="N15:Q15"/>
    <mergeCell ref="R15:U15"/>
    <mergeCell ref="J17:M17"/>
    <mergeCell ref="W7:Z7"/>
    <mergeCell ref="AB7:AE7"/>
    <mergeCell ref="C11:E11"/>
    <mergeCell ref="F11:I11"/>
    <mergeCell ref="J11:M11"/>
    <mergeCell ref="N11:Q11"/>
    <mergeCell ref="R11:U11"/>
    <mergeCell ref="W11:Z11"/>
    <mergeCell ref="AB11:AE11"/>
    <mergeCell ref="C7:E7"/>
    <mergeCell ref="F7:I7"/>
    <mergeCell ref="J7:M7"/>
    <mergeCell ref="N7:Q7"/>
    <mergeCell ref="R7:U7"/>
    <mergeCell ref="C8:E8"/>
    <mergeCell ref="F8:I8"/>
    <mergeCell ref="J8:M8"/>
    <mergeCell ref="N8:Q8"/>
    <mergeCell ref="R8:U8"/>
    <mergeCell ref="W8:Z8"/>
    <mergeCell ref="AB8:AE8"/>
    <mergeCell ref="AB9:AE9"/>
    <mergeCell ref="AB10:AE10"/>
    <mergeCell ref="W5:Z5"/>
    <mergeCell ref="AB5:AE5"/>
    <mergeCell ref="C6:E6"/>
    <mergeCell ref="F6:I6"/>
    <mergeCell ref="J6:M6"/>
    <mergeCell ref="N6:Q6"/>
    <mergeCell ref="R6:U6"/>
    <mergeCell ref="W6:Z6"/>
    <mergeCell ref="AB6:AE6"/>
    <mergeCell ref="C5:E5"/>
    <mergeCell ref="F5:I5"/>
    <mergeCell ref="J5:M5"/>
    <mergeCell ref="N5:Q5"/>
    <mergeCell ref="R5:U5"/>
    <mergeCell ref="AB3:AE3"/>
    <mergeCell ref="C4:E4"/>
    <mergeCell ref="F4:I4"/>
    <mergeCell ref="J4:M4"/>
    <mergeCell ref="N4:Q4"/>
    <mergeCell ref="R4:U4"/>
    <mergeCell ref="W4:Z4"/>
    <mergeCell ref="F3:I3"/>
    <mergeCell ref="J3:M3"/>
    <mergeCell ref="N3:Q3"/>
    <mergeCell ref="R3:U3"/>
    <mergeCell ref="W3:Z3"/>
    <mergeCell ref="AB4:AE4"/>
  </mergeCells>
  <phoneticPr fontId="1"/>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D397F-2A66-4E20-A2EE-3F60055F3B00}">
  <dimension ref="A1:BL41"/>
  <sheetViews>
    <sheetView topLeftCell="X25" zoomScaleNormal="100" workbookViewId="0">
      <selection activeCell="A20" sqref="A20:E20"/>
    </sheetView>
  </sheetViews>
  <sheetFormatPr defaultColWidth="9" defaultRowHeight="17.399999999999999"/>
  <cols>
    <col min="1" max="29" width="3.09765625" style="3" customWidth="1"/>
    <col min="30" max="32" width="5.09765625" style="3" customWidth="1"/>
    <col min="33" max="40" width="3.09765625" style="3" customWidth="1"/>
    <col min="41" max="44" width="5.69921875" style="3" customWidth="1"/>
    <col min="45" max="57" width="5" style="3" customWidth="1"/>
    <col min="58" max="58" width="3.09765625" style="3" customWidth="1"/>
    <col min="59" max="59" width="6" style="3" customWidth="1"/>
    <col min="60" max="60" width="9.19921875" style="3" customWidth="1"/>
    <col min="61" max="153" width="3.09765625" style="3" customWidth="1"/>
    <col min="154" max="16384" width="9" style="3"/>
  </cols>
  <sheetData>
    <row r="1" spans="1:50">
      <c r="A1" s="3" t="s">
        <v>50</v>
      </c>
    </row>
    <row r="3" spans="1:50">
      <c r="B3" s="3" t="s">
        <v>51</v>
      </c>
      <c r="H3" s="268" t="s">
        <v>48</v>
      </c>
      <c r="I3" s="268"/>
      <c r="J3" s="268"/>
      <c r="K3" s="268"/>
      <c r="L3" s="268"/>
      <c r="M3" s="268"/>
      <c r="N3" s="268"/>
      <c r="O3" s="268"/>
      <c r="P3" s="268"/>
      <c r="Q3" s="268"/>
      <c r="R3" s="53"/>
      <c r="S3" s="53"/>
      <c r="T3" s="53"/>
      <c r="U3" s="53"/>
      <c r="V3" s="53"/>
      <c r="Z3" s="146" t="s">
        <v>2</v>
      </c>
      <c r="AA3" s="146"/>
      <c r="AB3" s="146"/>
      <c r="AC3" s="146"/>
      <c r="AD3" s="146" t="s">
        <v>5</v>
      </c>
      <c r="AE3" s="146"/>
      <c r="AF3" s="146"/>
      <c r="AG3" s="290" t="s">
        <v>173</v>
      </c>
      <c r="AI3" s="3" t="s">
        <v>62</v>
      </c>
      <c r="AX3" s="3" t="s">
        <v>193</v>
      </c>
    </row>
    <row r="4" spans="1:50">
      <c r="H4" s="268" t="s">
        <v>58</v>
      </c>
      <c r="I4" s="268"/>
      <c r="J4" s="268"/>
      <c r="K4" s="268"/>
      <c r="L4" s="268"/>
      <c r="M4" s="268" t="s">
        <v>59</v>
      </c>
      <c r="N4" s="268"/>
      <c r="O4" s="268"/>
      <c r="P4" s="268"/>
      <c r="Q4" s="268"/>
      <c r="R4" s="289" t="s">
        <v>171</v>
      </c>
      <c r="S4" s="289"/>
      <c r="T4" s="289"/>
      <c r="U4" s="289"/>
      <c r="V4" s="289"/>
      <c r="Z4" s="146"/>
      <c r="AA4" s="146"/>
      <c r="AB4" s="146"/>
      <c r="AC4" s="146"/>
      <c r="AD4" s="146"/>
      <c r="AE4" s="146"/>
      <c r="AF4" s="146"/>
      <c r="AG4" s="290"/>
      <c r="AI4" s="268" t="s">
        <v>52</v>
      </c>
      <c r="AJ4" s="268"/>
      <c r="AK4" s="268"/>
      <c r="AL4" s="268" t="s">
        <v>53</v>
      </c>
      <c r="AM4" s="268"/>
      <c r="AN4" s="291"/>
      <c r="AO4" s="263">
        <f>H5+AH13*R5</f>
        <v>430000</v>
      </c>
      <c r="AP4" s="263"/>
      <c r="AQ4" s="263"/>
      <c r="AR4" s="263"/>
      <c r="AS4" s="268" t="s">
        <v>63</v>
      </c>
      <c r="AT4" s="268"/>
      <c r="AU4" s="268"/>
      <c r="AV4" s="268"/>
      <c r="AW4" s="3">
        <v>70</v>
      </c>
      <c r="AX4" s="3">
        <v>70</v>
      </c>
    </row>
    <row r="5" spans="1:50">
      <c r="B5" s="268" t="s">
        <v>52</v>
      </c>
      <c r="C5" s="268"/>
      <c r="D5" s="268"/>
      <c r="E5" s="268" t="s">
        <v>53</v>
      </c>
      <c r="F5" s="268"/>
      <c r="G5" s="291"/>
      <c r="H5" s="263">
        <v>430000</v>
      </c>
      <c r="I5" s="263"/>
      <c r="J5" s="263"/>
      <c r="K5" s="263"/>
      <c r="L5" s="263"/>
      <c r="M5" s="263"/>
      <c r="N5" s="263"/>
      <c r="O5" s="263"/>
      <c r="P5" s="263"/>
      <c r="Q5" s="263"/>
      <c r="R5" s="263">
        <v>100000</v>
      </c>
      <c r="S5" s="263"/>
      <c r="T5" s="263"/>
      <c r="U5" s="263"/>
      <c r="V5" s="263"/>
      <c r="W5" s="268" t="s">
        <v>40</v>
      </c>
      <c r="X5" s="268"/>
      <c r="Z5" s="2">
        <v>1</v>
      </c>
      <c r="AA5" s="146" t="s">
        <v>3</v>
      </c>
      <c r="AB5" s="146"/>
      <c r="AC5" s="146"/>
      <c r="AD5" s="292" t="str">
        <f>試算!F6</f>
        <v/>
      </c>
      <c r="AE5" s="292"/>
      <c r="AF5" s="292"/>
      <c r="AG5" s="54">
        <f>試算!BP6</f>
        <v>0</v>
      </c>
      <c r="AI5" s="268"/>
      <c r="AJ5" s="268"/>
      <c r="AK5" s="268"/>
      <c r="AL5" s="268" t="s">
        <v>54</v>
      </c>
      <c r="AM5" s="268"/>
      <c r="AN5" s="291"/>
      <c r="AO5" s="263">
        <f>H6+M6*$AD$14+AH13*R6</f>
        <v>430000</v>
      </c>
      <c r="AP5" s="263"/>
      <c r="AQ5" s="263"/>
      <c r="AR5" s="263"/>
      <c r="AS5" s="268" t="s">
        <v>64</v>
      </c>
      <c r="AT5" s="268"/>
      <c r="AU5" s="268"/>
      <c r="AV5" s="268"/>
      <c r="AW5" s="3">
        <v>50</v>
      </c>
      <c r="AX5" s="3">
        <v>50</v>
      </c>
    </row>
    <row r="6" spans="1:50">
      <c r="B6" s="268"/>
      <c r="C6" s="268"/>
      <c r="D6" s="268"/>
      <c r="E6" s="268" t="s">
        <v>54</v>
      </c>
      <c r="F6" s="268"/>
      <c r="G6" s="291"/>
      <c r="H6" s="263">
        <v>430000</v>
      </c>
      <c r="I6" s="263"/>
      <c r="J6" s="263"/>
      <c r="K6" s="263"/>
      <c r="L6" s="263"/>
      <c r="M6" s="293">
        <v>310000</v>
      </c>
      <c r="N6" s="293"/>
      <c r="O6" s="293"/>
      <c r="P6" s="293"/>
      <c r="Q6" s="293"/>
      <c r="R6" s="263">
        <v>100000</v>
      </c>
      <c r="S6" s="263"/>
      <c r="T6" s="263"/>
      <c r="U6" s="263"/>
      <c r="V6" s="263"/>
      <c r="W6" s="268" t="s">
        <v>40</v>
      </c>
      <c r="X6" s="268"/>
      <c r="Z6" s="2">
        <v>2</v>
      </c>
      <c r="AA6" s="146" t="s">
        <v>4</v>
      </c>
      <c r="AB6" s="146"/>
      <c r="AC6" s="146"/>
      <c r="AD6" s="292" t="str">
        <f>試算!F7</f>
        <v/>
      </c>
      <c r="AE6" s="292"/>
      <c r="AF6" s="292"/>
      <c r="AG6" s="54">
        <f>試算!BP7</f>
        <v>0</v>
      </c>
      <c r="AI6" s="268"/>
      <c r="AJ6" s="268"/>
      <c r="AK6" s="268"/>
      <c r="AL6" s="268" t="s">
        <v>55</v>
      </c>
      <c r="AM6" s="268"/>
      <c r="AN6" s="291"/>
      <c r="AO6" s="263">
        <f>H7+M7*$AD$14+AH13*R7</f>
        <v>430000</v>
      </c>
      <c r="AP6" s="263"/>
      <c r="AQ6" s="263"/>
      <c r="AR6" s="263"/>
      <c r="AS6" s="268" t="s">
        <v>65</v>
      </c>
      <c r="AT6" s="268"/>
      <c r="AU6" s="268"/>
      <c r="AV6" s="268"/>
      <c r="AW6" s="3">
        <v>20</v>
      </c>
      <c r="AX6" s="3">
        <v>20</v>
      </c>
    </row>
    <row r="7" spans="1:50">
      <c r="B7" s="268"/>
      <c r="C7" s="268"/>
      <c r="D7" s="268"/>
      <c r="E7" s="268" t="s">
        <v>55</v>
      </c>
      <c r="F7" s="268"/>
      <c r="G7" s="291"/>
      <c r="H7" s="263">
        <v>430000</v>
      </c>
      <c r="I7" s="263"/>
      <c r="J7" s="263"/>
      <c r="K7" s="263"/>
      <c r="L7" s="263"/>
      <c r="M7" s="293">
        <v>570000</v>
      </c>
      <c r="N7" s="293"/>
      <c r="O7" s="293"/>
      <c r="P7" s="293"/>
      <c r="Q7" s="293"/>
      <c r="R7" s="263">
        <v>100000</v>
      </c>
      <c r="S7" s="263"/>
      <c r="T7" s="263"/>
      <c r="U7" s="263"/>
      <c r="V7" s="263"/>
      <c r="W7" s="268" t="s">
        <v>40</v>
      </c>
      <c r="X7" s="268"/>
      <c r="Z7" s="2">
        <v>3</v>
      </c>
      <c r="AA7" s="146" t="s">
        <v>4</v>
      </c>
      <c r="AB7" s="146"/>
      <c r="AC7" s="146"/>
      <c r="AD7" s="292" t="str">
        <f>試算!F8</f>
        <v/>
      </c>
      <c r="AE7" s="292"/>
      <c r="AF7" s="292"/>
      <c r="AG7" s="54">
        <f>試算!BP8</f>
        <v>0</v>
      </c>
      <c r="AI7" s="268" t="s">
        <v>57</v>
      </c>
      <c r="AJ7" s="268"/>
      <c r="AK7" s="268"/>
      <c r="AL7" s="268" t="s">
        <v>55</v>
      </c>
      <c r="AM7" s="268"/>
      <c r="AN7" s="291"/>
      <c r="AO7" s="263">
        <f>ROUNDUP(H8*(SQRT(AD14)),-4)</f>
        <v>0</v>
      </c>
      <c r="AP7" s="263"/>
      <c r="AQ7" s="263"/>
      <c r="AR7" s="263"/>
      <c r="AS7" s="268" t="s">
        <v>66</v>
      </c>
      <c r="AT7" s="268"/>
      <c r="AU7" s="268"/>
      <c r="AV7" s="268"/>
      <c r="AW7" s="3">
        <v>20</v>
      </c>
      <c r="AX7" s="3">
        <v>0</v>
      </c>
    </row>
    <row r="8" spans="1:50">
      <c r="B8" s="268" t="s">
        <v>57</v>
      </c>
      <c r="C8" s="268"/>
      <c r="D8" s="268"/>
      <c r="E8" s="268" t="s">
        <v>55</v>
      </c>
      <c r="F8" s="268"/>
      <c r="G8" s="291"/>
      <c r="H8" s="263">
        <v>1270000</v>
      </c>
      <c r="I8" s="263"/>
      <c r="J8" s="263"/>
      <c r="K8" s="263"/>
      <c r="L8" s="263"/>
      <c r="M8" s="263"/>
      <c r="N8" s="263"/>
      <c r="O8" s="263"/>
      <c r="P8" s="263"/>
      <c r="Q8" s="263"/>
      <c r="R8" s="263"/>
      <c r="S8" s="263"/>
      <c r="T8" s="263"/>
      <c r="U8" s="263"/>
      <c r="V8" s="263"/>
      <c r="W8" s="268" t="s">
        <v>60</v>
      </c>
      <c r="X8" s="268"/>
      <c r="Z8" s="2">
        <v>4</v>
      </c>
      <c r="AA8" s="146" t="s">
        <v>4</v>
      </c>
      <c r="AB8" s="146"/>
      <c r="AC8" s="146"/>
      <c r="AD8" s="292" t="str">
        <f>試算!F9</f>
        <v/>
      </c>
      <c r="AE8" s="292"/>
      <c r="AF8" s="292"/>
      <c r="AG8" s="54">
        <f>試算!BP9</f>
        <v>0</v>
      </c>
      <c r="AI8" s="268"/>
      <c r="AJ8" s="268"/>
      <c r="AK8" s="268"/>
      <c r="AL8" s="268" t="s">
        <v>56</v>
      </c>
      <c r="AM8" s="268"/>
      <c r="AN8" s="291"/>
      <c r="AO8" s="263">
        <f>IF(H9&lt;AO7,0,H9)</f>
        <v>0</v>
      </c>
      <c r="AP8" s="263"/>
      <c r="AQ8" s="263"/>
      <c r="AR8" s="263"/>
      <c r="AS8" s="268"/>
      <c r="AT8" s="268"/>
      <c r="AU8" s="268"/>
      <c r="AV8" s="268"/>
    </row>
    <row r="9" spans="1:50">
      <c r="B9" s="268"/>
      <c r="C9" s="268"/>
      <c r="D9" s="268"/>
      <c r="E9" s="268" t="s">
        <v>56</v>
      </c>
      <c r="F9" s="268"/>
      <c r="G9" s="291"/>
      <c r="H9" s="263"/>
      <c r="I9" s="263"/>
      <c r="J9" s="263"/>
      <c r="K9" s="263"/>
      <c r="L9" s="263"/>
      <c r="M9" s="263"/>
      <c r="N9" s="263"/>
      <c r="O9" s="263"/>
      <c r="P9" s="263"/>
      <c r="Q9" s="263"/>
      <c r="R9" s="263"/>
      <c r="S9" s="263"/>
      <c r="T9" s="263"/>
      <c r="U9" s="263"/>
      <c r="V9" s="263"/>
      <c r="W9" s="268" t="s">
        <v>60</v>
      </c>
      <c r="X9" s="268"/>
      <c r="Z9" s="2">
        <v>5</v>
      </c>
      <c r="AA9" s="146" t="s">
        <v>4</v>
      </c>
      <c r="AB9" s="146"/>
      <c r="AC9" s="146"/>
      <c r="AD9" s="292" t="str">
        <f>試算!F10</f>
        <v/>
      </c>
      <c r="AE9" s="292"/>
      <c r="AF9" s="292"/>
      <c r="AG9" s="54">
        <f>試算!BP10</f>
        <v>0</v>
      </c>
    </row>
    <row r="10" spans="1:50">
      <c r="Z10" s="2">
        <v>6</v>
      </c>
      <c r="AA10" s="146" t="s">
        <v>4</v>
      </c>
      <c r="AB10" s="146"/>
      <c r="AC10" s="146"/>
      <c r="AD10" s="292">
        <f>試算!F11</f>
        <v>0</v>
      </c>
      <c r="AE10" s="292"/>
      <c r="AF10" s="292"/>
      <c r="AG10" s="54">
        <f>試算!BP11</f>
        <v>0</v>
      </c>
      <c r="AI10" s="294" t="s">
        <v>48</v>
      </c>
      <c r="AJ10" s="268"/>
      <c r="AK10" s="268"/>
      <c r="AL10" s="268"/>
      <c r="AM10" s="268"/>
      <c r="AN10" s="268"/>
      <c r="AO10" s="263">
        <f>SUM('総・軽減所得（給与所得者等人数）'!W16:Z23)</f>
        <v>0</v>
      </c>
      <c r="AP10" s="263"/>
      <c r="AQ10" s="263"/>
      <c r="AR10" s="263"/>
    </row>
    <row r="11" spans="1:50">
      <c r="Z11" s="2">
        <v>7</v>
      </c>
      <c r="AA11" s="146" t="s">
        <v>4</v>
      </c>
      <c r="AB11" s="146"/>
      <c r="AC11" s="146"/>
      <c r="AD11" s="292">
        <f>試算!F12</f>
        <v>0</v>
      </c>
      <c r="AE11" s="292"/>
      <c r="AF11" s="292"/>
      <c r="AG11" s="54">
        <f>試算!BP12</f>
        <v>0</v>
      </c>
      <c r="AU11" s="3" t="s">
        <v>203</v>
      </c>
    </row>
    <row r="12" spans="1:50" ht="18" thickBot="1">
      <c r="Z12" s="2">
        <v>8</v>
      </c>
      <c r="AA12" s="146" t="s">
        <v>4</v>
      </c>
      <c r="AB12" s="146"/>
      <c r="AC12" s="146"/>
      <c r="AD12" s="292">
        <f>試算!F13</f>
        <v>0</v>
      </c>
      <c r="AE12" s="292"/>
      <c r="AF12" s="292"/>
      <c r="AG12" s="55">
        <f>試算!BP13</f>
        <v>0</v>
      </c>
      <c r="AI12" s="268" t="s">
        <v>26</v>
      </c>
      <c r="AJ12" s="268"/>
      <c r="AK12" s="268"/>
      <c r="AL12" s="268"/>
      <c r="AM12" s="268"/>
      <c r="AN12" s="268"/>
      <c r="AO12" s="268" t="str">
        <f>IF(AO10&lt;=AO4,AS4,IF(AO10&lt;=AO5,AS5,IF(AO10&lt;=AO6,AS6,IF(AO10&lt;AO7,AS7,IF(AO10&lt;AO8,AS8,"軽減減免なし")))))</f>
        <v>７割軽減</v>
      </c>
      <c r="AP12" s="268"/>
      <c r="AQ12" s="268"/>
      <c r="AR12" s="268"/>
      <c r="AT12" s="4">
        <f>IF(AO12=AS4,AW4,IF(AO12=AS5,AW5,IF(AO12=AS6,AW6,IF(AO12=AS7,AW7,IF(AO12=AS8,AW8,0)))))</f>
        <v>70</v>
      </c>
      <c r="AU12" s="3">
        <f>IF(AO12=AS4,AX4,IF(AO12=AS5,AX5,IF(AO12=AS6,AX6,IF(AO12=AS7,AX7,IF(AO12=AS8,AX8,0)))))</f>
        <v>70</v>
      </c>
    </row>
    <row r="13" spans="1:50" ht="18" thickBot="1">
      <c r="AG13" s="56">
        <f>SUM(AG5:AG12)</f>
        <v>0</v>
      </c>
      <c r="AH13" s="57">
        <f>IF(1&lt;=(AG13-1),(AG13-1),0)</f>
        <v>0</v>
      </c>
    </row>
    <row r="14" spans="1:50">
      <c r="Z14" s="268" t="s">
        <v>61</v>
      </c>
      <c r="AA14" s="268"/>
      <c r="AB14" s="268"/>
      <c r="AC14" s="268"/>
      <c r="AD14" s="295">
        <f>SUM(AD16:AF18)</f>
        <v>0</v>
      </c>
      <c r="AE14" s="295"/>
      <c r="AF14" s="295"/>
      <c r="AI14" s="268" t="s">
        <v>82</v>
      </c>
      <c r="AJ14" s="268"/>
      <c r="AK14" s="268"/>
      <c r="AL14" s="268"/>
      <c r="AM14" s="268"/>
      <c r="AN14" s="268"/>
      <c r="AO14" s="268" t="str">
        <f>IF(AND(AD17&gt;=1,(AD16+AD18)=1),"該当","非該当")</f>
        <v>非該当</v>
      </c>
      <c r="AP14" s="268"/>
      <c r="AQ14" s="268"/>
      <c r="AR14" s="268"/>
      <c r="AT14" s="6">
        <f>IF(AO14="該当",50,0)</f>
        <v>0</v>
      </c>
    </row>
    <row r="15" spans="1:50">
      <c r="Z15" s="146" t="s">
        <v>9</v>
      </c>
      <c r="AA15" s="146"/>
      <c r="AB15" s="146"/>
      <c r="AC15" s="146"/>
      <c r="AD15" s="268">
        <f>COUNTIF(AD5:AF12,Z15)</f>
        <v>0</v>
      </c>
      <c r="AE15" s="268"/>
      <c r="AF15" s="268"/>
    </row>
    <row r="16" spans="1:50">
      <c r="Z16" s="146" t="s">
        <v>6</v>
      </c>
      <c r="AA16" s="146"/>
      <c r="AB16" s="146"/>
      <c r="AC16" s="146"/>
      <c r="AD16" s="295">
        <f>COUNTIF(AD5:AF12,Z16)</f>
        <v>0</v>
      </c>
      <c r="AE16" s="295"/>
      <c r="AF16" s="295"/>
    </row>
    <row r="17" spans="26:60">
      <c r="Z17" s="146" t="s">
        <v>10</v>
      </c>
      <c r="AA17" s="146"/>
      <c r="AB17" s="146"/>
      <c r="AC17" s="146"/>
      <c r="AD17" s="295">
        <f>COUNTIF(AD5:AF12,Z17)</f>
        <v>0</v>
      </c>
      <c r="AE17" s="295"/>
      <c r="AF17" s="295"/>
      <c r="AI17" s="3" t="s">
        <v>95</v>
      </c>
    </row>
    <row r="18" spans="26:60">
      <c r="Z18" s="146" t="s">
        <v>11</v>
      </c>
      <c r="AA18" s="146"/>
      <c r="AB18" s="146"/>
      <c r="AC18" s="146"/>
      <c r="AD18" s="295">
        <f>COUNTIF(AD5:AF12,Z18)</f>
        <v>0</v>
      </c>
      <c r="AE18" s="295"/>
      <c r="AF18" s="295"/>
      <c r="AI18" s="146" t="s">
        <v>96</v>
      </c>
      <c r="AJ18" s="146"/>
      <c r="AK18" s="146"/>
      <c r="AL18" s="146"/>
      <c r="AM18" s="146"/>
      <c r="AN18" s="146"/>
      <c r="AO18" s="268" t="str">
        <f>IF(AD18&gt;0,"該当","非該当")</f>
        <v>非該当</v>
      </c>
      <c r="AP18" s="268"/>
      <c r="AQ18" s="268"/>
      <c r="AR18" s="268"/>
      <c r="AT18" s="268" t="s">
        <v>99</v>
      </c>
      <c r="AU18" s="268"/>
      <c r="AV18" s="268"/>
      <c r="AW18" s="268"/>
      <c r="AX18" s="268"/>
      <c r="AY18" s="268"/>
      <c r="AZ18" s="295" t="s">
        <v>104</v>
      </c>
      <c r="BA18" s="295"/>
      <c r="BB18" s="295"/>
    </row>
    <row r="19" spans="26:60">
      <c r="AI19" s="268" t="s">
        <v>68</v>
      </c>
      <c r="AJ19" s="268"/>
      <c r="AK19" s="268"/>
      <c r="AL19" s="268"/>
      <c r="AM19" s="268"/>
      <c r="AN19" s="268"/>
      <c r="AO19" s="268" t="str">
        <f>IF(AO18="該当","免除","減免なし")</f>
        <v>減免なし</v>
      </c>
      <c r="AP19" s="268"/>
      <c r="AQ19" s="268"/>
      <c r="AR19" s="268"/>
      <c r="AT19" s="296" t="s">
        <v>101</v>
      </c>
      <c r="AU19" s="296"/>
      <c r="AV19" s="296"/>
      <c r="AW19" s="268" t="s">
        <v>98</v>
      </c>
      <c r="AX19" s="268"/>
      <c r="AY19" s="268"/>
      <c r="AZ19" s="295" t="s">
        <v>102</v>
      </c>
      <c r="BA19" s="295"/>
      <c r="BB19" s="295"/>
    </row>
    <row r="20" spans="26:60">
      <c r="AI20" s="268" t="s">
        <v>97</v>
      </c>
      <c r="AJ20" s="268"/>
      <c r="AK20" s="268"/>
      <c r="AL20" s="268"/>
      <c r="AM20" s="268"/>
      <c r="AN20" s="268"/>
      <c r="AO20" s="268" t="str">
        <f>IF(AO18="該当","半額","減免なし")</f>
        <v>減免なし</v>
      </c>
      <c r="AP20" s="268"/>
      <c r="AQ20" s="268"/>
      <c r="AR20" s="268"/>
      <c r="AT20" s="296" t="s">
        <v>100</v>
      </c>
      <c r="AU20" s="296"/>
      <c r="AV20" s="296"/>
      <c r="AW20" s="268" t="s">
        <v>97</v>
      </c>
      <c r="AX20" s="268"/>
      <c r="AY20" s="268"/>
      <c r="AZ20" s="295" t="s">
        <v>103</v>
      </c>
      <c r="BA20" s="295"/>
      <c r="BB20" s="295"/>
    </row>
    <row r="21" spans="26:60">
      <c r="AI21" s="268" t="s">
        <v>71</v>
      </c>
      <c r="AJ21" s="268"/>
      <c r="AK21" s="268"/>
      <c r="AL21" s="268"/>
      <c r="AM21" s="268"/>
      <c r="AN21" s="268"/>
      <c r="AO21" s="268" t="str">
        <f>IF(AND(AO18="該当",(AD16+AD18)=1),"半額","減免なし")</f>
        <v>減免なし</v>
      </c>
      <c r="AP21" s="268"/>
      <c r="AQ21" s="268"/>
      <c r="AR21" s="268"/>
    </row>
    <row r="23" spans="26:60">
      <c r="AI23" s="297" t="s">
        <v>105</v>
      </c>
      <c r="AJ23" s="297"/>
      <c r="AK23" s="297"/>
      <c r="AL23" s="297"/>
      <c r="AM23" s="297"/>
      <c r="AN23" s="297"/>
      <c r="AO23" s="297" t="str">
        <f>IF(AO18="非該当","減免なし",IF(AO21="減免なし",AZ20,AZ19))</f>
        <v>減免なし</v>
      </c>
      <c r="AP23" s="297"/>
      <c r="AQ23" s="297"/>
      <c r="AR23" s="297"/>
      <c r="AT23" s="268" t="s">
        <v>110</v>
      </c>
      <c r="AU23" s="268"/>
      <c r="AV23" s="268"/>
      <c r="AW23" s="268" t="s">
        <v>102</v>
      </c>
      <c r="AX23" s="268"/>
      <c r="AY23" s="268"/>
      <c r="AZ23" s="268" t="s">
        <v>103</v>
      </c>
      <c r="BA23" s="268"/>
      <c r="BB23" s="268"/>
    </row>
    <row r="25" spans="26:60">
      <c r="AO25" s="268" t="s">
        <v>34</v>
      </c>
      <c r="AP25" s="268"/>
      <c r="AQ25" s="268"/>
      <c r="AR25" s="268"/>
      <c r="AS25" s="268"/>
      <c r="AT25" s="268"/>
      <c r="AU25" s="268" t="s">
        <v>35</v>
      </c>
      <c r="AV25" s="268"/>
      <c r="AW25" s="268"/>
      <c r="AX25" s="268"/>
      <c r="AY25" s="268"/>
      <c r="AZ25" s="268"/>
      <c r="BA25" s="284" t="s">
        <v>193</v>
      </c>
      <c r="BB25" s="284"/>
      <c r="BC25" s="284"/>
      <c r="BD25" s="284"/>
      <c r="BE25" s="284"/>
      <c r="BF25" s="284"/>
      <c r="BG25" s="291" t="s">
        <v>193</v>
      </c>
      <c r="BH25" s="294"/>
    </row>
    <row r="26" spans="26:60" ht="36" customHeight="1">
      <c r="AO26" s="268" t="s">
        <v>97</v>
      </c>
      <c r="AP26" s="268"/>
      <c r="AQ26" s="268"/>
      <c r="AR26" s="268" t="s">
        <v>71</v>
      </c>
      <c r="AS26" s="268"/>
      <c r="AT26" s="268"/>
      <c r="AU26" s="268" t="s">
        <v>97</v>
      </c>
      <c r="AV26" s="268"/>
      <c r="AW26" s="268"/>
      <c r="AX26" s="268" t="s">
        <v>71</v>
      </c>
      <c r="AY26" s="268"/>
      <c r="AZ26" s="268"/>
      <c r="BA26" s="192" t="s">
        <v>97</v>
      </c>
      <c r="BB26" s="192"/>
      <c r="BC26" s="192"/>
      <c r="BD26" s="267" t="s">
        <v>196</v>
      </c>
      <c r="BE26" s="267"/>
      <c r="BF26" s="267"/>
    </row>
    <row r="27" spans="26:60">
      <c r="AI27" s="268" t="s">
        <v>108</v>
      </c>
      <c r="AJ27" s="268"/>
      <c r="AK27" s="268"/>
      <c r="AL27" s="268"/>
      <c r="AM27" s="268"/>
      <c r="AN27" s="268"/>
      <c r="AO27" s="263">
        <f>保険料算出!H5</f>
        <v>23280</v>
      </c>
      <c r="AP27" s="263"/>
      <c r="AQ27" s="263"/>
      <c r="AR27" s="263">
        <f>保険料算出!H7</f>
        <v>26640</v>
      </c>
      <c r="AS27" s="263"/>
      <c r="AT27" s="263"/>
      <c r="AU27" s="263">
        <f>保険料算出!L5</f>
        <v>8880</v>
      </c>
      <c r="AV27" s="263"/>
      <c r="AW27" s="263"/>
      <c r="AX27" s="263">
        <f>保険料算出!L7</f>
        <v>10320</v>
      </c>
      <c r="AY27" s="263"/>
      <c r="AZ27" s="263"/>
      <c r="BA27" s="263">
        <f>保険料算出!P5</f>
        <v>1680</v>
      </c>
      <c r="BB27" s="263"/>
      <c r="BC27" s="263"/>
      <c r="BD27" s="263">
        <f>保険料算出!P6</f>
        <v>120</v>
      </c>
      <c r="BE27" s="263"/>
      <c r="BF27" s="263"/>
      <c r="BG27" s="3" t="s">
        <v>108</v>
      </c>
    </row>
    <row r="28" spans="26:60" ht="18" thickBot="1">
      <c r="AI28" s="268" t="s">
        <v>106</v>
      </c>
      <c r="AJ28" s="268"/>
      <c r="AK28" s="268" t="s">
        <v>107</v>
      </c>
      <c r="AL28" s="268"/>
      <c r="AM28" s="268"/>
      <c r="AN28" s="268"/>
      <c r="AO28" s="286"/>
      <c r="AP28" s="286"/>
      <c r="AQ28" s="286"/>
      <c r="AR28" s="286"/>
      <c r="AS28" s="286"/>
      <c r="AT28" s="286"/>
      <c r="AU28" s="286"/>
      <c r="AV28" s="286"/>
      <c r="AW28" s="286"/>
      <c r="AX28" s="286"/>
      <c r="AY28" s="286"/>
      <c r="AZ28" s="286"/>
      <c r="BA28" s="286"/>
      <c r="BB28" s="286"/>
      <c r="BC28" s="286"/>
      <c r="BD28" s="286"/>
      <c r="BE28" s="286"/>
      <c r="BF28" s="286"/>
      <c r="BG28" s="3" t="s">
        <v>106</v>
      </c>
      <c r="BH28" s="3" t="s">
        <v>107</v>
      </c>
    </row>
    <row r="29" spans="26:60">
      <c r="AI29" s="268">
        <v>70</v>
      </c>
      <c r="AJ29" s="268"/>
      <c r="AK29" s="268">
        <v>0</v>
      </c>
      <c r="AL29" s="268"/>
      <c r="AM29" s="268"/>
      <c r="AN29" s="291"/>
      <c r="AO29" s="300">
        <f t="shared" ref="AO29:AO34" si="0">ROUNDUP($AO$27*AK29/100,-1)</f>
        <v>0</v>
      </c>
      <c r="AP29" s="287"/>
      <c r="AQ29" s="287"/>
      <c r="AR29" s="287">
        <f t="shared" ref="AR29:AR34" si="1">ROUNDUP($AR$27*AK29/100,-1)</f>
        <v>0</v>
      </c>
      <c r="AS29" s="287"/>
      <c r="AT29" s="287"/>
      <c r="AU29" s="287">
        <f>ROUNDUP($AU$27*AK29/100,-1)</f>
        <v>0</v>
      </c>
      <c r="AV29" s="287"/>
      <c r="AW29" s="287"/>
      <c r="AX29" s="287">
        <f>ROUNDUP($AX$27*AK29/100,-1)</f>
        <v>0</v>
      </c>
      <c r="AY29" s="287"/>
      <c r="AZ29" s="301"/>
      <c r="BA29" s="287">
        <f t="shared" ref="BA29:BA30" si="2">ROUNDUP($BA$27*AK29/100,-1)</f>
        <v>0</v>
      </c>
      <c r="BB29" s="287"/>
      <c r="BC29" s="287"/>
      <c r="BD29" s="287">
        <f>ROUNDUP($BD$27*AK29/100,-1)</f>
        <v>0</v>
      </c>
      <c r="BE29" s="287"/>
      <c r="BF29" s="288"/>
      <c r="BG29" s="3">
        <v>70</v>
      </c>
      <c r="BH29" s="3">
        <v>0</v>
      </c>
    </row>
    <row r="30" spans="26:60">
      <c r="AI30" s="268">
        <v>50</v>
      </c>
      <c r="AJ30" s="268"/>
      <c r="AK30" s="268">
        <v>0</v>
      </c>
      <c r="AL30" s="268"/>
      <c r="AM30" s="268"/>
      <c r="AN30" s="291"/>
      <c r="AO30" s="298">
        <f t="shared" si="0"/>
        <v>0</v>
      </c>
      <c r="AP30" s="263"/>
      <c r="AQ30" s="263"/>
      <c r="AR30" s="263">
        <f t="shared" si="1"/>
        <v>0</v>
      </c>
      <c r="AS30" s="263"/>
      <c r="AT30" s="263"/>
      <c r="AU30" s="263">
        <f t="shared" ref="AU30:AU34" si="3">ROUNDUP($AU$27*AK30/100,-1)</f>
        <v>0</v>
      </c>
      <c r="AV30" s="263"/>
      <c r="AW30" s="263"/>
      <c r="AX30" s="263">
        <f>ROUNDUP($AX$27*AK30/100,-1)</f>
        <v>0</v>
      </c>
      <c r="AY30" s="263"/>
      <c r="AZ30" s="299"/>
      <c r="BA30" s="263">
        <f t="shared" si="2"/>
        <v>0</v>
      </c>
      <c r="BB30" s="263"/>
      <c r="BC30" s="263"/>
      <c r="BD30" s="263">
        <f t="shared" ref="BD30" si="4">ROUNDUP($BD$27*AK30/100,-1)</f>
        <v>0</v>
      </c>
      <c r="BE30" s="263"/>
      <c r="BF30" s="281"/>
      <c r="BG30" s="3">
        <v>50</v>
      </c>
      <c r="BH30" s="3">
        <v>0</v>
      </c>
    </row>
    <row r="31" spans="26:60">
      <c r="AI31" s="268">
        <v>20</v>
      </c>
      <c r="AJ31" s="268"/>
      <c r="AK31" s="268">
        <v>30</v>
      </c>
      <c r="AL31" s="268"/>
      <c r="AM31" s="268"/>
      <c r="AN31" s="291"/>
      <c r="AO31" s="298">
        <f t="shared" si="0"/>
        <v>6990</v>
      </c>
      <c r="AP31" s="263"/>
      <c r="AQ31" s="263"/>
      <c r="AR31" s="263">
        <f t="shared" si="1"/>
        <v>8000</v>
      </c>
      <c r="AS31" s="263"/>
      <c r="AT31" s="263"/>
      <c r="AU31" s="263">
        <f>ROUNDUP($AU$27*AK31/100,-1)</f>
        <v>2670</v>
      </c>
      <c r="AV31" s="263"/>
      <c r="AW31" s="263"/>
      <c r="AX31" s="263">
        <f>ROUNDUP($AX$27*AK31/100,-1)</f>
        <v>3100</v>
      </c>
      <c r="AY31" s="263"/>
      <c r="AZ31" s="299"/>
      <c r="BA31" s="263">
        <f>ROUNDUP($BA$27*AK31/100,-1)</f>
        <v>510</v>
      </c>
      <c r="BB31" s="263"/>
      <c r="BC31" s="263"/>
      <c r="BD31" s="263">
        <f>ROUNDUP($BD$27*AK31/100,-1)</f>
        <v>40</v>
      </c>
      <c r="BE31" s="263"/>
      <c r="BF31" s="281"/>
      <c r="BG31" s="3">
        <v>20</v>
      </c>
      <c r="BH31" s="3">
        <v>30</v>
      </c>
    </row>
    <row r="32" spans="26:60">
      <c r="AI32" s="268">
        <v>20</v>
      </c>
      <c r="AJ32" s="268"/>
      <c r="AK32" s="268">
        <v>30</v>
      </c>
      <c r="AL32" s="268"/>
      <c r="AM32" s="268"/>
      <c r="AN32" s="291"/>
      <c r="AO32" s="298">
        <f t="shared" si="0"/>
        <v>6990</v>
      </c>
      <c r="AP32" s="263"/>
      <c r="AQ32" s="263"/>
      <c r="AR32" s="263">
        <f t="shared" si="1"/>
        <v>8000</v>
      </c>
      <c r="AS32" s="263"/>
      <c r="AT32" s="263"/>
      <c r="AU32" s="263">
        <f t="shared" si="3"/>
        <v>2670</v>
      </c>
      <c r="AV32" s="263"/>
      <c r="AW32" s="263"/>
      <c r="AX32" s="263">
        <f t="shared" ref="AX32:AX34" si="5">ROUNDUP($AX$27*AK32/100,-1)</f>
        <v>3100</v>
      </c>
      <c r="AY32" s="263"/>
      <c r="AZ32" s="299"/>
      <c r="BA32" s="263">
        <f>ROUNDUP($BA$27*BH32/100,-1)</f>
        <v>840</v>
      </c>
      <c r="BB32" s="263"/>
      <c r="BC32" s="263"/>
      <c r="BD32" s="263">
        <f>ROUNDUP($BD$27*BH32/100,-1)</f>
        <v>60</v>
      </c>
      <c r="BE32" s="263"/>
      <c r="BF32" s="281"/>
      <c r="BG32" s="3">
        <v>0</v>
      </c>
      <c r="BH32" s="3">
        <v>50</v>
      </c>
    </row>
    <row r="33" spans="35:64">
      <c r="AI33" s="268">
        <v>5</v>
      </c>
      <c r="AJ33" s="268"/>
      <c r="AK33" s="268">
        <v>45</v>
      </c>
      <c r="AL33" s="268"/>
      <c r="AM33" s="268"/>
      <c r="AN33" s="291"/>
      <c r="AO33" s="298">
        <f t="shared" si="0"/>
        <v>10480</v>
      </c>
      <c r="AP33" s="263"/>
      <c r="AQ33" s="263"/>
      <c r="AR33" s="263">
        <f t="shared" si="1"/>
        <v>11990</v>
      </c>
      <c r="AS33" s="263"/>
      <c r="AT33" s="263"/>
      <c r="AU33" s="263">
        <f t="shared" si="3"/>
        <v>4000</v>
      </c>
      <c r="AV33" s="263"/>
      <c r="AW33" s="263"/>
      <c r="AX33" s="263">
        <f t="shared" si="5"/>
        <v>4650</v>
      </c>
      <c r="AY33" s="263"/>
      <c r="AZ33" s="299"/>
      <c r="BA33" s="263">
        <f>ROUNDUP($BA$27*BH33/100,-1)</f>
        <v>840</v>
      </c>
      <c r="BB33" s="263"/>
      <c r="BC33" s="263"/>
      <c r="BD33" s="263">
        <f>ROUNDUP($BD$27*BH33/100,-1)</f>
        <v>60</v>
      </c>
      <c r="BE33" s="263"/>
      <c r="BF33" s="281"/>
      <c r="BG33" s="3">
        <v>0</v>
      </c>
      <c r="BH33" s="3">
        <v>50</v>
      </c>
    </row>
    <row r="34" spans="35:64" ht="18" thickBot="1">
      <c r="AI34" s="268">
        <v>0</v>
      </c>
      <c r="AJ34" s="268"/>
      <c r="AK34" s="268">
        <v>50</v>
      </c>
      <c r="AL34" s="268"/>
      <c r="AM34" s="268"/>
      <c r="AN34" s="291"/>
      <c r="AO34" s="305">
        <f t="shared" si="0"/>
        <v>11640</v>
      </c>
      <c r="AP34" s="282"/>
      <c r="AQ34" s="282"/>
      <c r="AR34" s="282">
        <f t="shared" si="1"/>
        <v>13320</v>
      </c>
      <c r="AS34" s="282"/>
      <c r="AT34" s="282"/>
      <c r="AU34" s="282">
        <f t="shared" si="3"/>
        <v>4440</v>
      </c>
      <c r="AV34" s="282"/>
      <c r="AW34" s="282"/>
      <c r="AX34" s="282">
        <f t="shared" si="5"/>
        <v>5160</v>
      </c>
      <c r="AY34" s="282"/>
      <c r="AZ34" s="306"/>
      <c r="BA34" s="282">
        <f>ROUNDUP($BA$27*BH34/100,-1)</f>
        <v>840</v>
      </c>
      <c r="BB34" s="282"/>
      <c r="BC34" s="282"/>
      <c r="BD34" s="282">
        <f>ROUNDUP($BD$27*BH34/100,-1)</f>
        <v>60</v>
      </c>
      <c r="BE34" s="282"/>
      <c r="BF34" s="283"/>
      <c r="BG34" s="3">
        <v>0</v>
      </c>
      <c r="BH34" s="3">
        <v>50</v>
      </c>
    </row>
    <row r="36" spans="35:64">
      <c r="AO36" s="268" t="s">
        <v>34</v>
      </c>
      <c r="AP36" s="268"/>
      <c r="AQ36" s="268"/>
      <c r="AR36" s="268"/>
      <c r="AS36" s="268"/>
      <c r="AT36" s="268"/>
      <c r="AU36" s="268" t="s">
        <v>35</v>
      </c>
      <c r="AV36" s="268"/>
      <c r="AW36" s="268"/>
      <c r="AX36" s="268"/>
      <c r="AY36" s="268"/>
      <c r="AZ36" s="268"/>
      <c r="BA36" s="284" t="s">
        <v>193</v>
      </c>
      <c r="BB36" s="284"/>
      <c r="BC36" s="284"/>
      <c r="BD36" s="284"/>
      <c r="BE36" s="284"/>
      <c r="BF36" s="284"/>
      <c r="BI36" s="268" t="s">
        <v>63</v>
      </c>
      <c r="BJ36" s="268"/>
      <c r="BK36" s="268"/>
      <c r="BL36" s="268"/>
    </row>
    <row r="37" spans="35:64" ht="18" thickBot="1">
      <c r="AO37" s="285" t="s">
        <v>97</v>
      </c>
      <c r="AP37" s="285"/>
      <c r="AQ37" s="285"/>
      <c r="AR37" s="285" t="s">
        <v>71</v>
      </c>
      <c r="AS37" s="285"/>
      <c r="AT37" s="285"/>
      <c r="AU37" s="285" t="s">
        <v>97</v>
      </c>
      <c r="AV37" s="285"/>
      <c r="AW37" s="285"/>
      <c r="AX37" s="285" t="s">
        <v>71</v>
      </c>
      <c r="AY37" s="285"/>
      <c r="AZ37" s="285"/>
      <c r="BA37" s="285" t="s">
        <v>97</v>
      </c>
      <c r="BB37" s="285"/>
      <c r="BC37" s="285"/>
      <c r="BD37" s="267" t="s">
        <v>196</v>
      </c>
      <c r="BE37" s="267"/>
      <c r="BF37" s="267"/>
      <c r="BI37" s="268" t="s">
        <v>64</v>
      </c>
      <c r="BJ37" s="268"/>
      <c r="BK37" s="268"/>
      <c r="BL37" s="268"/>
    </row>
    <row r="38" spans="35:64" ht="18" thickBot="1">
      <c r="AO38" s="302">
        <f>IF($AO$12=$BI$36,AO29,IF($AO$12=$BI$37,AO30,IF($AO$12=$BI$38,AO31,IF($AO$12=$BI$39,AO32,IF($AO$12=$BI$40,AO33,AO34)))))</f>
        <v>0</v>
      </c>
      <c r="AP38" s="303"/>
      <c r="AQ38" s="303"/>
      <c r="AR38" s="303">
        <f>IF($AO$12=$BI$36,AR29,IF($AO$12=$BI$37,AR30,IF($AO$12=$BI$38,AR31,IF($AO$12=$BI$39,AR32,IF($AO$12=$BI$40,AR33,AR34)))))</f>
        <v>0</v>
      </c>
      <c r="AS38" s="303"/>
      <c r="AT38" s="303"/>
      <c r="AU38" s="303">
        <f>IF($AO$12=$BI$36,AU29,IF($AO$12=$BI$37,AU30,IF($AO$12=$BI$38,AU31,IF($AO$12=$BI$39,AU32,IF($AO$12=$BI$40,AU33,AU34)))))</f>
        <v>0</v>
      </c>
      <c r="AV38" s="303"/>
      <c r="AW38" s="303"/>
      <c r="AX38" s="303">
        <f>IF($AO$12=$BI$36,AX29,IF($AO$12=$BI$37,AX30,IF($AO$12=$BI$38,AX31,IF($AO$12=$BI$39,AX32,IF($AO$12=$BI$40,AX33,AX34)))))</f>
        <v>0</v>
      </c>
      <c r="AY38" s="303"/>
      <c r="AZ38" s="304"/>
      <c r="BA38" s="303">
        <f>IF($AO$12=$BI$36,BA29,IF($AO$12=$BI$37,BA30,IF($AO$12=$BI$38,BA31,IF($AO$12=$BI$39,BA32,IF($AO$12=$BI$40,BA33,BA34)))))</f>
        <v>0</v>
      </c>
      <c r="BB38" s="303"/>
      <c r="BC38" s="303"/>
      <c r="BD38" s="303">
        <f>IF($AO$12=$BI$36,BD29,IF($AO$12=$BI$37,BD30,IF($AO$12=$BI$38,BD31,IF($AO$12=$BI$39,BD32,IF($AO$12=$BI$40,BD33,BD34)))))</f>
        <v>0</v>
      </c>
      <c r="BE38" s="303"/>
      <c r="BF38" s="304"/>
      <c r="BI38" s="268" t="s">
        <v>65</v>
      </c>
      <c r="BJ38" s="268"/>
      <c r="BK38" s="268"/>
      <c r="BL38" s="268"/>
    </row>
    <row r="39" spans="35:64" ht="18" thickBot="1">
      <c r="BI39" s="268" t="s">
        <v>66</v>
      </c>
      <c r="BJ39" s="268"/>
      <c r="BK39" s="268"/>
      <c r="BL39" s="268"/>
    </row>
    <row r="40" spans="35:64" ht="18" thickBot="1">
      <c r="AO40" s="302">
        <f>IF(AO23=AT23,0,AO38)</f>
        <v>0</v>
      </c>
      <c r="AP40" s="303"/>
      <c r="AQ40" s="303"/>
      <c r="AR40" s="302">
        <f>IF(AO23=AT23,0,IF(AO23=AZ23,0,AR38))</f>
        <v>0</v>
      </c>
      <c r="AS40" s="303"/>
      <c r="AT40" s="303"/>
      <c r="AU40" s="302">
        <f>IF(AO23=AT23,0,AU38)</f>
        <v>0</v>
      </c>
      <c r="AV40" s="303"/>
      <c r="AW40" s="303"/>
      <c r="AX40" s="302">
        <f>IF(AO23=AT23,0,IF(AO23=AZ23,0,AX38))</f>
        <v>0</v>
      </c>
      <c r="AY40" s="303"/>
      <c r="AZ40" s="303"/>
      <c r="BA40" s="302">
        <f>IF(AO23=AT23,0,BA38)</f>
        <v>0</v>
      </c>
      <c r="BB40" s="303"/>
      <c r="BC40" s="303"/>
      <c r="BD40" s="302">
        <f>IF(AR23=AW23,0,BD38)</f>
        <v>0</v>
      </c>
      <c r="BE40" s="303"/>
      <c r="BF40" s="303"/>
      <c r="BI40" s="268" t="s">
        <v>174</v>
      </c>
      <c r="BJ40" s="268"/>
      <c r="BK40" s="268"/>
      <c r="BL40" s="268"/>
    </row>
    <row r="41" spans="35:64">
      <c r="BC41" s="268" t="s">
        <v>109</v>
      </c>
      <c r="BD41" s="268"/>
      <c r="BE41" s="268"/>
      <c r="BF41" s="268"/>
    </row>
  </sheetData>
  <mergeCells count="204">
    <mergeCell ref="BG25:BH25"/>
    <mergeCell ref="AI34:AJ34"/>
    <mergeCell ref="AK34:AN34"/>
    <mergeCell ref="AO34:AQ34"/>
    <mergeCell ref="AR34:AT34"/>
    <mergeCell ref="AU34:AW34"/>
    <mergeCell ref="AX34:AZ34"/>
    <mergeCell ref="AI33:AJ33"/>
    <mergeCell ref="AK33:AN33"/>
    <mergeCell ref="AO33:AQ33"/>
    <mergeCell ref="AR33:AT33"/>
    <mergeCell ref="AU33:AW33"/>
    <mergeCell ref="AX33:AZ33"/>
    <mergeCell ref="AR32:AT32"/>
    <mergeCell ref="AU32:AW32"/>
    <mergeCell ref="AX32:AZ32"/>
    <mergeCell ref="AI31:AJ31"/>
    <mergeCell ref="AK31:AN31"/>
    <mergeCell ref="AO31:AQ31"/>
    <mergeCell ref="AR31:AT31"/>
    <mergeCell ref="AU31:AW31"/>
    <mergeCell ref="AX31:AZ31"/>
    <mergeCell ref="AI32:AJ32"/>
    <mergeCell ref="AK32:AN32"/>
    <mergeCell ref="BC41:BF41"/>
    <mergeCell ref="AO38:AQ38"/>
    <mergeCell ref="AR38:AT38"/>
    <mergeCell ref="AU38:AW38"/>
    <mergeCell ref="AX38:AZ38"/>
    <mergeCell ref="BI38:BL38"/>
    <mergeCell ref="BI39:BL39"/>
    <mergeCell ref="AO36:AT36"/>
    <mergeCell ref="AU36:AZ36"/>
    <mergeCell ref="BI36:BL36"/>
    <mergeCell ref="AO37:AQ37"/>
    <mergeCell ref="AR37:AT37"/>
    <mergeCell ref="AU37:AW37"/>
    <mergeCell ref="AX37:AZ37"/>
    <mergeCell ref="BI37:BL37"/>
    <mergeCell ref="AO40:AQ40"/>
    <mergeCell ref="AR40:AT40"/>
    <mergeCell ref="AU40:AW40"/>
    <mergeCell ref="AX40:AZ40"/>
    <mergeCell ref="BI40:BL40"/>
    <mergeCell ref="BA38:BC38"/>
    <mergeCell ref="BD38:BF38"/>
    <mergeCell ref="BA40:BC40"/>
    <mergeCell ref="BD40:BF40"/>
    <mergeCell ref="AO32:AQ32"/>
    <mergeCell ref="AI30:AJ30"/>
    <mergeCell ref="AK30:AN30"/>
    <mergeCell ref="AO30:AQ30"/>
    <mergeCell ref="AR30:AT30"/>
    <mergeCell ref="AU30:AW30"/>
    <mergeCell ref="AX30:AZ30"/>
    <mergeCell ref="AX28:AZ28"/>
    <mergeCell ref="AI29:AJ29"/>
    <mergeCell ref="AK29:AN29"/>
    <mergeCell ref="AO29:AQ29"/>
    <mergeCell ref="AR29:AT29"/>
    <mergeCell ref="AU29:AW29"/>
    <mergeCell ref="AX29:AZ29"/>
    <mergeCell ref="AI27:AN27"/>
    <mergeCell ref="AO27:AQ27"/>
    <mergeCell ref="AR27:AT27"/>
    <mergeCell ref="AU27:AW27"/>
    <mergeCell ref="AX27:AZ27"/>
    <mergeCell ref="AI28:AJ28"/>
    <mergeCell ref="AK28:AN28"/>
    <mergeCell ref="AO28:AQ28"/>
    <mergeCell ref="AR28:AT28"/>
    <mergeCell ref="AU28:AW28"/>
    <mergeCell ref="AZ23:BB23"/>
    <mergeCell ref="AO25:AT25"/>
    <mergeCell ref="AU25:AZ25"/>
    <mergeCell ref="AO26:AQ26"/>
    <mergeCell ref="AR26:AT26"/>
    <mergeCell ref="AU26:AW26"/>
    <mergeCell ref="AX26:AZ26"/>
    <mergeCell ref="AI21:AN21"/>
    <mergeCell ref="AO21:AR21"/>
    <mergeCell ref="AI23:AN23"/>
    <mergeCell ref="AO23:AR23"/>
    <mergeCell ref="AT23:AV23"/>
    <mergeCell ref="AW23:AY23"/>
    <mergeCell ref="BA25:BF25"/>
    <mergeCell ref="BA26:BC26"/>
    <mergeCell ref="BD26:BF26"/>
    <mergeCell ref="AI19:AN19"/>
    <mergeCell ref="AO19:AR19"/>
    <mergeCell ref="AT19:AV19"/>
    <mergeCell ref="AW19:AY19"/>
    <mergeCell ref="AZ19:BB19"/>
    <mergeCell ref="AI20:AN20"/>
    <mergeCell ref="AO20:AR20"/>
    <mergeCell ref="AT20:AV20"/>
    <mergeCell ref="AW20:AY20"/>
    <mergeCell ref="AZ20:BB20"/>
    <mergeCell ref="Z18:AC18"/>
    <mergeCell ref="AD18:AF18"/>
    <mergeCell ref="AI18:AN18"/>
    <mergeCell ref="AO18:AR18"/>
    <mergeCell ref="AT18:AY18"/>
    <mergeCell ref="AZ18:BB18"/>
    <mergeCell ref="Z16:AC16"/>
    <mergeCell ref="AD16:AF16"/>
    <mergeCell ref="Z17:AC17"/>
    <mergeCell ref="AD17:AF17"/>
    <mergeCell ref="AI14:AN14"/>
    <mergeCell ref="AO14:AR14"/>
    <mergeCell ref="AI10:AN10"/>
    <mergeCell ref="AO10:AR10"/>
    <mergeCell ref="Z14:AC14"/>
    <mergeCell ref="AD14:AF14"/>
    <mergeCell ref="Z15:AC15"/>
    <mergeCell ref="AD15:AF15"/>
    <mergeCell ref="AI12:AN12"/>
    <mergeCell ref="AO12:AR12"/>
    <mergeCell ref="AA12:AC12"/>
    <mergeCell ref="AD12:AF12"/>
    <mergeCell ref="AA10:AC10"/>
    <mergeCell ref="AD10:AF10"/>
    <mergeCell ref="AA11:AC11"/>
    <mergeCell ref="AD11:AF11"/>
    <mergeCell ref="AS8:AV8"/>
    <mergeCell ref="E9:G9"/>
    <mergeCell ref="H9:L9"/>
    <mergeCell ref="M9:Q9"/>
    <mergeCell ref="W9:X9"/>
    <mergeCell ref="AO7:AR7"/>
    <mergeCell ref="AS7:AV7"/>
    <mergeCell ref="R7:V7"/>
    <mergeCell ref="R8:V8"/>
    <mergeCell ref="R9:V9"/>
    <mergeCell ref="W7:X7"/>
    <mergeCell ref="AA7:AC7"/>
    <mergeCell ref="AD7:AF7"/>
    <mergeCell ref="AI7:AK8"/>
    <mergeCell ref="AL7:AN7"/>
    <mergeCell ref="AO8:AR8"/>
    <mergeCell ref="AA9:AC9"/>
    <mergeCell ref="AD9:AF9"/>
    <mergeCell ref="B8:D9"/>
    <mergeCell ref="E8:G8"/>
    <mergeCell ref="H8:L8"/>
    <mergeCell ref="M8:Q8"/>
    <mergeCell ref="W8:X8"/>
    <mergeCell ref="AA8:AC8"/>
    <mergeCell ref="AD8:AF8"/>
    <mergeCell ref="AL8:AN8"/>
    <mergeCell ref="AL4:AN4"/>
    <mergeCell ref="AO4:AR4"/>
    <mergeCell ref="AS4:AV4"/>
    <mergeCell ref="B5:D7"/>
    <mergeCell ref="E5:G5"/>
    <mergeCell ref="H5:L5"/>
    <mergeCell ref="M5:Q5"/>
    <mergeCell ref="W5:X5"/>
    <mergeCell ref="AA5:AC5"/>
    <mergeCell ref="AD5:AF5"/>
    <mergeCell ref="AL5:AN5"/>
    <mergeCell ref="AO5:AR5"/>
    <mergeCell ref="AS5:AV5"/>
    <mergeCell ref="E6:G6"/>
    <mergeCell ref="H6:L6"/>
    <mergeCell ref="M6:Q6"/>
    <mergeCell ref="W6:X6"/>
    <mergeCell ref="AA6:AC6"/>
    <mergeCell ref="AD6:AF6"/>
    <mergeCell ref="AL6:AN6"/>
    <mergeCell ref="AS6:AV6"/>
    <mergeCell ref="E7:G7"/>
    <mergeCell ref="H7:L7"/>
    <mergeCell ref="M7:Q7"/>
    <mergeCell ref="AO6:AR6"/>
    <mergeCell ref="H3:Q3"/>
    <mergeCell ref="Z3:AC4"/>
    <mergeCell ref="AD3:AF4"/>
    <mergeCell ref="H4:L4"/>
    <mergeCell ref="M4:Q4"/>
    <mergeCell ref="AI4:AK6"/>
    <mergeCell ref="R4:V4"/>
    <mergeCell ref="R5:V5"/>
    <mergeCell ref="R6:V6"/>
    <mergeCell ref="AG3:AG4"/>
    <mergeCell ref="BA27:BC27"/>
    <mergeCell ref="BD27:BF27"/>
    <mergeCell ref="BA28:BC28"/>
    <mergeCell ref="BD28:BF28"/>
    <mergeCell ref="BA29:BC29"/>
    <mergeCell ref="BD29:BF29"/>
    <mergeCell ref="BA30:BC30"/>
    <mergeCell ref="BD30:BF30"/>
    <mergeCell ref="BA31:BC31"/>
    <mergeCell ref="BD31:BF31"/>
    <mergeCell ref="BA32:BC32"/>
    <mergeCell ref="BD32:BF32"/>
    <mergeCell ref="BA33:BC33"/>
    <mergeCell ref="BD33:BF33"/>
    <mergeCell ref="BA34:BC34"/>
    <mergeCell ref="BD34:BF34"/>
    <mergeCell ref="BA36:BF36"/>
    <mergeCell ref="BA37:BC37"/>
    <mergeCell ref="BD37:BF37"/>
  </mergeCells>
  <phoneticPr fontId="1"/>
  <pageMargins left="0.7" right="0.7"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U59"/>
  <sheetViews>
    <sheetView view="pageBreakPreview" topLeftCell="A7" zoomScale="85" zoomScaleNormal="100" zoomScaleSheetLayoutView="85" workbookViewId="0">
      <selection activeCell="A20" sqref="A20:E20"/>
    </sheetView>
  </sheetViews>
  <sheetFormatPr defaultColWidth="9" defaultRowHeight="17.399999999999999"/>
  <cols>
    <col min="1" max="9" width="3.09765625" style="3" customWidth="1"/>
    <col min="10" max="13" width="6.69921875" style="3" customWidth="1"/>
    <col min="14" max="17" width="3.09765625" style="3" customWidth="1"/>
    <col min="18" max="21" width="3.59765625" style="3" customWidth="1"/>
    <col min="22" max="57" width="3.09765625" style="3" customWidth="1"/>
    <col min="58" max="59" width="4.8984375" style="3" customWidth="1"/>
    <col min="60" max="116" width="3.09765625" style="3" customWidth="1"/>
    <col min="117" max="16384" width="9" style="3"/>
  </cols>
  <sheetData>
    <row r="2" spans="2:73">
      <c r="B2" s="3" t="s">
        <v>67</v>
      </c>
    </row>
    <row r="3" spans="2:73">
      <c r="H3" s="268" t="s">
        <v>34</v>
      </c>
      <c r="I3" s="268"/>
      <c r="J3" s="268"/>
      <c r="K3" s="268"/>
      <c r="L3" s="268" t="s">
        <v>205</v>
      </c>
      <c r="M3" s="268"/>
      <c r="N3" s="268"/>
      <c r="O3" s="268"/>
      <c r="P3" s="322" t="s">
        <v>193</v>
      </c>
      <c r="Q3" s="323"/>
      <c r="R3" s="323"/>
      <c r="S3" s="324"/>
      <c r="T3" s="268" t="s">
        <v>36</v>
      </c>
      <c r="U3" s="268"/>
      <c r="V3" s="268"/>
      <c r="W3" s="268"/>
    </row>
    <row r="4" spans="2:73">
      <c r="C4" s="318" t="s">
        <v>68</v>
      </c>
      <c r="D4" s="318"/>
      <c r="E4" s="318"/>
      <c r="F4" s="318"/>
      <c r="G4" s="318"/>
      <c r="H4" s="321">
        <v>7.21</v>
      </c>
      <c r="I4" s="321"/>
      <c r="J4" s="321"/>
      <c r="K4" s="321"/>
      <c r="L4" s="321">
        <v>2.85</v>
      </c>
      <c r="M4" s="321"/>
      <c r="N4" s="321"/>
      <c r="O4" s="321"/>
      <c r="P4" s="325">
        <v>0.31</v>
      </c>
      <c r="Q4" s="325"/>
      <c r="R4" s="325"/>
      <c r="S4" s="325"/>
      <c r="T4" s="321">
        <v>2.57</v>
      </c>
      <c r="U4" s="321"/>
      <c r="V4" s="321"/>
      <c r="W4" s="321"/>
    </row>
    <row r="5" spans="2:73">
      <c r="C5" s="318" t="s">
        <v>69</v>
      </c>
      <c r="D5" s="318"/>
      <c r="E5" s="318"/>
      <c r="F5" s="318"/>
      <c r="G5" s="318"/>
      <c r="H5" s="320">
        <v>23280</v>
      </c>
      <c r="I5" s="320"/>
      <c r="J5" s="320"/>
      <c r="K5" s="320"/>
      <c r="L5" s="320">
        <v>8880</v>
      </c>
      <c r="M5" s="320"/>
      <c r="N5" s="320"/>
      <c r="O5" s="320"/>
      <c r="P5" s="319">
        <v>1680</v>
      </c>
      <c r="Q5" s="319"/>
      <c r="R5" s="319"/>
      <c r="S5" s="319"/>
      <c r="T5" s="320">
        <v>16560</v>
      </c>
      <c r="U5" s="320"/>
      <c r="V5" s="320"/>
      <c r="W5" s="320"/>
    </row>
    <row r="6" spans="2:73">
      <c r="C6" s="318" t="s">
        <v>194</v>
      </c>
      <c r="D6" s="318"/>
      <c r="E6" s="318"/>
      <c r="F6" s="318"/>
      <c r="G6" s="318"/>
      <c r="H6" s="327">
        <v>0</v>
      </c>
      <c r="I6" s="328"/>
      <c r="J6" s="328"/>
      <c r="K6" s="329"/>
      <c r="L6" s="327">
        <v>0</v>
      </c>
      <c r="M6" s="328"/>
      <c r="N6" s="328"/>
      <c r="O6" s="329"/>
      <c r="P6" s="330">
        <v>120</v>
      </c>
      <c r="Q6" s="331"/>
      <c r="R6" s="331"/>
      <c r="S6" s="332"/>
      <c r="T6" s="327">
        <v>0</v>
      </c>
      <c r="U6" s="328"/>
      <c r="V6" s="328"/>
      <c r="W6" s="329"/>
    </row>
    <row r="7" spans="2:73">
      <c r="C7" s="318" t="s">
        <v>70</v>
      </c>
      <c r="D7" s="318"/>
      <c r="E7" s="318"/>
      <c r="F7" s="318"/>
      <c r="G7" s="318"/>
      <c r="H7" s="320">
        <v>26640</v>
      </c>
      <c r="I7" s="320"/>
      <c r="J7" s="320"/>
      <c r="K7" s="320"/>
      <c r="L7" s="320">
        <v>10320</v>
      </c>
      <c r="M7" s="320"/>
      <c r="N7" s="320"/>
      <c r="O7" s="320"/>
      <c r="P7" s="326">
        <v>0</v>
      </c>
      <c r="Q7" s="326"/>
      <c r="R7" s="326"/>
      <c r="S7" s="326"/>
      <c r="T7" s="320">
        <v>0</v>
      </c>
      <c r="U7" s="320"/>
      <c r="V7" s="320"/>
      <c r="W7" s="320"/>
    </row>
    <row r="8" spans="2:73">
      <c r="C8" s="318" t="s">
        <v>74</v>
      </c>
      <c r="D8" s="318"/>
      <c r="E8" s="318"/>
      <c r="F8" s="318"/>
      <c r="G8" s="318"/>
      <c r="H8" s="320">
        <v>670000</v>
      </c>
      <c r="I8" s="320"/>
      <c r="J8" s="320"/>
      <c r="K8" s="320"/>
      <c r="L8" s="320">
        <v>260000</v>
      </c>
      <c r="M8" s="320"/>
      <c r="N8" s="320"/>
      <c r="O8" s="320"/>
      <c r="P8" s="319">
        <v>30000</v>
      </c>
      <c r="Q8" s="319"/>
      <c r="R8" s="319"/>
      <c r="S8" s="319"/>
      <c r="T8" s="320">
        <v>170000</v>
      </c>
      <c r="U8" s="320"/>
      <c r="V8" s="320"/>
      <c r="W8" s="320"/>
    </row>
    <row r="9" spans="2:73">
      <c r="V9" s="312" t="s">
        <v>75</v>
      </c>
      <c r="W9" s="313"/>
      <c r="X9" s="313"/>
      <c r="Y9" s="313"/>
      <c r="Z9" s="313"/>
      <c r="AA9" s="313"/>
      <c r="AB9" s="313"/>
      <c r="AC9" s="313"/>
      <c r="AD9" s="313"/>
      <c r="AE9" s="313"/>
      <c r="AF9" s="313"/>
      <c r="AG9" s="313"/>
      <c r="AH9" s="313"/>
      <c r="AI9" s="313"/>
      <c r="AJ9" s="313"/>
      <c r="AK9" s="313"/>
      <c r="AL9" s="313"/>
      <c r="AM9" s="313"/>
      <c r="AN9" s="313"/>
      <c r="AO9" s="313"/>
      <c r="AP9" s="313"/>
      <c r="AQ9" s="313"/>
      <c r="AR9" s="313"/>
      <c r="AS9" s="313"/>
      <c r="AT9" s="313"/>
      <c r="AU9" s="313"/>
      <c r="AV9" s="313"/>
      <c r="AW9" s="313"/>
      <c r="AX9" s="313"/>
      <c r="AY9" s="313"/>
      <c r="AZ9" s="313"/>
      <c r="BA9" s="313"/>
      <c r="BB9" s="313"/>
      <c r="BC9" s="313"/>
      <c r="BD9" s="313"/>
      <c r="BE9" s="313"/>
      <c r="BF9" s="313"/>
      <c r="BG9" s="313"/>
      <c r="BH9" s="313"/>
      <c r="BI9" s="313"/>
      <c r="BJ9" s="313"/>
      <c r="BK9" s="313"/>
      <c r="BL9" s="313"/>
      <c r="BM9" s="313"/>
      <c r="BN9" s="313"/>
      <c r="BO9" s="313"/>
      <c r="BP9" s="313"/>
      <c r="BQ9" s="313"/>
      <c r="BR9" s="313"/>
      <c r="BS9" s="313"/>
      <c r="BT9" s="313"/>
      <c r="BU9" s="314"/>
    </row>
    <row r="10" spans="2:73">
      <c r="C10" s="146" t="s">
        <v>2</v>
      </c>
      <c r="D10" s="146"/>
      <c r="E10" s="146"/>
      <c r="F10" s="146"/>
      <c r="G10" s="146" t="s">
        <v>5</v>
      </c>
      <c r="H10" s="146"/>
      <c r="I10" s="146"/>
      <c r="J10" s="146" t="s">
        <v>12</v>
      </c>
      <c r="K10" s="146"/>
      <c r="L10" s="146"/>
      <c r="M10" s="146"/>
      <c r="N10" s="167" t="s">
        <v>14</v>
      </c>
      <c r="O10" s="146"/>
      <c r="P10" s="167" t="s">
        <v>15</v>
      </c>
      <c r="Q10" s="146"/>
      <c r="R10" s="268" t="s">
        <v>44</v>
      </c>
      <c r="S10" s="268"/>
      <c r="T10" s="268"/>
      <c r="U10" s="268"/>
      <c r="V10" s="268" t="s">
        <v>73</v>
      </c>
      <c r="W10" s="268"/>
      <c r="X10" s="268"/>
      <c r="Y10" s="268"/>
      <c r="Z10" s="268"/>
      <c r="AA10" s="268"/>
      <c r="AB10" s="268"/>
      <c r="AC10" s="268"/>
      <c r="AD10" s="268"/>
      <c r="AE10" s="268"/>
      <c r="AF10" s="268"/>
      <c r="AG10" s="268"/>
      <c r="AH10" s="268"/>
      <c r="AI10" s="268"/>
      <c r="AJ10" s="268"/>
      <c r="AK10" s="268"/>
      <c r="AL10" s="268"/>
      <c r="AM10" s="268"/>
      <c r="AN10" s="268"/>
      <c r="AO10" s="268"/>
      <c r="AP10" s="291" t="s">
        <v>77</v>
      </c>
      <c r="AQ10" s="342"/>
      <c r="AR10" s="342"/>
      <c r="AS10" s="342"/>
      <c r="AT10" s="342"/>
      <c r="AU10" s="342"/>
      <c r="AV10" s="342"/>
      <c r="AW10" s="342"/>
      <c r="AX10" s="342"/>
      <c r="AY10" s="342"/>
      <c r="AZ10" s="342"/>
      <c r="BA10" s="342"/>
      <c r="BB10" s="342"/>
      <c r="BC10" s="342"/>
      <c r="BD10" s="342"/>
      <c r="BE10" s="294"/>
      <c r="BF10" s="291" t="s">
        <v>181</v>
      </c>
      <c r="BG10" s="294"/>
      <c r="BH10" s="268" t="s">
        <v>80</v>
      </c>
      <c r="BI10" s="268"/>
      <c r="BJ10" s="268"/>
      <c r="BK10" s="268"/>
      <c r="BL10" s="268" t="s">
        <v>78</v>
      </c>
      <c r="BM10" s="268"/>
      <c r="BN10" s="268"/>
      <c r="BO10" s="268"/>
      <c r="BP10" s="267" t="s">
        <v>79</v>
      </c>
      <c r="BQ10" s="268"/>
      <c r="BR10" s="267" t="s">
        <v>81</v>
      </c>
      <c r="BS10" s="268"/>
      <c r="BT10" s="268"/>
      <c r="BU10" s="268"/>
    </row>
    <row r="11" spans="2:73">
      <c r="C11" s="146"/>
      <c r="D11" s="146"/>
      <c r="E11" s="146"/>
      <c r="F11" s="146"/>
      <c r="G11" s="146"/>
      <c r="H11" s="146"/>
      <c r="I11" s="146"/>
      <c r="J11" s="146"/>
      <c r="K11" s="146"/>
      <c r="L11" s="146"/>
      <c r="M11" s="146"/>
      <c r="N11" s="146"/>
      <c r="O11" s="146"/>
      <c r="P11" s="146"/>
      <c r="Q11" s="146"/>
      <c r="R11" s="268"/>
      <c r="S11" s="268"/>
      <c r="T11" s="268"/>
      <c r="U11" s="268"/>
      <c r="V11" s="268" t="s">
        <v>28</v>
      </c>
      <c r="W11" s="268"/>
      <c r="X11" s="268"/>
      <c r="Y11" s="268"/>
      <c r="Z11" s="268" t="s">
        <v>51</v>
      </c>
      <c r="AA11" s="268"/>
      <c r="AB11" s="268"/>
      <c r="AC11" s="268"/>
      <c r="AD11" s="268" t="s">
        <v>72</v>
      </c>
      <c r="AE11" s="268"/>
      <c r="AF11" s="268"/>
      <c r="AG11" s="268"/>
      <c r="AH11" s="344" t="s">
        <v>195</v>
      </c>
      <c r="AI11" s="344"/>
      <c r="AJ11" s="344"/>
      <c r="AK11" s="344"/>
      <c r="AL11" s="268" t="s">
        <v>71</v>
      </c>
      <c r="AM11" s="268"/>
      <c r="AN11" s="268"/>
      <c r="AO11" s="268"/>
      <c r="AP11" s="268" t="s">
        <v>28</v>
      </c>
      <c r="AQ11" s="268"/>
      <c r="AR11" s="268"/>
      <c r="AS11" s="268"/>
      <c r="AT11" s="268" t="s">
        <v>72</v>
      </c>
      <c r="AU11" s="268"/>
      <c r="AV11" s="268"/>
      <c r="AW11" s="268"/>
      <c r="AX11" s="344" t="s">
        <v>195</v>
      </c>
      <c r="AY11" s="344"/>
      <c r="AZ11" s="344"/>
      <c r="BA11" s="344"/>
      <c r="BB11" s="268" t="s">
        <v>71</v>
      </c>
      <c r="BC11" s="268"/>
      <c r="BD11" s="268"/>
      <c r="BE11" s="268"/>
      <c r="BF11" s="291" t="s">
        <v>182</v>
      </c>
      <c r="BG11" s="294"/>
      <c r="BH11" s="268"/>
      <c r="BI11" s="268"/>
      <c r="BJ11" s="268"/>
      <c r="BK11" s="268"/>
      <c r="BL11" s="268"/>
      <c r="BM11" s="268"/>
      <c r="BN11" s="268"/>
      <c r="BO11" s="268"/>
      <c r="BP11" s="268"/>
      <c r="BQ11" s="268"/>
      <c r="BR11" s="268"/>
      <c r="BS11" s="268"/>
      <c r="BT11" s="268"/>
      <c r="BU11" s="268"/>
    </row>
    <row r="12" spans="2:73">
      <c r="C12" s="2">
        <v>1</v>
      </c>
      <c r="D12" s="146" t="s">
        <v>3</v>
      </c>
      <c r="E12" s="146"/>
      <c r="F12" s="146"/>
      <c r="G12" s="292" t="str">
        <f>試算!F6</f>
        <v/>
      </c>
      <c r="H12" s="292"/>
      <c r="I12" s="292"/>
      <c r="J12" s="167" t="str">
        <f>試算!I6</f>
        <v/>
      </c>
      <c r="K12" s="167"/>
      <c r="L12" s="167"/>
      <c r="M12" s="167"/>
      <c r="N12" s="146">
        <f>試算!M6</f>
        <v>0</v>
      </c>
      <c r="O12" s="146"/>
      <c r="P12" s="146">
        <f>試算!O6</f>
        <v>0</v>
      </c>
      <c r="Q12" s="146"/>
      <c r="R12" s="263">
        <f>'総・軽減所得（給与所得者等人数）'!AB4</f>
        <v>0</v>
      </c>
      <c r="S12" s="263"/>
      <c r="T12" s="263"/>
      <c r="U12" s="263"/>
      <c r="V12" s="263">
        <f t="shared" ref="V12:V19" si="0">IF(G12="旧被扶養者",0,ROUNDDOWN(R12*$H$4/100,0))</f>
        <v>0</v>
      </c>
      <c r="W12" s="263"/>
      <c r="X12" s="263"/>
      <c r="Y12" s="263"/>
      <c r="Z12" s="268">
        <f>軽減区分算出!AT12</f>
        <v>70</v>
      </c>
      <c r="AA12" s="268"/>
      <c r="AB12" s="268"/>
      <c r="AC12" s="268"/>
      <c r="AD12" s="263">
        <f>IF(N12&gt;0,$H$5-ROUNDUP($H$5*Z12/100,0),0)-IF(G12="旧被扶養者",軽減区分算出!AO40,0)</f>
        <v>0</v>
      </c>
      <c r="AE12" s="263"/>
      <c r="AF12" s="263"/>
      <c r="AG12" s="263"/>
      <c r="AH12" s="307"/>
      <c r="AI12" s="307"/>
      <c r="AJ12" s="307"/>
      <c r="AK12" s="307"/>
      <c r="AL12" s="263">
        <f>IF($N$22="非該当",($H$7-ROUNDUP($H$7*Z12/100,0)),($H$7/2-ROUNDUP($H$7/2*Z12/100,0)))-軽減区分算出!AR40</f>
        <v>7992</v>
      </c>
      <c r="AM12" s="263"/>
      <c r="AN12" s="263"/>
      <c r="AO12" s="263"/>
      <c r="AP12" s="263">
        <f>ROUNDDOWN(V12*(N12-BF12)/12,0)</f>
        <v>0</v>
      </c>
      <c r="AQ12" s="263"/>
      <c r="AR12" s="263"/>
      <c r="AS12" s="263"/>
      <c r="AT12" s="263">
        <f>ROUNDDOWN(AD12*(N12-BF12)/12,0)-IF(J12="未就学児",((AD12*0.5)/12)*N12,0)</f>
        <v>0</v>
      </c>
      <c r="AU12" s="263"/>
      <c r="AV12" s="263"/>
      <c r="AW12" s="263"/>
      <c r="AX12" s="307"/>
      <c r="AY12" s="307"/>
      <c r="AZ12" s="307"/>
      <c r="BA12" s="307"/>
      <c r="BB12" s="263">
        <f>ROUNDDOWN(AL12*N20/12,0)</f>
        <v>0</v>
      </c>
      <c r="BC12" s="263"/>
      <c r="BD12" s="263"/>
      <c r="BE12" s="263"/>
      <c r="BF12" s="63">
        <f>試算!AK6</f>
        <v>0</v>
      </c>
      <c r="BG12" s="63">
        <f>試算!M6</f>
        <v>0</v>
      </c>
      <c r="BH12" s="333">
        <f>ROUNDDOWN(AP20+AT20+BB20,-1)</f>
        <v>0</v>
      </c>
      <c r="BI12" s="334"/>
      <c r="BJ12" s="334"/>
      <c r="BK12" s="335"/>
      <c r="BL12" s="343">
        <f>ROUNDDOWN(H8*N20/12,-1)</f>
        <v>0</v>
      </c>
      <c r="BM12" s="343"/>
      <c r="BN12" s="343"/>
      <c r="BO12" s="343"/>
      <c r="BP12" s="268" t="str">
        <f>IF(BH12&gt;BL12,"該当","非該当")</f>
        <v>非該当</v>
      </c>
      <c r="BQ12" s="268"/>
      <c r="BR12" s="333">
        <f>IF(BP12="非該当",BH12,BL12)</f>
        <v>0</v>
      </c>
      <c r="BS12" s="334"/>
      <c r="BT12" s="334"/>
      <c r="BU12" s="335"/>
    </row>
    <row r="13" spans="2:73">
      <c r="C13" s="2">
        <v>2</v>
      </c>
      <c r="D13" s="146" t="s">
        <v>4</v>
      </c>
      <c r="E13" s="146"/>
      <c r="F13" s="146"/>
      <c r="G13" s="292" t="str">
        <f>試算!F7</f>
        <v/>
      </c>
      <c r="H13" s="292"/>
      <c r="I13" s="292"/>
      <c r="J13" s="167" t="str">
        <f>試算!I7</f>
        <v/>
      </c>
      <c r="K13" s="167"/>
      <c r="L13" s="167"/>
      <c r="M13" s="167"/>
      <c r="N13" s="146">
        <f>試算!M7</f>
        <v>0</v>
      </c>
      <c r="O13" s="146"/>
      <c r="P13" s="146">
        <f>試算!O7</f>
        <v>0</v>
      </c>
      <c r="Q13" s="146"/>
      <c r="R13" s="263">
        <f>'総・軽減所得（給与所得者等人数）'!AB5</f>
        <v>0</v>
      </c>
      <c r="S13" s="263"/>
      <c r="T13" s="263"/>
      <c r="U13" s="263"/>
      <c r="V13" s="263">
        <f t="shared" si="0"/>
        <v>0</v>
      </c>
      <c r="W13" s="263"/>
      <c r="X13" s="263"/>
      <c r="Y13" s="263"/>
      <c r="Z13" s="268">
        <f>$Z$12</f>
        <v>70</v>
      </c>
      <c r="AA13" s="268"/>
      <c r="AB13" s="268"/>
      <c r="AC13" s="268"/>
      <c r="AD13" s="263">
        <f>IF(N13&gt;0,$H$5-ROUNDUP($H$5*Z13/100,0),0)-IF(G13="旧被扶養者",軽減区分算出!AO40,0)</f>
        <v>0</v>
      </c>
      <c r="AE13" s="263"/>
      <c r="AF13" s="263"/>
      <c r="AG13" s="263"/>
      <c r="AH13" s="307"/>
      <c r="AI13" s="307"/>
      <c r="AJ13" s="307"/>
      <c r="AK13" s="307"/>
      <c r="AL13" s="307"/>
      <c r="AM13" s="307"/>
      <c r="AN13" s="307"/>
      <c r="AO13" s="307"/>
      <c r="AP13" s="263">
        <f t="shared" ref="AP13:AP19" si="1">ROUNDDOWN(V13*(N13-BF13)/12,0)</f>
        <v>0</v>
      </c>
      <c r="AQ13" s="263"/>
      <c r="AR13" s="263"/>
      <c r="AS13" s="263"/>
      <c r="AT13" s="263">
        <f t="shared" ref="AT13:AT19" si="2">ROUNDDOWN(AD13*(N13-BF13)/12,0)-IF(J13="未就学児",((AD13*0.5)/12)*N13,0)</f>
        <v>0</v>
      </c>
      <c r="AU13" s="263"/>
      <c r="AV13" s="263"/>
      <c r="AW13" s="263"/>
      <c r="AX13" s="307"/>
      <c r="AY13" s="307"/>
      <c r="AZ13" s="307"/>
      <c r="BA13" s="307"/>
      <c r="BB13" s="307"/>
      <c r="BC13" s="307"/>
      <c r="BD13" s="307"/>
      <c r="BE13" s="307"/>
      <c r="BF13" s="63">
        <f>試算!AK7</f>
        <v>0</v>
      </c>
      <c r="BG13" s="63">
        <f>試算!M7</f>
        <v>0</v>
      </c>
      <c r="BH13" s="336"/>
      <c r="BI13" s="337"/>
      <c r="BJ13" s="337"/>
      <c r="BK13" s="338"/>
      <c r="BL13" s="343"/>
      <c r="BM13" s="343"/>
      <c r="BN13" s="343"/>
      <c r="BO13" s="343"/>
      <c r="BP13" s="268"/>
      <c r="BQ13" s="268"/>
      <c r="BR13" s="336"/>
      <c r="BS13" s="337"/>
      <c r="BT13" s="337"/>
      <c r="BU13" s="338"/>
    </row>
    <row r="14" spans="2:73">
      <c r="C14" s="2">
        <v>3</v>
      </c>
      <c r="D14" s="146" t="s">
        <v>4</v>
      </c>
      <c r="E14" s="146"/>
      <c r="F14" s="146"/>
      <c r="G14" s="292" t="str">
        <f>試算!F8</f>
        <v/>
      </c>
      <c r="H14" s="292"/>
      <c r="I14" s="292"/>
      <c r="J14" s="167" t="str">
        <f>試算!I8</f>
        <v/>
      </c>
      <c r="K14" s="167"/>
      <c r="L14" s="167"/>
      <c r="M14" s="167"/>
      <c r="N14" s="146">
        <f>試算!M8</f>
        <v>0</v>
      </c>
      <c r="O14" s="146"/>
      <c r="P14" s="146">
        <f>試算!O8</f>
        <v>0</v>
      </c>
      <c r="Q14" s="146"/>
      <c r="R14" s="263">
        <f>'総・軽減所得（給与所得者等人数）'!AB6</f>
        <v>0</v>
      </c>
      <c r="S14" s="263"/>
      <c r="T14" s="263"/>
      <c r="U14" s="263"/>
      <c r="V14" s="263">
        <f t="shared" si="0"/>
        <v>0</v>
      </c>
      <c r="W14" s="263"/>
      <c r="X14" s="263"/>
      <c r="Y14" s="263"/>
      <c r="Z14" s="268">
        <f t="shared" ref="Z14:Z19" si="3">$Z$12</f>
        <v>70</v>
      </c>
      <c r="AA14" s="268"/>
      <c r="AB14" s="268"/>
      <c r="AC14" s="268"/>
      <c r="AD14" s="263">
        <f>IF(N14&gt;0,$H$5-ROUNDUP($H$5*Z14/100,0),0)-IF(G14="旧被扶養者",軽減区分算出!AO40,0)</f>
        <v>0</v>
      </c>
      <c r="AE14" s="263"/>
      <c r="AF14" s="263"/>
      <c r="AG14" s="263"/>
      <c r="AH14" s="307"/>
      <c r="AI14" s="307"/>
      <c r="AJ14" s="307"/>
      <c r="AK14" s="307"/>
      <c r="AL14" s="307"/>
      <c r="AM14" s="307"/>
      <c r="AN14" s="307"/>
      <c r="AO14" s="307"/>
      <c r="AP14" s="263">
        <f t="shared" si="1"/>
        <v>0</v>
      </c>
      <c r="AQ14" s="263"/>
      <c r="AR14" s="263"/>
      <c r="AS14" s="263"/>
      <c r="AT14" s="263">
        <f t="shared" si="2"/>
        <v>0</v>
      </c>
      <c r="AU14" s="263"/>
      <c r="AV14" s="263"/>
      <c r="AW14" s="263"/>
      <c r="AX14" s="307"/>
      <c r="AY14" s="307"/>
      <c r="AZ14" s="307"/>
      <c r="BA14" s="307"/>
      <c r="BB14" s="307"/>
      <c r="BC14" s="307"/>
      <c r="BD14" s="307"/>
      <c r="BE14" s="307"/>
      <c r="BF14" s="63">
        <f>試算!AK8</f>
        <v>0</v>
      </c>
      <c r="BG14" s="63">
        <f>試算!M8</f>
        <v>0</v>
      </c>
      <c r="BH14" s="336"/>
      <c r="BI14" s="337"/>
      <c r="BJ14" s="337"/>
      <c r="BK14" s="338"/>
      <c r="BL14" s="343"/>
      <c r="BM14" s="343"/>
      <c r="BN14" s="343"/>
      <c r="BO14" s="343"/>
      <c r="BP14" s="268"/>
      <c r="BQ14" s="268"/>
      <c r="BR14" s="336"/>
      <c r="BS14" s="337"/>
      <c r="BT14" s="337"/>
      <c r="BU14" s="338"/>
    </row>
    <row r="15" spans="2:73">
      <c r="C15" s="2">
        <v>4</v>
      </c>
      <c r="D15" s="146" t="s">
        <v>4</v>
      </c>
      <c r="E15" s="146"/>
      <c r="F15" s="146"/>
      <c r="G15" s="292" t="str">
        <f>試算!F9</f>
        <v/>
      </c>
      <c r="H15" s="292"/>
      <c r="I15" s="292"/>
      <c r="J15" s="167" t="str">
        <f>試算!I9</f>
        <v/>
      </c>
      <c r="K15" s="167"/>
      <c r="L15" s="167"/>
      <c r="M15" s="167"/>
      <c r="N15" s="146">
        <f>試算!M9</f>
        <v>0</v>
      </c>
      <c r="O15" s="146"/>
      <c r="P15" s="146">
        <f>試算!O9</f>
        <v>0</v>
      </c>
      <c r="Q15" s="146"/>
      <c r="R15" s="263">
        <f>'総・軽減所得（給与所得者等人数）'!AB7</f>
        <v>0</v>
      </c>
      <c r="S15" s="263"/>
      <c r="T15" s="263"/>
      <c r="U15" s="263"/>
      <c r="V15" s="263">
        <f t="shared" si="0"/>
        <v>0</v>
      </c>
      <c r="W15" s="263"/>
      <c r="X15" s="263"/>
      <c r="Y15" s="263"/>
      <c r="Z15" s="268">
        <f t="shared" si="3"/>
        <v>70</v>
      </c>
      <c r="AA15" s="268"/>
      <c r="AB15" s="268"/>
      <c r="AC15" s="268"/>
      <c r="AD15" s="263">
        <f>IF(N15&gt;0,$H$5-ROUNDUP($H$5*Z15/100,0),0)-IF(G15="旧被扶養者",軽減区分算出!AO40,0)</f>
        <v>0</v>
      </c>
      <c r="AE15" s="263"/>
      <c r="AF15" s="263"/>
      <c r="AG15" s="263"/>
      <c r="AH15" s="307"/>
      <c r="AI15" s="307"/>
      <c r="AJ15" s="307"/>
      <c r="AK15" s="307"/>
      <c r="AL15" s="307"/>
      <c r="AM15" s="307"/>
      <c r="AN15" s="307"/>
      <c r="AO15" s="307"/>
      <c r="AP15" s="263">
        <f t="shared" si="1"/>
        <v>0</v>
      </c>
      <c r="AQ15" s="263"/>
      <c r="AR15" s="263"/>
      <c r="AS15" s="263"/>
      <c r="AT15" s="263">
        <f t="shared" si="2"/>
        <v>0</v>
      </c>
      <c r="AU15" s="263"/>
      <c r="AV15" s="263"/>
      <c r="AW15" s="263"/>
      <c r="AX15" s="307"/>
      <c r="AY15" s="307"/>
      <c r="AZ15" s="307"/>
      <c r="BA15" s="307"/>
      <c r="BB15" s="307"/>
      <c r="BC15" s="307"/>
      <c r="BD15" s="307"/>
      <c r="BE15" s="307"/>
      <c r="BF15" s="63">
        <f>試算!AK9</f>
        <v>0</v>
      </c>
      <c r="BG15" s="63">
        <f>試算!M9</f>
        <v>0</v>
      </c>
      <c r="BH15" s="336"/>
      <c r="BI15" s="337"/>
      <c r="BJ15" s="337"/>
      <c r="BK15" s="338"/>
      <c r="BL15" s="343"/>
      <c r="BM15" s="343"/>
      <c r="BN15" s="343"/>
      <c r="BO15" s="343"/>
      <c r="BP15" s="268"/>
      <c r="BQ15" s="268"/>
      <c r="BR15" s="336"/>
      <c r="BS15" s="337"/>
      <c r="BT15" s="337"/>
      <c r="BU15" s="338"/>
    </row>
    <row r="16" spans="2:73">
      <c r="C16" s="2">
        <v>5</v>
      </c>
      <c r="D16" s="146" t="s">
        <v>4</v>
      </c>
      <c r="E16" s="146"/>
      <c r="F16" s="146"/>
      <c r="G16" s="292" t="str">
        <f>試算!F10</f>
        <v/>
      </c>
      <c r="H16" s="292"/>
      <c r="I16" s="292"/>
      <c r="J16" s="167" t="str">
        <f>試算!I10</f>
        <v/>
      </c>
      <c r="K16" s="167"/>
      <c r="L16" s="167"/>
      <c r="M16" s="167"/>
      <c r="N16" s="146">
        <f>試算!M10</f>
        <v>0</v>
      </c>
      <c r="O16" s="146"/>
      <c r="P16" s="146">
        <f>試算!O10</f>
        <v>0</v>
      </c>
      <c r="Q16" s="146"/>
      <c r="R16" s="263">
        <f>'総・軽減所得（給与所得者等人数）'!AB8</f>
        <v>0</v>
      </c>
      <c r="S16" s="263"/>
      <c r="T16" s="263"/>
      <c r="U16" s="263"/>
      <c r="V16" s="263">
        <f t="shared" si="0"/>
        <v>0</v>
      </c>
      <c r="W16" s="263"/>
      <c r="X16" s="263"/>
      <c r="Y16" s="263"/>
      <c r="Z16" s="268">
        <f>$Z$12</f>
        <v>70</v>
      </c>
      <c r="AA16" s="268"/>
      <c r="AB16" s="268"/>
      <c r="AC16" s="268"/>
      <c r="AD16" s="263">
        <f>IF(N16&gt;0,$H$5-ROUNDUP($H$5*Z16/100,0),0)-IF(G16="旧被扶養者",軽減区分算出!AO40,0)</f>
        <v>0</v>
      </c>
      <c r="AE16" s="263"/>
      <c r="AF16" s="263"/>
      <c r="AG16" s="263"/>
      <c r="AH16" s="307"/>
      <c r="AI16" s="307"/>
      <c r="AJ16" s="307"/>
      <c r="AK16" s="307"/>
      <c r="AL16" s="307"/>
      <c r="AM16" s="307"/>
      <c r="AN16" s="307"/>
      <c r="AO16" s="307"/>
      <c r="AP16" s="263">
        <f t="shared" ref="AP16:AP18" si="4">ROUNDDOWN(V16*(N16-BF16)/12,0)</f>
        <v>0</v>
      </c>
      <c r="AQ16" s="263"/>
      <c r="AR16" s="263"/>
      <c r="AS16" s="263"/>
      <c r="AT16" s="263">
        <f t="shared" ref="AT16:AT18" si="5">ROUNDDOWN(AD16*(N16-BF16)/12,0)-IF(J16="未就学児",((AD16*0.5)/12)*N16,0)</f>
        <v>0</v>
      </c>
      <c r="AU16" s="263"/>
      <c r="AV16" s="263"/>
      <c r="AW16" s="263"/>
      <c r="AX16" s="307"/>
      <c r="AY16" s="307"/>
      <c r="AZ16" s="307"/>
      <c r="BA16" s="307"/>
      <c r="BB16" s="307"/>
      <c r="BC16" s="307"/>
      <c r="BD16" s="307"/>
      <c r="BE16" s="307"/>
      <c r="BF16" s="63">
        <f>試算!AK10</f>
        <v>0</v>
      </c>
      <c r="BG16" s="63">
        <f>試算!M10</f>
        <v>0</v>
      </c>
      <c r="BH16" s="336"/>
      <c r="BI16" s="337"/>
      <c r="BJ16" s="337"/>
      <c r="BK16" s="338"/>
      <c r="BL16" s="343"/>
      <c r="BM16" s="343"/>
      <c r="BN16" s="343"/>
      <c r="BO16" s="343"/>
      <c r="BP16" s="268"/>
      <c r="BQ16" s="268"/>
      <c r="BR16" s="336"/>
      <c r="BS16" s="337"/>
      <c r="BT16" s="337"/>
      <c r="BU16" s="338"/>
    </row>
    <row r="17" spans="3:73">
      <c r="C17" s="2">
        <v>6</v>
      </c>
      <c r="D17" s="146" t="s">
        <v>4</v>
      </c>
      <c r="E17" s="146"/>
      <c r="F17" s="146"/>
      <c r="G17" s="292">
        <f>試算!F11</f>
        <v>0</v>
      </c>
      <c r="H17" s="292"/>
      <c r="I17" s="292"/>
      <c r="J17" s="167">
        <f>試算!I11</f>
        <v>0</v>
      </c>
      <c r="K17" s="167"/>
      <c r="L17" s="167"/>
      <c r="M17" s="167"/>
      <c r="N17" s="146">
        <f>試算!M11</f>
        <v>0</v>
      </c>
      <c r="O17" s="146"/>
      <c r="P17" s="146">
        <f>試算!O11</f>
        <v>0</v>
      </c>
      <c r="Q17" s="146"/>
      <c r="R17" s="263">
        <f>'総・軽減所得（給与所得者等人数）'!AB9</f>
        <v>0</v>
      </c>
      <c r="S17" s="263"/>
      <c r="T17" s="263"/>
      <c r="U17" s="263"/>
      <c r="V17" s="263">
        <f t="shared" si="0"/>
        <v>0</v>
      </c>
      <c r="W17" s="263"/>
      <c r="X17" s="263"/>
      <c r="Y17" s="263"/>
      <c r="Z17" s="268">
        <f t="shared" si="3"/>
        <v>70</v>
      </c>
      <c r="AA17" s="268"/>
      <c r="AB17" s="268"/>
      <c r="AC17" s="268"/>
      <c r="AD17" s="263">
        <f>IF(N17&gt;0,$H$5-ROUNDUP($H$5*Z17/100,0),0)-IF(G17="旧被扶養者",軽減区分算出!AO40,0)</f>
        <v>0</v>
      </c>
      <c r="AE17" s="263"/>
      <c r="AF17" s="263"/>
      <c r="AG17" s="263"/>
      <c r="AH17" s="307"/>
      <c r="AI17" s="307"/>
      <c r="AJ17" s="307"/>
      <c r="AK17" s="307"/>
      <c r="AL17" s="307"/>
      <c r="AM17" s="307"/>
      <c r="AN17" s="307"/>
      <c r="AO17" s="307"/>
      <c r="AP17" s="263">
        <f t="shared" si="4"/>
        <v>0</v>
      </c>
      <c r="AQ17" s="263"/>
      <c r="AR17" s="263"/>
      <c r="AS17" s="263"/>
      <c r="AT17" s="263">
        <f t="shared" si="5"/>
        <v>0</v>
      </c>
      <c r="AU17" s="263"/>
      <c r="AV17" s="263"/>
      <c r="AW17" s="263"/>
      <c r="AX17" s="307"/>
      <c r="AY17" s="307"/>
      <c r="AZ17" s="307"/>
      <c r="BA17" s="307"/>
      <c r="BB17" s="307"/>
      <c r="BC17" s="307"/>
      <c r="BD17" s="307"/>
      <c r="BE17" s="307"/>
      <c r="BF17" s="63">
        <f>試算!AK11</f>
        <v>0</v>
      </c>
      <c r="BG17" s="63">
        <f>試算!M11</f>
        <v>0</v>
      </c>
      <c r="BH17" s="336"/>
      <c r="BI17" s="337"/>
      <c r="BJ17" s="337"/>
      <c r="BK17" s="338"/>
      <c r="BL17" s="343"/>
      <c r="BM17" s="343"/>
      <c r="BN17" s="343"/>
      <c r="BO17" s="343"/>
      <c r="BP17" s="268"/>
      <c r="BQ17" s="268"/>
      <c r="BR17" s="336"/>
      <c r="BS17" s="337"/>
      <c r="BT17" s="337"/>
      <c r="BU17" s="338"/>
    </row>
    <row r="18" spans="3:73">
      <c r="C18" s="2">
        <v>7</v>
      </c>
      <c r="D18" s="146" t="s">
        <v>4</v>
      </c>
      <c r="E18" s="146"/>
      <c r="F18" s="146"/>
      <c r="G18" s="292">
        <f>試算!F12</f>
        <v>0</v>
      </c>
      <c r="H18" s="292"/>
      <c r="I18" s="292"/>
      <c r="J18" s="167">
        <f>試算!I12</f>
        <v>0</v>
      </c>
      <c r="K18" s="167"/>
      <c r="L18" s="167"/>
      <c r="M18" s="167"/>
      <c r="N18" s="146">
        <f>試算!M12</f>
        <v>0</v>
      </c>
      <c r="O18" s="146"/>
      <c r="P18" s="146">
        <f>試算!O12</f>
        <v>0</v>
      </c>
      <c r="Q18" s="146"/>
      <c r="R18" s="263">
        <f>'総・軽減所得（給与所得者等人数）'!AB10</f>
        <v>0</v>
      </c>
      <c r="S18" s="263"/>
      <c r="T18" s="263"/>
      <c r="U18" s="263"/>
      <c r="V18" s="263">
        <f t="shared" si="0"/>
        <v>0</v>
      </c>
      <c r="W18" s="263"/>
      <c r="X18" s="263"/>
      <c r="Y18" s="263"/>
      <c r="Z18" s="268">
        <f t="shared" si="3"/>
        <v>70</v>
      </c>
      <c r="AA18" s="268"/>
      <c r="AB18" s="268"/>
      <c r="AC18" s="268"/>
      <c r="AD18" s="263">
        <f>IF(N18&gt;0,$H$5-ROUNDUP($H$5*Z18/100,0),0)-IF(G18="旧被扶養者",軽減区分算出!AO40,0)</f>
        <v>0</v>
      </c>
      <c r="AE18" s="263"/>
      <c r="AF18" s="263"/>
      <c r="AG18" s="263"/>
      <c r="AH18" s="307"/>
      <c r="AI18" s="307"/>
      <c r="AJ18" s="307"/>
      <c r="AK18" s="307"/>
      <c r="AL18" s="307"/>
      <c r="AM18" s="307"/>
      <c r="AN18" s="307"/>
      <c r="AO18" s="307"/>
      <c r="AP18" s="263">
        <f t="shared" si="4"/>
        <v>0</v>
      </c>
      <c r="AQ18" s="263"/>
      <c r="AR18" s="263"/>
      <c r="AS18" s="263"/>
      <c r="AT18" s="263">
        <f t="shared" si="5"/>
        <v>0</v>
      </c>
      <c r="AU18" s="263"/>
      <c r="AV18" s="263"/>
      <c r="AW18" s="263"/>
      <c r="AX18" s="307"/>
      <c r="AY18" s="307"/>
      <c r="AZ18" s="307"/>
      <c r="BA18" s="307"/>
      <c r="BB18" s="307"/>
      <c r="BC18" s="307"/>
      <c r="BD18" s="307"/>
      <c r="BE18" s="307"/>
      <c r="BF18" s="63">
        <f>試算!AK12</f>
        <v>0</v>
      </c>
      <c r="BG18" s="63">
        <f>試算!M12</f>
        <v>0</v>
      </c>
      <c r="BH18" s="336"/>
      <c r="BI18" s="337"/>
      <c r="BJ18" s="337"/>
      <c r="BK18" s="338"/>
      <c r="BL18" s="343"/>
      <c r="BM18" s="343"/>
      <c r="BN18" s="343"/>
      <c r="BO18" s="343"/>
      <c r="BP18" s="268"/>
      <c r="BQ18" s="268"/>
      <c r="BR18" s="336"/>
      <c r="BS18" s="337"/>
      <c r="BT18" s="337"/>
      <c r="BU18" s="338"/>
    </row>
    <row r="19" spans="3:73">
      <c r="C19" s="2">
        <v>8</v>
      </c>
      <c r="D19" s="146" t="s">
        <v>4</v>
      </c>
      <c r="E19" s="146"/>
      <c r="F19" s="146"/>
      <c r="G19" s="292">
        <f>試算!F13</f>
        <v>0</v>
      </c>
      <c r="H19" s="292"/>
      <c r="I19" s="292"/>
      <c r="J19" s="167">
        <f>試算!I13</f>
        <v>0</v>
      </c>
      <c r="K19" s="167"/>
      <c r="L19" s="167"/>
      <c r="M19" s="167"/>
      <c r="N19" s="146">
        <f>試算!M13</f>
        <v>0</v>
      </c>
      <c r="O19" s="146"/>
      <c r="P19" s="146">
        <f>試算!O13</f>
        <v>0</v>
      </c>
      <c r="Q19" s="146"/>
      <c r="R19" s="263">
        <f>'総・軽減所得（給与所得者等人数）'!AB11</f>
        <v>0</v>
      </c>
      <c r="S19" s="263"/>
      <c r="T19" s="263"/>
      <c r="U19" s="263"/>
      <c r="V19" s="263">
        <f t="shared" si="0"/>
        <v>0</v>
      </c>
      <c r="W19" s="263"/>
      <c r="X19" s="263"/>
      <c r="Y19" s="263"/>
      <c r="Z19" s="268">
        <f t="shared" si="3"/>
        <v>70</v>
      </c>
      <c r="AA19" s="268"/>
      <c r="AB19" s="268"/>
      <c r="AC19" s="268"/>
      <c r="AD19" s="263">
        <f>IF(N19&gt;0,$H$5-ROUNDUP($H$5*Z19/100,0),0)-IF(G19="旧被扶養者",軽減区分算出!AO40,0)</f>
        <v>0</v>
      </c>
      <c r="AE19" s="263"/>
      <c r="AF19" s="263"/>
      <c r="AG19" s="263"/>
      <c r="AH19" s="307"/>
      <c r="AI19" s="307"/>
      <c r="AJ19" s="307"/>
      <c r="AK19" s="307"/>
      <c r="AL19" s="307"/>
      <c r="AM19" s="307"/>
      <c r="AN19" s="307"/>
      <c r="AO19" s="307"/>
      <c r="AP19" s="263">
        <f t="shared" si="1"/>
        <v>0</v>
      </c>
      <c r="AQ19" s="263"/>
      <c r="AR19" s="263"/>
      <c r="AS19" s="263"/>
      <c r="AT19" s="263">
        <f t="shared" si="2"/>
        <v>0</v>
      </c>
      <c r="AU19" s="263"/>
      <c r="AV19" s="263"/>
      <c r="AW19" s="263"/>
      <c r="AX19" s="307"/>
      <c r="AY19" s="307"/>
      <c r="AZ19" s="307"/>
      <c r="BA19" s="307"/>
      <c r="BB19" s="307"/>
      <c r="BC19" s="307"/>
      <c r="BD19" s="307"/>
      <c r="BE19" s="307"/>
      <c r="BF19" s="62">
        <f>試算!AK13</f>
        <v>0</v>
      </c>
      <c r="BG19" s="62">
        <f>試算!M13</f>
        <v>0</v>
      </c>
      <c r="BH19" s="339"/>
      <c r="BI19" s="340"/>
      <c r="BJ19" s="340"/>
      <c r="BK19" s="341"/>
      <c r="BL19" s="343"/>
      <c r="BM19" s="343"/>
      <c r="BN19" s="343"/>
      <c r="BO19" s="343"/>
      <c r="BP19" s="268"/>
      <c r="BQ19" s="268"/>
      <c r="BR19" s="339"/>
      <c r="BS19" s="340"/>
      <c r="BT19" s="340"/>
      <c r="BU19" s="341"/>
    </row>
    <row r="20" spans="3:73">
      <c r="M20" s="5" t="s">
        <v>76</v>
      </c>
      <c r="N20" s="268">
        <f>MAX(N12:O19)</f>
        <v>0</v>
      </c>
      <c r="O20" s="268"/>
      <c r="P20" s="268">
        <f>MAX(P12:Q19)</f>
        <v>0</v>
      </c>
      <c r="Q20" s="268"/>
      <c r="V20" s="308">
        <f>SUM(V12:Y19)</f>
        <v>0</v>
      </c>
      <c r="W20" s="309"/>
      <c r="X20" s="309"/>
      <c r="Y20" s="309"/>
      <c r="AD20" s="308">
        <f>SUM(AD12:AG19)</f>
        <v>0</v>
      </c>
      <c r="AE20" s="309"/>
      <c r="AF20" s="309"/>
      <c r="AG20" s="309"/>
      <c r="AH20" s="308">
        <f>SUM(AH12:AK19)</f>
        <v>0</v>
      </c>
      <c r="AI20" s="309"/>
      <c r="AJ20" s="309"/>
      <c r="AK20" s="309"/>
      <c r="AL20" s="308">
        <f>SUM(AL12:AO19)</f>
        <v>7992</v>
      </c>
      <c r="AM20" s="309"/>
      <c r="AN20" s="309"/>
      <c r="AO20" s="309"/>
      <c r="AP20" s="308">
        <f>SUM(AP12:AS19)</f>
        <v>0</v>
      </c>
      <c r="AQ20" s="309"/>
      <c r="AR20" s="309"/>
      <c r="AS20" s="309"/>
      <c r="AT20" s="308">
        <f>SUM(AT12:AW19)</f>
        <v>0</v>
      </c>
      <c r="AU20" s="309"/>
      <c r="AV20" s="309"/>
      <c r="AW20" s="309"/>
      <c r="AX20" s="308">
        <f>SUM(AX12:BA19)</f>
        <v>0</v>
      </c>
      <c r="AY20" s="309"/>
      <c r="AZ20" s="309"/>
      <c r="BA20" s="309"/>
      <c r="BB20" s="308">
        <f>SUM(BB12:BE19)</f>
        <v>0</v>
      </c>
      <c r="BC20" s="309"/>
      <c r="BD20" s="309"/>
      <c r="BE20" s="309"/>
      <c r="BF20" s="64"/>
      <c r="BG20" s="64"/>
      <c r="BH20" s="5"/>
      <c r="BI20" s="5"/>
      <c r="BJ20" s="5"/>
      <c r="BK20" s="5"/>
    </row>
    <row r="22" spans="3:73">
      <c r="J22" s="268" t="s">
        <v>83</v>
      </c>
      <c r="K22" s="268"/>
      <c r="L22" s="268"/>
      <c r="M22" s="268"/>
      <c r="N22" s="268" t="str">
        <f>軽減区分算出!AO14</f>
        <v>非該当</v>
      </c>
      <c r="O22" s="268"/>
      <c r="P22" s="268"/>
      <c r="Q22" s="268"/>
      <c r="V22" s="312" t="s">
        <v>205</v>
      </c>
      <c r="W22" s="313"/>
      <c r="X22" s="313"/>
      <c r="Y22" s="313"/>
      <c r="Z22" s="313"/>
      <c r="AA22" s="313"/>
      <c r="AB22" s="313"/>
      <c r="AC22" s="313"/>
      <c r="AD22" s="313"/>
      <c r="AE22" s="313"/>
      <c r="AF22" s="313"/>
      <c r="AG22" s="313"/>
      <c r="AH22" s="313"/>
      <c r="AI22" s="313"/>
      <c r="AJ22" s="313"/>
      <c r="AK22" s="313"/>
      <c r="AL22" s="313"/>
      <c r="AM22" s="313"/>
      <c r="AN22" s="313"/>
      <c r="AO22" s="313"/>
      <c r="AP22" s="313"/>
      <c r="AQ22" s="313"/>
      <c r="AR22" s="313"/>
      <c r="AS22" s="313"/>
      <c r="AT22" s="313"/>
      <c r="AU22" s="313"/>
      <c r="AV22" s="313"/>
      <c r="AW22" s="313"/>
      <c r="AX22" s="313"/>
      <c r="AY22" s="313"/>
      <c r="AZ22" s="313"/>
      <c r="BA22" s="313"/>
      <c r="BB22" s="313"/>
      <c r="BC22" s="313"/>
      <c r="BD22" s="313"/>
      <c r="BE22" s="313"/>
      <c r="BF22" s="313"/>
      <c r="BG22" s="313"/>
      <c r="BH22" s="313"/>
      <c r="BI22" s="313"/>
      <c r="BJ22" s="313"/>
      <c r="BK22" s="313"/>
      <c r="BL22" s="313"/>
      <c r="BM22" s="313"/>
      <c r="BN22" s="313"/>
      <c r="BO22" s="313"/>
      <c r="BP22" s="313"/>
      <c r="BQ22" s="313"/>
      <c r="BR22" s="313"/>
      <c r="BS22" s="313"/>
      <c r="BT22" s="313"/>
      <c r="BU22" s="314"/>
    </row>
    <row r="23" spans="3:73">
      <c r="J23" s="268" t="s">
        <v>111</v>
      </c>
      <c r="K23" s="268"/>
      <c r="L23" s="268"/>
      <c r="M23" s="268"/>
      <c r="N23" s="268" t="str">
        <f>軽減区分算出!AO23</f>
        <v>減免なし</v>
      </c>
      <c r="O23" s="268"/>
      <c r="P23" s="268"/>
      <c r="Q23" s="268"/>
      <c r="V23" s="268" t="s">
        <v>73</v>
      </c>
      <c r="W23" s="268"/>
      <c r="X23" s="268"/>
      <c r="Y23" s="268"/>
      <c r="Z23" s="268"/>
      <c r="AA23" s="268"/>
      <c r="AB23" s="268"/>
      <c r="AC23" s="268"/>
      <c r="AD23" s="268"/>
      <c r="AE23" s="268"/>
      <c r="AF23" s="268"/>
      <c r="AG23" s="268"/>
      <c r="AH23" s="268"/>
      <c r="AI23" s="268"/>
      <c r="AJ23" s="268"/>
      <c r="AK23" s="268"/>
      <c r="AL23" s="268"/>
      <c r="AM23" s="268"/>
      <c r="AN23" s="268"/>
      <c r="AO23" s="268"/>
      <c r="AP23" s="291" t="s">
        <v>77</v>
      </c>
      <c r="AQ23" s="342"/>
      <c r="AR23" s="342"/>
      <c r="AS23" s="342"/>
      <c r="AT23" s="342"/>
      <c r="AU23" s="342"/>
      <c r="AV23" s="342"/>
      <c r="AW23" s="342"/>
      <c r="AX23" s="342"/>
      <c r="AY23" s="342"/>
      <c r="AZ23" s="342"/>
      <c r="BA23" s="342"/>
      <c r="BB23" s="342"/>
      <c r="BC23" s="342"/>
      <c r="BD23" s="342"/>
      <c r="BE23" s="294"/>
      <c r="BF23" s="291" t="s">
        <v>181</v>
      </c>
      <c r="BG23" s="294"/>
      <c r="BH23" s="268" t="s">
        <v>80</v>
      </c>
      <c r="BI23" s="268"/>
      <c r="BJ23" s="268"/>
      <c r="BK23" s="268"/>
      <c r="BL23" s="268" t="s">
        <v>78</v>
      </c>
      <c r="BM23" s="268"/>
      <c r="BN23" s="268"/>
      <c r="BO23" s="268"/>
      <c r="BP23" s="267" t="s">
        <v>79</v>
      </c>
      <c r="BQ23" s="268"/>
      <c r="BR23" s="267" t="s">
        <v>81</v>
      </c>
      <c r="BS23" s="268"/>
      <c r="BT23" s="268"/>
      <c r="BU23" s="268"/>
    </row>
    <row r="24" spans="3:73">
      <c r="V24" s="268" t="s">
        <v>28</v>
      </c>
      <c r="W24" s="268"/>
      <c r="X24" s="268"/>
      <c r="Y24" s="268"/>
      <c r="Z24" s="268" t="s">
        <v>51</v>
      </c>
      <c r="AA24" s="268"/>
      <c r="AB24" s="268"/>
      <c r="AC24" s="268"/>
      <c r="AD24" s="268" t="s">
        <v>72</v>
      </c>
      <c r="AE24" s="268"/>
      <c r="AF24" s="268"/>
      <c r="AG24" s="268"/>
      <c r="AH24" s="344" t="s">
        <v>195</v>
      </c>
      <c r="AI24" s="344"/>
      <c r="AJ24" s="344"/>
      <c r="AK24" s="344"/>
      <c r="AL24" s="268" t="s">
        <v>71</v>
      </c>
      <c r="AM24" s="268"/>
      <c r="AN24" s="268"/>
      <c r="AO24" s="268"/>
      <c r="AP24" s="268" t="s">
        <v>28</v>
      </c>
      <c r="AQ24" s="268"/>
      <c r="AR24" s="268"/>
      <c r="AS24" s="268"/>
      <c r="AT24" s="268" t="s">
        <v>72</v>
      </c>
      <c r="AU24" s="268"/>
      <c r="AV24" s="268"/>
      <c r="AW24" s="268"/>
      <c r="AX24" s="344" t="s">
        <v>195</v>
      </c>
      <c r="AY24" s="344"/>
      <c r="AZ24" s="344"/>
      <c r="BA24" s="344"/>
      <c r="BB24" s="268" t="s">
        <v>71</v>
      </c>
      <c r="BC24" s="268"/>
      <c r="BD24" s="268"/>
      <c r="BE24" s="268"/>
      <c r="BF24" s="291" t="s">
        <v>182</v>
      </c>
      <c r="BG24" s="294"/>
      <c r="BH24" s="268"/>
      <c r="BI24" s="268"/>
      <c r="BJ24" s="268"/>
      <c r="BK24" s="268"/>
      <c r="BL24" s="268"/>
      <c r="BM24" s="268"/>
      <c r="BN24" s="268"/>
      <c r="BO24" s="268"/>
      <c r="BP24" s="268"/>
      <c r="BQ24" s="268"/>
      <c r="BR24" s="268"/>
      <c r="BS24" s="268"/>
      <c r="BT24" s="268"/>
      <c r="BU24" s="268"/>
    </row>
    <row r="25" spans="3:73">
      <c r="V25" s="263">
        <f>IF(G12="旧被扶養者",0,ROUNDDOWN(R12*$L$4/100,0))</f>
        <v>0</v>
      </c>
      <c r="W25" s="263"/>
      <c r="X25" s="263"/>
      <c r="Y25" s="263"/>
      <c r="Z25" s="268">
        <f>$Z$12</f>
        <v>70</v>
      </c>
      <c r="AA25" s="268"/>
      <c r="AB25" s="268"/>
      <c r="AC25" s="268"/>
      <c r="AD25" s="263">
        <f>IF(N12&gt;0,$L$5-ROUNDUP($L$5*Z25/100,0),0)-IF(G12="旧被扶養者",軽減区分算出!AU40,0)</f>
        <v>0</v>
      </c>
      <c r="AE25" s="263"/>
      <c r="AF25" s="263"/>
      <c r="AG25" s="263"/>
      <c r="AH25" s="307"/>
      <c r="AI25" s="307"/>
      <c r="AJ25" s="307"/>
      <c r="AK25" s="307"/>
      <c r="AL25" s="263">
        <f>IF($N$22="非該当",($L$7-ROUNDUP($L$7*Z25/100,0)),($L$7/2-ROUNDUP($L$7/2*Z25/100,0)))-軽減区分算出!AX40</f>
        <v>3096</v>
      </c>
      <c r="AM25" s="263"/>
      <c r="AN25" s="263"/>
      <c r="AO25" s="263"/>
      <c r="AP25" s="263">
        <f>ROUNDDOWN(V25*(N12-BF25)/12,0)</f>
        <v>0</v>
      </c>
      <c r="AQ25" s="263"/>
      <c r="AR25" s="263"/>
      <c r="AS25" s="263"/>
      <c r="AT25" s="299">
        <f>ROUNDDOWN(AD25*(N12-BF25)/12,0)-IF(J12="未就学児",((AD25*0.5)/12)*N12,0)</f>
        <v>0</v>
      </c>
      <c r="AU25" s="310"/>
      <c r="AV25" s="310"/>
      <c r="AW25" s="311"/>
      <c r="AX25" s="307"/>
      <c r="AY25" s="307"/>
      <c r="AZ25" s="307"/>
      <c r="BA25" s="307"/>
      <c r="BB25" s="263">
        <f>ROUNDDOWN(AL25*N20/12,0)</f>
        <v>0</v>
      </c>
      <c r="BC25" s="263"/>
      <c r="BD25" s="263"/>
      <c r="BE25" s="263"/>
      <c r="BF25" s="63">
        <f>試算!AK6</f>
        <v>0</v>
      </c>
      <c r="BG25" s="63">
        <f>試算!M6</f>
        <v>0</v>
      </c>
      <c r="BH25" s="333">
        <f>ROUNDDOWN(AP33+AT33+BB33,-1)</f>
        <v>0</v>
      </c>
      <c r="BI25" s="334"/>
      <c r="BJ25" s="334"/>
      <c r="BK25" s="335"/>
      <c r="BL25" s="343">
        <f>ROUNDDOWN(L8*N20/12,-1)</f>
        <v>0</v>
      </c>
      <c r="BM25" s="343"/>
      <c r="BN25" s="343"/>
      <c r="BO25" s="343"/>
      <c r="BP25" s="268" t="str">
        <f>IF(BH25&gt;BL25,"該当","非該当")</f>
        <v>非該当</v>
      </c>
      <c r="BQ25" s="268"/>
      <c r="BR25" s="333">
        <f>IF(BP25="非該当",BH25,BL25)</f>
        <v>0</v>
      </c>
      <c r="BS25" s="334"/>
      <c r="BT25" s="334"/>
      <c r="BU25" s="335"/>
    </row>
    <row r="26" spans="3:73">
      <c r="V26" s="263">
        <f t="shared" ref="V26:V32" si="6">IF(G13="旧被扶養者",0,ROUNDDOWN(R13*$L$4/100,0))</f>
        <v>0</v>
      </c>
      <c r="W26" s="263"/>
      <c r="X26" s="263"/>
      <c r="Y26" s="263"/>
      <c r="Z26" s="268">
        <f>$Z$12</f>
        <v>70</v>
      </c>
      <c r="AA26" s="268"/>
      <c r="AB26" s="268"/>
      <c r="AC26" s="268"/>
      <c r="AD26" s="263">
        <f>IF(N13&gt;0,$L$5-ROUNDUP($L$5*Z26/100,0),0)-IF(G13="旧被扶養者",軽減区分算出!AU40,0)</f>
        <v>0</v>
      </c>
      <c r="AE26" s="263"/>
      <c r="AF26" s="263"/>
      <c r="AG26" s="263"/>
      <c r="AH26" s="307"/>
      <c r="AI26" s="307"/>
      <c r="AJ26" s="307"/>
      <c r="AK26" s="307"/>
      <c r="AL26" s="307"/>
      <c r="AM26" s="307"/>
      <c r="AN26" s="307"/>
      <c r="AO26" s="307"/>
      <c r="AP26" s="263">
        <f t="shared" ref="AP26:AP31" si="7">ROUNDDOWN(V26*(N13-BF26)/12,0)</f>
        <v>0</v>
      </c>
      <c r="AQ26" s="263"/>
      <c r="AR26" s="263"/>
      <c r="AS26" s="263"/>
      <c r="AT26" s="299">
        <f>ROUNDDOWN(AD26*(N13-BF26)/12,0)-IF(J13="未就学児",((AD26*0.5)/12)*N13,0)</f>
        <v>0</v>
      </c>
      <c r="AU26" s="310"/>
      <c r="AV26" s="310"/>
      <c r="AW26" s="311"/>
      <c r="AX26" s="307"/>
      <c r="AY26" s="307"/>
      <c r="AZ26" s="307"/>
      <c r="BA26" s="307"/>
      <c r="BB26" s="307"/>
      <c r="BC26" s="307"/>
      <c r="BD26" s="307"/>
      <c r="BE26" s="307"/>
      <c r="BF26" s="63">
        <f>試算!AK7</f>
        <v>0</v>
      </c>
      <c r="BG26" s="63">
        <f>試算!M7</f>
        <v>0</v>
      </c>
      <c r="BH26" s="336"/>
      <c r="BI26" s="337"/>
      <c r="BJ26" s="337"/>
      <c r="BK26" s="338"/>
      <c r="BL26" s="343"/>
      <c r="BM26" s="343"/>
      <c r="BN26" s="343"/>
      <c r="BO26" s="343"/>
      <c r="BP26" s="268"/>
      <c r="BQ26" s="268"/>
      <c r="BR26" s="336"/>
      <c r="BS26" s="337"/>
      <c r="BT26" s="337"/>
      <c r="BU26" s="338"/>
    </row>
    <row r="27" spans="3:73">
      <c r="V27" s="263">
        <f t="shared" si="6"/>
        <v>0</v>
      </c>
      <c r="W27" s="263"/>
      <c r="X27" s="263"/>
      <c r="Y27" s="263"/>
      <c r="Z27" s="268">
        <f t="shared" ref="Z27:Z32" si="8">$Z$12</f>
        <v>70</v>
      </c>
      <c r="AA27" s="268"/>
      <c r="AB27" s="268"/>
      <c r="AC27" s="268"/>
      <c r="AD27" s="263">
        <f>IF(N14&gt;0,$L$5-ROUNDUP($L$5*Z27/100,0),0)-IF(G14="旧被扶養者",軽減区分算出!AU40,0)</f>
        <v>0</v>
      </c>
      <c r="AE27" s="263"/>
      <c r="AF27" s="263"/>
      <c r="AG27" s="263"/>
      <c r="AH27" s="307"/>
      <c r="AI27" s="307"/>
      <c r="AJ27" s="307"/>
      <c r="AK27" s="307"/>
      <c r="AL27" s="307"/>
      <c r="AM27" s="307"/>
      <c r="AN27" s="307"/>
      <c r="AO27" s="307"/>
      <c r="AP27" s="263">
        <f t="shared" si="7"/>
        <v>0</v>
      </c>
      <c r="AQ27" s="263"/>
      <c r="AR27" s="263"/>
      <c r="AS27" s="263"/>
      <c r="AT27" s="299">
        <f t="shared" ref="AT27:AT31" si="9">ROUNDDOWN(AD27*(N14-BF27)/12,0)-IF(J14="未就学児",((AD27*0.5)/12)*N14,0)</f>
        <v>0</v>
      </c>
      <c r="AU27" s="310"/>
      <c r="AV27" s="310"/>
      <c r="AW27" s="311"/>
      <c r="AX27" s="307"/>
      <c r="AY27" s="307"/>
      <c r="AZ27" s="307"/>
      <c r="BA27" s="307"/>
      <c r="BB27" s="307"/>
      <c r="BC27" s="307"/>
      <c r="BD27" s="307"/>
      <c r="BE27" s="307"/>
      <c r="BF27" s="63">
        <f>試算!AK8</f>
        <v>0</v>
      </c>
      <c r="BG27" s="63">
        <f>試算!M8</f>
        <v>0</v>
      </c>
      <c r="BH27" s="336"/>
      <c r="BI27" s="337"/>
      <c r="BJ27" s="337"/>
      <c r="BK27" s="338"/>
      <c r="BL27" s="343"/>
      <c r="BM27" s="343"/>
      <c r="BN27" s="343"/>
      <c r="BO27" s="343"/>
      <c r="BP27" s="268"/>
      <c r="BQ27" s="268"/>
      <c r="BR27" s="336"/>
      <c r="BS27" s="337"/>
      <c r="BT27" s="337"/>
      <c r="BU27" s="338"/>
    </row>
    <row r="28" spans="3:73">
      <c r="V28" s="263">
        <f t="shared" si="6"/>
        <v>0</v>
      </c>
      <c r="W28" s="263"/>
      <c r="X28" s="263"/>
      <c r="Y28" s="263"/>
      <c r="Z28" s="268">
        <f t="shared" si="8"/>
        <v>70</v>
      </c>
      <c r="AA28" s="268"/>
      <c r="AB28" s="268"/>
      <c r="AC28" s="268"/>
      <c r="AD28" s="263">
        <f>IF(N15&gt;0,$L$5-ROUNDUP($L$5*Z28/100,0),0)-IF(G15="旧被扶養者",軽減区分算出!AU40,0)</f>
        <v>0</v>
      </c>
      <c r="AE28" s="263"/>
      <c r="AF28" s="263"/>
      <c r="AG28" s="263"/>
      <c r="AH28" s="307"/>
      <c r="AI28" s="307"/>
      <c r="AJ28" s="307"/>
      <c r="AK28" s="307"/>
      <c r="AL28" s="307"/>
      <c r="AM28" s="307"/>
      <c r="AN28" s="307"/>
      <c r="AO28" s="307"/>
      <c r="AP28" s="263">
        <f t="shared" si="7"/>
        <v>0</v>
      </c>
      <c r="AQ28" s="263"/>
      <c r="AR28" s="263"/>
      <c r="AS28" s="263"/>
      <c r="AT28" s="299">
        <f t="shared" si="9"/>
        <v>0</v>
      </c>
      <c r="AU28" s="310"/>
      <c r="AV28" s="310"/>
      <c r="AW28" s="311"/>
      <c r="AX28" s="307"/>
      <c r="AY28" s="307"/>
      <c r="AZ28" s="307"/>
      <c r="BA28" s="307"/>
      <c r="BB28" s="307"/>
      <c r="BC28" s="307"/>
      <c r="BD28" s="307"/>
      <c r="BE28" s="307"/>
      <c r="BF28" s="62">
        <f>試算!AK9</f>
        <v>0</v>
      </c>
      <c r="BG28" s="62">
        <f>試算!M9</f>
        <v>0</v>
      </c>
      <c r="BH28" s="336"/>
      <c r="BI28" s="337"/>
      <c r="BJ28" s="337"/>
      <c r="BK28" s="338"/>
      <c r="BL28" s="343"/>
      <c r="BM28" s="343"/>
      <c r="BN28" s="343"/>
      <c r="BO28" s="343"/>
      <c r="BP28" s="268"/>
      <c r="BQ28" s="268"/>
      <c r="BR28" s="336"/>
      <c r="BS28" s="337"/>
      <c r="BT28" s="337"/>
      <c r="BU28" s="338"/>
    </row>
    <row r="29" spans="3:73">
      <c r="V29" s="263">
        <f t="shared" si="6"/>
        <v>0</v>
      </c>
      <c r="W29" s="263"/>
      <c r="X29" s="263"/>
      <c r="Y29" s="263"/>
      <c r="Z29" s="268">
        <f>$Z$12</f>
        <v>70</v>
      </c>
      <c r="AA29" s="268"/>
      <c r="AB29" s="268"/>
      <c r="AC29" s="268"/>
      <c r="AD29" s="263">
        <f>IF(N16&gt;0,$L$5-ROUNDUP($L$5*Z29/100,0),0)-IF(G16="旧被扶養者",軽減区分算出!AU40,0)</f>
        <v>0</v>
      </c>
      <c r="AE29" s="263"/>
      <c r="AF29" s="263"/>
      <c r="AG29" s="263"/>
      <c r="AH29" s="307"/>
      <c r="AI29" s="307"/>
      <c r="AJ29" s="307"/>
      <c r="AK29" s="307"/>
      <c r="AL29" s="307"/>
      <c r="AM29" s="307"/>
      <c r="AN29" s="307"/>
      <c r="AO29" s="307"/>
      <c r="AP29" s="263">
        <f t="shared" si="7"/>
        <v>0</v>
      </c>
      <c r="AQ29" s="263"/>
      <c r="AR29" s="263"/>
      <c r="AS29" s="263"/>
      <c r="AT29" s="299">
        <f t="shared" si="9"/>
        <v>0</v>
      </c>
      <c r="AU29" s="310"/>
      <c r="AV29" s="310"/>
      <c r="AW29" s="311"/>
      <c r="AX29" s="307"/>
      <c r="AY29" s="307"/>
      <c r="AZ29" s="307"/>
      <c r="BA29" s="307"/>
      <c r="BB29" s="307"/>
      <c r="BC29" s="307"/>
      <c r="BD29" s="307"/>
      <c r="BE29" s="307"/>
      <c r="BF29" s="63">
        <f>試算!AK10</f>
        <v>0</v>
      </c>
      <c r="BG29" s="63">
        <f>試算!M10</f>
        <v>0</v>
      </c>
      <c r="BH29" s="336"/>
      <c r="BI29" s="337"/>
      <c r="BJ29" s="337"/>
      <c r="BK29" s="338"/>
      <c r="BL29" s="343"/>
      <c r="BM29" s="343"/>
      <c r="BN29" s="343"/>
      <c r="BO29" s="343"/>
      <c r="BP29" s="268"/>
      <c r="BQ29" s="268"/>
      <c r="BR29" s="336"/>
      <c r="BS29" s="337"/>
      <c r="BT29" s="337"/>
      <c r="BU29" s="338"/>
    </row>
    <row r="30" spans="3:73">
      <c r="V30" s="263">
        <f t="shared" si="6"/>
        <v>0</v>
      </c>
      <c r="W30" s="263"/>
      <c r="X30" s="263"/>
      <c r="Y30" s="263"/>
      <c r="Z30" s="268">
        <f t="shared" si="8"/>
        <v>70</v>
      </c>
      <c r="AA30" s="268"/>
      <c r="AB30" s="268"/>
      <c r="AC30" s="268"/>
      <c r="AD30" s="263">
        <f>IF(N17&gt;0,$L$5-ROUNDUP($L$5*Z30/100,0),0)-IF(G17="旧被扶養者",軽減区分算出!AU40,0)</f>
        <v>0</v>
      </c>
      <c r="AE30" s="263"/>
      <c r="AF30" s="263"/>
      <c r="AG30" s="263"/>
      <c r="AH30" s="307"/>
      <c r="AI30" s="307"/>
      <c r="AJ30" s="307"/>
      <c r="AK30" s="307"/>
      <c r="AL30" s="307"/>
      <c r="AM30" s="307"/>
      <c r="AN30" s="307"/>
      <c r="AO30" s="307"/>
      <c r="AP30" s="263">
        <f t="shared" si="7"/>
        <v>0</v>
      </c>
      <c r="AQ30" s="263"/>
      <c r="AR30" s="263"/>
      <c r="AS30" s="263"/>
      <c r="AT30" s="299">
        <f t="shared" si="9"/>
        <v>0</v>
      </c>
      <c r="AU30" s="310"/>
      <c r="AV30" s="310"/>
      <c r="AW30" s="311"/>
      <c r="AX30" s="307"/>
      <c r="AY30" s="307"/>
      <c r="AZ30" s="307"/>
      <c r="BA30" s="307"/>
      <c r="BB30" s="307"/>
      <c r="BC30" s="307"/>
      <c r="BD30" s="307"/>
      <c r="BE30" s="307"/>
      <c r="BF30" s="63">
        <f>試算!AK11</f>
        <v>0</v>
      </c>
      <c r="BG30" s="63">
        <f>試算!M11</f>
        <v>0</v>
      </c>
      <c r="BH30" s="336"/>
      <c r="BI30" s="337"/>
      <c r="BJ30" s="337"/>
      <c r="BK30" s="338"/>
      <c r="BL30" s="343"/>
      <c r="BM30" s="343"/>
      <c r="BN30" s="343"/>
      <c r="BO30" s="343"/>
      <c r="BP30" s="268"/>
      <c r="BQ30" s="268"/>
      <c r="BR30" s="336"/>
      <c r="BS30" s="337"/>
      <c r="BT30" s="337"/>
      <c r="BU30" s="338"/>
    </row>
    <row r="31" spans="3:73">
      <c r="V31" s="263">
        <f t="shared" si="6"/>
        <v>0</v>
      </c>
      <c r="W31" s="263"/>
      <c r="X31" s="263"/>
      <c r="Y31" s="263"/>
      <c r="Z31" s="268">
        <f t="shared" si="8"/>
        <v>70</v>
      </c>
      <c r="AA31" s="268"/>
      <c r="AB31" s="268"/>
      <c r="AC31" s="268"/>
      <c r="AD31" s="263">
        <f>IF(N18&gt;0,$L$5-ROUNDUP($L$5*Z31/100,0),0)-IF(G18="旧被扶養者",軽減区分算出!AU40,0)</f>
        <v>0</v>
      </c>
      <c r="AE31" s="263"/>
      <c r="AF31" s="263"/>
      <c r="AG31" s="263"/>
      <c r="AH31" s="307"/>
      <c r="AI31" s="307"/>
      <c r="AJ31" s="307"/>
      <c r="AK31" s="307"/>
      <c r="AL31" s="307"/>
      <c r="AM31" s="307"/>
      <c r="AN31" s="307"/>
      <c r="AO31" s="307"/>
      <c r="AP31" s="263">
        <f t="shared" si="7"/>
        <v>0</v>
      </c>
      <c r="AQ31" s="263"/>
      <c r="AR31" s="263"/>
      <c r="AS31" s="263"/>
      <c r="AT31" s="299">
        <f t="shared" si="9"/>
        <v>0</v>
      </c>
      <c r="AU31" s="310"/>
      <c r="AV31" s="310"/>
      <c r="AW31" s="311"/>
      <c r="AX31" s="307"/>
      <c r="AY31" s="307"/>
      <c r="AZ31" s="307"/>
      <c r="BA31" s="307"/>
      <c r="BB31" s="307"/>
      <c r="BC31" s="307"/>
      <c r="BD31" s="307"/>
      <c r="BE31" s="307"/>
      <c r="BF31" s="62">
        <f>試算!AK12</f>
        <v>0</v>
      </c>
      <c r="BG31" s="62">
        <f>試算!M12</f>
        <v>0</v>
      </c>
      <c r="BH31" s="336"/>
      <c r="BI31" s="337"/>
      <c r="BJ31" s="337"/>
      <c r="BK31" s="338"/>
      <c r="BL31" s="343"/>
      <c r="BM31" s="343"/>
      <c r="BN31" s="343"/>
      <c r="BO31" s="343"/>
      <c r="BP31" s="268"/>
      <c r="BQ31" s="268"/>
      <c r="BR31" s="336"/>
      <c r="BS31" s="337"/>
      <c r="BT31" s="337"/>
      <c r="BU31" s="338"/>
    </row>
    <row r="32" spans="3:73">
      <c r="V32" s="263">
        <f t="shared" si="6"/>
        <v>0</v>
      </c>
      <c r="W32" s="263"/>
      <c r="X32" s="263"/>
      <c r="Y32" s="263"/>
      <c r="Z32" s="268">
        <f t="shared" si="8"/>
        <v>70</v>
      </c>
      <c r="AA32" s="268"/>
      <c r="AB32" s="268"/>
      <c r="AC32" s="268"/>
      <c r="AD32" s="263">
        <f>IF(N19&gt;0,$L$5-ROUNDUP($L$5*Z32/100,0),0)-IF(G19="旧被扶養者",軽減区分算出!AU40,0)</f>
        <v>0</v>
      </c>
      <c r="AE32" s="263"/>
      <c r="AF32" s="263"/>
      <c r="AG32" s="263"/>
      <c r="AH32" s="307"/>
      <c r="AI32" s="307"/>
      <c r="AJ32" s="307"/>
      <c r="AK32" s="307"/>
      <c r="AL32" s="307"/>
      <c r="AM32" s="307"/>
      <c r="AN32" s="307"/>
      <c r="AO32" s="307"/>
      <c r="AP32" s="263">
        <f t="shared" ref="AP32" si="10">ROUNDDOWN(V32*(N19-BF32)/12,0)</f>
        <v>0</v>
      </c>
      <c r="AQ32" s="263"/>
      <c r="AR32" s="263"/>
      <c r="AS32" s="263"/>
      <c r="AT32" s="299">
        <f t="shared" ref="AT32" si="11">ROUNDDOWN(AD32*(N19-BF32)/12,0)-IF(J19="未就学児",((AD32*0.5)/12)*N19,0)</f>
        <v>0</v>
      </c>
      <c r="AU32" s="310"/>
      <c r="AV32" s="310"/>
      <c r="AW32" s="311"/>
      <c r="AX32" s="307"/>
      <c r="AY32" s="307"/>
      <c r="AZ32" s="307"/>
      <c r="BA32" s="307"/>
      <c r="BB32" s="307"/>
      <c r="BC32" s="307"/>
      <c r="BD32" s="307"/>
      <c r="BE32" s="307"/>
      <c r="BF32" s="62">
        <f>試算!AK13</f>
        <v>0</v>
      </c>
      <c r="BG32" s="62">
        <f>試算!M13</f>
        <v>0</v>
      </c>
      <c r="BH32" s="339"/>
      <c r="BI32" s="340"/>
      <c r="BJ32" s="340"/>
      <c r="BK32" s="341"/>
      <c r="BL32" s="343"/>
      <c r="BM32" s="343"/>
      <c r="BN32" s="343"/>
      <c r="BO32" s="343"/>
      <c r="BP32" s="268"/>
      <c r="BQ32" s="268"/>
      <c r="BR32" s="339"/>
      <c r="BS32" s="340"/>
      <c r="BT32" s="340"/>
      <c r="BU32" s="341"/>
    </row>
    <row r="33" spans="11:73">
      <c r="V33" s="308">
        <f>SUM(V25:Y32)</f>
        <v>0</v>
      </c>
      <c r="W33" s="309"/>
      <c r="X33" s="309"/>
      <c r="Y33" s="309"/>
      <c r="AD33" s="308">
        <f>SUM(AD25:AG32)</f>
        <v>0</v>
      </c>
      <c r="AE33" s="309"/>
      <c r="AF33" s="309"/>
      <c r="AG33" s="309"/>
      <c r="AH33" s="308">
        <f>SUM(AH25:AK32)</f>
        <v>0</v>
      </c>
      <c r="AI33" s="309"/>
      <c r="AJ33" s="309"/>
      <c r="AK33" s="309"/>
      <c r="AL33" s="308">
        <f>SUM(AL25:AO32)</f>
        <v>3096</v>
      </c>
      <c r="AM33" s="309"/>
      <c r="AN33" s="309"/>
      <c r="AO33" s="309"/>
      <c r="AP33" s="308">
        <f>SUM(AP25:AS32)</f>
        <v>0</v>
      </c>
      <c r="AQ33" s="309"/>
      <c r="AR33" s="309"/>
      <c r="AS33" s="309"/>
      <c r="AT33" s="308">
        <f>SUM(AT25:AW32)</f>
        <v>0</v>
      </c>
      <c r="AU33" s="309"/>
      <c r="AV33" s="309"/>
      <c r="AW33" s="309"/>
      <c r="AX33" s="308">
        <f>SUM(AX25:BA32)</f>
        <v>0</v>
      </c>
      <c r="AY33" s="309"/>
      <c r="AZ33" s="309"/>
      <c r="BA33" s="309"/>
      <c r="BB33" s="308">
        <f>SUM(BB25:BE32)</f>
        <v>0</v>
      </c>
      <c r="BC33" s="309"/>
      <c r="BD33" s="309"/>
      <c r="BE33" s="309"/>
      <c r="BF33" s="64"/>
      <c r="BG33" s="64"/>
      <c r="BH33" s="5"/>
      <c r="BI33" s="5"/>
      <c r="BJ33" s="5"/>
      <c r="BK33" s="5"/>
    </row>
    <row r="35" spans="11:73">
      <c r="V35" s="315" t="s">
        <v>193</v>
      </c>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6"/>
      <c r="BL35" s="316"/>
      <c r="BM35" s="316"/>
      <c r="BN35" s="316"/>
      <c r="BO35" s="316"/>
      <c r="BP35" s="316"/>
      <c r="BQ35" s="316"/>
      <c r="BR35" s="316"/>
      <c r="BS35" s="316"/>
      <c r="BT35" s="316"/>
      <c r="BU35" s="317"/>
    </row>
    <row r="36" spans="11:73">
      <c r="V36" s="268" t="s">
        <v>73</v>
      </c>
      <c r="W36" s="268"/>
      <c r="X36" s="268"/>
      <c r="Y36" s="268"/>
      <c r="Z36" s="268"/>
      <c r="AA36" s="268"/>
      <c r="AB36" s="268"/>
      <c r="AC36" s="268"/>
      <c r="AD36" s="268"/>
      <c r="AE36" s="268"/>
      <c r="AF36" s="268"/>
      <c r="AG36" s="268"/>
      <c r="AH36" s="268"/>
      <c r="AI36" s="268"/>
      <c r="AJ36" s="268"/>
      <c r="AK36" s="268"/>
      <c r="AL36" s="268"/>
      <c r="AM36" s="268"/>
      <c r="AN36" s="268"/>
      <c r="AO36" s="268"/>
      <c r="AP36" s="291" t="s">
        <v>77</v>
      </c>
      <c r="AQ36" s="342"/>
      <c r="AR36" s="342"/>
      <c r="AS36" s="342"/>
      <c r="AT36" s="342"/>
      <c r="AU36" s="342"/>
      <c r="AV36" s="342"/>
      <c r="AW36" s="342"/>
      <c r="AX36" s="342"/>
      <c r="AY36" s="342"/>
      <c r="AZ36" s="342"/>
      <c r="BA36" s="342"/>
      <c r="BB36" s="342"/>
      <c r="BC36" s="342"/>
      <c r="BD36" s="342"/>
      <c r="BE36" s="294"/>
      <c r="BF36" s="291" t="s">
        <v>181</v>
      </c>
      <c r="BG36" s="294"/>
      <c r="BH36" s="268" t="s">
        <v>80</v>
      </c>
      <c r="BI36" s="268"/>
      <c r="BJ36" s="268"/>
      <c r="BK36" s="268"/>
      <c r="BL36" s="268" t="s">
        <v>74</v>
      </c>
      <c r="BM36" s="268"/>
      <c r="BN36" s="268"/>
      <c r="BO36" s="268"/>
      <c r="BP36" s="267" t="s">
        <v>79</v>
      </c>
      <c r="BQ36" s="268"/>
      <c r="BR36" s="267" t="s">
        <v>81</v>
      </c>
      <c r="BS36" s="268"/>
      <c r="BT36" s="268"/>
      <c r="BU36" s="268"/>
    </row>
    <row r="37" spans="11:73">
      <c r="V37" s="268" t="s">
        <v>28</v>
      </c>
      <c r="W37" s="268"/>
      <c r="X37" s="268"/>
      <c r="Y37" s="268"/>
      <c r="Z37" s="268" t="s">
        <v>51</v>
      </c>
      <c r="AA37" s="268"/>
      <c r="AB37" s="268"/>
      <c r="AC37" s="268"/>
      <c r="AD37" s="268" t="s">
        <v>72</v>
      </c>
      <c r="AE37" s="268"/>
      <c r="AF37" s="268"/>
      <c r="AG37" s="268"/>
      <c r="AH37" s="344" t="s">
        <v>195</v>
      </c>
      <c r="AI37" s="344"/>
      <c r="AJ37" s="344"/>
      <c r="AK37" s="344"/>
      <c r="AL37" s="268" t="s">
        <v>71</v>
      </c>
      <c r="AM37" s="268"/>
      <c r="AN37" s="268"/>
      <c r="AO37" s="268"/>
      <c r="AP37" s="268" t="s">
        <v>28</v>
      </c>
      <c r="AQ37" s="268"/>
      <c r="AR37" s="268"/>
      <c r="AS37" s="268"/>
      <c r="AT37" s="268" t="s">
        <v>72</v>
      </c>
      <c r="AU37" s="268"/>
      <c r="AV37" s="268"/>
      <c r="AW37" s="268"/>
      <c r="AX37" s="344" t="s">
        <v>195</v>
      </c>
      <c r="AY37" s="344"/>
      <c r="AZ37" s="344"/>
      <c r="BA37" s="344"/>
      <c r="BB37" s="268" t="s">
        <v>71</v>
      </c>
      <c r="BC37" s="268"/>
      <c r="BD37" s="268"/>
      <c r="BE37" s="268"/>
      <c r="BF37" s="291" t="s">
        <v>182</v>
      </c>
      <c r="BG37" s="294"/>
      <c r="BH37" s="268"/>
      <c r="BI37" s="268"/>
      <c r="BJ37" s="268"/>
      <c r="BK37" s="268"/>
      <c r="BL37" s="268"/>
      <c r="BM37" s="268"/>
      <c r="BN37" s="268"/>
      <c r="BO37" s="268"/>
      <c r="BP37" s="268"/>
      <c r="BQ37" s="268"/>
      <c r="BR37" s="268"/>
      <c r="BS37" s="268"/>
      <c r="BT37" s="268"/>
      <c r="BU37" s="268"/>
    </row>
    <row r="38" spans="11:73">
      <c r="V38" s="263">
        <f>IF(G12="旧被扶養者",0,ROUNDDOWN(R12*$P$4/100,0))</f>
        <v>0</v>
      </c>
      <c r="W38" s="263"/>
      <c r="X38" s="263"/>
      <c r="Y38" s="263"/>
      <c r="Z38" s="268">
        <f>軽減区分算出!AU12</f>
        <v>70</v>
      </c>
      <c r="AA38" s="268"/>
      <c r="AB38" s="268"/>
      <c r="AC38" s="268"/>
      <c r="AD38" s="263">
        <f>IF(N12&gt;0,$P$5-ROUNDUP($P$5*Z38/100,0),0)-IF(G12="旧被扶養者",軽減区分算出!BA40,0)</f>
        <v>0</v>
      </c>
      <c r="AE38" s="263"/>
      <c r="AF38" s="263"/>
      <c r="AG38" s="263"/>
      <c r="AH38" s="263">
        <f>IF(N12&gt;0,$P$6-ROUNDUP($P$6*Z38/100,0),0)-IF(G12="旧被扶養者",軽減区分算出!BD40,0)</f>
        <v>0</v>
      </c>
      <c r="AI38" s="263"/>
      <c r="AJ38" s="263"/>
      <c r="AK38" s="263"/>
      <c r="AL38" s="307"/>
      <c r="AM38" s="307"/>
      <c r="AN38" s="307"/>
      <c r="AO38" s="307"/>
      <c r="AP38" s="263">
        <f>ROUNDDOWN(V38*(N12-BF38)/12,0)</f>
        <v>0</v>
      </c>
      <c r="AQ38" s="263"/>
      <c r="AR38" s="263"/>
      <c r="AS38" s="263"/>
      <c r="AT38" s="345">
        <f>IF(J12="未就学児",0, IF(J12="未就学児以上～18歳未満",0,ROUNDDOWN(AD38*(N12-BF38)/12,0)))</f>
        <v>0</v>
      </c>
      <c r="AU38" s="346"/>
      <c r="AV38" s="346"/>
      <c r="AW38" s="347"/>
      <c r="AX38" s="299">
        <f>IF(J12="未就学児",0, IF(J12="未就学児以上～18歳未満",0,ROUNDDOWN(AH38*(N12-BF38)/12,0)))</f>
        <v>0</v>
      </c>
      <c r="AY38" s="310"/>
      <c r="AZ38" s="310"/>
      <c r="BA38" s="311"/>
      <c r="BB38" s="307"/>
      <c r="BC38" s="307"/>
      <c r="BD38" s="307"/>
      <c r="BE38" s="307"/>
      <c r="BF38" s="63">
        <f>試算!AK6</f>
        <v>0</v>
      </c>
      <c r="BG38" s="63">
        <f>試算!M6</f>
        <v>0</v>
      </c>
      <c r="BH38" s="333">
        <f>ROUNDDOWN(AP46+AT46+AX46+BB46,-1)</f>
        <v>0</v>
      </c>
      <c r="BI38" s="334"/>
      <c r="BJ38" s="334"/>
      <c r="BK38" s="335"/>
      <c r="BL38" s="343">
        <f>ROUNDDOWN(N20*P8/12,-1)</f>
        <v>0</v>
      </c>
      <c r="BM38" s="343"/>
      <c r="BN38" s="343"/>
      <c r="BO38" s="343"/>
      <c r="BP38" s="268" t="str">
        <f>IF(BH38&gt;BL38,"該当","非該当")</f>
        <v>非該当</v>
      </c>
      <c r="BQ38" s="268"/>
      <c r="BR38" s="333">
        <f>IF(BP38="非該当",BH38,BL38)</f>
        <v>0</v>
      </c>
      <c r="BS38" s="334"/>
      <c r="BT38" s="334"/>
      <c r="BU38" s="335"/>
    </row>
    <row r="39" spans="11:73">
      <c r="V39" s="263">
        <f>IF(G13="旧被扶養者",0,ROUNDDOWN(R13*$P$4/100,0))</f>
        <v>0</v>
      </c>
      <c r="W39" s="263"/>
      <c r="X39" s="263"/>
      <c r="Y39" s="263"/>
      <c r="Z39" s="268">
        <f>$Z$38</f>
        <v>70</v>
      </c>
      <c r="AA39" s="268"/>
      <c r="AB39" s="268"/>
      <c r="AC39" s="268"/>
      <c r="AD39" s="263">
        <f>IF(N13&gt;0,$P$5-ROUNDUP($P$5*Z39/100,0),0)-IF(G13="旧被扶養者",軽減区分算出!BA40,0)</f>
        <v>0</v>
      </c>
      <c r="AE39" s="263"/>
      <c r="AF39" s="263"/>
      <c r="AG39" s="263"/>
      <c r="AH39" s="263">
        <f>IF(N13&gt;0,$P$6-ROUNDUP($P$6*Z39/100,0),0)-IF(G13="旧被扶養者",軽減区分算出!BD40,0)</f>
        <v>0</v>
      </c>
      <c r="AI39" s="263"/>
      <c r="AJ39" s="263"/>
      <c r="AK39" s="263"/>
      <c r="AL39" s="307"/>
      <c r="AM39" s="307"/>
      <c r="AN39" s="307"/>
      <c r="AO39" s="307"/>
      <c r="AP39" s="263">
        <f>ROUNDDOWN(V39*(N13-BF39)/12,0)</f>
        <v>0</v>
      </c>
      <c r="AQ39" s="263"/>
      <c r="AR39" s="263"/>
      <c r="AS39" s="263"/>
      <c r="AT39" s="345">
        <f>IF(J13="未就学児",0, IF(J13="未就学児以上～18歳未満",0,ROUNDDOWN(AD39*(N13-BF39)/12,0)))</f>
        <v>0</v>
      </c>
      <c r="AU39" s="346"/>
      <c r="AV39" s="346"/>
      <c r="AW39" s="347"/>
      <c r="AX39" s="299">
        <f t="shared" ref="AX39:AX45" si="12">IF(J13="未就学児",0, IF(J13="未就学児以上～18歳未満",0,ROUNDDOWN(AH39*(N13-BF39)/12,0)))</f>
        <v>0</v>
      </c>
      <c r="AY39" s="310"/>
      <c r="AZ39" s="310"/>
      <c r="BA39" s="311"/>
      <c r="BB39" s="307"/>
      <c r="BC39" s="307"/>
      <c r="BD39" s="307"/>
      <c r="BE39" s="307"/>
      <c r="BF39" s="63">
        <f>試算!AK7</f>
        <v>0</v>
      </c>
      <c r="BG39" s="63">
        <f>試算!M7</f>
        <v>0</v>
      </c>
      <c r="BH39" s="336"/>
      <c r="BI39" s="337"/>
      <c r="BJ39" s="337"/>
      <c r="BK39" s="338"/>
      <c r="BL39" s="343"/>
      <c r="BM39" s="343"/>
      <c r="BN39" s="343"/>
      <c r="BO39" s="343"/>
      <c r="BP39" s="268"/>
      <c r="BQ39" s="268"/>
      <c r="BR39" s="336"/>
      <c r="BS39" s="337"/>
      <c r="BT39" s="337"/>
      <c r="BU39" s="338"/>
    </row>
    <row r="40" spans="11:73">
      <c r="V40" s="263">
        <f t="shared" ref="V40:V45" si="13">IF(G14="旧被扶養者",0,ROUNDDOWN(R14*$P$4/100,0))</f>
        <v>0</v>
      </c>
      <c r="W40" s="263"/>
      <c r="X40" s="263"/>
      <c r="Y40" s="263"/>
      <c r="Z40" s="268">
        <f t="shared" ref="Z40:Z45" si="14">$Z$38</f>
        <v>70</v>
      </c>
      <c r="AA40" s="268"/>
      <c r="AB40" s="268"/>
      <c r="AC40" s="268"/>
      <c r="AD40" s="263">
        <f>IF(N14&gt;0,$P$5-ROUNDUP($P$5*Z40/100,0),0)-IF(G14="旧被扶養者",軽減区分算出!BA40,0)</f>
        <v>0</v>
      </c>
      <c r="AE40" s="263"/>
      <c r="AF40" s="263"/>
      <c r="AG40" s="263"/>
      <c r="AH40" s="263">
        <f>IF(N14&gt;0,$P$6-ROUNDUP($P$6*Z40/100,0),0)-IF(G14="旧被扶養者",軽減区分算出!BD40,0)</f>
        <v>0</v>
      </c>
      <c r="AI40" s="263"/>
      <c r="AJ40" s="263"/>
      <c r="AK40" s="263"/>
      <c r="AL40" s="307"/>
      <c r="AM40" s="307"/>
      <c r="AN40" s="307"/>
      <c r="AO40" s="307"/>
      <c r="AP40" s="263">
        <f t="shared" ref="AP40:AP45" si="15">ROUNDDOWN(V40*(N14-BF40)/12,0)</f>
        <v>0</v>
      </c>
      <c r="AQ40" s="263"/>
      <c r="AR40" s="263"/>
      <c r="AS40" s="263"/>
      <c r="AT40" s="345">
        <f t="shared" ref="AT40:AT45" si="16">IF(J14="未就学児",0, IF(J14="未就学児以上～18歳未満",0,ROUNDDOWN(AD40*(N14-BF40)/12,0)))</f>
        <v>0</v>
      </c>
      <c r="AU40" s="346"/>
      <c r="AV40" s="346"/>
      <c r="AW40" s="347"/>
      <c r="AX40" s="299">
        <f t="shared" si="12"/>
        <v>0</v>
      </c>
      <c r="AY40" s="310"/>
      <c r="AZ40" s="310"/>
      <c r="BA40" s="311"/>
      <c r="BB40" s="307"/>
      <c r="BC40" s="307"/>
      <c r="BD40" s="307"/>
      <c r="BE40" s="307"/>
      <c r="BF40" s="63">
        <f>試算!AK8</f>
        <v>0</v>
      </c>
      <c r="BG40" s="63">
        <f>試算!M8</f>
        <v>0</v>
      </c>
      <c r="BH40" s="336"/>
      <c r="BI40" s="337"/>
      <c r="BJ40" s="337"/>
      <c r="BK40" s="338"/>
      <c r="BL40" s="343"/>
      <c r="BM40" s="343"/>
      <c r="BN40" s="343"/>
      <c r="BO40" s="343"/>
      <c r="BP40" s="268"/>
      <c r="BQ40" s="268"/>
      <c r="BR40" s="336"/>
      <c r="BS40" s="337"/>
      <c r="BT40" s="337"/>
      <c r="BU40" s="338"/>
    </row>
    <row r="41" spans="11:73">
      <c r="V41" s="263">
        <f t="shared" si="13"/>
        <v>0</v>
      </c>
      <c r="W41" s="263"/>
      <c r="X41" s="263"/>
      <c r="Y41" s="263"/>
      <c r="Z41" s="268">
        <f t="shared" si="14"/>
        <v>70</v>
      </c>
      <c r="AA41" s="268"/>
      <c r="AB41" s="268"/>
      <c r="AC41" s="268"/>
      <c r="AD41" s="263">
        <f>IF(N15&gt;0,$P$5-ROUNDUP($P$5*Z41/100,0),0)-IF(G15="旧被扶養者",軽減区分算出!BA40,0)</f>
        <v>0</v>
      </c>
      <c r="AE41" s="263"/>
      <c r="AF41" s="263"/>
      <c r="AG41" s="263"/>
      <c r="AH41" s="263">
        <f>IF(N15&gt;0,$P$6-ROUNDUP($P$6*Z41/100,0),0)-IF(G15="旧被扶養者",軽減区分算出!BD40,0)</f>
        <v>0</v>
      </c>
      <c r="AI41" s="263"/>
      <c r="AJ41" s="263"/>
      <c r="AK41" s="263"/>
      <c r="AL41" s="307"/>
      <c r="AM41" s="307"/>
      <c r="AN41" s="307"/>
      <c r="AO41" s="307"/>
      <c r="AP41" s="263">
        <f t="shared" si="15"/>
        <v>0</v>
      </c>
      <c r="AQ41" s="263"/>
      <c r="AR41" s="263"/>
      <c r="AS41" s="263"/>
      <c r="AT41" s="345">
        <f t="shared" si="16"/>
        <v>0</v>
      </c>
      <c r="AU41" s="346"/>
      <c r="AV41" s="346"/>
      <c r="AW41" s="347"/>
      <c r="AX41" s="299">
        <f t="shared" si="12"/>
        <v>0</v>
      </c>
      <c r="AY41" s="310"/>
      <c r="AZ41" s="310"/>
      <c r="BA41" s="311"/>
      <c r="BB41" s="307"/>
      <c r="BC41" s="307"/>
      <c r="BD41" s="307"/>
      <c r="BE41" s="307"/>
      <c r="BF41" s="63">
        <f>試算!AK9</f>
        <v>0</v>
      </c>
      <c r="BG41" s="63">
        <f>試算!M9</f>
        <v>0</v>
      </c>
      <c r="BH41" s="336"/>
      <c r="BI41" s="337"/>
      <c r="BJ41" s="337"/>
      <c r="BK41" s="338"/>
      <c r="BL41" s="343"/>
      <c r="BM41" s="343"/>
      <c r="BN41" s="343"/>
      <c r="BO41" s="343"/>
      <c r="BP41" s="268"/>
      <c r="BQ41" s="268"/>
      <c r="BR41" s="336"/>
      <c r="BS41" s="337"/>
      <c r="BT41" s="337"/>
      <c r="BU41" s="338"/>
    </row>
    <row r="42" spans="11:73">
      <c r="V42" s="263">
        <f t="shared" si="13"/>
        <v>0</v>
      </c>
      <c r="W42" s="263"/>
      <c r="X42" s="263"/>
      <c r="Y42" s="263"/>
      <c r="Z42" s="268">
        <f t="shared" si="14"/>
        <v>70</v>
      </c>
      <c r="AA42" s="268"/>
      <c r="AB42" s="268"/>
      <c r="AC42" s="268"/>
      <c r="AD42" s="263">
        <f>IF(N16&gt;0,$P$5-ROUNDUP($P$5*Z42/100,0),0)-IF(G16="旧被扶養者",軽減区分算出!BA40,0)</f>
        <v>0</v>
      </c>
      <c r="AE42" s="263"/>
      <c r="AF42" s="263"/>
      <c r="AG42" s="263"/>
      <c r="AH42" s="263">
        <f>IF(N16&gt;0,$P$6-ROUNDUP($P$6*Z42/100,0),0)-IF(G16="旧被扶養者",軽減区分算出!BD40,0)</f>
        <v>0</v>
      </c>
      <c r="AI42" s="263"/>
      <c r="AJ42" s="263"/>
      <c r="AK42" s="263"/>
      <c r="AL42" s="307"/>
      <c r="AM42" s="307"/>
      <c r="AN42" s="307"/>
      <c r="AO42" s="307"/>
      <c r="AP42" s="263">
        <f t="shared" si="15"/>
        <v>0</v>
      </c>
      <c r="AQ42" s="263"/>
      <c r="AR42" s="263"/>
      <c r="AS42" s="263"/>
      <c r="AT42" s="345">
        <f t="shared" si="16"/>
        <v>0</v>
      </c>
      <c r="AU42" s="346"/>
      <c r="AV42" s="346"/>
      <c r="AW42" s="347"/>
      <c r="AX42" s="299">
        <f t="shared" si="12"/>
        <v>0</v>
      </c>
      <c r="AY42" s="310"/>
      <c r="AZ42" s="310"/>
      <c r="BA42" s="311"/>
      <c r="BB42" s="307"/>
      <c r="BC42" s="307"/>
      <c r="BD42" s="307"/>
      <c r="BE42" s="307"/>
      <c r="BF42" s="63">
        <f>試算!AK10</f>
        <v>0</v>
      </c>
      <c r="BG42" s="63">
        <f>試算!M10</f>
        <v>0</v>
      </c>
      <c r="BH42" s="336"/>
      <c r="BI42" s="337"/>
      <c r="BJ42" s="337"/>
      <c r="BK42" s="338"/>
      <c r="BL42" s="343"/>
      <c r="BM42" s="343"/>
      <c r="BN42" s="343"/>
      <c r="BO42" s="343"/>
      <c r="BP42" s="268"/>
      <c r="BQ42" s="268"/>
      <c r="BR42" s="336"/>
      <c r="BS42" s="337"/>
      <c r="BT42" s="337"/>
      <c r="BU42" s="338"/>
    </row>
    <row r="43" spans="11:73" ht="21.6" customHeight="1">
      <c r="K43" s="68"/>
      <c r="V43" s="263">
        <f t="shared" si="13"/>
        <v>0</v>
      </c>
      <c r="W43" s="263"/>
      <c r="X43" s="263"/>
      <c r="Y43" s="263"/>
      <c r="Z43" s="268">
        <f t="shared" si="14"/>
        <v>70</v>
      </c>
      <c r="AA43" s="268"/>
      <c r="AB43" s="268"/>
      <c r="AC43" s="268"/>
      <c r="AD43" s="263">
        <f>IF(N17&gt;0,$P$5-ROUNDUP($P$5*Z43/100,0),0)-IF(G17="旧被扶養者",軽減区分算出!BA40,0)</f>
        <v>0</v>
      </c>
      <c r="AE43" s="263"/>
      <c r="AF43" s="263"/>
      <c r="AG43" s="263"/>
      <c r="AH43" s="263">
        <f>IF(N17&gt;0,$P$6-ROUNDUP($P$6*Z43/100,0),0)-IF(G17="旧被扶養者",軽減区分算出!BD40,0)</f>
        <v>0</v>
      </c>
      <c r="AI43" s="263"/>
      <c r="AJ43" s="263"/>
      <c r="AK43" s="263"/>
      <c r="AL43" s="307"/>
      <c r="AM43" s="307"/>
      <c r="AN43" s="307"/>
      <c r="AO43" s="307"/>
      <c r="AP43" s="263">
        <f t="shared" si="15"/>
        <v>0</v>
      </c>
      <c r="AQ43" s="263"/>
      <c r="AR43" s="263"/>
      <c r="AS43" s="263"/>
      <c r="AT43" s="345">
        <f t="shared" si="16"/>
        <v>0</v>
      </c>
      <c r="AU43" s="346"/>
      <c r="AV43" s="346"/>
      <c r="AW43" s="347"/>
      <c r="AX43" s="299">
        <f t="shared" si="12"/>
        <v>0</v>
      </c>
      <c r="AY43" s="310"/>
      <c r="AZ43" s="310"/>
      <c r="BA43" s="311"/>
      <c r="BB43" s="307"/>
      <c r="BC43" s="307"/>
      <c r="BD43" s="307"/>
      <c r="BE43" s="307"/>
      <c r="BF43" s="63">
        <f>試算!AK11</f>
        <v>0</v>
      </c>
      <c r="BG43" s="63">
        <f>試算!M11</f>
        <v>0</v>
      </c>
      <c r="BH43" s="336"/>
      <c r="BI43" s="337"/>
      <c r="BJ43" s="337"/>
      <c r="BK43" s="338"/>
      <c r="BL43" s="343"/>
      <c r="BM43" s="343"/>
      <c r="BN43" s="343"/>
      <c r="BO43" s="343"/>
      <c r="BP43" s="268"/>
      <c r="BQ43" s="268"/>
      <c r="BR43" s="336"/>
      <c r="BS43" s="337"/>
      <c r="BT43" s="337"/>
      <c r="BU43" s="338"/>
    </row>
    <row r="44" spans="11:73">
      <c r="V44" s="263">
        <f t="shared" si="13"/>
        <v>0</v>
      </c>
      <c r="W44" s="263"/>
      <c r="X44" s="263"/>
      <c r="Y44" s="263"/>
      <c r="Z44" s="268">
        <f t="shared" si="14"/>
        <v>70</v>
      </c>
      <c r="AA44" s="268"/>
      <c r="AB44" s="268"/>
      <c r="AC44" s="268"/>
      <c r="AD44" s="263">
        <f>IF(N18&gt;0,$P$5-ROUNDUP($P$5*Z44/100,0),0)-IF(G18="旧被扶養者",軽減区分算出!BA40,0)</f>
        <v>0</v>
      </c>
      <c r="AE44" s="263"/>
      <c r="AF44" s="263"/>
      <c r="AG44" s="263"/>
      <c r="AH44" s="263">
        <f>IF(N18&gt;0,$P$6-ROUNDUP($P$6*Z44/100,0),0)-IF(G18="旧被扶養者",軽減区分算出!BD40,0)</f>
        <v>0</v>
      </c>
      <c r="AI44" s="263"/>
      <c r="AJ44" s="263"/>
      <c r="AK44" s="263"/>
      <c r="AL44" s="307"/>
      <c r="AM44" s="307"/>
      <c r="AN44" s="307"/>
      <c r="AO44" s="307"/>
      <c r="AP44" s="263">
        <f t="shared" si="15"/>
        <v>0</v>
      </c>
      <c r="AQ44" s="263"/>
      <c r="AR44" s="263"/>
      <c r="AS44" s="263"/>
      <c r="AT44" s="345">
        <f t="shared" si="16"/>
        <v>0</v>
      </c>
      <c r="AU44" s="346"/>
      <c r="AV44" s="346"/>
      <c r="AW44" s="347"/>
      <c r="AX44" s="299">
        <f t="shared" si="12"/>
        <v>0</v>
      </c>
      <c r="AY44" s="310"/>
      <c r="AZ44" s="310"/>
      <c r="BA44" s="311"/>
      <c r="BB44" s="307"/>
      <c r="BC44" s="307"/>
      <c r="BD44" s="307"/>
      <c r="BE44" s="307"/>
      <c r="BF44" s="63">
        <f>試算!AK12</f>
        <v>0</v>
      </c>
      <c r="BG44" s="63">
        <f>試算!M12</f>
        <v>0</v>
      </c>
      <c r="BH44" s="336"/>
      <c r="BI44" s="337"/>
      <c r="BJ44" s="337"/>
      <c r="BK44" s="338"/>
      <c r="BL44" s="343"/>
      <c r="BM44" s="343"/>
      <c r="BN44" s="343"/>
      <c r="BO44" s="343"/>
      <c r="BP44" s="268"/>
      <c r="BQ44" s="268"/>
      <c r="BR44" s="336"/>
      <c r="BS44" s="337"/>
      <c r="BT44" s="337"/>
      <c r="BU44" s="338"/>
    </row>
    <row r="45" spans="11:73">
      <c r="V45" s="263">
        <f t="shared" si="13"/>
        <v>0</v>
      </c>
      <c r="W45" s="263"/>
      <c r="X45" s="263"/>
      <c r="Y45" s="263"/>
      <c r="Z45" s="268">
        <f t="shared" si="14"/>
        <v>70</v>
      </c>
      <c r="AA45" s="268"/>
      <c r="AB45" s="268"/>
      <c r="AC45" s="268"/>
      <c r="AD45" s="263">
        <f>IF(N19&gt;0,$P$5-ROUNDUP($P$5*Z45/100,0),0)-IF(G19="旧被扶養者",軽減区分算出!BA40,0)</f>
        <v>0</v>
      </c>
      <c r="AE45" s="263"/>
      <c r="AF45" s="263"/>
      <c r="AG45" s="263"/>
      <c r="AH45" s="263">
        <f>IF(N19&gt;0,$P$6-ROUNDUP($P$6*Z45/100,0),0)-IF(G19="旧被扶養者",軽減区分算出!BD40,0)</f>
        <v>0</v>
      </c>
      <c r="AI45" s="263"/>
      <c r="AJ45" s="263"/>
      <c r="AK45" s="263"/>
      <c r="AL45" s="307"/>
      <c r="AM45" s="307"/>
      <c r="AN45" s="307"/>
      <c r="AO45" s="307"/>
      <c r="AP45" s="263">
        <f t="shared" si="15"/>
        <v>0</v>
      </c>
      <c r="AQ45" s="263"/>
      <c r="AR45" s="263"/>
      <c r="AS45" s="263"/>
      <c r="AT45" s="345">
        <f t="shared" si="16"/>
        <v>0</v>
      </c>
      <c r="AU45" s="346"/>
      <c r="AV45" s="346"/>
      <c r="AW45" s="347"/>
      <c r="AX45" s="299">
        <f t="shared" si="12"/>
        <v>0</v>
      </c>
      <c r="AY45" s="310"/>
      <c r="AZ45" s="310"/>
      <c r="BA45" s="311"/>
      <c r="BB45" s="307"/>
      <c r="BC45" s="307"/>
      <c r="BD45" s="307"/>
      <c r="BE45" s="307"/>
      <c r="BF45" s="63">
        <f>試算!AK13</f>
        <v>0</v>
      </c>
      <c r="BG45" s="63">
        <f>試算!M13</f>
        <v>0</v>
      </c>
      <c r="BH45" s="339"/>
      <c r="BI45" s="340"/>
      <c r="BJ45" s="340"/>
      <c r="BK45" s="341"/>
      <c r="BL45" s="343"/>
      <c r="BM45" s="343"/>
      <c r="BN45" s="343"/>
      <c r="BO45" s="343"/>
      <c r="BP45" s="268"/>
      <c r="BQ45" s="268"/>
      <c r="BR45" s="339"/>
      <c r="BS45" s="340"/>
      <c r="BT45" s="340"/>
      <c r="BU45" s="341"/>
    </row>
    <row r="46" spans="11:73">
      <c r="V46" s="308">
        <f>SUM(V38:Y45)</f>
        <v>0</v>
      </c>
      <c r="W46" s="309"/>
      <c r="X46" s="309"/>
      <c r="Y46" s="309"/>
      <c r="AD46" s="308">
        <f>SUM(AD38:AG45)</f>
        <v>0</v>
      </c>
      <c r="AE46" s="309"/>
      <c r="AF46" s="309"/>
      <c r="AG46" s="309"/>
      <c r="AH46" s="308">
        <f>SUM(AH38:AK45)</f>
        <v>0</v>
      </c>
      <c r="AI46" s="309"/>
      <c r="AJ46" s="309"/>
      <c r="AK46" s="309"/>
      <c r="AL46" s="308">
        <f>SUM(AL38:AO45)</f>
        <v>0</v>
      </c>
      <c r="AM46" s="309"/>
      <c r="AN46" s="309"/>
      <c r="AO46" s="309"/>
      <c r="AP46" s="308">
        <f>SUM(AP38:AS45)</f>
        <v>0</v>
      </c>
      <c r="AQ46" s="309"/>
      <c r="AR46" s="309"/>
      <c r="AS46" s="309"/>
      <c r="AT46" s="308">
        <f>SUM(AT38:AW45)</f>
        <v>0</v>
      </c>
      <c r="AU46" s="309"/>
      <c r="AV46" s="309"/>
      <c r="AW46" s="309"/>
      <c r="AX46" s="308">
        <f>SUM(AX38:BA45)</f>
        <v>0</v>
      </c>
      <c r="AY46" s="309"/>
      <c r="AZ46" s="309"/>
      <c r="BA46" s="309"/>
      <c r="BB46" s="308">
        <f>SUM(BB38:BE45)</f>
        <v>0</v>
      </c>
      <c r="BC46" s="309"/>
      <c r="BD46" s="309"/>
      <c r="BE46" s="309"/>
      <c r="BF46" s="64"/>
      <c r="BG46" s="64"/>
      <c r="BH46" s="5"/>
      <c r="BI46" s="5"/>
      <c r="BJ46" s="5"/>
      <c r="BK46" s="5"/>
    </row>
    <row r="48" spans="11:73">
      <c r="V48" s="312" t="s">
        <v>36</v>
      </c>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3"/>
      <c r="BD48" s="313"/>
      <c r="BE48" s="313"/>
      <c r="BF48" s="313"/>
      <c r="BG48" s="313"/>
      <c r="BH48" s="313"/>
      <c r="BI48" s="313"/>
      <c r="BJ48" s="313"/>
      <c r="BK48" s="313"/>
      <c r="BL48" s="313"/>
      <c r="BM48" s="313"/>
      <c r="BN48" s="313"/>
      <c r="BO48" s="313"/>
      <c r="BP48" s="313"/>
      <c r="BQ48" s="313"/>
      <c r="BR48" s="313"/>
      <c r="BS48" s="313"/>
      <c r="BT48" s="313"/>
      <c r="BU48" s="314"/>
    </row>
    <row r="49" spans="22:73">
      <c r="V49" s="268" t="s">
        <v>73</v>
      </c>
      <c r="W49" s="268"/>
      <c r="X49" s="268"/>
      <c r="Y49" s="268"/>
      <c r="Z49" s="268"/>
      <c r="AA49" s="268"/>
      <c r="AB49" s="268"/>
      <c r="AC49" s="268"/>
      <c r="AD49" s="268"/>
      <c r="AE49" s="268"/>
      <c r="AF49" s="268"/>
      <c r="AG49" s="268"/>
      <c r="AH49" s="268"/>
      <c r="AI49" s="268"/>
      <c r="AJ49" s="268"/>
      <c r="AK49" s="268"/>
      <c r="AL49" s="268"/>
      <c r="AM49" s="268"/>
      <c r="AN49" s="268"/>
      <c r="AO49" s="268"/>
      <c r="AP49" s="291" t="s">
        <v>77</v>
      </c>
      <c r="AQ49" s="342"/>
      <c r="AR49" s="342"/>
      <c r="AS49" s="342"/>
      <c r="AT49" s="342"/>
      <c r="AU49" s="342"/>
      <c r="AV49" s="342"/>
      <c r="AW49" s="342"/>
      <c r="AX49" s="342"/>
      <c r="AY49" s="342"/>
      <c r="AZ49" s="342"/>
      <c r="BA49" s="342"/>
      <c r="BB49" s="342"/>
      <c r="BC49" s="342"/>
      <c r="BD49" s="342"/>
      <c r="BE49" s="294"/>
      <c r="BF49" s="291" t="s">
        <v>181</v>
      </c>
      <c r="BG49" s="294"/>
      <c r="BH49" s="268" t="s">
        <v>80</v>
      </c>
      <c r="BI49" s="268"/>
      <c r="BJ49" s="268"/>
      <c r="BK49" s="268"/>
      <c r="BL49" s="268" t="s">
        <v>78</v>
      </c>
      <c r="BM49" s="268"/>
      <c r="BN49" s="268"/>
      <c r="BO49" s="268"/>
      <c r="BP49" s="267" t="s">
        <v>79</v>
      </c>
      <c r="BQ49" s="268"/>
      <c r="BR49" s="267" t="s">
        <v>81</v>
      </c>
      <c r="BS49" s="268"/>
      <c r="BT49" s="268"/>
      <c r="BU49" s="268"/>
    </row>
    <row r="50" spans="22:73">
      <c r="V50" s="268" t="s">
        <v>28</v>
      </c>
      <c r="W50" s="268"/>
      <c r="X50" s="268"/>
      <c r="Y50" s="268"/>
      <c r="Z50" s="268" t="s">
        <v>51</v>
      </c>
      <c r="AA50" s="268"/>
      <c r="AB50" s="268"/>
      <c r="AC50" s="268"/>
      <c r="AD50" s="268" t="s">
        <v>72</v>
      </c>
      <c r="AE50" s="268"/>
      <c r="AF50" s="268"/>
      <c r="AG50" s="268"/>
      <c r="AH50" s="344" t="s">
        <v>195</v>
      </c>
      <c r="AI50" s="344"/>
      <c r="AJ50" s="344"/>
      <c r="AK50" s="344"/>
      <c r="AL50" s="268" t="s">
        <v>71</v>
      </c>
      <c r="AM50" s="268"/>
      <c r="AN50" s="268"/>
      <c r="AO50" s="268"/>
      <c r="AP50" s="268" t="s">
        <v>28</v>
      </c>
      <c r="AQ50" s="268"/>
      <c r="AR50" s="268"/>
      <c r="AS50" s="268"/>
      <c r="AT50" s="268" t="s">
        <v>72</v>
      </c>
      <c r="AU50" s="268"/>
      <c r="AV50" s="268"/>
      <c r="AW50" s="268"/>
      <c r="AX50" s="344" t="s">
        <v>195</v>
      </c>
      <c r="AY50" s="344"/>
      <c r="AZ50" s="344"/>
      <c r="BA50" s="344"/>
      <c r="BB50" s="268" t="s">
        <v>71</v>
      </c>
      <c r="BC50" s="268"/>
      <c r="BD50" s="268"/>
      <c r="BE50" s="268"/>
      <c r="BF50" s="291" t="s">
        <v>183</v>
      </c>
      <c r="BG50" s="294"/>
      <c r="BH50" s="268"/>
      <c r="BI50" s="268"/>
      <c r="BJ50" s="268"/>
      <c r="BK50" s="268"/>
      <c r="BL50" s="268"/>
      <c r="BM50" s="268"/>
      <c r="BN50" s="268"/>
      <c r="BO50" s="268"/>
      <c r="BP50" s="268"/>
      <c r="BQ50" s="268"/>
      <c r="BR50" s="268"/>
      <c r="BS50" s="268"/>
      <c r="BT50" s="268"/>
      <c r="BU50" s="268"/>
    </row>
    <row r="51" spans="22:73">
      <c r="V51" s="263">
        <f t="shared" ref="V51:V58" si="17">ROUNDDOWN(R12*$T$4/100,0)</f>
        <v>0</v>
      </c>
      <c r="W51" s="263"/>
      <c r="X51" s="263"/>
      <c r="Y51" s="263"/>
      <c r="Z51" s="268">
        <f>$Z$12</f>
        <v>70</v>
      </c>
      <c r="AA51" s="268"/>
      <c r="AB51" s="268"/>
      <c r="AC51" s="268"/>
      <c r="AD51" s="263">
        <f>IF(P12&gt;0,$T$5-ROUNDUP($T$5*Z51/100,0),0)</f>
        <v>0</v>
      </c>
      <c r="AE51" s="263"/>
      <c r="AF51" s="263"/>
      <c r="AG51" s="263"/>
      <c r="AH51" s="307"/>
      <c r="AI51" s="307"/>
      <c r="AJ51" s="307"/>
      <c r="AK51" s="307"/>
      <c r="AL51" s="263">
        <f>$T$7-ROUNDUP($T$7*Z51/100,0)</f>
        <v>0</v>
      </c>
      <c r="AM51" s="263"/>
      <c r="AN51" s="263"/>
      <c r="AO51" s="263"/>
      <c r="AP51" s="263">
        <f t="shared" ref="AP51:AP58" si="18">ROUNDDOWN(V51*(P12-BF51)/12,0)</f>
        <v>0</v>
      </c>
      <c r="AQ51" s="263"/>
      <c r="AR51" s="263"/>
      <c r="AS51" s="263"/>
      <c r="AT51" s="263">
        <f t="shared" ref="AT51:AT58" si="19">ROUNDDOWN(AD51*(P12-BF51)/12,0)</f>
        <v>0</v>
      </c>
      <c r="AU51" s="263"/>
      <c r="AV51" s="263"/>
      <c r="AW51" s="263"/>
      <c r="AX51" s="307"/>
      <c r="AY51" s="307"/>
      <c r="AZ51" s="307"/>
      <c r="BA51" s="307"/>
      <c r="BB51" s="263">
        <f>ROUNDDOWN(AL51*P20/12,0)</f>
        <v>0</v>
      </c>
      <c r="BC51" s="263"/>
      <c r="BD51" s="263"/>
      <c r="BE51" s="263"/>
      <c r="BF51" s="62">
        <f>試算!AM6</f>
        <v>0</v>
      </c>
      <c r="BG51" s="62">
        <f>試算!O6</f>
        <v>0</v>
      </c>
      <c r="BH51" s="333">
        <f>ROUNDDOWN(AP59+AT59+BB59,-1)</f>
        <v>0</v>
      </c>
      <c r="BI51" s="334"/>
      <c r="BJ51" s="334"/>
      <c r="BK51" s="335"/>
      <c r="BL51" s="343">
        <f>ROUNDDOWN(T8*P20/12,-1)</f>
        <v>0</v>
      </c>
      <c r="BM51" s="343"/>
      <c r="BN51" s="343"/>
      <c r="BO51" s="343"/>
      <c r="BP51" s="268" t="str">
        <f>IF(BH51&gt;BL51,"該当","非該当")</f>
        <v>非該当</v>
      </c>
      <c r="BQ51" s="268"/>
      <c r="BR51" s="333">
        <f>IF(BP51="非該当",BH51,BL51)</f>
        <v>0</v>
      </c>
      <c r="BS51" s="334"/>
      <c r="BT51" s="334"/>
      <c r="BU51" s="335"/>
    </row>
    <row r="52" spans="22:73">
      <c r="V52" s="263">
        <f t="shared" si="17"/>
        <v>0</v>
      </c>
      <c r="W52" s="263"/>
      <c r="X52" s="263"/>
      <c r="Y52" s="263"/>
      <c r="Z52" s="268">
        <f>$Z$12</f>
        <v>70</v>
      </c>
      <c r="AA52" s="268"/>
      <c r="AB52" s="268"/>
      <c r="AC52" s="268"/>
      <c r="AD52" s="263">
        <f t="shared" ref="AD52:AD58" si="20">IF(P13&gt;0,$T$5-ROUNDUP($T$5*Z52/100,0),0)</f>
        <v>0</v>
      </c>
      <c r="AE52" s="263"/>
      <c r="AF52" s="263"/>
      <c r="AG52" s="263"/>
      <c r="AH52" s="307"/>
      <c r="AI52" s="307"/>
      <c r="AJ52" s="307"/>
      <c r="AK52" s="307"/>
      <c r="AL52" s="307"/>
      <c r="AM52" s="307"/>
      <c r="AN52" s="307"/>
      <c r="AO52" s="307"/>
      <c r="AP52" s="263">
        <f t="shared" si="18"/>
        <v>0</v>
      </c>
      <c r="AQ52" s="263"/>
      <c r="AR52" s="263"/>
      <c r="AS52" s="263"/>
      <c r="AT52" s="263">
        <f t="shared" si="19"/>
        <v>0</v>
      </c>
      <c r="AU52" s="263"/>
      <c r="AV52" s="263"/>
      <c r="AW52" s="263"/>
      <c r="AX52" s="307"/>
      <c r="AY52" s="307"/>
      <c r="AZ52" s="307"/>
      <c r="BA52" s="307"/>
      <c r="BB52" s="307"/>
      <c r="BC52" s="307"/>
      <c r="BD52" s="307"/>
      <c r="BE52" s="307"/>
      <c r="BF52" s="62">
        <f>試算!AM7</f>
        <v>0</v>
      </c>
      <c r="BG52" s="62">
        <f>試算!O7</f>
        <v>0</v>
      </c>
      <c r="BH52" s="336"/>
      <c r="BI52" s="337"/>
      <c r="BJ52" s="337"/>
      <c r="BK52" s="338"/>
      <c r="BL52" s="343"/>
      <c r="BM52" s="343"/>
      <c r="BN52" s="343"/>
      <c r="BO52" s="343"/>
      <c r="BP52" s="268"/>
      <c r="BQ52" s="268"/>
      <c r="BR52" s="336"/>
      <c r="BS52" s="337"/>
      <c r="BT52" s="337"/>
      <c r="BU52" s="338"/>
    </row>
    <row r="53" spans="22:73">
      <c r="V53" s="263">
        <f t="shared" si="17"/>
        <v>0</v>
      </c>
      <c r="W53" s="263"/>
      <c r="X53" s="263"/>
      <c r="Y53" s="263"/>
      <c r="Z53" s="268">
        <f t="shared" ref="Z53:Z58" si="21">$Z$12</f>
        <v>70</v>
      </c>
      <c r="AA53" s="268"/>
      <c r="AB53" s="268"/>
      <c r="AC53" s="268"/>
      <c r="AD53" s="263">
        <f t="shared" si="20"/>
        <v>0</v>
      </c>
      <c r="AE53" s="263"/>
      <c r="AF53" s="263"/>
      <c r="AG53" s="263"/>
      <c r="AH53" s="307"/>
      <c r="AI53" s="307"/>
      <c r="AJ53" s="307"/>
      <c r="AK53" s="307"/>
      <c r="AL53" s="307"/>
      <c r="AM53" s="307"/>
      <c r="AN53" s="307"/>
      <c r="AO53" s="307"/>
      <c r="AP53" s="263">
        <f t="shared" si="18"/>
        <v>0</v>
      </c>
      <c r="AQ53" s="263"/>
      <c r="AR53" s="263"/>
      <c r="AS53" s="263"/>
      <c r="AT53" s="263">
        <f t="shared" si="19"/>
        <v>0</v>
      </c>
      <c r="AU53" s="263"/>
      <c r="AV53" s="263"/>
      <c r="AW53" s="263"/>
      <c r="AX53" s="307"/>
      <c r="AY53" s="307"/>
      <c r="AZ53" s="307"/>
      <c r="BA53" s="307"/>
      <c r="BB53" s="307"/>
      <c r="BC53" s="307"/>
      <c r="BD53" s="307"/>
      <c r="BE53" s="307"/>
      <c r="BF53" s="62">
        <f>試算!AM8</f>
        <v>0</v>
      </c>
      <c r="BG53" s="62">
        <f>試算!O8</f>
        <v>0</v>
      </c>
      <c r="BH53" s="336"/>
      <c r="BI53" s="337"/>
      <c r="BJ53" s="337"/>
      <c r="BK53" s="338"/>
      <c r="BL53" s="343"/>
      <c r="BM53" s="343"/>
      <c r="BN53" s="343"/>
      <c r="BO53" s="343"/>
      <c r="BP53" s="268"/>
      <c r="BQ53" s="268"/>
      <c r="BR53" s="336"/>
      <c r="BS53" s="337"/>
      <c r="BT53" s="337"/>
      <c r="BU53" s="338"/>
    </row>
    <row r="54" spans="22:73">
      <c r="V54" s="263">
        <f t="shared" si="17"/>
        <v>0</v>
      </c>
      <c r="W54" s="263"/>
      <c r="X54" s="263"/>
      <c r="Y54" s="263"/>
      <c r="Z54" s="268">
        <f t="shared" si="21"/>
        <v>70</v>
      </c>
      <c r="AA54" s="268"/>
      <c r="AB54" s="268"/>
      <c r="AC54" s="268"/>
      <c r="AD54" s="263">
        <f t="shared" si="20"/>
        <v>0</v>
      </c>
      <c r="AE54" s="263"/>
      <c r="AF54" s="263"/>
      <c r="AG54" s="263"/>
      <c r="AH54" s="307"/>
      <c r="AI54" s="307"/>
      <c r="AJ54" s="307"/>
      <c r="AK54" s="307"/>
      <c r="AL54" s="307"/>
      <c r="AM54" s="307"/>
      <c r="AN54" s="307"/>
      <c r="AO54" s="307"/>
      <c r="AP54" s="263">
        <f t="shared" si="18"/>
        <v>0</v>
      </c>
      <c r="AQ54" s="263"/>
      <c r="AR54" s="263"/>
      <c r="AS54" s="263"/>
      <c r="AT54" s="263">
        <f t="shared" si="19"/>
        <v>0</v>
      </c>
      <c r="AU54" s="263"/>
      <c r="AV54" s="263"/>
      <c r="AW54" s="263"/>
      <c r="AX54" s="307"/>
      <c r="AY54" s="307"/>
      <c r="AZ54" s="307"/>
      <c r="BA54" s="307"/>
      <c r="BB54" s="307"/>
      <c r="BC54" s="307"/>
      <c r="BD54" s="307"/>
      <c r="BE54" s="307"/>
      <c r="BF54" s="62">
        <f>試算!AM9</f>
        <v>0</v>
      </c>
      <c r="BG54" s="62">
        <f>試算!O9</f>
        <v>0</v>
      </c>
      <c r="BH54" s="336"/>
      <c r="BI54" s="337"/>
      <c r="BJ54" s="337"/>
      <c r="BK54" s="338"/>
      <c r="BL54" s="343"/>
      <c r="BM54" s="343"/>
      <c r="BN54" s="343"/>
      <c r="BO54" s="343"/>
      <c r="BP54" s="268"/>
      <c r="BQ54" s="268"/>
      <c r="BR54" s="336"/>
      <c r="BS54" s="337"/>
      <c r="BT54" s="337"/>
      <c r="BU54" s="338"/>
    </row>
    <row r="55" spans="22:73">
      <c r="V55" s="263">
        <f t="shared" si="17"/>
        <v>0</v>
      </c>
      <c r="W55" s="263"/>
      <c r="X55" s="263"/>
      <c r="Y55" s="263"/>
      <c r="Z55" s="268">
        <f>$Z$12</f>
        <v>70</v>
      </c>
      <c r="AA55" s="268"/>
      <c r="AB55" s="268"/>
      <c r="AC55" s="268"/>
      <c r="AD55" s="263">
        <f t="shared" si="20"/>
        <v>0</v>
      </c>
      <c r="AE55" s="263"/>
      <c r="AF55" s="263"/>
      <c r="AG55" s="263"/>
      <c r="AH55" s="307"/>
      <c r="AI55" s="307"/>
      <c r="AJ55" s="307"/>
      <c r="AK55" s="307"/>
      <c r="AL55" s="307"/>
      <c r="AM55" s="307"/>
      <c r="AN55" s="307"/>
      <c r="AO55" s="307"/>
      <c r="AP55" s="263">
        <f t="shared" si="18"/>
        <v>0</v>
      </c>
      <c r="AQ55" s="263"/>
      <c r="AR55" s="263"/>
      <c r="AS55" s="263"/>
      <c r="AT55" s="263">
        <f t="shared" si="19"/>
        <v>0</v>
      </c>
      <c r="AU55" s="263"/>
      <c r="AV55" s="263"/>
      <c r="AW55" s="263"/>
      <c r="AX55" s="307"/>
      <c r="AY55" s="307"/>
      <c r="AZ55" s="307"/>
      <c r="BA55" s="307"/>
      <c r="BB55" s="307"/>
      <c r="BC55" s="307"/>
      <c r="BD55" s="307"/>
      <c r="BE55" s="307"/>
      <c r="BF55" s="62">
        <f>試算!AM10</f>
        <v>0</v>
      </c>
      <c r="BG55" s="62">
        <f>試算!O10</f>
        <v>0</v>
      </c>
      <c r="BH55" s="336"/>
      <c r="BI55" s="337"/>
      <c r="BJ55" s="337"/>
      <c r="BK55" s="338"/>
      <c r="BL55" s="343"/>
      <c r="BM55" s="343"/>
      <c r="BN55" s="343"/>
      <c r="BO55" s="343"/>
      <c r="BP55" s="268"/>
      <c r="BQ55" s="268"/>
      <c r="BR55" s="336"/>
      <c r="BS55" s="337"/>
      <c r="BT55" s="337"/>
      <c r="BU55" s="338"/>
    </row>
    <row r="56" spans="22:73">
      <c r="V56" s="263">
        <f t="shared" si="17"/>
        <v>0</v>
      </c>
      <c r="W56" s="263"/>
      <c r="X56" s="263"/>
      <c r="Y56" s="263"/>
      <c r="Z56" s="268">
        <f t="shared" si="21"/>
        <v>70</v>
      </c>
      <c r="AA56" s="268"/>
      <c r="AB56" s="268"/>
      <c r="AC56" s="268"/>
      <c r="AD56" s="263">
        <f t="shared" si="20"/>
        <v>0</v>
      </c>
      <c r="AE56" s="263"/>
      <c r="AF56" s="263"/>
      <c r="AG56" s="263"/>
      <c r="AH56" s="307"/>
      <c r="AI56" s="307"/>
      <c r="AJ56" s="307"/>
      <c r="AK56" s="307"/>
      <c r="AL56" s="307"/>
      <c r="AM56" s="307"/>
      <c r="AN56" s="307"/>
      <c r="AO56" s="307"/>
      <c r="AP56" s="263">
        <f t="shared" si="18"/>
        <v>0</v>
      </c>
      <c r="AQ56" s="263"/>
      <c r="AR56" s="263"/>
      <c r="AS56" s="263"/>
      <c r="AT56" s="263">
        <f t="shared" si="19"/>
        <v>0</v>
      </c>
      <c r="AU56" s="263"/>
      <c r="AV56" s="263"/>
      <c r="AW56" s="263"/>
      <c r="AX56" s="307"/>
      <c r="AY56" s="307"/>
      <c r="AZ56" s="307"/>
      <c r="BA56" s="307"/>
      <c r="BB56" s="307"/>
      <c r="BC56" s="307"/>
      <c r="BD56" s="307"/>
      <c r="BE56" s="307"/>
      <c r="BF56" s="62">
        <f>試算!AM11</f>
        <v>0</v>
      </c>
      <c r="BG56" s="62">
        <f>試算!O11</f>
        <v>0</v>
      </c>
      <c r="BH56" s="336"/>
      <c r="BI56" s="337"/>
      <c r="BJ56" s="337"/>
      <c r="BK56" s="338"/>
      <c r="BL56" s="343"/>
      <c r="BM56" s="343"/>
      <c r="BN56" s="343"/>
      <c r="BO56" s="343"/>
      <c r="BP56" s="268"/>
      <c r="BQ56" s="268"/>
      <c r="BR56" s="336"/>
      <c r="BS56" s="337"/>
      <c r="BT56" s="337"/>
      <c r="BU56" s="338"/>
    </row>
    <row r="57" spans="22:73">
      <c r="V57" s="263">
        <f t="shared" si="17"/>
        <v>0</v>
      </c>
      <c r="W57" s="263"/>
      <c r="X57" s="263"/>
      <c r="Y57" s="263"/>
      <c r="Z57" s="268">
        <f t="shared" si="21"/>
        <v>70</v>
      </c>
      <c r="AA57" s="268"/>
      <c r="AB57" s="268"/>
      <c r="AC57" s="268"/>
      <c r="AD57" s="263">
        <f t="shared" si="20"/>
        <v>0</v>
      </c>
      <c r="AE57" s="263"/>
      <c r="AF57" s="263"/>
      <c r="AG57" s="263"/>
      <c r="AH57" s="307"/>
      <c r="AI57" s="307"/>
      <c r="AJ57" s="307"/>
      <c r="AK57" s="307"/>
      <c r="AL57" s="307"/>
      <c r="AM57" s="307"/>
      <c r="AN57" s="307"/>
      <c r="AO57" s="307"/>
      <c r="AP57" s="263">
        <f t="shared" si="18"/>
        <v>0</v>
      </c>
      <c r="AQ57" s="263"/>
      <c r="AR57" s="263"/>
      <c r="AS57" s="263"/>
      <c r="AT57" s="263">
        <f t="shared" si="19"/>
        <v>0</v>
      </c>
      <c r="AU57" s="263"/>
      <c r="AV57" s="263"/>
      <c r="AW57" s="263"/>
      <c r="AX57" s="307"/>
      <c r="AY57" s="307"/>
      <c r="AZ57" s="307"/>
      <c r="BA57" s="307"/>
      <c r="BB57" s="307"/>
      <c r="BC57" s="307"/>
      <c r="BD57" s="307"/>
      <c r="BE57" s="307"/>
      <c r="BF57" s="62">
        <f>試算!AM12</f>
        <v>0</v>
      </c>
      <c r="BG57" s="62">
        <f>試算!O12</f>
        <v>0</v>
      </c>
      <c r="BH57" s="336"/>
      <c r="BI57" s="337"/>
      <c r="BJ57" s="337"/>
      <c r="BK57" s="338"/>
      <c r="BL57" s="343"/>
      <c r="BM57" s="343"/>
      <c r="BN57" s="343"/>
      <c r="BO57" s="343"/>
      <c r="BP57" s="268"/>
      <c r="BQ57" s="268"/>
      <c r="BR57" s="336"/>
      <c r="BS57" s="337"/>
      <c r="BT57" s="337"/>
      <c r="BU57" s="338"/>
    </row>
    <row r="58" spans="22:73">
      <c r="V58" s="263">
        <f t="shared" si="17"/>
        <v>0</v>
      </c>
      <c r="W58" s="263"/>
      <c r="X58" s="263"/>
      <c r="Y58" s="263"/>
      <c r="Z58" s="268">
        <f t="shared" si="21"/>
        <v>70</v>
      </c>
      <c r="AA58" s="268"/>
      <c r="AB58" s="268"/>
      <c r="AC58" s="268"/>
      <c r="AD58" s="263">
        <f t="shared" si="20"/>
        <v>0</v>
      </c>
      <c r="AE58" s="263"/>
      <c r="AF58" s="263"/>
      <c r="AG58" s="263"/>
      <c r="AH58" s="307"/>
      <c r="AI58" s="307"/>
      <c r="AJ58" s="307"/>
      <c r="AK58" s="307"/>
      <c r="AL58" s="307"/>
      <c r="AM58" s="307"/>
      <c r="AN58" s="307"/>
      <c r="AO58" s="307"/>
      <c r="AP58" s="263">
        <f t="shared" si="18"/>
        <v>0</v>
      </c>
      <c r="AQ58" s="263"/>
      <c r="AR58" s="263"/>
      <c r="AS58" s="263"/>
      <c r="AT58" s="263">
        <f t="shared" si="19"/>
        <v>0</v>
      </c>
      <c r="AU58" s="263"/>
      <c r="AV58" s="263"/>
      <c r="AW58" s="263"/>
      <c r="AX58" s="307"/>
      <c r="AY58" s="307"/>
      <c r="AZ58" s="307"/>
      <c r="BA58" s="307"/>
      <c r="BB58" s="307"/>
      <c r="BC58" s="307"/>
      <c r="BD58" s="307"/>
      <c r="BE58" s="307"/>
      <c r="BF58" s="62">
        <f>試算!AM13</f>
        <v>0</v>
      </c>
      <c r="BG58" s="62">
        <f>試算!O13</f>
        <v>0</v>
      </c>
      <c r="BH58" s="339"/>
      <c r="BI58" s="340"/>
      <c r="BJ58" s="340"/>
      <c r="BK58" s="341"/>
      <c r="BL58" s="343"/>
      <c r="BM58" s="343"/>
      <c r="BN58" s="343"/>
      <c r="BO58" s="343"/>
      <c r="BP58" s="268"/>
      <c r="BQ58" s="268"/>
      <c r="BR58" s="339"/>
      <c r="BS58" s="340"/>
      <c r="BT58" s="340"/>
      <c r="BU58" s="341"/>
    </row>
    <row r="59" spans="22:73">
      <c r="V59" s="308">
        <f>SUM(V51:Y58)</f>
        <v>0</v>
      </c>
      <c r="W59" s="309"/>
      <c r="X59" s="309"/>
      <c r="Y59" s="309"/>
      <c r="AD59" s="308">
        <f>SUM(AD51:AG58)</f>
        <v>0</v>
      </c>
      <c r="AE59" s="309"/>
      <c r="AF59" s="309"/>
      <c r="AG59" s="309"/>
      <c r="AH59" s="308">
        <f>SUM(AH51:AK58)</f>
        <v>0</v>
      </c>
      <c r="AI59" s="309"/>
      <c r="AJ59" s="309"/>
      <c r="AK59" s="309"/>
      <c r="AL59" s="308">
        <f>SUM(AL51:AO58)</f>
        <v>0</v>
      </c>
      <c r="AM59" s="309"/>
      <c r="AN59" s="309"/>
      <c r="AO59" s="309"/>
      <c r="AP59" s="308">
        <f>SUM(AP51:AS58)</f>
        <v>0</v>
      </c>
      <c r="AQ59" s="309"/>
      <c r="AR59" s="309"/>
      <c r="AS59" s="309"/>
      <c r="AT59" s="308">
        <f>SUM(AT51:AW58)</f>
        <v>0</v>
      </c>
      <c r="AU59" s="309"/>
      <c r="AV59" s="309"/>
      <c r="AW59" s="309"/>
      <c r="AX59" s="308">
        <f>SUM(AX51:BA58)</f>
        <v>0</v>
      </c>
      <c r="AY59" s="309"/>
      <c r="AZ59" s="309"/>
      <c r="BA59" s="309"/>
      <c r="BB59" s="308">
        <f>SUM(BB51:BE58)</f>
        <v>0</v>
      </c>
      <c r="BC59" s="309"/>
      <c r="BD59" s="309"/>
      <c r="BE59" s="309"/>
      <c r="BF59" s="64"/>
      <c r="BG59" s="64"/>
      <c r="BH59" s="5"/>
      <c r="BI59" s="5"/>
      <c r="BJ59" s="5"/>
      <c r="BK59" s="5"/>
    </row>
  </sheetData>
  <mergeCells count="497">
    <mergeCell ref="V46:Y46"/>
    <mergeCell ref="AD46:AG46"/>
    <mergeCell ref="AL46:AO46"/>
    <mergeCell ref="AP46:AS46"/>
    <mergeCell ref="AT46:AW46"/>
    <mergeCell ref="BB46:BE46"/>
    <mergeCell ref="AH11:AK11"/>
    <mergeCell ref="AX11:BA11"/>
    <mergeCell ref="AH24:AK24"/>
    <mergeCell ref="AX24:BA24"/>
    <mergeCell ref="AX37:BA37"/>
    <mergeCell ref="AH37:AK37"/>
    <mergeCell ref="AD44:AG44"/>
    <mergeCell ref="AL44:AO44"/>
    <mergeCell ref="AP44:AS44"/>
    <mergeCell ref="AT44:AW44"/>
    <mergeCell ref="BB44:BE44"/>
    <mergeCell ref="V45:Y45"/>
    <mergeCell ref="Z45:AC45"/>
    <mergeCell ref="AD45:AG45"/>
    <mergeCell ref="AL45:AO45"/>
    <mergeCell ref="AP45:AS45"/>
    <mergeCell ref="AT45:AW45"/>
    <mergeCell ref="BB45:BE45"/>
    <mergeCell ref="BP38:BQ45"/>
    <mergeCell ref="BR38:BU45"/>
    <mergeCell ref="V39:Y39"/>
    <mergeCell ref="Z39:AC39"/>
    <mergeCell ref="AD39:AG39"/>
    <mergeCell ref="AL39:AO39"/>
    <mergeCell ref="AP39:AS39"/>
    <mergeCell ref="AT39:AW39"/>
    <mergeCell ref="BB39:BE39"/>
    <mergeCell ref="V40:Y40"/>
    <mergeCell ref="Z40:AC40"/>
    <mergeCell ref="AD40:AG40"/>
    <mergeCell ref="AL40:AO40"/>
    <mergeCell ref="AP40:AS40"/>
    <mergeCell ref="AT40:AW40"/>
    <mergeCell ref="BB40:BE40"/>
    <mergeCell ref="V41:Y41"/>
    <mergeCell ref="Z41:AC41"/>
    <mergeCell ref="AD41:AG41"/>
    <mergeCell ref="AL41:AO41"/>
    <mergeCell ref="AP41:AS41"/>
    <mergeCell ref="AT41:AW41"/>
    <mergeCell ref="BB41:BE41"/>
    <mergeCell ref="V42:Y42"/>
    <mergeCell ref="V38:Y38"/>
    <mergeCell ref="Z38:AC38"/>
    <mergeCell ref="AD38:AG38"/>
    <mergeCell ref="AL38:AO38"/>
    <mergeCell ref="AP38:AS38"/>
    <mergeCell ref="AT38:AW38"/>
    <mergeCell ref="BB38:BE38"/>
    <mergeCell ref="BH38:BK45"/>
    <mergeCell ref="BL38:BO45"/>
    <mergeCell ref="Z42:AC42"/>
    <mergeCell ref="AD42:AG42"/>
    <mergeCell ref="AL42:AO42"/>
    <mergeCell ref="AP42:AS42"/>
    <mergeCell ref="AT42:AW42"/>
    <mergeCell ref="BB42:BE42"/>
    <mergeCell ref="V43:Y43"/>
    <mergeCell ref="Z43:AC43"/>
    <mergeCell ref="AD43:AG43"/>
    <mergeCell ref="AL43:AO43"/>
    <mergeCell ref="AP43:AS43"/>
    <mergeCell ref="AT43:AW43"/>
    <mergeCell ref="BB43:BE43"/>
    <mergeCell ref="V44:Y44"/>
    <mergeCell ref="Z44:AC44"/>
    <mergeCell ref="AP36:BE36"/>
    <mergeCell ref="BF36:BG36"/>
    <mergeCell ref="BH36:BK37"/>
    <mergeCell ref="BL36:BO37"/>
    <mergeCell ref="BP36:BQ37"/>
    <mergeCell ref="BR36:BU37"/>
    <mergeCell ref="V37:Y37"/>
    <mergeCell ref="Z37:AC37"/>
    <mergeCell ref="AD37:AG37"/>
    <mergeCell ref="AL37:AO37"/>
    <mergeCell ref="AP37:AS37"/>
    <mergeCell ref="AT37:AW37"/>
    <mergeCell ref="BB37:BE37"/>
    <mergeCell ref="BF37:BG37"/>
    <mergeCell ref="AL57:AO57"/>
    <mergeCell ref="AP57:AS57"/>
    <mergeCell ref="AT57:AW57"/>
    <mergeCell ref="BB57:BE57"/>
    <mergeCell ref="AL31:AO31"/>
    <mergeCell ref="AP31:AS31"/>
    <mergeCell ref="AT31:AW31"/>
    <mergeCell ref="BB31:BE31"/>
    <mergeCell ref="V49:AO49"/>
    <mergeCell ref="AP49:BE49"/>
    <mergeCell ref="V55:Y55"/>
    <mergeCell ref="Z55:AC55"/>
    <mergeCell ref="AD55:AG55"/>
    <mergeCell ref="AL55:AO55"/>
    <mergeCell ref="AP55:AS55"/>
    <mergeCell ref="AT55:AW55"/>
    <mergeCell ref="BB55:BE55"/>
    <mergeCell ref="Z31:AC31"/>
    <mergeCell ref="AD31:AG31"/>
    <mergeCell ref="AH38:AK38"/>
    <mergeCell ref="AH39:AK39"/>
    <mergeCell ref="AH40:AK40"/>
    <mergeCell ref="AH41:AK41"/>
    <mergeCell ref="V36:AO36"/>
    <mergeCell ref="BB17:BE17"/>
    <mergeCell ref="BR51:BU58"/>
    <mergeCell ref="AT52:AW52"/>
    <mergeCell ref="BB52:BE52"/>
    <mergeCell ref="V53:Y53"/>
    <mergeCell ref="Z53:AC53"/>
    <mergeCell ref="AT29:AW29"/>
    <mergeCell ref="BB29:BE29"/>
    <mergeCell ref="BB28:BE28"/>
    <mergeCell ref="BB24:BE24"/>
    <mergeCell ref="V25:Y25"/>
    <mergeCell ref="Z25:AC25"/>
    <mergeCell ref="AD25:AG25"/>
    <mergeCell ref="AL25:AO25"/>
    <mergeCell ref="AP25:AS25"/>
    <mergeCell ref="AT25:AW25"/>
    <mergeCell ref="BB25:BE25"/>
    <mergeCell ref="AT54:AW54"/>
    <mergeCell ref="V51:Y51"/>
    <mergeCell ref="Z51:AC51"/>
    <mergeCell ref="AD51:AG51"/>
    <mergeCell ref="AL51:AO51"/>
    <mergeCell ref="V29:Y29"/>
    <mergeCell ref="Z29:AC29"/>
    <mergeCell ref="Z18:AC18"/>
    <mergeCell ref="AD18:AG18"/>
    <mergeCell ref="AL18:AO18"/>
    <mergeCell ref="AP18:AS18"/>
    <mergeCell ref="AT18:AW18"/>
    <mergeCell ref="P17:Q17"/>
    <mergeCell ref="R17:U17"/>
    <mergeCell ref="V17:Y17"/>
    <mergeCell ref="Z17:AC17"/>
    <mergeCell ref="AD17:AG17"/>
    <mergeCell ref="AL17:AO17"/>
    <mergeCell ref="AP17:AS17"/>
    <mergeCell ref="AT17:AW17"/>
    <mergeCell ref="BB53:BE53"/>
    <mergeCell ref="V54:Y54"/>
    <mergeCell ref="AT51:AW51"/>
    <mergeCell ref="BB51:BE51"/>
    <mergeCell ref="BH51:BK58"/>
    <mergeCell ref="J23:M23"/>
    <mergeCell ref="N23:Q23"/>
    <mergeCell ref="BH49:BK50"/>
    <mergeCell ref="BB33:BE33"/>
    <mergeCell ref="V32:Y32"/>
    <mergeCell ref="Z32:AC32"/>
    <mergeCell ref="AD32:AG32"/>
    <mergeCell ref="AL32:AO32"/>
    <mergeCell ref="AP32:AS32"/>
    <mergeCell ref="V30:Y30"/>
    <mergeCell ref="Z30:AC30"/>
    <mergeCell ref="AD30:AG30"/>
    <mergeCell ref="AL30:AO30"/>
    <mergeCell ref="AP30:AS30"/>
    <mergeCell ref="AT30:AW30"/>
    <mergeCell ref="BB30:BE30"/>
    <mergeCell ref="V31:Y31"/>
    <mergeCell ref="AD29:AG29"/>
    <mergeCell ref="AD57:AG57"/>
    <mergeCell ref="BB59:BE59"/>
    <mergeCell ref="J22:M22"/>
    <mergeCell ref="N22:Q22"/>
    <mergeCell ref="V59:Y59"/>
    <mergeCell ref="AD59:AG59"/>
    <mergeCell ref="AL59:AO59"/>
    <mergeCell ref="AP59:AS59"/>
    <mergeCell ref="AT59:AW59"/>
    <mergeCell ref="V58:Y58"/>
    <mergeCell ref="Z58:AC58"/>
    <mergeCell ref="AD58:AG58"/>
    <mergeCell ref="AL58:AO58"/>
    <mergeCell ref="AP58:AS58"/>
    <mergeCell ref="Z54:AC54"/>
    <mergeCell ref="AD54:AG54"/>
    <mergeCell ref="AL54:AO54"/>
    <mergeCell ref="AP54:AS54"/>
    <mergeCell ref="AT32:AW32"/>
    <mergeCell ref="BB32:BE32"/>
    <mergeCell ref="V33:Y33"/>
    <mergeCell ref="AD33:AG33"/>
    <mergeCell ref="AL33:AO33"/>
    <mergeCell ref="AP33:AS33"/>
    <mergeCell ref="AT33:AW33"/>
    <mergeCell ref="BL51:BO58"/>
    <mergeCell ref="BP51:BQ58"/>
    <mergeCell ref="BB54:BE54"/>
    <mergeCell ref="AT58:AW58"/>
    <mergeCell ref="BB58:BE58"/>
    <mergeCell ref="AP51:AS51"/>
    <mergeCell ref="V56:Y56"/>
    <mergeCell ref="Z56:AC56"/>
    <mergeCell ref="AD56:AG56"/>
    <mergeCell ref="AL56:AO56"/>
    <mergeCell ref="AP56:AS56"/>
    <mergeCell ref="AT56:AW56"/>
    <mergeCell ref="BB56:BE56"/>
    <mergeCell ref="V57:Y57"/>
    <mergeCell ref="Z57:AC57"/>
    <mergeCell ref="V52:Y52"/>
    <mergeCell ref="Z52:AC52"/>
    <mergeCell ref="AD52:AG52"/>
    <mergeCell ref="AL52:AO52"/>
    <mergeCell ref="AP52:AS52"/>
    <mergeCell ref="AD53:AG53"/>
    <mergeCell ref="AL53:AO53"/>
    <mergeCell ref="AP53:AS53"/>
    <mergeCell ref="AT53:AW53"/>
    <mergeCell ref="BL49:BO50"/>
    <mergeCell ref="BP49:BQ50"/>
    <mergeCell ref="BR49:BU50"/>
    <mergeCell ref="V50:Y50"/>
    <mergeCell ref="Z50:AC50"/>
    <mergeCell ref="AD50:AG50"/>
    <mergeCell ref="AL50:AO50"/>
    <mergeCell ref="AP50:AS50"/>
    <mergeCell ref="AT50:AW50"/>
    <mergeCell ref="BB50:BE50"/>
    <mergeCell ref="AH50:AK50"/>
    <mergeCell ref="AX50:BA50"/>
    <mergeCell ref="BF49:BG49"/>
    <mergeCell ref="BF50:BG50"/>
    <mergeCell ref="BH25:BK32"/>
    <mergeCell ref="BL25:BO32"/>
    <mergeCell ref="BP25:BQ32"/>
    <mergeCell ref="BR25:BU32"/>
    <mergeCell ref="V26:Y26"/>
    <mergeCell ref="Z26:AC26"/>
    <mergeCell ref="AD26:AG26"/>
    <mergeCell ref="AL26:AO26"/>
    <mergeCell ref="AP26:AS26"/>
    <mergeCell ref="AT26:AW26"/>
    <mergeCell ref="BB26:BE26"/>
    <mergeCell ref="V27:Y27"/>
    <mergeCell ref="Z27:AC27"/>
    <mergeCell ref="AD27:AG27"/>
    <mergeCell ref="AL27:AO27"/>
    <mergeCell ref="AP27:AS27"/>
    <mergeCell ref="AT27:AW27"/>
    <mergeCell ref="BB27:BE27"/>
    <mergeCell ref="V28:Y28"/>
    <mergeCell ref="Z28:AC28"/>
    <mergeCell ref="AD28:AG28"/>
    <mergeCell ref="AL28:AO28"/>
    <mergeCell ref="AP28:AS28"/>
    <mergeCell ref="AT28:AW28"/>
    <mergeCell ref="BR10:BU11"/>
    <mergeCell ref="BR12:BU19"/>
    <mergeCell ref="AP20:AS20"/>
    <mergeCell ref="BB20:BE20"/>
    <mergeCell ref="Z14:AC14"/>
    <mergeCell ref="Z11:AC11"/>
    <mergeCell ref="Z12:AC12"/>
    <mergeCell ref="Z13:AC13"/>
    <mergeCell ref="V20:Y20"/>
    <mergeCell ref="AD20:AG20"/>
    <mergeCell ref="AL20:AO20"/>
    <mergeCell ref="AL14:AO14"/>
    <mergeCell ref="AL15:AO15"/>
    <mergeCell ref="AL19:AO19"/>
    <mergeCell ref="Z15:AC15"/>
    <mergeCell ref="Z19:AC19"/>
    <mergeCell ref="BF10:BG10"/>
    <mergeCell ref="BF11:BG11"/>
    <mergeCell ref="BB16:BE16"/>
    <mergeCell ref="BB18:BE18"/>
    <mergeCell ref="AT20:AW20"/>
    <mergeCell ref="BL10:BO11"/>
    <mergeCell ref="BL12:BO19"/>
    <mergeCell ref="BP10:BQ11"/>
    <mergeCell ref="V23:AO23"/>
    <mergeCell ref="AP23:BE23"/>
    <mergeCell ref="BH23:BK24"/>
    <mergeCell ref="BL23:BO24"/>
    <mergeCell ref="BP23:BQ24"/>
    <mergeCell ref="BR23:BU24"/>
    <mergeCell ref="V24:Y24"/>
    <mergeCell ref="Z24:AC24"/>
    <mergeCell ref="AD24:AG24"/>
    <mergeCell ref="AL24:AO24"/>
    <mergeCell ref="AP24:AS24"/>
    <mergeCell ref="AT24:AW24"/>
    <mergeCell ref="BF23:BG23"/>
    <mergeCell ref="BF24:BG24"/>
    <mergeCell ref="BP12:BQ19"/>
    <mergeCell ref="BH10:BK11"/>
    <mergeCell ref="BH12:BK19"/>
    <mergeCell ref="AT19:AW19"/>
    <mergeCell ref="BB19:BE19"/>
    <mergeCell ref="AP10:BE10"/>
    <mergeCell ref="N20:O20"/>
    <mergeCell ref="P20:Q20"/>
    <mergeCell ref="AP11:AS11"/>
    <mergeCell ref="AT11:AW11"/>
    <mergeCell ref="BB11:BE11"/>
    <mergeCell ref="AP12:AS12"/>
    <mergeCell ref="AT12:AW12"/>
    <mergeCell ref="BB12:BE12"/>
    <mergeCell ref="AP13:AS13"/>
    <mergeCell ref="AT13:AW13"/>
    <mergeCell ref="BB13:BE13"/>
    <mergeCell ref="AP14:AS14"/>
    <mergeCell ref="AT14:AW14"/>
    <mergeCell ref="BB14:BE14"/>
    <mergeCell ref="AP15:AS15"/>
    <mergeCell ref="AT15:AW15"/>
    <mergeCell ref="R19:U19"/>
    <mergeCell ref="V12:Y12"/>
    <mergeCell ref="R10:U11"/>
    <mergeCell ref="D19:F19"/>
    <mergeCell ref="G19:I19"/>
    <mergeCell ref="J19:M19"/>
    <mergeCell ref="N19:O19"/>
    <mergeCell ref="P19:Q19"/>
    <mergeCell ref="D15:F15"/>
    <mergeCell ref="G15:I15"/>
    <mergeCell ref="J15:M15"/>
    <mergeCell ref="N15:O15"/>
    <mergeCell ref="P15:Q15"/>
    <mergeCell ref="D16:F16"/>
    <mergeCell ref="G16:I16"/>
    <mergeCell ref="J16:M16"/>
    <mergeCell ref="N16:O16"/>
    <mergeCell ref="P16:Q16"/>
    <mergeCell ref="D18:F18"/>
    <mergeCell ref="G18:I18"/>
    <mergeCell ref="J18:M18"/>
    <mergeCell ref="R16:U16"/>
    <mergeCell ref="R18:U18"/>
    <mergeCell ref="N18:O18"/>
    <mergeCell ref="P18:Q18"/>
    <mergeCell ref="D17:F17"/>
    <mergeCell ref="G17:I17"/>
    <mergeCell ref="J17:M17"/>
    <mergeCell ref="N17:O17"/>
    <mergeCell ref="R15:U15"/>
    <mergeCell ref="N14:O14"/>
    <mergeCell ref="P14:Q14"/>
    <mergeCell ref="D14:F14"/>
    <mergeCell ref="G14:I14"/>
    <mergeCell ref="J14:M14"/>
    <mergeCell ref="J13:M13"/>
    <mergeCell ref="N13:O13"/>
    <mergeCell ref="P13:Q13"/>
    <mergeCell ref="H3:K3"/>
    <mergeCell ref="L3:O3"/>
    <mergeCell ref="L5:O5"/>
    <mergeCell ref="H7:K7"/>
    <mergeCell ref="L7:O7"/>
    <mergeCell ref="P10:Q11"/>
    <mergeCell ref="T3:W3"/>
    <mergeCell ref="H4:K4"/>
    <mergeCell ref="L4:O4"/>
    <mergeCell ref="T4:W4"/>
    <mergeCell ref="H5:K5"/>
    <mergeCell ref="T5:W5"/>
    <mergeCell ref="T7:W7"/>
    <mergeCell ref="P3:S3"/>
    <mergeCell ref="P4:S4"/>
    <mergeCell ref="P5:S5"/>
    <mergeCell ref="P7:S7"/>
    <mergeCell ref="H6:K6"/>
    <mergeCell ref="L6:O6"/>
    <mergeCell ref="P6:S6"/>
    <mergeCell ref="T6:W6"/>
    <mergeCell ref="R12:U12"/>
    <mergeCell ref="R13:U13"/>
    <mergeCell ref="R14:U14"/>
    <mergeCell ref="C4:G4"/>
    <mergeCell ref="C5:G5"/>
    <mergeCell ref="C7:G7"/>
    <mergeCell ref="D12:F12"/>
    <mergeCell ref="G12:I12"/>
    <mergeCell ref="J12:M12"/>
    <mergeCell ref="N12:O12"/>
    <mergeCell ref="P12:Q12"/>
    <mergeCell ref="P8:S8"/>
    <mergeCell ref="C6:G6"/>
    <mergeCell ref="C8:G8"/>
    <mergeCell ref="H8:K8"/>
    <mergeCell ref="L8:O8"/>
    <mergeCell ref="T8:W8"/>
    <mergeCell ref="C10:F11"/>
    <mergeCell ref="G10:I11"/>
    <mergeCell ref="J10:M11"/>
    <mergeCell ref="N10:O11"/>
    <mergeCell ref="V9:BU9"/>
    <mergeCell ref="D13:F13"/>
    <mergeCell ref="G13:I13"/>
    <mergeCell ref="BB15:BE15"/>
    <mergeCell ref="AP19:AS19"/>
    <mergeCell ref="AD14:AG14"/>
    <mergeCell ref="AD15:AG15"/>
    <mergeCell ref="AD19:AG19"/>
    <mergeCell ref="V10:AO10"/>
    <mergeCell ref="AD12:AG12"/>
    <mergeCell ref="AD13:AG13"/>
    <mergeCell ref="AD11:AG11"/>
    <mergeCell ref="AL11:AO11"/>
    <mergeCell ref="AL12:AO12"/>
    <mergeCell ref="AL13:AO13"/>
    <mergeCell ref="V11:Y11"/>
    <mergeCell ref="V13:Y13"/>
    <mergeCell ref="V14:Y14"/>
    <mergeCell ref="V15:Y15"/>
    <mergeCell ref="V19:Y19"/>
    <mergeCell ref="V16:Y16"/>
    <mergeCell ref="Z16:AC16"/>
    <mergeCell ref="AD16:AG16"/>
    <mergeCell ref="AL16:AO16"/>
    <mergeCell ref="AP16:AS16"/>
    <mergeCell ref="AT16:AW16"/>
    <mergeCell ref="V18:Y18"/>
    <mergeCell ref="V22:BU22"/>
    <mergeCell ref="V35:BU35"/>
    <mergeCell ref="V48:BU48"/>
    <mergeCell ref="AH12:AK12"/>
    <mergeCell ref="AH13:AK13"/>
    <mergeCell ref="AH14:AK14"/>
    <mergeCell ref="AH15:AK15"/>
    <mergeCell ref="AH16:AK16"/>
    <mergeCell ref="AH17:AK17"/>
    <mergeCell ref="AH18:AK18"/>
    <mergeCell ref="AH19:AK19"/>
    <mergeCell ref="AH20:AK20"/>
    <mergeCell ref="AX12:BA12"/>
    <mergeCell ref="AX13:BA13"/>
    <mergeCell ref="AX14:BA14"/>
    <mergeCell ref="AX15:BA15"/>
    <mergeCell ref="AX16:BA16"/>
    <mergeCell ref="AX17:BA17"/>
    <mergeCell ref="AX18:BA18"/>
    <mergeCell ref="AX19:BA19"/>
    <mergeCell ref="AX20:BA20"/>
    <mergeCell ref="AH25:AK25"/>
    <mergeCell ref="AH26:AK26"/>
    <mergeCell ref="AH27:AK27"/>
    <mergeCell ref="AH28:AK28"/>
    <mergeCell ref="AH29:AK29"/>
    <mergeCell ref="AH30:AK30"/>
    <mergeCell ref="AH31:AK31"/>
    <mergeCell ref="AH32:AK32"/>
    <mergeCell ref="AH33:AK33"/>
    <mergeCell ref="AX25:BA25"/>
    <mergeCell ref="AX26:BA26"/>
    <mergeCell ref="AX27:BA27"/>
    <mergeCell ref="AX28:BA28"/>
    <mergeCell ref="AX29:BA29"/>
    <mergeCell ref="AX30:BA30"/>
    <mergeCell ref="AX31:BA31"/>
    <mergeCell ref="AX32:BA32"/>
    <mergeCell ref="AX33:BA33"/>
    <mergeCell ref="AL29:AO29"/>
    <mergeCell ref="AP29:AS29"/>
    <mergeCell ref="AH42:AK42"/>
    <mergeCell ref="AH43:AK43"/>
    <mergeCell ref="AH44:AK44"/>
    <mergeCell ref="AH45:AK45"/>
    <mergeCell ref="AH46:AK46"/>
    <mergeCell ref="AX38:BA38"/>
    <mergeCell ref="AX39:BA39"/>
    <mergeCell ref="AX40:BA40"/>
    <mergeCell ref="AX41:BA41"/>
    <mergeCell ref="AX42:BA42"/>
    <mergeCell ref="AX43:BA43"/>
    <mergeCell ref="AX44:BA44"/>
    <mergeCell ref="AX45:BA45"/>
    <mergeCell ref="AX46:BA46"/>
    <mergeCell ref="AX51:BA51"/>
    <mergeCell ref="AX52:BA52"/>
    <mergeCell ref="AX53:BA53"/>
    <mergeCell ref="AX54:BA54"/>
    <mergeCell ref="AX55:BA55"/>
    <mergeCell ref="AX56:BA56"/>
    <mergeCell ref="AX57:BA57"/>
    <mergeCell ref="AX58:BA58"/>
    <mergeCell ref="AX59:BA59"/>
    <mergeCell ref="AH51:AK51"/>
    <mergeCell ref="AH52:AK52"/>
    <mergeCell ref="AH53:AK53"/>
    <mergeCell ref="AH54:AK54"/>
    <mergeCell ref="AH55:AK55"/>
    <mergeCell ref="AH56:AK56"/>
    <mergeCell ref="AH57:AK57"/>
    <mergeCell ref="AH58:AK58"/>
    <mergeCell ref="AH59:AK59"/>
  </mergeCells>
  <phoneticPr fontId="1"/>
  <conditionalFormatting sqref="N12:Q19">
    <cfRule type="expression" dxfId="4" priority="1">
      <formula>$F$7="擬制世帯主"</formula>
    </cfRule>
  </conditionalFormatting>
  <conditionalFormatting sqref="P12:Q19">
    <cfRule type="expression" dxfId="3" priority="3">
      <formula>$I$7="65歳以上"</formula>
    </cfRule>
    <cfRule type="expression" dxfId="2" priority="4">
      <formula>$I$7="40歳未満"</formula>
    </cfRule>
    <cfRule type="cellIs" dxfId="1" priority="5" operator="equal">
      <formula>11</formula>
    </cfRule>
    <cfRule type="cellIs" dxfId="0" priority="6" operator="equal">
      <formula>"４０歳以上～６５歳未満"</formula>
    </cfRule>
  </conditionalFormatting>
  <pageMargins left="0.7" right="0.7" top="0.75" bottom="0.75" header="0.3" footer="0.3"/>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06BD3-9696-44CA-877C-DED6754EAE8C}">
  <sheetPr>
    <pageSetUpPr fitToPage="1"/>
  </sheetPr>
  <dimension ref="A1:AM500"/>
  <sheetViews>
    <sheetView topLeftCell="A16" workbookViewId="0">
      <selection activeCell="AE11" sqref="AE11:AK11"/>
    </sheetView>
  </sheetViews>
  <sheetFormatPr defaultColWidth="9" defaultRowHeight="16.2"/>
  <cols>
    <col min="1" max="5" width="3.3984375" style="1" customWidth="1"/>
    <col min="6" max="6" width="4.09765625" style="1" customWidth="1"/>
    <col min="7" max="223" width="3.3984375" style="1" customWidth="1"/>
    <col min="224" max="16384" width="9" style="1"/>
  </cols>
  <sheetData>
    <row r="1" spans="1:39" ht="18.75" customHeight="1">
      <c r="A1" s="131" t="s">
        <v>208</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row>
    <row r="2" spans="1:39" ht="18.75" customHeight="1">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row>
    <row r="3" spans="1:39" ht="18.75" customHeight="1">
      <c r="B3" s="78" t="s">
        <v>324</v>
      </c>
      <c r="C3" s="78"/>
      <c r="D3" s="78"/>
      <c r="E3" s="78"/>
      <c r="F3" s="78"/>
      <c r="G3" s="78"/>
      <c r="H3" s="78"/>
      <c r="I3" s="78"/>
      <c r="J3" s="78"/>
      <c r="K3" s="78"/>
      <c r="L3" s="78"/>
      <c r="M3" s="78"/>
      <c r="N3" s="78"/>
      <c r="O3" s="78"/>
      <c r="P3" s="78"/>
      <c r="Q3" s="78"/>
      <c r="R3" s="78"/>
      <c r="S3" s="78"/>
      <c r="T3" s="78"/>
      <c r="U3" s="78"/>
      <c r="V3" s="78"/>
      <c r="W3" s="78"/>
      <c r="X3" s="78"/>
      <c r="Y3" s="78"/>
      <c r="Z3" s="78"/>
      <c r="AA3" s="78"/>
      <c r="AB3" s="78"/>
      <c r="AC3" s="78"/>
    </row>
    <row r="4" spans="1:39" ht="18.75" customHeight="1">
      <c r="B4" s="78"/>
      <c r="C4" s="78"/>
      <c r="D4" s="78"/>
      <c r="E4" s="78"/>
      <c r="F4" s="78"/>
      <c r="G4" s="132" t="s">
        <v>209</v>
      </c>
      <c r="H4" s="133"/>
      <c r="I4" s="133"/>
      <c r="J4" s="133"/>
      <c r="K4" s="133"/>
      <c r="L4" s="133"/>
      <c r="M4" s="134"/>
      <c r="N4" s="135" t="s">
        <v>210</v>
      </c>
      <c r="O4" s="132" t="s">
        <v>211</v>
      </c>
      <c r="P4" s="133"/>
      <c r="Q4" s="133"/>
      <c r="R4" s="133"/>
      <c r="S4" s="133"/>
      <c r="T4" s="133"/>
      <c r="U4" s="134"/>
      <c r="V4" s="135" t="s">
        <v>210</v>
      </c>
      <c r="W4" s="136" t="s">
        <v>212</v>
      </c>
      <c r="X4" s="137"/>
      <c r="Y4" s="137"/>
      <c r="Z4" s="137"/>
      <c r="AA4" s="137"/>
      <c r="AB4" s="137"/>
      <c r="AC4" s="138"/>
      <c r="AD4" s="139" t="s">
        <v>213</v>
      </c>
      <c r="AE4" s="122" t="s">
        <v>214</v>
      </c>
      <c r="AF4" s="123"/>
      <c r="AG4" s="123"/>
      <c r="AH4" s="123"/>
      <c r="AI4" s="123"/>
      <c r="AJ4" s="123"/>
      <c r="AK4" s="124"/>
    </row>
    <row r="5" spans="1:39" ht="18.75" customHeight="1">
      <c r="B5" s="119" t="s">
        <v>215</v>
      </c>
      <c r="C5" s="119"/>
      <c r="D5" s="119"/>
      <c r="E5" s="119"/>
      <c r="F5" s="119"/>
      <c r="G5" s="95" t="s">
        <v>216</v>
      </c>
      <c r="H5" s="96"/>
      <c r="I5" s="99" t="s">
        <v>217</v>
      </c>
      <c r="J5" s="120">
        <v>7.21</v>
      </c>
      <c r="K5" s="120"/>
      <c r="L5" s="120"/>
      <c r="M5" s="103" t="s">
        <v>218</v>
      </c>
      <c r="N5" s="135"/>
      <c r="O5" s="95" t="s">
        <v>219</v>
      </c>
      <c r="P5" s="96"/>
      <c r="Q5" s="99" t="s">
        <v>217</v>
      </c>
      <c r="R5" s="101">
        <v>23280</v>
      </c>
      <c r="S5" s="101"/>
      <c r="T5" s="101"/>
      <c r="U5" s="103" t="s">
        <v>37</v>
      </c>
      <c r="V5" s="135"/>
      <c r="W5" s="126" t="s">
        <v>220</v>
      </c>
      <c r="X5" s="127"/>
      <c r="Y5" s="127"/>
      <c r="Z5" s="127"/>
      <c r="AA5" s="127"/>
      <c r="AB5" s="127"/>
      <c r="AC5" s="128"/>
      <c r="AD5" s="139"/>
      <c r="AE5" s="105" t="s">
        <v>215</v>
      </c>
      <c r="AF5" s="106"/>
      <c r="AG5" s="106"/>
      <c r="AH5" s="106"/>
      <c r="AI5" s="106"/>
      <c r="AJ5" s="106"/>
      <c r="AK5" s="107"/>
    </row>
    <row r="6" spans="1:39" ht="18.75" customHeight="1">
      <c r="B6" s="119"/>
      <c r="C6" s="119"/>
      <c r="D6" s="119"/>
      <c r="E6" s="119"/>
      <c r="F6" s="119"/>
      <c r="G6" s="97"/>
      <c r="H6" s="98"/>
      <c r="I6" s="100"/>
      <c r="J6" s="121"/>
      <c r="K6" s="121"/>
      <c r="L6" s="121"/>
      <c r="M6" s="104"/>
      <c r="N6" s="135"/>
      <c r="O6" s="97"/>
      <c r="P6" s="98"/>
      <c r="Q6" s="100"/>
      <c r="R6" s="102"/>
      <c r="S6" s="102"/>
      <c r="T6" s="102"/>
      <c r="U6" s="104"/>
      <c r="V6" s="135"/>
      <c r="W6" s="129">
        <v>26640</v>
      </c>
      <c r="X6" s="130"/>
      <c r="Y6" s="130"/>
      <c r="Z6" s="130"/>
      <c r="AA6" s="130"/>
      <c r="AB6" s="130"/>
      <c r="AC6" s="80" t="s">
        <v>221</v>
      </c>
      <c r="AD6" s="139"/>
      <c r="AE6" s="108" t="s">
        <v>222</v>
      </c>
      <c r="AF6" s="109"/>
      <c r="AG6" s="109"/>
      <c r="AH6" s="109"/>
      <c r="AI6" s="109"/>
      <c r="AJ6" s="109"/>
      <c r="AK6" s="110"/>
    </row>
    <row r="7" spans="1:39" ht="18.75" customHeight="1">
      <c r="B7" s="119" t="s">
        <v>326</v>
      </c>
      <c r="C7" s="119"/>
      <c r="D7" s="119"/>
      <c r="E7" s="119"/>
      <c r="F7" s="119"/>
      <c r="G7" s="95" t="s">
        <v>216</v>
      </c>
      <c r="H7" s="96"/>
      <c r="I7" s="99" t="s">
        <v>217</v>
      </c>
      <c r="J7" s="120">
        <v>2.85</v>
      </c>
      <c r="K7" s="120"/>
      <c r="L7" s="120"/>
      <c r="M7" s="103" t="s">
        <v>218</v>
      </c>
      <c r="N7" s="135"/>
      <c r="O7" s="95" t="s">
        <v>219</v>
      </c>
      <c r="P7" s="96"/>
      <c r="Q7" s="99" t="s">
        <v>217</v>
      </c>
      <c r="R7" s="101">
        <v>8880</v>
      </c>
      <c r="S7" s="101"/>
      <c r="T7" s="101"/>
      <c r="U7" s="103" t="s">
        <v>37</v>
      </c>
      <c r="V7" s="135"/>
      <c r="W7" s="126" t="s">
        <v>220</v>
      </c>
      <c r="X7" s="127"/>
      <c r="Y7" s="127"/>
      <c r="Z7" s="127"/>
      <c r="AA7" s="127"/>
      <c r="AB7" s="127"/>
      <c r="AC7" s="128"/>
      <c r="AD7" s="139"/>
      <c r="AE7" s="105" t="s">
        <v>330</v>
      </c>
      <c r="AF7" s="106"/>
      <c r="AG7" s="106"/>
      <c r="AH7" s="106"/>
      <c r="AI7" s="106"/>
      <c r="AJ7" s="106"/>
      <c r="AK7" s="107"/>
    </row>
    <row r="8" spans="1:39" ht="18.75" customHeight="1">
      <c r="B8" s="119"/>
      <c r="C8" s="119"/>
      <c r="D8" s="119"/>
      <c r="E8" s="119"/>
      <c r="F8" s="119"/>
      <c r="G8" s="97"/>
      <c r="H8" s="98"/>
      <c r="I8" s="100"/>
      <c r="J8" s="121"/>
      <c r="K8" s="121"/>
      <c r="L8" s="121"/>
      <c r="M8" s="104"/>
      <c r="N8" s="135"/>
      <c r="O8" s="97"/>
      <c r="P8" s="98"/>
      <c r="Q8" s="100"/>
      <c r="R8" s="102"/>
      <c r="S8" s="102"/>
      <c r="T8" s="102"/>
      <c r="U8" s="104"/>
      <c r="V8" s="135"/>
      <c r="W8" s="129">
        <v>10320</v>
      </c>
      <c r="X8" s="130"/>
      <c r="Y8" s="130"/>
      <c r="Z8" s="130"/>
      <c r="AA8" s="130"/>
      <c r="AB8" s="130"/>
      <c r="AC8" s="80" t="s">
        <v>221</v>
      </c>
      <c r="AD8" s="139"/>
      <c r="AE8" s="108" t="s">
        <v>222</v>
      </c>
      <c r="AF8" s="109"/>
      <c r="AG8" s="109"/>
      <c r="AH8" s="109"/>
      <c r="AI8" s="109"/>
      <c r="AJ8" s="109"/>
      <c r="AK8" s="110"/>
    </row>
    <row r="9" spans="1:39" ht="18.75" customHeight="1">
      <c r="B9" s="118" t="s">
        <v>223</v>
      </c>
      <c r="C9" s="119"/>
      <c r="D9" s="119"/>
      <c r="E9" s="119"/>
      <c r="F9" s="119"/>
      <c r="G9" s="95" t="s">
        <v>216</v>
      </c>
      <c r="H9" s="96"/>
      <c r="I9" s="99" t="s">
        <v>217</v>
      </c>
      <c r="J9" s="120">
        <v>2.57</v>
      </c>
      <c r="K9" s="120"/>
      <c r="L9" s="120"/>
      <c r="M9" s="103" t="s">
        <v>218</v>
      </c>
      <c r="N9" s="135"/>
      <c r="O9" s="95" t="s">
        <v>219</v>
      </c>
      <c r="P9" s="96"/>
      <c r="Q9" s="99" t="s">
        <v>217</v>
      </c>
      <c r="R9" s="101">
        <v>16560</v>
      </c>
      <c r="S9" s="101"/>
      <c r="T9" s="101"/>
      <c r="U9" s="103" t="s">
        <v>37</v>
      </c>
      <c r="V9" s="135"/>
      <c r="W9" s="111"/>
      <c r="X9" s="112"/>
      <c r="Y9" s="112"/>
      <c r="Z9" s="112"/>
      <c r="AA9" s="112"/>
      <c r="AB9" s="112"/>
      <c r="AC9" s="113"/>
      <c r="AD9" s="139"/>
      <c r="AE9" s="105" t="s">
        <v>224</v>
      </c>
      <c r="AF9" s="106"/>
      <c r="AG9" s="106"/>
      <c r="AH9" s="106"/>
      <c r="AI9" s="106"/>
      <c r="AJ9" s="106"/>
      <c r="AK9" s="107"/>
    </row>
    <row r="10" spans="1:39" ht="18.75" customHeight="1">
      <c r="B10" s="119"/>
      <c r="C10" s="119"/>
      <c r="D10" s="119"/>
      <c r="E10" s="119"/>
      <c r="F10" s="119"/>
      <c r="G10" s="97"/>
      <c r="H10" s="98"/>
      <c r="I10" s="100"/>
      <c r="J10" s="121"/>
      <c r="K10" s="121"/>
      <c r="L10" s="121"/>
      <c r="M10" s="104"/>
      <c r="N10" s="135"/>
      <c r="O10" s="97"/>
      <c r="P10" s="98"/>
      <c r="Q10" s="100"/>
      <c r="R10" s="102"/>
      <c r="S10" s="102"/>
      <c r="T10" s="102"/>
      <c r="U10" s="104"/>
      <c r="V10" s="135"/>
      <c r="W10" s="114"/>
      <c r="X10" s="115"/>
      <c r="Y10" s="115"/>
      <c r="Z10" s="115"/>
      <c r="AA10" s="115"/>
      <c r="AB10" s="115"/>
      <c r="AC10" s="116"/>
      <c r="AD10" s="139"/>
      <c r="AE10" s="108" t="s">
        <v>325</v>
      </c>
      <c r="AF10" s="109"/>
      <c r="AG10" s="109"/>
      <c r="AH10" s="109"/>
      <c r="AI10" s="109"/>
      <c r="AJ10" s="109"/>
      <c r="AK10" s="110"/>
    </row>
    <row r="11" spans="1:39" ht="18.75" customHeight="1">
      <c r="B11" s="118" t="s">
        <v>327</v>
      </c>
      <c r="C11" s="119"/>
      <c r="D11" s="119"/>
      <c r="E11" s="119"/>
      <c r="F11" s="119"/>
      <c r="G11" s="95" t="s">
        <v>216</v>
      </c>
      <c r="H11" s="96"/>
      <c r="I11" s="99" t="s">
        <v>217</v>
      </c>
      <c r="J11" s="120">
        <v>0.31</v>
      </c>
      <c r="K11" s="120"/>
      <c r="L11" s="120"/>
      <c r="M11" s="103" t="s">
        <v>218</v>
      </c>
      <c r="N11" s="79"/>
      <c r="O11" s="95" t="s">
        <v>219</v>
      </c>
      <c r="P11" s="96"/>
      <c r="Q11" s="99" t="s">
        <v>217</v>
      </c>
      <c r="R11" s="101">
        <v>1800</v>
      </c>
      <c r="S11" s="101"/>
      <c r="T11" s="101"/>
      <c r="U11" s="103" t="s">
        <v>37</v>
      </c>
      <c r="V11" s="79"/>
      <c r="W11" s="111"/>
      <c r="X11" s="112"/>
      <c r="Y11" s="112"/>
      <c r="Z11" s="112"/>
      <c r="AA11" s="112"/>
      <c r="AB11" s="112"/>
      <c r="AC11" s="113"/>
      <c r="AD11" s="81"/>
      <c r="AE11" s="105" t="s">
        <v>342</v>
      </c>
      <c r="AF11" s="106"/>
      <c r="AG11" s="106"/>
      <c r="AH11" s="106"/>
      <c r="AI11" s="106"/>
      <c r="AJ11" s="106"/>
      <c r="AK11" s="107"/>
    </row>
    <row r="12" spans="1:39" ht="18.75" customHeight="1">
      <c r="B12" s="119"/>
      <c r="C12" s="119"/>
      <c r="D12" s="119"/>
      <c r="E12" s="119"/>
      <c r="F12" s="119"/>
      <c r="G12" s="97"/>
      <c r="H12" s="98"/>
      <c r="I12" s="100"/>
      <c r="J12" s="121"/>
      <c r="K12" s="121"/>
      <c r="L12" s="121"/>
      <c r="M12" s="104"/>
      <c r="N12" s="79"/>
      <c r="O12" s="97"/>
      <c r="P12" s="98"/>
      <c r="Q12" s="100"/>
      <c r="R12" s="102"/>
      <c r="S12" s="102"/>
      <c r="T12" s="102"/>
      <c r="U12" s="104"/>
      <c r="V12" s="79"/>
      <c r="W12" s="114"/>
      <c r="X12" s="115"/>
      <c r="Y12" s="115"/>
      <c r="Z12" s="115"/>
      <c r="AA12" s="115"/>
      <c r="AB12" s="115"/>
      <c r="AC12" s="116"/>
      <c r="AD12" s="81"/>
      <c r="AE12" s="108" t="s">
        <v>325</v>
      </c>
      <c r="AF12" s="109"/>
      <c r="AG12" s="109"/>
      <c r="AH12" s="109"/>
      <c r="AI12" s="109"/>
      <c r="AJ12" s="109"/>
      <c r="AK12" s="110"/>
    </row>
    <row r="13" spans="1:39" ht="18.75" customHeight="1">
      <c r="C13" s="1" t="s">
        <v>225</v>
      </c>
      <c r="F13" s="1" t="s">
        <v>226</v>
      </c>
      <c r="G13" s="1" t="s">
        <v>227</v>
      </c>
    </row>
    <row r="14" spans="1:39" ht="18.75" customHeight="1">
      <c r="C14" s="1" t="s">
        <v>328</v>
      </c>
      <c r="F14" s="1" t="s">
        <v>226</v>
      </c>
      <c r="G14" s="1" t="s">
        <v>228</v>
      </c>
    </row>
    <row r="15" spans="1:39" ht="18.75" customHeight="1">
      <c r="C15" s="1" t="s">
        <v>229</v>
      </c>
      <c r="F15" s="1" t="s">
        <v>226</v>
      </c>
      <c r="G15" s="1" t="s">
        <v>230</v>
      </c>
    </row>
    <row r="16" spans="1:39" ht="18.75" customHeight="1">
      <c r="G16" s="1" t="s">
        <v>231</v>
      </c>
    </row>
    <row r="17" spans="1:39" ht="18.75" customHeight="1">
      <c r="C17" s="1" t="s">
        <v>329</v>
      </c>
      <c r="F17" s="1" t="s">
        <v>226</v>
      </c>
      <c r="G17" s="1" t="s">
        <v>343</v>
      </c>
    </row>
    <row r="18" spans="1:39" ht="18.75" customHeight="1"/>
    <row r="19" spans="1:39" ht="18.75" customHeight="1">
      <c r="C19" s="1" t="s">
        <v>232</v>
      </c>
      <c r="X19" s="1" t="s">
        <v>233</v>
      </c>
    </row>
    <row r="20" spans="1:39" ht="18.75" customHeight="1">
      <c r="C20" s="105" t="s">
        <v>234</v>
      </c>
      <c r="D20" s="106"/>
      <c r="E20" s="106"/>
      <c r="F20" s="106"/>
      <c r="G20" s="106"/>
      <c r="H20" s="107"/>
      <c r="I20" s="117" t="s">
        <v>235</v>
      </c>
      <c r="J20" s="105" t="s">
        <v>236</v>
      </c>
      <c r="K20" s="106"/>
      <c r="L20" s="106"/>
      <c r="M20" s="106"/>
      <c r="N20" s="106"/>
      <c r="O20" s="107"/>
      <c r="P20" s="117" t="s">
        <v>213</v>
      </c>
      <c r="Q20" s="105" t="s">
        <v>167</v>
      </c>
      <c r="R20" s="106"/>
      <c r="S20" s="106"/>
      <c r="T20" s="106"/>
      <c r="U20" s="106"/>
      <c r="V20" s="107"/>
      <c r="X20" s="1" t="s">
        <v>237</v>
      </c>
    </row>
    <row r="21" spans="1:39" ht="18.75" customHeight="1">
      <c r="C21" s="108" t="s">
        <v>238</v>
      </c>
      <c r="D21" s="109"/>
      <c r="E21" s="109"/>
      <c r="F21" s="109"/>
      <c r="G21" s="109"/>
      <c r="H21" s="110"/>
      <c r="I21" s="117"/>
      <c r="J21" s="108" t="s">
        <v>239</v>
      </c>
      <c r="K21" s="109"/>
      <c r="L21" s="109"/>
      <c r="M21" s="109"/>
      <c r="N21" s="109"/>
      <c r="O21" s="110"/>
      <c r="P21" s="117"/>
      <c r="Q21" s="108" t="s">
        <v>240</v>
      </c>
      <c r="R21" s="109"/>
      <c r="S21" s="109"/>
      <c r="T21" s="109"/>
      <c r="U21" s="109"/>
      <c r="V21" s="110"/>
      <c r="Y21" s="1" t="s">
        <v>215</v>
      </c>
      <c r="AC21" s="125">
        <v>670000</v>
      </c>
      <c r="AD21" s="125"/>
      <c r="AE21" s="125"/>
      <c r="AF21" s="125"/>
      <c r="AG21" s="1" t="s">
        <v>221</v>
      </c>
    </row>
    <row r="22" spans="1:39" ht="18.75" customHeight="1">
      <c r="Y22" s="1" t="s">
        <v>330</v>
      </c>
      <c r="AC22" s="101">
        <v>260000</v>
      </c>
      <c r="AD22" s="101"/>
      <c r="AE22" s="101"/>
      <c r="AF22" s="101"/>
      <c r="AG22" s="1" t="s">
        <v>221</v>
      </c>
    </row>
    <row r="23" spans="1:39" ht="18.75" customHeight="1">
      <c r="C23" s="82" t="s">
        <v>241</v>
      </c>
      <c r="Y23" s="1" t="s">
        <v>224</v>
      </c>
      <c r="AC23" s="125">
        <v>170000</v>
      </c>
      <c r="AD23" s="125"/>
      <c r="AE23" s="125"/>
      <c r="AF23" s="125"/>
      <c r="AG23" s="1" t="s">
        <v>221</v>
      </c>
    </row>
    <row r="24" spans="1:39" ht="18.75" customHeight="1">
      <c r="C24" s="82" t="s">
        <v>242</v>
      </c>
      <c r="Y24" s="1" t="s">
        <v>344</v>
      </c>
      <c r="AC24" s="125">
        <v>30000</v>
      </c>
      <c r="AD24" s="125"/>
      <c r="AE24" s="125"/>
      <c r="AF24" s="125"/>
      <c r="AG24" s="1" t="s">
        <v>221</v>
      </c>
    </row>
    <row r="25" spans="1:39" ht="18.75" customHeight="1">
      <c r="C25" s="82" t="s">
        <v>243</v>
      </c>
    </row>
    <row r="26" spans="1:39" ht="18.75" customHeight="1"/>
    <row r="27" spans="1:39" ht="18.75" customHeight="1">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row>
    <row r="28" spans="1:39" ht="18.75" customHeight="1">
      <c r="A28" s="83"/>
      <c r="B28" s="1" t="s">
        <v>244</v>
      </c>
      <c r="AM28" s="83"/>
    </row>
    <row r="29" spans="1:39" ht="18.75" customHeight="1">
      <c r="A29" s="83"/>
      <c r="B29" s="1" t="s">
        <v>245</v>
      </c>
      <c r="AB29" s="122" t="s">
        <v>246</v>
      </c>
      <c r="AC29" s="123"/>
      <c r="AD29" s="123"/>
      <c r="AE29" s="123"/>
      <c r="AF29" s="123"/>
      <c r="AG29" s="123"/>
      <c r="AH29" s="124"/>
      <c r="AI29" s="122" t="s">
        <v>247</v>
      </c>
      <c r="AJ29" s="124"/>
      <c r="AM29" s="83"/>
    </row>
    <row r="30" spans="1:39" ht="18.75" customHeight="1">
      <c r="A30" s="83"/>
      <c r="AM30" s="83"/>
    </row>
    <row r="31" spans="1:39" ht="18.75" customHeight="1">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row>
    <row r="32" spans="1:3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sheetData>
  <sheetProtection selectLockedCells="1"/>
  <mergeCells count="72">
    <mergeCell ref="R5:T6"/>
    <mergeCell ref="A1:AM2"/>
    <mergeCell ref="G4:M4"/>
    <mergeCell ref="N4:N10"/>
    <mergeCell ref="O4:U4"/>
    <mergeCell ref="V4:V10"/>
    <mergeCell ref="W4:AC4"/>
    <mergeCell ref="AD4:AD10"/>
    <mergeCell ref="AE4:AK4"/>
    <mergeCell ref="B5:F6"/>
    <mergeCell ref="G5:H6"/>
    <mergeCell ref="I5:I6"/>
    <mergeCell ref="J5:L6"/>
    <mergeCell ref="M5:M6"/>
    <mergeCell ref="O5:P6"/>
    <mergeCell ref="Q5:Q6"/>
    <mergeCell ref="B7:F8"/>
    <mergeCell ref="G7:H8"/>
    <mergeCell ref="I7:I8"/>
    <mergeCell ref="J7:L8"/>
    <mergeCell ref="M7:M8"/>
    <mergeCell ref="W7:AC7"/>
    <mergeCell ref="AE7:AK7"/>
    <mergeCell ref="W8:AB8"/>
    <mergeCell ref="AE8:AK8"/>
    <mergeCell ref="U5:U6"/>
    <mergeCell ref="W5:AC5"/>
    <mergeCell ref="AE5:AK5"/>
    <mergeCell ref="W6:AB6"/>
    <mergeCell ref="AE6:AK6"/>
    <mergeCell ref="O9:P10"/>
    <mergeCell ref="O7:P8"/>
    <mergeCell ref="Q7:Q8"/>
    <mergeCell ref="R7:T8"/>
    <mergeCell ref="U7:U8"/>
    <mergeCell ref="Q9:Q10"/>
    <mergeCell ref="R9:T10"/>
    <mergeCell ref="U9:U10"/>
    <mergeCell ref="B9:F10"/>
    <mergeCell ref="G9:H10"/>
    <mergeCell ref="I9:I10"/>
    <mergeCell ref="J9:L10"/>
    <mergeCell ref="M9:M10"/>
    <mergeCell ref="AE9:AK9"/>
    <mergeCell ref="AE10:AK10"/>
    <mergeCell ref="W9:AC10"/>
    <mergeCell ref="AB29:AH29"/>
    <mergeCell ref="AI29:AJ29"/>
    <mergeCell ref="AC24:AF24"/>
    <mergeCell ref="AC21:AF21"/>
    <mergeCell ref="AC22:AF22"/>
    <mergeCell ref="AC23:AF23"/>
    <mergeCell ref="B11:F12"/>
    <mergeCell ref="G11:H12"/>
    <mergeCell ref="I11:I12"/>
    <mergeCell ref="J11:L12"/>
    <mergeCell ref="M11:M12"/>
    <mergeCell ref="C20:H20"/>
    <mergeCell ref="I20:I21"/>
    <mergeCell ref="J20:O20"/>
    <mergeCell ref="P20:P21"/>
    <mergeCell ref="Q20:V20"/>
    <mergeCell ref="C21:H21"/>
    <mergeCell ref="J21:O21"/>
    <mergeCell ref="Q21:V21"/>
    <mergeCell ref="O11:P12"/>
    <mergeCell ref="Q11:Q12"/>
    <mergeCell ref="R11:T12"/>
    <mergeCell ref="U11:U12"/>
    <mergeCell ref="AE11:AK11"/>
    <mergeCell ref="AE12:AK12"/>
    <mergeCell ref="W11:AC12"/>
  </mergeCells>
  <phoneticPr fontId="1"/>
  <pageMargins left="0.7" right="0.7" top="0.75" bottom="0.75" header="0.3" footer="0.3"/>
  <pageSetup paperSize="9" scale="81"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72CFE-9400-4AE2-8C2C-C4130A1A2BEB}">
  <sheetPr>
    <pageSetUpPr fitToPage="1"/>
  </sheetPr>
  <dimension ref="A1:AG257"/>
  <sheetViews>
    <sheetView tabSelected="1" topLeftCell="A57" workbookViewId="0">
      <selection activeCell="AL66" sqref="AL66"/>
    </sheetView>
  </sheetViews>
  <sheetFormatPr defaultColWidth="9" defaultRowHeight="16.2"/>
  <cols>
    <col min="1" max="1" width="2.19921875" style="1" customWidth="1"/>
    <col min="2" max="30" width="3.09765625" style="1" customWidth="1"/>
    <col min="31" max="31" width="4.19921875" style="1" customWidth="1"/>
    <col min="32" max="32" width="2.09765625" style="1" customWidth="1"/>
    <col min="33" max="73" width="3.09765625" style="1" customWidth="1"/>
    <col min="74" max="16384" width="9" style="1"/>
  </cols>
  <sheetData>
    <row r="1" spans="1:32" ht="18.75" customHeight="1">
      <c r="A1" s="159" t="s">
        <v>331</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row>
    <row r="2" spans="1:32" ht="18.75" customHeight="1">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row>
    <row r="3" spans="1:32" ht="18.75" customHeight="1">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row>
    <row r="4" spans="1:32" ht="18.75" customHeight="1">
      <c r="A4" s="83"/>
      <c r="B4" s="1" t="s">
        <v>248</v>
      </c>
      <c r="AF4" s="83"/>
    </row>
    <row r="5" spans="1:32" ht="18.75" customHeight="1">
      <c r="A5" s="83"/>
      <c r="B5" s="81" t="s">
        <v>249</v>
      </c>
      <c r="C5" s="1" t="s">
        <v>250</v>
      </c>
      <c r="AF5" s="83"/>
    </row>
    <row r="6" spans="1:32" ht="18.75" customHeight="1">
      <c r="A6" s="83"/>
      <c r="C6" s="1" t="s">
        <v>251</v>
      </c>
      <c r="AF6" s="83"/>
    </row>
    <row r="7" spans="1:32" ht="18.75" customHeight="1">
      <c r="A7" s="83"/>
      <c r="AF7" s="83"/>
    </row>
    <row r="8" spans="1:32" ht="18.75" customHeight="1">
      <c r="A8" s="83"/>
      <c r="B8" s="81" t="s">
        <v>249</v>
      </c>
      <c r="C8" s="1" t="s">
        <v>252</v>
      </c>
      <c r="AF8" s="83"/>
    </row>
    <row r="9" spans="1:32" ht="18.75" customHeight="1">
      <c r="A9" s="83"/>
      <c r="C9" s="1" t="s">
        <v>253</v>
      </c>
      <c r="AF9" s="83"/>
    </row>
    <row r="10" spans="1:32" ht="18.75" customHeight="1">
      <c r="A10" s="83"/>
      <c r="AF10" s="83"/>
    </row>
    <row r="11" spans="1:32" ht="18.75" customHeight="1">
      <c r="A11" s="83"/>
      <c r="C11" s="71" t="s">
        <v>254</v>
      </c>
      <c r="D11" s="72"/>
      <c r="E11" s="72"/>
      <c r="F11" s="72"/>
      <c r="G11" s="72"/>
      <c r="H11" s="72"/>
      <c r="I11" s="72"/>
      <c r="J11" s="72"/>
      <c r="K11" s="72"/>
      <c r="L11" s="72"/>
      <c r="M11" s="72"/>
      <c r="N11" s="72"/>
      <c r="O11" s="72"/>
      <c r="P11" s="72"/>
      <c r="Q11" s="72"/>
      <c r="R11" s="72"/>
      <c r="S11" s="72"/>
      <c r="T11" s="72"/>
      <c r="U11" s="72"/>
      <c r="V11" s="72"/>
      <c r="W11" s="72"/>
      <c r="X11" s="72"/>
      <c r="Y11" s="72"/>
      <c r="Z11" s="72"/>
      <c r="AA11" s="72"/>
      <c r="AB11" s="73"/>
      <c r="AF11" s="83"/>
    </row>
    <row r="12" spans="1:32" ht="18.75" customHeight="1">
      <c r="A12" s="83"/>
      <c r="C12" s="84"/>
      <c r="D12" s="1" t="s">
        <v>249</v>
      </c>
      <c r="E12" s="1" t="s">
        <v>255</v>
      </c>
      <c r="L12" s="1" t="s">
        <v>256</v>
      </c>
      <c r="Q12" s="1" t="s">
        <v>249</v>
      </c>
      <c r="R12" s="1" t="s">
        <v>257</v>
      </c>
      <c r="Y12" s="1" t="s">
        <v>258</v>
      </c>
      <c r="AB12" s="85"/>
      <c r="AF12" s="83"/>
    </row>
    <row r="13" spans="1:32" ht="18.75" customHeight="1">
      <c r="A13" s="83"/>
      <c r="C13" s="84"/>
      <c r="D13" s="1" t="s">
        <v>249</v>
      </c>
      <c r="E13" s="1" t="s">
        <v>259</v>
      </c>
      <c r="L13" s="1" t="s">
        <v>260</v>
      </c>
      <c r="Q13" s="1" t="s">
        <v>249</v>
      </c>
      <c r="R13" s="1" t="s">
        <v>261</v>
      </c>
      <c r="Y13" s="1" t="s">
        <v>262</v>
      </c>
      <c r="AB13" s="85"/>
      <c r="AF13" s="83"/>
    </row>
    <row r="14" spans="1:32" ht="18.75" customHeight="1">
      <c r="A14" s="83"/>
      <c r="C14" s="74"/>
      <c r="D14" s="75" t="s">
        <v>249</v>
      </c>
      <c r="E14" s="75" t="s">
        <v>263</v>
      </c>
      <c r="F14" s="75"/>
      <c r="G14" s="75"/>
      <c r="H14" s="75"/>
      <c r="I14" s="75"/>
      <c r="J14" s="75"/>
      <c r="K14" s="75"/>
      <c r="L14" s="75" t="s">
        <v>264</v>
      </c>
      <c r="M14" s="75"/>
      <c r="N14" s="75"/>
      <c r="O14" s="75"/>
      <c r="P14" s="75"/>
      <c r="Q14" s="75" t="s">
        <v>249</v>
      </c>
      <c r="R14" s="75" t="s">
        <v>265</v>
      </c>
      <c r="S14" s="75"/>
      <c r="T14" s="75"/>
      <c r="U14" s="75"/>
      <c r="V14" s="75"/>
      <c r="W14" s="75"/>
      <c r="X14" s="75"/>
      <c r="Y14" s="75" t="s">
        <v>266</v>
      </c>
      <c r="Z14" s="75"/>
      <c r="AA14" s="75"/>
      <c r="AB14" s="76"/>
      <c r="AF14" s="83"/>
    </row>
    <row r="15" spans="1:32" ht="18.75" customHeight="1">
      <c r="A15" s="83"/>
      <c r="AF15" s="83"/>
    </row>
    <row r="16" spans="1:32" ht="18.75" customHeight="1">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row>
    <row r="17" spans="1:33" ht="18.75" customHeight="1"/>
    <row r="18" spans="1:33" ht="18.75" customHeight="1">
      <c r="A18" s="1" t="s">
        <v>267</v>
      </c>
      <c r="S18" s="74"/>
      <c r="T18" s="75"/>
      <c r="U18" s="109" t="s">
        <v>268</v>
      </c>
      <c r="V18" s="109"/>
      <c r="W18" s="109"/>
      <c r="X18" s="109"/>
      <c r="Y18" s="109"/>
      <c r="Z18" s="86"/>
      <c r="AA18" s="86"/>
      <c r="AB18" s="86"/>
      <c r="AC18" s="75" t="s">
        <v>269</v>
      </c>
      <c r="AD18" s="75"/>
      <c r="AE18" s="75"/>
    </row>
    <row r="19" spans="1:33" ht="18.75" customHeight="1">
      <c r="I19" s="146" t="s">
        <v>3</v>
      </c>
      <c r="J19" s="146"/>
      <c r="K19" s="146"/>
      <c r="L19" s="146"/>
      <c r="M19" s="146"/>
      <c r="N19" s="146" t="s">
        <v>270</v>
      </c>
      <c r="O19" s="146"/>
      <c r="P19" s="146"/>
      <c r="Q19" s="146"/>
      <c r="R19" s="146"/>
      <c r="S19" s="146" t="s">
        <v>271</v>
      </c>
      <c r="T19" s="146"/>
      <c r="U19" s="146"/>
      <c r="V19" s="146"/>
      <c r="W19" s="146"/>
      <c r="X19" s="146" t="s">
        <v>272</v>
      </c>
      <c r="Y19" s="146"/>
      <c r="Z19" s="146"/>
      <c r="AA19" s="146"/>
      <c r="AB19" s="146"/>
      <c r="AC19" s="146" t="s">
        <v>273</v>
      </c>
      <c r="AD19" s="146"/>
      <c r="AE19" s="146"/>
      <c r="AF19" s="146"/>
      <c r="AG19" s="146"/>
    </row>
    <row r="20" spans="1:33" ht="18.75" customHeight="1">
      <c r="A20" s="81" t="s">
        <v>274</v>
      </c>
      <c r="B20" s="146" t="s">
        <v>275</v>
      </c>
      <c r="C20" s="146"/>
      <c r="D20" s="146"/>
      <c r="E20" s="146"/>
      <c r="F20" s="146"/>
      <c r="G20" s="146"/>
      <c r="H20" s="146"/>
      <c r="I20" s="154"/>
      <c r="J20" s="155"/>
      <c r="K20" s="155"/>
      <c r="L20" s="155"/>
      <c r="M20" s="156"/>
      <c r="N20" s="157"/>
      <c r="O20" s="157"/>
      <c r="P20" s="157"/>
      <c r="Q20" s="157"/>
      <c r="R20" s="157"/>
      <c r="S20" s="157"/>
      <c r="T20" s="157"/>
      <c r="U20" s="157"/>
      <c r="V20" s="157"/>
      <c r="W20" s="157"/>
      <c r="X20" s="157"/>
      <c r="Y20" s="157"/>
      <c r="Z20" s="157"/>
      <c r="AA20" s="157"/>
      <c r="AB20" s="157"/>
      <c r="AC20" s="157"/>
      <c r="AD20" s="157"/>
      <c r="AE20" s="157"/>
      <c r="AF20" s="157"/>
      <c r="AG20" s="157"/>
    </row>
    <row r="21" spans="1:33" ht="32.549999999999997" customHeight="1">
      <c r="A21" s="81" t="s">
        <v>276</v>
      </c>
      <c r="B21" s="158" t="s">
        <v>277</v>
      </c>
      <c r="C21" s="158"/>
      <c r="D21" s="158"/>
      <c r="E21" s="158"/>
      <c r="F21" s="158"/>
      <c r="G21" s="158"/>
      <c r="H21" s="158"/>
      <c r="I21" s="151"/>
      <c r="J21" s="152"/>
      <c r="K21" s="152"/>
      <c r="L21" s="152"/>
      <c r="M21" s="153"/>
      <c r="N21" s="151"/>
      <c r="O21" s="152"/>
      <c r="P21" s="152"/>
      <c r="Q21" s="152"/>
      <c r="R21" s="153"/>
      <c r="S21" s="151"/>
      <c r="T21" s="152"/>
      <c r="U21" s="152"/>
      <c r="V21" s="152"/>
      <c r="W21" s="153"/>
      <c r="X21" s="151"/>
      <c r="Y21" s="152"/>
      <c r="Z21" s="152"/>
      <c r="AA21" s="152"/>
      <c r="AB21" s="153"/>
      <c r="AC21" s="151"/>
      <c r="AD21" s="152"/>
      <c r="AE21" s="152"/>
      <c r="AF21" s="152"/>
      <c r="AG21" s="153"/>
    </row>
    <row r="22" spans="1:33" ht="18.75" customHeight="1">
      <c r="A22" s="81" t="s">
        <v>278</v>
      </c>
      <c r="B22" s="148" t="s">
        <v>279</v>
      </c>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3"/>
    </row>
    <row r="23" spans="1:33" ht="18.75" customHeight="1">
      <c r="B23" s="149" t="s">
        <v>41</v>
      </c>
      <c r="C23" s="149"/>
      <c r="D23" s="149"/>
      <c r="E23" s="149"/>
      <c r="F23" s="149"/>
      <c r="G23" s="149"/>
      <c r="H23" s="149"/>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row>
    <row r="24" spans="1:33" ht="18.75" customHeight="1">
      <c r="B24" s="146" t="s">
        <v>280</v>
      </c>
      <c r="C24" s="146"/>
      <c r="D24" s="146"/>
      <c r="E24" s="146"/>
      <c r="F24" s="146"/>
      <c r="G24" s="146"/>
      <c r="H24" s="146"/>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row>
    <row r="25" spans="1:33" ht="18.75" customHeight="1">
      <c r="B25" s="146" t="s">
        <v>281</v>
      </c>
      <c r="C25" s="146"/>
      <c r="D25" s="146"/>
      <c r="E25" s="146"/>
      <c r="F25" s="146"/>
      <c r="G25" s="146"/>
      <c r="H25" s="146"/>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row>
    <row r="26" spans="1:33" ht="18.75" customHeight="1">
      <c r="B26" s="146" t="s">
        <v>33</v>
      </c>
      <c r="C26" s="146"/>
      <c r="D26" s="146"/>
      <c r="E26" s="146"/>
      <c r="F26" s="146"/>
      <c r="G26" s="146"/>
      <c r="H26" s="146"/>
      <c r="I26" s="145">
        <f>SUM(I23:I25)</f>
        <v>0</v>
      </c>
      <c r="J26" s="145"/>
      <c r="K26" s="145"/>
      <c r="L26" s="145"/>
      <c r="M26" s="145"/>
      <c r="N26" s="145">
        <f t="shared" ref="N26" si="0">SUM(N23:N25)</f>
        <v>0</v>
      </c>
      <c r="O26" s="145"/>
      <c r="P26" s="145"/>
      <c r="Q26" s="145"/>
      <c r="R26" s="145"/>
      <c r="S26" s="145">
        <f t="shared" ref="S26" si="1">SUM(S23:S25)</f>
        <v>0</v>
      </c>
      <c r="T26" s="145"/>
      <c r="U26" s="145"/>
      <c r="V26" s="145"/>
      <c r="W26" s="145"/>
      <c r="X26" s="145">
        <f t="shared" ref="X26" si="2">SUM(X23:X25)</f>
        <v>0</v>
      </c>
      <c r="Y26" s="145"/>
      <c r="Z26" s="145"/>
      <c r="AA26" s="145"/>
      <c r="AB26" s="145"/>
      <c r="AC26" s="145">
        <f t="shared" ref="AC26" si="3">SUM(AC23:AC25)</f>
        <v>0</v>
      </c>
      <c r="AD26" s="145"/>
      <c r="AE26" s="145"/>
      <c r="AF26" s="145"/>
      <c r="AG26" s="145"/>
    </row>
    <row r="27" spans="1:33" ht="18.75" customHeight="1"/>
    <row r="28" spans="1:33" ht="18.75" customHeight="1">
      <c r="B28" s="1" t="s">
        <v>282</v>
      </c>
    </row>
    <row r="29" spans="1:33" ht="18.75" customHeight="1">
      <c r="C29" s="1" t="s">
        <v>283</v>
      </c>
    </row>
    <row r="30" spans="1:33" ht="18.75" customHeight="1">
      <c r="C30" s="1" t="s">
        <v>284</v>
      </c>
    </row>
    <row r="31" spans="1:33" ht="18.75" customHeight="1"/>
    <row r="32" spans="1:33" ht="18.75" customHeight="1">
      <c r="B32" s="1" t="s">
        <v>285</v>
      </c>
    </row>
    <row r="33" spans="2:33" ht="18.75" customHeight="1">
      <c r="C33" s="1" t="s">
        <v>347</v>
      </c>
    </row>
    <row r="34" spans="2:33" ht="18.75" customHeight="1">
      <c r="C34" s="1" t="s">
        <v>286</v>
      </c>
    </row>
    <row r="35" spans="2:33" ht="18.75" customHeight="1">
      <c r="B35" s="1" t="s">
        <v>287</v>
      </c>
    </row>
    <row r="36" spans="2:33" ht="18.75" customHeight="1">
      <c r="C36" s="78" t="s">
        <v>334</v>
      </c>
    </row>
    <row r="37" spans="2:33" ht="18.75" customHeight="1">
      <c r="D37" s="81" t="s">
        <v>249</v>
      </c>
      <c r="E37" s="1" t="s">
        <v>288</v>
      </c>
    </row>
    <row r="38" spans="2:33" ht="18.75" customHeight="1">
      <c r="D38" s="81"/>
      <c r="F38" s="1" t="s">
        <v>289</v>
      </c>
    </row>
    <row r="39" spans="2:33" ht="18.75" customHeight="1">
      <c r="D39" s="81"/>
      <c r="G39" s="1" t="s">
        <v>290</v>
      </c>
    </row>
    <row r="40" spans="2:33" ht="18.75" customHeight="1">
      <c r="D40" s="81"/>
      <c r="H40" s="1" t="s">
        <v>291</v>
      </c>
    </row>
    <row r="41" spans="2:33" ht="18.75" customHeight="1">
      <c r="D41" s="81"/>
      <c r="H41" s="1" t="s">
        <v>292</v>
      </c>
    </row>
    <row r="42" spans="2:33" ht="18.75" customHeight="1">
      <c r="D42" s="81"/>
      <c r="F42" s="1" t="s">
        <v>293</v>
      </c>
    </row>
    <row r="43" spans="2:33" ht="18.75" customHeight="1">
      <c r="D43" s="81"/>
      <c r="F43" s="1" t="s">
        <v>294</v>
      </c>
    </row>
    <row r="44" spans="2:33" ht="18.75" customHeight="1">
      <c r="D44" s="81" t="s">
        <v>249</v>
      </c>
      <c r="E44" s="1" t="s">
        <v>295</v>
      </c>
    </row>
    <row r="45" spans="2:33" ht="18.75" customHeight="1">
      <c r="D45" s="81"/>
      <c r="F45" s="1" t="s">
        <v>296</v>
      </c>
    </row>
    <row r="46" spans="2:33" ht="18.75" customHeight="1">
      <c r="D46" s="81"/>
      <c r="F46" s="71" t="s">
        <v>297</v>
      </c>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3"/>
    </row>
    <row r="47" spans="2:33" ht="18.75" customHeight="1">
      <c r="D47" s="81"/>
      <c r="F47" s="87" t="s">
        <v>249</v>
      </c>
      <c r="G47" s="1" t="s">
        <v>298</v>
      </c>
      <c r="M47" s="88" t="s">
        <v>249</v>
      </c>
      <c r="N47" s="1" t="s">
        <v>299</v>
      </c>
      <c r="T47" s="88" t="s">
        <v>249</v>
      </c>
      <c r="U47" s="1" t="s">
        <v>300</v>
      </c>
      <c r="Z47" s="88" t="s">
        <v>249</v>
      </c>
      <c r="AA47" s="1" t="s">
        <v>301</v>
      </c>
      <c r="AG47" s="85"/>
    </row>
    <row r="48" spans="2:33" ht="18.75" customHeight="1">
      <c r="D48" s="81"/>
      <c r="F48" s="87" t="s">
        <v>249</v>
      </c>
      <c r="G48" s="1" t="s">
        <v>302</v>
      </c>
      <c r="M48" s="88" t="s">
        <v>249</v>
      </c>
      <c r="N48" s="1" t="s">
        <v>303</v>
      </c>
      <c r="T48" s="88" t="s">
        <v>249</v>
      </c>
      <c r="U48" s="1" t="s">
        <v>304</v>
      </c>
      <c r="AG48" s="85"/>
    </row>
    <row r="49" spans="1:33" ht="18.75" customHeight="1">
      <c r="D49" s="81"/>
      <c r="F49" s="87" t="s">
        <v>249</v>
      </c>
      <c r="G49" s="1" t="s">
        <v>305</v>
      </c>
      <c r="M49" s="88" t="s">
        <v>249</v>
      </c>
      <c r="N49" s="1" t="s">
        <v>306</v>
      </c>
      <c r="AG49" s="85"/>
    </row>
    <row r="50" spans="1:33" ht="18.75" customHeight="1">
      <c r="D50" s="81"/>
      <c r="F50" s="87" t="s">
        <v>249</v>
      </c>
      <c r="G50" s="1" t="s">
        <v>307</v>
      </c>
      <c r="M50" s="88" t="s">
        <v>249</v>
      </c>
      <c r="N50" s="1" t="s">
        <v>308</v>
      </c>
      <c r="AG50" s="85"/>
    </row>
    <row r="51" spans="1:33" ht="18.75" customHeight="1">
      <c r="D51" s="81"/>
      <c r="F51" s="87" t="s">
        <v>249</v>
      </c>
      <c r="G51" s="1" t="s">
        <v>309</v>
      </c>
      <c r="M51" s="88" t="s">
        <v>249</v>
      </c>
      <c r="N51" s="1" t="s">
        <v>310</v>
      </c>
      <c r="AG51" s="85"/>
    </row>
    <row r="52" spans="1:33" ht="18.75" customHeight="1">
      <c r="D52" s="81"/>
      <c r="F52" s="89" t="s">
        <v>249</v>
      </c>
      <c r="G52" s="75" t="s">
        <v>311</v>
      </c>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6"/>
    </row>
    <row r="53" spans="1:33" ht="18.75" customHeight="1">
      <c r="D53" s="81" t="s">
        <v>249</v>
      </c>
      <c r="E53" s="1" t="s">
        <v>312</v>
      </c>
    </row>
    <row r="54" spans="1:33" ht="18.75" customHeight="1">
      <c r="F54" s="79" t="s">
        <v>313</v>
      </c>
      <c r="G54" s="1" t="s">
        <v>314</v>
      </c>
    </row>
    <row r="55" spans="1:33" ht="18.75" customHeight="1">
      <c r="F55" s="79"/>
      <c r="G55" s="1" t="s">
        <v>315</v>
      </c>
    </row>
    <row r="56" spans="1:33" ht="18.75" customHeight="1">
      <c r="F56" s="79"/>
      <c r="G56" s="1" t="s">
        <v>316</v>
      </c>
    </row>
    <row r="57" spans="1:33" ht="18.75" customHeight="1">
      <c r="F57" s="79" t="s">
        <v>313</v>
      </c>
      <c r="G57" s="1" t="s">
        <v>317</v>
      </c>
    </row>
    <row r="58" spans="1:33" ht="18.75" customHeight="1">
      <c r="F58" s="78"/>
      <c r="G58" s="1" t="s">
        <v>318</v>
      </c>
    </row>
    <row r="59" spans="1:33" ht="18.75" customHeight="1"/>
    <row r="60" spans="1:33" ht="18.75" customHeight="1">
      <c r="A60" s="83" t="s">
        <v>319</v>
      </c>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row>
    <row r="61" spans="1:33" ht="18.75" customHeight="1">
      <c r="A61" s="83"/>
      <c r="AG61" s="83"/>
    </row>
    <row r="62" spans="1:33" ht="18.75" customHeight="1">
      <c r="A62" s="83"/>
      <c r="B62" s="70" t="s">
        <v>274</v>
      </c>
      <c r="C62" s="142" t="s">
        <v>215</v>
      </c>
      <c r="D62" s="142"/>
      <c r="E62" s="142"/>
      <c r="F62" s="142"/>
      <c r="G62" s="143"/>
      <c r="H62" s="140">
        <f>試算!G20</f>
        <v>0</v>
      </c>
      <c r="I62" s="141"/>
      <c r="J62" s="141"/>
      <c r="K62" s="141"/>
      <c r="L62" s="141"/>
      <c r="M62" s="90" t="s">
        <v>221</v>
      </c>
      <c r="N62" s="79"/>
      <c r="O62" s="79"/>
      <c r="Q62" s="122" t="s">
        <v>320</v>
      </c>
      <c r="R62" s="123"/>
      <c r="S62" s="123"/>
      <c r="T62" s="123"/>
      <c r="U62" s="123"/>
      <c r="V62" s="123"/>
      <c r="W62" s="123"/>
      <c r="X62" s="123"/>
      <c r="Y62" s="123"/>
      <c r="Z62" s="123"/>
      <c r="AA62" s="123"/>
      <c r="AB62" s="123"/>
      <c r="AC62" s="123"/>
      <c r="AD62" s="123"/>
      <c r="AE62" s="123"/>
      <c r="AF62" s="124"/>
      <c r="AG62" s="83"/>
    </row>
    <row r="63" spans="1:33" ht="18.75" customHeight="1">
      <c r="A63" s="83"/>
      <c r="B63" s="70" t="s">
        <v>276</v>
      </c>
      <c r="C63" s="142" t="s">
        <v>330</v>
      </c>
      <c r="D63" s="142"/>
      <c r="E63" s="142"/>
      <c r="F63" s="142"/>
      <c r="G63" s="143"/>
      <c r="H63" s="140">
        <f>試算!L20</f>
        <v>0</v>
      </c>
      <c r="I63" s="141"/>
      <c r="J63" s="141"/>
      <c r="K63" s="141"/>
      <c r="L63" s="141"/>
      <c r="M63" s="90" t="s">
        <v>221</v>
      </c>
      <c r="N63" s="79"/>
      <c r="O63" s="79"/>
      <c r="Q63" s="84" t="s">
        <v>321</v>
      </c>
      <c r="AF63" s="85"/>
      <c r="AG63" s="83"/>
    </row>
    <row r="64" spans="1:33" ht="18.75" customHeight="1">
      <c r="A64" s="83"/>
      <c r="B64" s="70" t="s">
        <v>278</v>
      </c>
      <c r="C64" s="142" t="s">
        <v>224</v>
      </c>
      <c r="D64" s="142"/>
      <c r="E64" s="142"/>
      <c r="F64" s="142"/>
      <c r="G64" s="143"/>
      <c r="H64" s="140">
        <f>試算!V20</f>
        <v>0</v>
      </c>
      <c r="I64" s="141"/>
      <c r="J64" s="141"/>
      <c r="K64" s="141"/>
      <c r="L64" s="141"/>
      <c r="M64" s="90" t="s">
        <v>221</v>
      </c>
      <c r="N64" s="79"/>
      <c r="O64" s="79"/>
      <c r="Q64" s="144" t="str">
        <f>試算!N15</f>
        <v>７割軽減</v>
      </c>
      <c r="R64" s="100"/>
      <c r="S64" s="100"/>
      <c r="T64" s="100"/>
      <c r="U64" s="100"/>
      <c r="V64" s="100"/>
      <c r="W64" s="75" t="s">
        <v>322</v>
      </c>
      <c r="X64" s="75"/>
      <c r="Y64" s="75"/>
      <c r="Z64" s="75"/>
      <c r="AA64" s="75"/>
      <c r="AB64" s="75"/>
      <c r="AC64" s="75"/>
      <c r="AD64" s="75"/>
      <c r="AE64" s="75"/>
      <c r="AF64" s="76"/>
      <c r="AG64" s="83"/>
    </row>
    <row r="65" spans="1:33" ht="18.75" customHeight="1">
      <c r="A65" s="83"/>
      <c r="B65" s="70" t="s">
        <v>345</v>
      </c>
      <c r="C65" s="142" t="s">
        <v>344</v>
      </c>
      <c r="D65" s="142"/>
      <c r="E65" s="142"/>
      <c r="F65" s="142"/>
      <c r="G65" s="143"/>
      <c r="H65" s="140">
        <f>試算!Q20</f>
        <v>0</v>
      </c>
      <c r="I65" s="141"/>
      <c r="J65" s="141"/>
      <c r="K65" s="141"/>
      <c r="L65" s="141"/>
      <c r="M65" s="90" t="s">
        <v>221</v>
      </c>
      <c r="N65" s="79"/>
      <c r="O65" s="79"/>
      <c r="Q65" s="79"/>
      <c r="R65" s="79"/>
      <c r="S65" s="79"/>
      <c r="T65" s="79"/>
      <c r="U65" s="79"/>
      <c r="V65" s="79"/>
      <c r="AG65" s="83"/>
    </row>
    <row r="66" spans="1:33" ht="18.75" customHeight="1">
      <c r="A66" s="83"/>
      <c r="B66" s="122" t="s">
        <v>335</v>
      </c>
      <c r="C66" s="123"/>
      <c r="D66" s="123"/>
      <c r="E66" s="123"/>
      <c r="F66" s="123"/>
      <c r="G66" s="124"/>
      <c r="H66" s="140">
        <f>H62+H63+H64+H65</f>
        <v>0</v>
      </c>
      <c r="I66" s="141"/>
      <c r="J66" s="141"/>
      <c r="K66" s="141"/>
      <c r="L66" s="141"/>
      <c r="M66" s="90" t="s">
        <v>221</v>
      </c>
      <c r="AG66" s="83"/>
    </row>
    <row r="67" spans="1:33" ht="18.75" customHeight="1">
      <c r="A67" s="83"/>
      <c r="AG67" s="83"/>
    </row>
    <row r="68" spans="1:33" ht="18.75" customHeight="1">
      <c r="A68" s="83"/>
      <c r="B68" s="81" t="s">
        <v>313</v>
      </c>
      <c r="C68" s="1" t="s">
        <v>348</v>
      </c>
      <c r="D68" s="78"/>
      <c r="E68" s="78"/>
      <c r="F68" s="78"/>
      <c r="G68" s="78"/>
      <c r="H68" s="78"/>
      <c r="I68" s="78"/>
      <c r="J68" s="78"/>
      <c r="K68" s="78"/>
      <c r="L68" s="78"/>
      <c r="M68" s="78"/>
      <c r="N68" s="78"/>
      <c r="O68" s="78"/>
      <c r="P68" s="78"/>
      <c r="Q68" s="78"/>
      <c r="R68" s="78"/>
      <c r="S68" s="78"/>
      <c r="T68" s="78"/>
      <c r="AG68" s="83"/>
    </row>
    <row r="69" spans="1:33" ht="18.75" customHeight="1">
      <c r="A69" s="83"/>
      <c r="B69" s="79"/>
      <c r="C69" s="78" t="s">
        <v>349</v>
      </c>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348"/>
    </row>
    <row r="70" spans="1:33" ht="18.75" customHeight="1">
      <c r="A70" s="83"/>
      <c r="B70" s="79" t="s">
        <v>313</v>
      </c>
      <c r="C70" s="78" t="s">
        <v>350</v>
      </c>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348"/>
    </row>
    <row r="71" spans="1:33" ht="18.75" customHeight="1">
      <c r="A71" s="83"/>
      <c r="B71" s="78"/>
      <c r="C71" s="78" t="s">
        <v>323</v>
      </c>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348"/>
    </row>
    <row r="72" spans="1:33" ht="18.75" customHeight="1">
      <c r="A72" s="83"/>
      <c r="B72" s="91"/>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row>
    <row r="73" spans="1:33" ht="18.75" customHeight="1">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row>
    <row r="74" spans="1:33" ht="18.75" customHeight="1"/>
    <row r="75" spans="1:33" ht="18.75" customHeight="1"/>
    <row r="76" spans="1:33" ht="18.75" customHeight="1"/>
    <row r="77" spans="1:33" ht="18.75" customHeight="1"/>
    <row r="78" spans="1:33" ht="18.75" customHeight="1"/>
    <row r="79" spans="1:33" ht="18.75" customHeight="1"/>
    <row r="80" spans="1:33"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sheetData>
  <sheetProtection formatCells="0" formatColumns="0" formatRows="0" insertColumns="0" insertRows="0" insertHyperlinks="0" deleteColumns="0" deleteRows="0" sort="0" autoFilter="0" pivotTables="0"/>
  <mergeCells count="56">
    <mergeCell ref="A1:AF2"/>
    <mergeCell ref="U18:Y18"/>
    <mergeCell ref="I19:M19"/>
    <mergeCell ref="N19:R19"/>
    <mergeCell ref="S19:W19"/>
    <mergeCell ref="X19:AB19"/>
    <mergeCell ref="AC19:AG19"/>
    <mergeCell ref="AC21:AG21"/>
    <mergeCell ref="B20:H20"/>
    <mergeCell ref="I20:M20"/>
    <mergeCell ref="N20:R20"/>
    <mergeCell ref="S20:W20"/>
    <mergeCell ref="X20:AB20"/>
    <mergeCell ref="AC20:AG20"/>
    <mergeCell ref="B21:H21"/>
    <mergeCell ref="I21:M21"/>
    <mergeCell ref="N21:R21"/>
    <mergeCell ref="S21:W21"/>
    <mergeCell ref="X21:AB21"/>
    <mergeCell ref="AC24:AG24"/>
    <mergeCell ref="B22:AG22"/>
    <mergeCell ref="B23:H23"/>
    <mergeCell ref="I23:M23"/>
    <mergeCell ref="N23:R23"/>
    <mergeCell ref="S23:W23"/>
    <mergeCell ref="X23:AB23"/>
    <mergeCell ref="AC23:AG23"/>
    <mergeCell ref="B24:H24"/>
    <mergeCell ref="I24:M24"/>
    <mergeCell ref="N24:R24"/>
    <mergeCell ref="S24:W24"/>
    <mergeCell ref="X24:AB24"/>
    <mergeCell ref="AC26:AG26"/>
    <mergeCell ref="B25:H25"/>
    <mergeCell ref="I25:M25"/>
    <mergeCell ref="N25:R25"/>
    <mergeCell ref="S25:W25"/>
    <mergeCell ref="X25:AB25"/>
    <mergeCell ref="AC25:AG25"/>
    <mergeCell ref="B26:H26"/>
    <mergeCell ref="I26:M26"/>
    <mergeCell ref="N26:R26"/>
    <mergeCell ref="S26:W26"/>
    <mergeCell ref="X26:AB26"/>
    <mergeCell ref="Q62:AF62"/>
    <mergeCell ref="C63:G63"/>
    <mergeCell ref="H63:L63"/>
    <mergeCell ref="C64:G64"/>
    <mergeCell ref="H64:L64"/>
    <mergeCell ref="Q64:V64"/>
    <mergeCell ref="B66:G66"/>
    <mergeCell ref="H66:L66"/>
    <mergeCell ref="C65:G65"/>
    <mergeCell ref="H65:L65"/>
    <mergeCell ref="C62:G62"/>
    <mergeCell ref="H62:L62"/>
  </mergeCells>
  <phoneticPr fontId="1"/>
  <pageMargins left="0.25" right="0.25" top="0.75" bottom="0.75" header="0.3" footer="0.3"/>
  <pageSetup paperSize="8"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74DC1A9-38DC-4107-BFCA-A2CF2CE7E16A}">
          <x14:formula1>
            <xm:f>'試算シート転記（非表示）'!$I$2:$I$3</xm:f>
          </x14:formula1>
          <xm:sqref>I20:M20</xm:sqref>
        </x14:dataValidation>
        <x14:dataValidation type="list" allowBlank="1" showInputMessage="1" showErrorMessage="1" xr:uid="{4B62953C-3139-45BF-B39C-8F2F395E413C}">
          <x14:formula1>
            <xm:f>'試算シート転記（非表示）'!$I$10:$I$14</xm:f>
          </x14:formula1>
          <xm:sqref>I21:M21 S21:AG21 N21:R21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66AAC-88F7-4E84-807D-7C7F0332686D}">
  <dimension ref="B1:K22"/>
  <sheetViews>
    <sheetView topLeftCell="A7" workbookViewId="0">
      <selection activeCell="A20" sqref="A20:E20"/>
    </sheetView>
  </sheetViews>
  <sheetFormatPr defaultRowHeight="18"/>
  <cols>
    <col min="3" max="3" width="22.09765625" customWidth="1"/>
    <col min="4" max="4" width="13.5" customWidth="1"/>
    <col min="5" max="5" width="19.5" bestFit="1" customWidth="1"/>
    <col min="6" max="6" width="9.3984375" bestFit="1" customWidth="1"/>
    <col min="9" max="9" width="19.3984375" customWidth="1"/>
  </cols>
  <sheetData>
    <row r="1" spans="2:11">
      <c r="B1" s="92"/>
      <c r="C1" s="92" t="s">
        <v>336</v>
      </c>
      <c r="I1" t="s">
        <v>337</v>
      </c>
      <c r="K1" t="s">
        <v>338</v>
      </c>
    </row>
    <row r="2" spans="2:11">
      <c r="B2" s="92" t="s">
        <v>3</v>
      </c>
      <c r="C2" s="92">
        <f>このシートの設問に沿って入力してください!I20</f>
        <v>0</v>
      </c>
      <c r="D2" t="str">
        <f>IF(C2=I2,K3,IF(C2=I3,K2,""))</f>
        <v/>
      </c>
      <c r="E2">
        <f>IF(D2=K3,1,0)</f>
        <v>0</v>
      </c>
      <c r="I2" s="1" t="s">
        <v>332</v>
      </c>
      <c r="K2" s="1" t="s">
        <v>9</v>
      </c>
    </row>
    <row r="3" spans="2:11">
      <c r="B3" s="92" t="s">
        <v>270</v>
      </c>
      <c r="C3" s="93"/>
      <c r="E3" s="94"/>
      <c r="I3" s="1" t="s">
        <v>333</v>
      </c>
      <c r="K3" s="1" t="s">
        <v>6</v>
      </c>
    </row>
    <row r="4" spans="2:11">
      <c r="B4" s="92" t="s">
        <v>271</v>
      </c>
      <c r="C4" s="93"/>
      <c r="E4" s="94"/>
      <c r="K4" s="1" t="s">
        <v>10</v>
      </c>
    </row>
    <row r="5" spans="2:11">
      <c r="B5" s="92" t="s">
        <v>272</v>
      </c>
      <c r="C5" s="93"/>
      <c r="E5" s="94"/>
      <c r="K5" s="1" t="s">
        <v>11</v>
      </c>
    </row>
    <row r="6" spans="2:11">
      <c r="B6" s="92" t="s">
        <v>273</v>
      </c>
      <c r="C6" s="93"/>
      <c r="E6" s="94"/>
    </row>
    <row r="9" spans="2:11">
      <c r="B9" s="92"/>
      <c r="C9" s="92" t="s">
        <v>277</v>
      </c>
      <c r="D9" t="s">
        <v>5</v>
      </c>
      <c r="E9" t="s">
        <v>277</v>
      </c>
      <c r="F9" t="s">
        <v>339</v>
      </c>
      <c r="G9" t="s">
        <v>36</v>
      </c>
      <c r="I9" t="s">
        <v>337</v>
      </c>
      <c r="K9" t="s">
        <v>338</v>
      </c>
    </row>
    <row r="10" spans="2:11">
      <c r="B10" s="92" t="s">
        <v>3</v>
      </c>
      <c r="C10" s="92">
        <f>このシートの設問に沿って入力してください!I21</f>
        <v>0</v>
      </c>
      <c r="D10" s="94" t="str">
        <f>IF(OR(E10=$K$10,E10=$K$11,E10=$K$12,E10=$K$13,E10=$K$14),$K$3,"")</f>
        <v/>
      </c>
      <c r="E10" s="94" t="str">
        <f>IF(C10=$I$10,$K$10,IF(C10=$I$11,$K$11,IF(C10=$I$12,$K$12,IF(C10=$I$13,$K$13,IF(C10=$I$14,$K$14,"")))))</f>
        <v/>
      </c>
      <c r="F10" s="94">
        <f>IF(OR(E10=$K$10,E10=$K$11,E10=$K$12,E10=$K$13,E10=$K$14),12,0)*E2</f>
        <v>0</v>
      </c>
      <c r="G10" s="94">
        <f>IF(E10=$K$13,12,0)*E2</f>
        <v>0</v>
      </c>
      <c r="I10" s="1" t="s">
        <v>177</v>
      </c>
      <c r="K10" s="1" t="s">
        <v>177</v>
      </c>
    </row>
    <row r="11" spans="2:11">
      <c r="B11" s="92" t="s">
        <v>270</v>
      </c>
      <c r="C11" s="92">
        <f>このシートの設問に沿って入力してください!N21</f>
        <v>0</v>
      </c>
      <c r="D11" s="94" t="str">
        <f t="shared" ref="D11:D14" si="0">IF(OR(E11=$K$10,E11=$K$11,E11=$K$12,E11=$K$13,E11=$K$14),$K$3,"")</f>
        <v/>
      </c>
      <c r="E11" s="94" t="str">
        <f t="shared" ref="E11" si="1">IF(C11=$I$10,$K$10,IF(C11=$I$11,$K$11,IF(C11=$I$12,$K$12,IF(C11=$I$13,$K$13,IF(C11=$I$14,$K$14,"")))))</f>
        <v/>
      </c>
      <c r="F11" s="94">
        <f>IF(OR(E11=$K$10,E11=$K$11,E11=$K$12,E11=$K$13,E11=$K$14),12,0)</f>
        <v>0</v>
      </c>
      <c r="G11" s="94">
        <f>IF(E11=$K$13,12,0)</f>
        <v>0</v>
      </c>
      <c r="I11" s="1" t="s">
        <v>197</v>
      </c>
      <c r="K11" s="1" t="s">
        <v>197</v>
      </c>
    </row>
    <row r="12" spans="2:11">
      <c r="B12" s="92" t="s">
        <v>271</v>
      </c>
      <c r="C12" s="92">
        <f>このシートの設問に沿って入力してください!S21</f>
        <v>0</v>
      </c>
      <c r="D12" s="94" t="str">
        <f t="shared" si="0"/>
        <v/>
      </c>
      <c r="E12" s="94" t="str">
        <f t="shared" ref="E12:E14" si="2">IF(C12=$I$10,$K$10,IF(C12=$I$11,$K$11,IF(C12=$I$12,$K$12,IF(C12=$I$13,$K$13,IF(C12=$I$14,$K$14,"")))))</f>
        <v/>
      </c>
      <c r="F12" s="94">
        <f t="shared" ref="F12:F14" si="3">IF(OR(E12=$K$10,E12=$K$11,E12=$K$12,E12=$K$13,E12=$K$14),12,0)</f>
        <v>0</v>
      </c>
      <c r="G12" s="94">
        <f t="shared" ref="G12:G14" si="4">IF(E12=$K$13,12,0)</f>
        <v>0</v>
      </c>
      <c r="I12" s="1" t="s">
        <v>200</v>
      </c>
      <c r="K12" s="1" t="s">
        <v>200</v>
      </c>
    </row>
    <row r="13" spans="2:11">
      <c r="B13" s="92" t="s">
        <v>272</v>
      </c>
      <c r="C13" s="92">
        <f>このシートの設問に沿って入力してください!X21</f>
        <v>0</v>
      </c>
      <c r="D13" s="94" t="str">
        <f t="shared" si="0"/>
        <v/>
      </c>
      <c r="E13" s="94" t="str">
        <f t="shared" si="2"/>
        <v/>
      </c>
      <c r="F13" s="94">
        <f t="shared" si="3"/>
        <v>0</v>
      </c>
      <c r="G13" s="94">
        <f t="shared" si="4"/>
        <v>0</v>
      </c>
      <c r="I13" s="1" t="s">
        <v>346</v>
      </c>
      <c r="K13" s="1" t="s">
        <v>201</v>
      </c>
    </row>
    <row r="14" spans="2:11">
      <c r="B14" s="92" t="s">
        <v>273</v>
      </c>
      <c r="C14" s="92">
        <f>このシートの設問に沿って入力してください!AC21</f>
        <v>0</v>
      </c>
      <c r="D14" s="94" t="str">
        <f t="shared" si="0"/>
        <v/>
      </c>
      <c r="E14" s="94" t="str">
        <f t="shared" si="2"/>
        <v/>
      </c>
      <c r="F14" s="94">
        <f t="shared" si="3"/>
        <v>0</v>
      </c>
      <c r="G14" s="94">
        <f t="shared" si="4"/>
        <v>0</v>
      </c>
      <c r="I14" t="s">
        <v>17</v>
      </c>
      <c r="K14" t="s">
        <v>17</v>
      </c>
    </row>
    <row r="17" spans="2:7">
      <c r="B17" s="92"/>
      <c r="C17" t="s">
        <v>147</v>
      </c>
      <c r="F17" t="s">
        <v>340</v>
      </c>
      <c r="G17" t="s">
        <v>341</v>
      </c>
    </row>
    <row r="18" spans="2:7">
      <c r="B18" s="92" t="s">
        <v>3</v>
      </c>
      <c r="C18">
        <f>このシートの設問に沿って入力してください!I24</f>
        <v>0</v>
      </c>
      <c r="E18" s="94">
        <f>IF(E10=$K$14,1,0)</f>
        <v>0</v>
      </c>
      <c r="F18">
        <f>C18*E18</f>
        <v>0</v>
      </c>
      <c r="G18">
        <f>C18-F18</f>
        <v>0</v>
      </c>
    </row>
    <row r="19" spans="2:7">
      <c r="B19" s="92" t="s">
        <v>270</v>
      </c>
      <c r="C19">
        <f>このシートの設問に沿って入力してください!N24</f>
        <v>0</v>
      </c>
      <c r="E19" s="94">
        <f t="shared" ref="E19:E22" si="5">IF(E11=$K$14,1,0)</f>
        <v>0</v>
      </c>
      <c r="F19">
        <f>C19*E19</f>
        <v>0</v>
      </c>
      <c r="G19">
        <f t="shared" ref="G19:G21" si="6">C19-F19</f>
        <v>0</v>
      </c>
    </row>
    <row r="20" spans="2:7">
      <c r="B20" s="92" t="s">
        <v>271</v>
      </c>
      <c r="C20">
        <f>このシートの設問に沿って入力してください!S24</f>
        <v>0</v>
      </c>
      <c r="E20" s="94">
        <f t="shared" si="5"/>
        <v>0</v>
      </c>
      <c r="F20">
        <f t="shared" ref="F20:F22" si="7">C20*E20</f>
        <v>0</v>
      </c>
      <c r="G20">
        <f>C20-F20</f>
        <v>0</v>
      </c>
    </row>
    <row r="21" spans="2:7">
      <c r="B21" s="92" t="s">
        <v>272</v>
      </c>
      <c r="C21">
        <f>このシートの設問に沿って入力してください!X24</f>
        <v>0</v>
      </c>
      <c r="E21" s="94">
        <f t="shared" si="5"/>
        <v>0</v>
      </c>
      <c r="F21">
        <f t="shared" si="7"/>
        <v>0</v>
      </c>
      <c r="G21">
        <f t="shared" si="6"/>
        <v>0</v>
      </c>
    </row>
    <row r="22" spans="2:7">
      <c r="B22" s="92" t="s">
        <v>273</v>
      </c>
      <c r="C22">
        <f>このシートの設問に沿って入力してください!AC24</f>
        <v>0</v>
      </c>
      <c r="E22" s="94">
        <f t="shared" si="5"/>
        <v>0</v>
      </c>
      <c r="F22">
        <f t="shared" si="7"/>
        <v>0</v>
      </c>
      <c r="G22">
        <f>C22-F22</f>
        <v>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160"/>
  <sheetViews>
    <sheetView topLeftCell="A8" zoomScale="85" zoomScaleNormal="85" workbookViewId="0">
      <selection activeCell="A20" sqref="A20:E20"/>
    </sheetView>
  </sheetViews>
  <sheetFormatPr defaultColWidth="9" defaultRowHeight="16.2"/>
  <cols>
    <col min="1" max="1" width="3.09765625" style="1" customWidth="1"/>
    <col min="2" max="10" width="3" style="1" customWidth="1"/>
    <col min="11" max="11" width="4.5" style="1" customWidth="1"/>
    <col min="12" max="21" width="3" style="1" customWidth="1"/>
    <col min="22" max="31" width="2.59765625" style="1" customWidth="1"/>
    <col min="32" max="36" width="3.09765625" style="1" customWidth="1"/>
    <col min="37" max="64" width="2.59765625" style="1" customWidth="1"/>
    <col min="65" max="167" width="3.09765625" style="1" customWidth="1"/>
    <col min="168" max="16384" width="9" style="1"/>
  </cols>
  <sheetData>
    <row r="1" spans="1:80" ht="26.25" customHeight="1">
      <c r="A1" s="8"/>
      <c r="B1" s="13" t="s">
        <v>0</v>
      </c>
      <c r="C1" s="8"/>
      <c r="D1" s="8"/>
      <c r="E1" s="8"/>
      <c r="F1" s="8"/>
      <c r="G1" s="8"/>
      <c r="H1" s="8"/>
      <c r="I1" s="8"/>
      <c r="J1" s="8"/>
      <c r="K1" s="13" t="s">
        <v>29</v>
      </c>
      <c r="L1" s="202" t="s">
        <v>112</v>
      </c>
      <c r="M1" s="202"/>
      <c r="N1" s="201">
        <v>8</v>
      </c>
      <c r="O1" s="201"/>
      <c r="P1" s="202" t="s">
        <v>30</v>
      </c>
      <c r="Q1" s="202"/>
      <c r="R1" s="13" t="s">
        <v>31</v>
      </c>
      <c r="S1" s="8"/>
      <c r="T1" s="8"/>
      <c r="U1" s="207"/>
      <c r="V1" s="207"/>
      <c r="W1" s="207"/>
      <c r="X1" s="207"/>
      <c r="Y1" s="207"/>
      <c r="Z1" s="207"/>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row>
    <row r="2" spans="1:80" ht="18.75" customHeight="1">
      <c r="A2" s="8"/>
      <c r="B2" s="8" t="s">
        <v>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row>
    <row r="3" spans="1:80" ht="18.75" customHeight="1" thickBo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row>
    <row r="4" spans="1:80" ht="18.75" customHeight="1">
      <c r="A4" s="8"/>
      <c r="B4" s="146" t="s">
        <v>2</v>
      </c>
      <c r="C4" s="146"/>
      <c r="D4" s="146"/>
      <c r="E4" s="146"/>
      <c r="F4" s="146" t="s">
        <v>5</v>
      </c>
      <c r="G4" s="146"/>
      <c r="H4" s="146"/>
      <c r="I4" s="146" t="s">
        <v>12</v>
      </c>
      <c r="J4" s="146"/>
      <c r="K4" s="146"/>
      <c r="L4" s="146"/>
      <c r="M4" s="167" t="s">
        <v>14</v>
      </c>
      <c r="N4" s="146"/>
      <c r="O4" s="167" t="s">
        <v>15</v>
      </c>
      <c r="P4" s="122"/>
      <c r="Q4" s="195" t="s">
        <v>20</v>
      </c>
      <c r="R4" s="196"/>
      <c r="S4" s="196"/>
      <c r="T4" s="196"/>
      <c r="U4" s="196"/>
      <c r="V4" s="196"/>
      <c r="W4" s="196"/>
      <c r="X4" s="196"/>
      <c r="Y4" s="196"/>
      <c r="Z4" s="196"/>
      <c r="AA4" s="196"/>
      <c r="AB4" s="196"/>
      <c r="AC4" s="196"/>
      <c r="AD4" s="196"/>
      <c r="AE4" s="196"/>
      <c r="AF4" s="196"/>
      <c r="AG4" s="196"/>
      <c r="AH4" s="196"/>
      <c r="AI4" s="196"/>
      <c r="AJ4" s="197"/>
      <c r="AK4" s="146" t="s">
        <v>178</v>
      </c>
      <c r="AL4" s="146"/>
      <c r="AM4" s="146"/>
      <c r="AN4" s="146"/>
      <c r="AO4" s="224" t="s">
        <v>27</v>
      </c>
      <c r="AP4" s="225"/>
      <c r="AQ4" s="220" t="s">
        <v>21</v>
      </c>
      <c r="AR4" s="221"/>
      <c r="AS4" s="221"/>
      <c r="AT4" s="221"/>
      <c r="AU4" s="221"/>
      <c r="AV4" s="221"/>
      <c r="AW4" s="221"/>
      <c r="AX4" s="221"/>
      <c r="AY4" s="221"/>
      <c r="AZ4" s="221"/>
      <c r="BA4" s="221" t="s">
        <v>22</v>
      </c>
      <c r="BB4" s="221"/>
      <c r="BC4" s="221"/>
      <c r="BD4" s="221"/>
      <c r="BE4" s="221"/>
      <c r="BF4" s="221"/>
      <c r="BG4" s="221"/>
      <c r="BH4" s="221"/>
      <c r="BI4" s="221"/>
      <c r="BJ4" s="222"/>
      <c r="BK4" s="124" t="s">
        <v>23</v>
      </c>
      <c r="BL4" s="146"/>
      <c r="BM4" s="146"/>
      <c r="BN4" s="146"/>
      <c r="BO4" s="146"/>
      <c r="BP4" s="167" t="s">
        <v>172</v>
      </c>
      <c r="BQ4" s="167"/>
      <c r="BR4" s="8"/>
    </row>
    <row r="5" spans="1:80" ht="34.5" customHeight="1">
      <c r="A5" s="8"/>
      <c r="B5" s="146"/>
      <c r="C5" s="146"/>
      <c r="D5" s="146"/>
      <c r="E5" s="146"/>
      <c r="F5" s="146"/>
      <c r="G5" s="146"/>
      <c r="H5" s="146"/>
      <c r="I5" s="146"/>
      <c r="J5" s="146"/>
      <c r="K5" s="146"/>
      <c r="L5" s="146"/>
      <c r="M5" s="146"/>
      <c r="N5" s="146"/>
      <c r="O5" s="146"/>
      <c r="P5" s="122"/>
      <c r="Q5" s="203" t="s">
        <v>18</v>
      </c>
      <c r="R5" s="146"/>
      <c r="S5" s="146"/>
      <c r="T5" s="146"/>
      <c r="U5" s="146"/>
      <c r="V5" s="146" t="s">
        <v>19</v>
      </c>
      <c r="W5" s="146"/>
      <c r="X5" s="146"/>
      <c r="Y5" s="146"/>
      <c r="Z5" s="146"/>
      <c r="AA5" s="122" t="s">
        <v>117</v>
      </c>
      <c r="AB5" s="123"/>
      <c r="AC5" s="123"/>
      <c r="AD5" s="123"/>
      <c r="AE5" s="124"/>
      <c r="AF5" s="184" t="s">
        <v>163</v>
      </c>
      <c r="AG5" s="185"/>
      <c r="AH5" s="185"/>
      <c r="AI5" s="185"/>
      <c r="AJ5" s="186"/>
      <c r="AK5" s="192" t="s">
        <v>179</v>
      </c>
      <c r="AL5" s="192"/>
      <c r="AM5" s="167" t="s">
        <v>180</v>
      </c>
      <c r="AN5" s="167"/>
      <c r="AO5" s="109"/>
      <c r="AP5" s="226"/>
      <c r="AQ5" s="203" t="s">
        <v>18</v>
      </c>
      <c r="AR5" s="146"/>
      <c r="AS5" s="146"/>
      <c r="AT5" s="146"/>
      <c r="AU5" s="146"/>
      <c r="AV5" s="146" t="s">
        <v>19</v>
      </c>
      <c r="AW5" s="146"/>
      <c r="AX5" s="146"/>
      <c r="AY5" s="146"/>
      <c r="AZ5" s="146"/>
      <c r="BA5" s="146" t="s">
        <v>18</v>
      </c>
      <c r="BB5" s="146"/>
      <c r="BC5" s="146"/>
      <c r="BD5" s="146"/>
      <c r="BE5" s="146"/>
      <c r="BF5" s="146" t="s">
        <v>19</v>
      </c>
      <c r="BG5" s="146"/>
      <c r="BH5" s="146"/>
      <c r="BI5" s="146"/>
      <c r="BJ5" s="223"/>
      <c r="BK5" s="124"/>
      <c r="BL5" s="146"/>
      <c r="BM5" s="146"/>
      <c r="BN5" s="146"/>
      <c r="BO5" s="146"/>
      <c r="BP5" s="167"/>
      <c r="BQ5" s="167"/>
      <c r="BR5" s="8"/>
    </row>
    <row r="6" spans="1:80" ht="37.5" customHeight="1">
      <c r="A6" s="8"/>
      <c r="B6" s="2">
        <v>1</v>
      </c>
      <c r="C6" s="146" t="s">
        <v>3</v>
      </c>
      <c r="D6" s="146"/>
      <c r="E6" s="146"/>
      <c r="F6" s="182" t="str">
        <f>'試算シート転記（非表示）'!D2</f>
        <v/>
      </c>
      <c r="G6" s="182"/>
      <c r="H6" s="182"/>
      <c r="I6" s="190" t="str">
        <f>'試算シート転記（非表示）'!E10</f>
        <v/>
      </c>
      <c r="J6" s="190"/>
      <c r="K6" s="190"/>
      <c r="L6" s="190"/>
      <c r="M6" s="187">
        <f>'試算シート転記（非表示）'!F10</f>
        <v>0</v>
      </c>
      <c r="N6" s="187"/>
      <c r="O6" s="187">
        <f>'試算シート転記（非表示）'!G10</f>
        <v>0</v>
      </c>
      <c r="P6" s="188"/>
      <c r="Q6" s="183"/>
      <c r="R6" s="166"/>
      <c r="S6" s="166"/>
      <c r="T6" s="166"/>
      <c r="U6" s="166"/>
      <c r="V6" s="193">
        <f>このシートの設問に沿って入力してください!I23</f>
        <v>0</v>
      </c>
      <c r="W6" s="193"/>
      <c r="X6" s="193"/>
      <c r="Y6" s="193"/>
      <c r="Z6" s="193"/>
      <c r="AA6" s="60">
        <v>1</v>
      </c>
      <c r="AB6" s="140">
        <f>所得額調整控除!P4</f>
        <v>0</v>
      </c>
      <c r="AC6" s="141"/>
      <c r="AD6" s="141"/>
      <c r="AE6" s="163"/>
      <c r="AF6" s="160">
        <f>所得額調整控除!S4</f>
        <v>0</v>
      </c>
      <c r="AG6" s="160"/>
      <c r="AH6" s="160"/>
      <c r="AI6" s="160"/>
      <c r="AJ6" s="177"/>
      <c r="AK6" s="171">
        <v>0</v>
      </c>
      <c r="AL6" s="172"/>
      <c r="AM6" s="171">
        <v>0</v>
      </c>
      <c r="AN6" s="172"/>
      <c r="AO6" s="171"/>
      <c r="AP6" s="172"/>
      <c r="AQ6" s="183">
        <v>0</v>
      </c>
      <c r="AR6" s="166"/>
      <c r="AS6" s="166"/>
      <c r="AT6" s="166"/>
      <c r="AU6" s="166"/>
      <c r="AV6" s="193">
        <f>'試算シート転記（非表示）'!F18</f>
        <v>0</v>
      </c>
      <c r="AW6" s="193"/>
      <c r="AX6" s="193"/>
      <c r="AY6" s="193"/>
      <c r="AZ6" s="193"/>
      <c r="BA6" s="166"/>
      <c r="BB6" s="166"/>
      <c r="BC6" s="166"/>
      <c r="BD6" s="166"/>
      <c r="BE6" s="166"/>
      <c r="BF6" s="217">
        <f>'試算シート転記（非表示）'!G18</f>
        <v>0</v>
      </c>
      <c r="BG6" s="217"/>
      <c r="BH6" s="217"/>
      <c r="BI6" s="217"/>
      <c r="BJ6" s="218"/>
      <c r="BK6" s="165">
        <f>このシートの設問に沿って入力してください!I25</f>
        <v>0</v>
      </c>
      <c r="BL6" s="166"/>
      <c r="BM6" s="166"/>
      <c r="BN6" s="166"/>
      <c r="BO6" s="166"/>
      <c r="BP6" s="219">
        <f>'総・軽減所得（給与所得者等人数）'!AD16</f>
        <v>0</v>
      </c>
      <c r="BQ6" s="219"/>
      <c r="BR6" s="8"/>
    </row>
    <row r="7" spans="1:80" ht="37.5" customHeight="1">
      <c r="A7" s="8"/>
      <c r="B7" s="2">
        <v>2</v>
      </c>
      <c r="C7" s="146" t="s">
        <v>132</v>
      </c>
      <c r="D7" s="146"/>
      <c r="E7" s="146"/>
      <c r="F7" s="182" t="str">
        <f>'試算シート転記（非表示）'!D11</f>
        <v/>
      </c>
      <c r="G7" s="182"/>
      <c r="H7" s="182"/>
      <c r="I7" s="190" t="str">
        <f>'試算シート転記（非表示）'!E11</f>
        <v/>
      </c>
      <c r="J7" s="190"/>
      <c r="K7" s="190"/>
      <c r="L7" s="190"/>
      <c r="M7" s="187">
        <f>'試算シート転記（非表示）'!F11</f>
        <v>0</v>
      </c>
      <c r="N7" s="187"/>
      <c r="O7" s="188">
        <f>'試算シート転記（非表示）'!G11</f>
        <v>0</v>
      </c>
      <c r="P7" s="189"/>
      <c r="Q7" s="183"/>
      <c r="R7" s="166"/>
      <c r="S7" s="166"/>
      <c r="T7" s="166"/>
      <c r="U7" s="166"/>
      <c r="V7" s="193">
        <f>このシートの設問に沿って入力してください!N23</f>
        <v>0</v>
      </c>
      <c r="W7" s="193"/>
      <c r="X7" s="193"/>
      <c r="Y7" s="193"/>
      <c r="Z7" s="193"/>
      <c r="AA7" s="60">
        <v>1</v>
      </c>
      <c r="AB7" s="140">
        <f>所得額調整控除!P5</f>
        <v>0</v>
      </c>
      <c r="AC7" s="141"/>
      <c r="AD7" s="141"/>
      <c r="AE7" s="163"/>
      <c r="AF7" s="160">
        <f>所得額調整控除!S5</f>
        <v>0</v>
      </c>
      <c r="AG7" s="160"/>
      <c r="AH7" s="160"/>
      <c r="AI7" s="160"/>
      <c r="AJ7" s="177"/>
      <c r="AK7" s="171">
        <v>0</v>
      </c>
      <c r="AL7" s="172"/>
      <c r="AM7" s="171">
        <v>0</v>
      </c>
      <c r="AN7" s="172"/>
      <c r="AO7" s="171"/>
      <c r="AP7" s="172"/>
      <c r="AQ7" s="183">
        <v>0</v>
      </c>
      <c r="AR7" s="166"/>
      <c r="AS7" s="166"/>
      <c r="AT7" s="166"/>
      <c r="AU7" s="166"/>
      <c r="AV7" s="193">
        <f>'試算シート転記（非表示）'!F19</f>
        <v>0</v>
      </c>
      <c r="AW7" s="193"/>
      <c r="AX7" s="193"/>
      <c r="AY7" s="193"/>
      <c r="AZ7" s="193"/>
      <c r="BA7" s="166"/>
      <c r="BB7" s="166"/>
      <c r="BC7" s="166"/>
      <c r="BD7" s="166"/>
      <c r="BE7" s="166"/>
      <c r="BF7" s="217">
        <f>'試算シート転記（非表示）'!G19</f>
        <v>0</v>
      </c>
      <c r="BG7" s="217"/>
      <c r="BH7" s="217"/>
      <c r="BI7" s="217"/>
      <c r="BJ7" s="218"/>
      <c r="BK7" s="165">
        <f>このシートの設問に沿って入力してください!N25</f>
        <v>0</v>
      </c>
      <c r="BL7" s="166"/>
      <c r="BM7" s="166"/>
      <c r="BN7" s="166"/>
      <c r="BO7" s="166"/>
      <c r="BP7" s="219">
        <f>'総・軽減所得（給与所得者等人数）'!AD17</f>
        <v>0</v>
      </c>
      <c r="BQ7" s="219"/>
      <c r="BR7" s="8"/>
    </row>
    <row r="8" spans="1:80" ht="37.5" customHeight="1">
      <c r="A8" s="8"/>
      <c r="B8" s="2">
        <v>3</v>
      </c>
      <c r="C8" s="146" t="s">
        <v>133</v>
      </c>
      <c r="D8" s="146"/>
      <c r="E8" s="146"/>
      <c r="F8" s="182" t="str">
        <f>'試算シート転記（非表示）'!D12</f>
        <v/>
      </c>
      <c r="G8" s="182"/>
      <c r="H8" s="182"/>
      <c r="I8" s="204" t="str">
        <f>'試算シート転記（非表示）'!E12</f>
        <v/>
      </c>
      <c r="J8" s="205"/>
      <c r="K8" s="205"/>
      <c r="L8" s="206"/>
      <c r="M8" s="187">
        <f>'試算シート転記（非表示）'!F12</f>
        <v>0</v>
      </c>
      <c r="N8" s="187"/>
      <c r="O8" s="188">
        <f>'試算シート転記（非表示）'!G12</f>
        <v>0</v>
      </c>
      <c r="P8" s="189"/>
      <c r="Q8" s="183"/>
      <c r="R8" s="166"/>
      <c r="S8" s="166"/>
      <c r="T8" s="166"/>
      <c r="U8" s="166"/>
      <c r="V8" s="193">
        <f>このシートの設問に沿って入力してください!S23</f>
        <v>0</v>
      </c>
      <c r="W8" s="193"/>
      <c r="X8" s="193"/>
      <c r="Y8" s="193"/>
      <c r="Z8" s="193"/>
      <c r="AA8" s="60">
        <v>1</v>
      </c>
      <c r="AB8" s="140">
        <f>所得額調整控除!P6</f>
        <v>0</v>
      </c>
      <c r="AC8" s="141"/>
      <c r="AD8" s="141"/>
      <c r="AE8" s="163"/>
      <c r="AF8" s="160">
        <f>所得額調整控除!S6</f>
        <v>0</v>
      </c>
      <c r="AG8" s="160"/>
      <c r="AH8" s="160"/>
      <c r="AI8" s="160"/>
      <c r="AJ8" s="177"/>
      <c r="AK8" s="171">
        <v>0</v>
      </c>
      <c r="AL8" s="172"/>
      <c r="AM8" s="171">
        <v>0</v>
      </c>
      <c r="AN8" s="172"/>
      <c r="AO8" s="171"/>
      <c r="AP8" s="172"/>
      <c r="AQ8" s="183"/>
      <c r="AR8" s="166"/>
      <c r="AS8" s="166"/>
      <c r="AT8" s="166"/>
      <c r="AU8" s="166"/>
      <c r="AV8" s="193">
        <f>'試算シート転記（非表示）'!F20</f>
        <v>0</v>
      </c>
      <c r="AW8" s="193"/>
      <c r="AX8" s="193"/>
      <c r="AY8" s="193"/>
      <c r="AZ8" s="193"/>
      <c r="BA8" s="166"/>
      <c r="BB8" s="166"/>
      <c r="BC8" s="166"/>
      <c r="BD8" s="166"/>
      <c r="BE8" s="166"/>
      <c r="BF8" s="217">
        <f>'試算シート転記（非表示）'!G20</f>
        <v>0</v>
      </c>
      <c r="BG8" s="217"/>
      <c r="BH8" s="217"/>
      <c r="BI8" s="217"/>
      <c r="BJ8" s="218"/>
      <c r="BK8" s="165">
        <f>このシートの設問に沿って入力してください!S25</f>
        <v>0</v>
      </c>
      <c r="BL8" s="166"/>
      <c r="BM8" s="166"/>
      <c r="BN8" s="166"/>
      <c r="BO8" s="166"/>
      <c r="BP8" s="219">
        <f>'総・軽減所得（給与所得者等人数）'!AD18</f>
        <v>0</v>
      </c>
      <c r="BQ8" s="219"/>
      <c r="BR8" s="8"/>
    </row>
    <row r="9" spans="1:80" ht="37.5" customHeight="1">
      <c r="A9" s="8"/>
      <c r="B9" s="2">
        <v>4</v>
      </c>
      <c r="C9" s="146" t="s">
        <v>134</v>
      </c>
      <c r="D9" s="146"/>
      <c r="E9" s="146"/>
      <c r="F9" s="182" t="str">
        <f>'試算シート転記（非表示）'!D13</f>
        <v/>
      </c>
      <c r="G9" s="182"/>
      <c r="H9" s="182"/>
      <c r="I9" s="204" t="str">
        <f>'試算シート転記（非表示）'!E13</f>
        <v/>
      </c>
      <c r="J9" s="205"/>
      <c r="K9" s="205"/>
      <c r="L9" s="206"/>
      <c r="M9" s="187">
        <f>'試算シート転記（非表示）'!F13</f>
        <v>0</v>
      </c>
      <c r="N9" s="187"/>
      <c r="O9" s="188">
        <f>'試算シート転記（非表示）'!G13</f>
        <v>0</v>
      </c>
      <c r="P9" s="189"/>
      <c r="Q9" s="183"/>
      <c r="R9" s="166"/>
      <c r="S9" s="166"/>
      <c r="T9" s="166"/>
      <c r="U9" s="166"/>
      <c r="V9" s="193">
        <f>このシートの設問に沿って入力してください!X23</f>
        <v>0</v>
      </c>
      <c r="W9" s="193"/>
      <c r="X9" s="193"/>
      <c r="Y9" s="193"/>
      <c r="Z9" s="193"/>
      <c r="AA9" s="60">
        <v>1</v>
      </c>
      <c r="AB9" s="140">
        <f>所得額調整控除!P7</f>
        <v>0</v>
      </c>
      <c r="AC9" s="141"/>
      <c r="AD9" s="141"/>
      <c r="AE9" s="163"/>
      <c r="AF9" s="160">
        <f>所得額調整控除!S7</f>
        <v>0</v>
      </c>
      <c r="AG9" s="160"/>
      <c r="AH9" s="160"/>
      <c r="AI9" s="160"/>
      <c r="AJ9" s="177"/>
      <c r="AK9" s="171">
        <v>0</v>
      </c>
      <c r="AL9" s="172"/>
      <c r="AM9" s="171">
        <v>0</v>
      </c>
      <c r="AN9" s="172"/>
      <c r="AO9" s="171"/>
      <c r="AP9" s="172"/>
      <c r="AQ9" s="183"/>
      <c r="AR9" s="166"/>
      <c r="AS9" s="166"/>
      <c r="AT9" s="166"/>
      <c r="AU9" s="166"/>
      <c r="AV9" s="193">
        <f>'試算シート転記（非表示）'!F21</f>
        <v>0</v>
      </c>
      <c r="AW9" s="193"/>
      <c r="AX9" s="193"/>
      <c r="AY9" s="193"/>
      <c r="AZ9" s="193"/>
      <c r="BA9" s="166"/>
      <c r="BB9" s="166"/>
      <c r="BC9" s="166"/>
      <c r="BD9" s="166"/>
      <c r="BE9" s="166"/>
      <c r="BF9" s="217">
        <f>'試算シート転記（非表示）'!G21</f>
        <v>0</v>
      </c>
      <c r="BG9" s="217"/>
      <c r="BH9" s="217"/>
      <c r="BI9" s="217"/>
      <c r="BJ9" s="218"/>
      <c r="BK9" s="165">
        <f>このシートの設問に沿って入力してください!X25</f>
        <v>0</v>
      </c>
      <c r="BL9" s="166"/>
      <c r="BM9" s="166"/>
      <c r="BN9" s="166"/>
      <c r="BO9" s="166"/>
      <c r="BP9" s="219">
        <f>'総・軽減所得（給与所得者等人数）'!AD19</f>
        <v>0</v>
      </c>
      <c r="BQ9" s="219"/>
      <c r="BR9" s="8"/>
    </row>
    <row r="10" spans="1:80" ht="37.5" customHeight="1" thickBot="1">
      <c r="A10" s="8"/>
      <c r="B10" s="2">
        <v>5</v>
      </c>
      <c r="C10" s="146" t="s">
        <v>135</v>
      </c>
      <c r="D10" s="146"/>
      <c r="E10" s="146"/>
      <c r="F10" s="182" t="str">
        <f>'試算シート転記（非表示）'!D14</f>
        <v/>
      </c>
      <c r="G10" s="182"/>
      <c r="H10" s="182"/>
      <c r="I10" s="204" t="str">
        <f>'試算シート転記（非表示）'!E14</f>
        <v/>
      </c>
      <c r="J10" s="205"/>
      <c r="K10" s="205"/>
      <c r="L10" s="206"/>
      <c r="M10" s="187">
        <f>'試算シート転記（非表示）'!F14</f>
        <v>0</v>
      </c>
      <c r="N10" s="187"/>
      <c r="O10" s="188">
        <f>'試算シート転記（非表示）'!G14</f>
        <v>0</v>
      </c>
      <c r="P10" s="189"/>
      <c r="Q10" s="183"/>
      <c r="R10" s="166"/>
      <c r="S10" s="166"/>
      <c r="T10" s="166"/>
      <c r="U10" s="166"/>
      <c r="V10" s="194">
        <f>このシートの設問に沿って入力してください!AC23</f>
        <v>0</v>
      </c>
      <c r="W10" s="194"/>
      <c r="X10" s="194"/>
      <c r="Y10" s="194"/>
      <c r="Z10" s="194"/>
      <c r="AA10" s="60">
        <v>1</v>
      </c>
      <c r="AB10" s="140">
        <f>所得額調整控除!P8</f>
        <v>0</v>
      </c>
      <c r="AC10" s="141"/>
      <c r="AD10" s="141"/>
      <c r="AE10" s="163"/>
      <c r="AF10" s="160">
        <f>所得額調整控除!S8</f>
        <v>0</v>
      </c>
      <c r="AG10" s="160"/>
      <c r="AH10" s="160"/>
      <c r="AI10" s="160"/>
      <c r="AJ10" s="177"/>
      <c r="AK10" s="171">
        <v>0</v>
      </c>
      <c r="AL10" s="172"/>
      <c r="AM10" s="171">
        <v>0</v>
      </c>
      <c r="AN10" s="172"/>
      <c r="AO10" s="171"/>
      <c r="AP10" s="172"/>
      <c r="AQ10" s="183"/>
      <c r="AR10" s="166"/>
      <c r="AS10" s="166"/>
      <c r="AT10" s="166"/>
      <c r="AU10" s="166"/>
      <c r="AV10" s="193">
        <f>'試算シート転記（非表示）'!F22</f>
        <v>0</v>
      </c>
      <c r="AW10" s="193"/>
      <c r="AX10" s="193"/>
      <c r="AY10" s="193"/>
      <c r="AZ10" s="193"/>
      <c r="BA10" s="166"/>
      <c r="BB10" s="166"/>
      <c r="BC10" s="166"/>
      <c r="BD10" s="166"/>
      <c r="BE10" s="166"/>
      <c r="BF10" s="217">
        <f>'試算シート転記（非表示）'!G22</f>
        <v>0</v>
      </c>
      <c r="BG10" s="217"/>
      <c r="BH10" s="217"/>
      <c r="BI10" s="217"/>
      <c r="BJ10" s="218"/>
      <c r="BK10" s="165">
        <f>このシートの設問に沿って入力してください!AC25</f>
        <v>0</v>
      </c>
      <c r="BL10" s="166"/>
      <c r="BM10" s="166"/>
      <c r="BN10" s="166"/>
      <c r="BO10" s="166"/>
      <c r="BP10" s="219">
        <f>'総・軽減所得（給与所得者等人数）'!AD20</f>
        <v>0</v>
      </c>
      <c r="BQ10" s="219"/>
      <c r="BR10" s="8"/>
    </row>
    <row r="11" spans="1:80" ht="37.5" customHeight="1">
      <c r="A11" s="8"/>
      <c r="B11" s="2">
        <v>6</v>
      </c>
      <c r="C11" s="146" t="s">
        <v>184</v>
      </c>
      <c r="D11" s="146"/>
      <c r="E11" s="146"/>
      <c r="F11" s="182"/>
      <c r="G11" s="182"/>
      <c r="H11" s="182"/>
      <c r="I11" s="191"/>
      <c r="J11" s="191"/>
      <c r="K11" s="191"/>
      <c r="L11" s="191"/>
      <c r="M11" s="187">
        <v>0</v>
      </c>
      <c r="N11" s="187"/>
      <c r="O11" s="188">
        <v>0</v>
      </c>
      <c r="P11" s="189"/>
      <c r="Q11" s="183"/>
      <c r="R11" s="166"/>
      <c r="S11" s="166"/>
      <c r="T11" s="166"/>
      <c r="U11" s="166"/>
      <c r="V11" s="160">
        <f>'給与所得 '!AB9</f>
        <v>0</v>
      </c>
      <c r="W11" s="160"/>
      <c r="X11" s="160"/>
      <c r="Y11" s="160"/>
      <c r="Z11" s="160"/>
      <c r="AA11" s="60">
        <v>1</v>
      </c>
      <c r="AB11" s="140">
        <f>所得額調整控除!P9</f>
        <v>0</v>
      </c>
      <c r="AC11" s="141"/>
      <c r="AD11" s="141"/>
      <c r="AE11" s="163"/>
      <c r="AF11" s="160">
        <f>所得額調整控除!S9</f>
        <v>0</v>
      </c>
      <c r="AG11" s="160"/>
      <c r="AH11" s="160"/>
      <c r="AI11" s="160"/>
      <c r="AJ11" s="177"/>
      <c r="AK11" s="171">
        <v>0</v>
      </c>
      <c r="AL11" s="172"/>
      <c r="AM11" s="171">
        <v>0</v>
      </c>
      <c r="AN11" s="172"/>
      <c r="AO11" s="171"/>
      <c r="AP11" s="172"/>
      <c r="AQ11" s="183"/>
      <c r="AR11" s="166"/>
      <c r="AS11" s="166"/>
      <c r="AT11" s="166"/>
      <c r="AU11" s="166"/>
      <c r="AV11" s="160">
        <f>'年金（６５歳以上）'!AA9</f>
        <v>0</v>
      </c>
      <c r="AW11" s="160"/>
      <c r="AX11" s="160"/>
      <c r="AY11" s="160"/>
      <c r="AZ11" s="160"/>
      <c r="BA11" s="166"/>
      <c r="BB11" s="166"/>
      <c r="BC11" s="166"/>
      <c r="BD11" s="166"/>
      <c r="BE11" s="166"/>
      <c r="BF11" s="160">
        <f>'年金（６５歳未満）'!AA9</f>
        <v>0</v>
      </c>
      <c r="BG11" s="160"/>
      <c r="BH11" s="160"/>
      <c r="BI11" s="160"/>
      <c r="BJ11" s="177"/>
      <c r="BK11" s="165"/>
      <c r="BL11" s="166"/>
      <c r="BM11" s="166"/>
      <c r="BN11" s="166"/>
      <c r="BO11" s="166"/>
      <c r="BP11" s="219">
        <f>'総・軽減所得（給与所得者等人数）'!AD21</f>
        <v>0</v>
      </c>
      <c r="BQ11" s="219"/>
      <c r="BR11" s="8"/>
    </row>
    <row r="12" spans="1:80" ht="37.5" customHeight="1">
      <c r="A12" s="8"/>
      <c r="B12" s="2">
        <v>7</v>
      </c>
      <c r="C12" s="146" t="s">
        <v>185</v>
      </c>
      <c r="D12" s="146"/>
      <c r="E12" s="146"/>
      <c r="F12" s="182"/>
      <c r="G12" s="182"/>
      <c r="H12" s="182"/>
      <c r="I12" s="191"/>
      <c r="J12" s="191"/>
      <c r="K12" s="191"/>
      <c r="L12" s="191"/>
      <c r="M12" s="187">
        <v>0</v>
      </c>
      <c r="N12" s="187"/>
      <c r="O12" s="188">
        <v>0</v>
      </c>
      <c r="P12" s="189"/>
      <c r="Q12" s="183"/>
      <c r="R12" s="166"/>
      <c r="S12" s="166"/>
      <c r="T12" s="166"/>
      <c r="U12" s="166"/>
      <c r="V12" s="160">
        <f>'給与所得 '!AB10</f>
        <v>0</v>
      </c>
      <c r="W12" s="160"/>
      <c r="X12" s="160"/>
      <c r="Y12" s="160"/>
      <c r="Z12" s="160"/>
      <c r="AA12" s="60">
        <v>1</v>
      </c>
      <c r="AB12" s="140">
        <f>所得額調整控除!P10</f>
        <v>0</v>
      </c>
      <c r="AC12" s="141"/>
      <c r="AD12" s="141"/>
      <c r="AE12" s="163"/>
      <c r="AF12" s="160">
        <f>所得額調整控除!S10</f>
        <v>0</v>
      </c>
      <c r="AG12" s="160"/>
      <c r="AH12" s="160"/>
      <c r="AI12" s="160"/>
      <c r="AJ12" s="177"/>
      <c r="AK12" s="171">
        <v>0</v>
      </c>
      <c r="AL12" s="172"/>
      <c r="AM12" s="171">
        <v>0</v>
      </c>
      <c r="AN12" s="172"/>
      <c r="AO12" s="171"/>
      <c r="AP12" s="172"/>
      <c r="AQ12" s="183"/>
      <c r="AR12" s="166"/>
      <c r="AS12" s="166"/>
      <c r="AT12" s="166"/>
      <c r="AU12" s="166"/>
      <c r="AV12" s="160">
        <f>'年金（６５歳以上）'!AA10</f>
        <v>0</v>
      </c>
      <c r="AW12" s="160"/>
      <c r="AX12" s="160"/>
      <c r="AY12" s="160"/>
      <c r="AZ12" s="160"/>
      <c r="BA12" s="166"/>
      <c r="BB12" s="166"/>
      <c r="BC12" s="166"/>
      <c r="BD12" s="166"/>
      <c r="BE12" s="166"/>
      <c r="BF12" s="160">
        <f>'年金（６５歳未満）'!AA10</f>
        <v>0</v>
      </c>
      <c r="BG12" s="160"/>
      <c r="BH12" s="160"/>
      <c r="BI12" s="160"/>
      <c r="BJ12" s="177"/>
      <c r="BK12" s="165"/>
      <c r="BL12" s="166"/>
      <c r="BM12" s="166"/>
      <c r="BN12" s="166"/>
      <c r="BO12" s="166"/>
      <c r="BP12" s="219">
        <f>'総・軽減所得（給与所得者等人数）'!AD22</f>
        <v>0</v>
      </c>
      <c r="BQ12" s="219"/>
      <c r="BR12" s="8"/>
    </row>
    <row r="13" spans="1:80" ht="37.5" customHeight="1" thickBot="1">
      <c r="A13" s="8"/>
      <c r="B13" s="2">
        <v>8</v>
      </c>
      <c r="C13" s="146" t="s">
        <v>186</v>
      </c>
      <c r="D13" s="146"/>
      <c r="E13" s="146"/>
      <c r="F13" s="182"/>
      <c r="G13" s="182"/>
      <c r="H13" s="182"/>
      <c r="I13" s="191"/>
      <c r="J13" s="191"/>
      <c r="K13" s="191"/>
      <c r="L13" s="191"/>
      <c r="M13" s="187">
        <v>0</v>
      </c>
      <c r="N13" s="187"/>
      <c r="O13" s="188">
        <v>0</v>
      </c>
      <c r="P13" s="189"/>
      <c r="Q13" s="168"/>
      <c r="R13" s="169"/>
      <c r="S13" s="169"/>
      <c r="T13" s="169"/>
      <c r="U13" s="169"/>
      <c r="V13" s="170">
        <f>'給与所得 '!AB11</f>
        <v>0</v>
      </c>
      <c r="W13" s="170"/>
      <c r="X13" s="170"/>
      <c r="Y13" s="170"/>
      <c r="Z13" s="170"/>
      <c r="AA13" s="61">
        <v>1</v>
      </c>
      <c r="AB13" s="179">
        <f>所得額調整控除!P11</f>
        <v>0</v>
      </c>
      <c r="AC13" s="180"/>
      <c r="AD13" s="180"/>
      <c r="AE13" s="181"/>
      <c r="AF13" s="170">
        <f>所得額調整控除!S11</f>
        <v>0</v>
      </c>
      <c r="AG13" s="170"/>
      <c r="AH13" s="170"/>
      <c r="AI13" s="170"/>
      <c r="AJ13" s="175"/>
      <c r="AK13" s="171">
        <v>0</v>
      </c>
      <c r="AL13" s="172"/>
      <c r="AM13" s="171">
        <v>0</v>
      </c>
      <c r="AN13" s="172"/>
      <c r="AO13" s="173"/>
      <c r="AP13" s="174"/>
      <c r="AQ13" s="168"/>
      <c r="AR13" s="169"/>
      <c r="AS13" s="169"/>
      <c r="AT13" s="169"/>
      <c r="AU13" s="169"/>
      <c r="AV13" s="170">
        <f>'年金（６５歳以上）'!AA11</f>
        <v>0</v>
      </c>
      <c r="AW13" s="170"/>
      <c r="AX13" s="170"/>
      <c r="AY13" s="170"/>
      <c r="AZ13" s="170"/>
      <c r="BA13" s="169"/>
      <c r="BB13" s="169"/>
      <c r="BC13" s="169"/>
      <c r="BD13" s="169"/>
      <c r="BE13" s="169"/>
      <c r="BF13" s="170">
        <f>'年金（６５歳未満）'!AA11</f>
        <v>0</v>
      </c>
      <c r="BG13" s="170"/>
      <c r="BH13" s="170"/>
      <c r="BI13" s="170"/>
      <c r="BJ13" s="175"/>
      <c r="BK13" s="165"/>
      <c r="BL13" s="166"/>
      <c r="BM13" s="166"/>
      <c r="BN13" s="166"/>
      <c r="BO13" s="166"/>
      <c r="BP13" s="219">
        <f>'総・軽減所得（給与所得者等人数）'!AD23</f>
        <v>0</v>
      </c>
      <c r="BQ13" s="219"/>
      <c r="BR13" s="8"/>
    </row>
    <row r="14" spans="1:80" ht="18.75" customHeight="1">
      <c r="A14" s="8"/>
      <c r="B14" s="8"/>
      <c r="C14" s="8"/>
      <c r="D14" s="8"/>
      <c r="E14" s="8"/>
      <c r="F14" s="8"/>
      <c r="G14" s="8"/>
      <c r="H14" s="8"/>
      <c r="I14" s="65" t="s">
        <v>202</v>
      </c>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t="s">
        <v>190</v>
      </c>
      <c r="AS14" s="8"/>
      <c r="AT14" s="8"/>
      <c r="AU14" s="8"/>
      <c r="AV14" s="8"/>
      <c r="AW14" s="8"/>
      <c r="AX14" s="8"/>
      <c r="AY14" s="8"/>
      <c r="AZ14" s="8"/>
      <c r="BA14" s="8"/>
      <c r="BB14" s="65" t="s">
        <v>191</v>
      </c>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row>
    <row r="15" spans="1:80" ht="18.75" customHeight="1">
      <c r="A15" s="8"/>
      <c r="B15" s="209" t="s">
        <v>24</v>
      </c>
      <c r="C15" s="210"/>
      <c r="D15" s="210"/>
      <c r="E15" s="211"/>
      <c r="F15" s="105">
        <f>MAX(M6:N13)</f>
        <v>0</v>
      </c>
      <c r="G15" s="106"/>
      <c r="H15" s="106" t="s">
        <v>25</v>
      </c>
      <c r="I15" s="107"/>
      <c r="J15" s="209" t="s">
        <v>26</v>
      </c>
      <c r="K15" s="210"/>
      <c r="L15" s="210"/>
      <c r="M15" s="211"/>
      <c r="N15" s="105" t="str">
        <f>軽減区分算出!AO12</f>
        <v>７割軽減</v>
      </c>
      <c r="O15" s="106"/>
      <c r="P15" s="106"/>
      <c r="Q15" s="106"/>
      <c r="R15" s="106"/>
      <c r="S15" s="107"/>
      <c r="T15" s="215" t="s">
        <v>204</v>
      </c>
      <c r="U15" s="216"/>
      <c r="V15" s="216"/>
      <c r="W15" s="216"/>
      <c r="X15" s="216"/>
      <c r="Y15" s="216"/>
      <c r="Z15" s="216"/>
      <c r="AA15" s="216"/>
      <c r="AB15" s="216"/>
      <c r="AC15" s="8" t="s">
        <v>84</v>
      </c>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row>
    <row r="16" spans="1:80" ht="18.75" customHeight="1">
      <c r="A16" s="8"/>
      <c r="B16" s="212"/>
      <c r="C16" s="213"/>
      <c r="D16" s="213"/>
      <c r="E16" s="214"/>
      <c r="F16" s="108"/>
      <c r="G16" s="109"/>
      <c r="H16" s="109"/>
      <c r="I16" s="110"/>
      <c r="J16" s="212"/>
      <c r="K16" s="213"/>
      <c r="L16" s="213"/>
      <c r="M16" s="214"/>
      <c r="N16" s="108"/>
      <c r="O16" s="109"/>
      <c r="P16" s="109"/>
      <c r="Q16" s="109"/>
      <c r="R16" s="109"/>
      <c r="S16" s="110"/>
      <c r="T16" s="215"/>
      <c r="U16" s="216"/>
      <c r="V16" s="216"/>
      <c r="W16" s="216"/>
      <c r="X16" s="216"/>
      <c r="Y16" s="216"/>
      <c r="Z16" s="216"/>
      <c r="AA16" s="216"/>
      <c r="AB16" s="216"/>
      <c r="AC16" s="8"/>
      <c r="AD16" s="8"/>
      <c r="AE16" s="8"/>
      <c r="AF16" s="8"/>
      <c r="AG16" s="146" t="s">
        <v>34</v>
      </c>
      <c r="AH16" s="146"/>
      <c r="AI16" s="146"/>
      <c r="AJ16" s="146"/>
      <c r="AK16" s="146"/>
      <c r="AL16" s="146" t="s">
        <v>205</v>
      </c>
      <c r="AM16" s="146"/>
      <c r="AN16" s="146"/>
      <c r="AO16" s="146"/>
      <c r="AP16" s="146"/>
      <c r="AQ16" s="178" t="s">
        <v>193</v>
      </c>
      <c r="AR16" s="178"/>
      <c r="AS16" s="178"/>
      <c r="AT16" s="178"/>
      <c r="AU16" s="178"/>
      <c r="AV16" s="146" t="s">
        <v>36</v>
      </c>
      <c r="AW16" s="146"/>
      <c r="AX16" s="146"/>
      <c r="AY16" s="146"/>
      <c r="AZ16" s="146"/>
      <c r="BA16" s="8"/>
      <c r="BB16" s="8"/>
      <c r="BC16" s="8"/>
      <c r="BD16" s="8"/>
      <c r="BE16" s="8"/>
      <c r="BF16" s="8"/>
      <c r="BG16" s="167" t="s">
        <v>175</v>
      </c>
      <c r="BH16" s="146"/>
      <c r="BI16" s="146"/>
      <c r="BJ16" s="146"/>
      <c r="BK16" s="146"/>
      <c r="BL16" s="167" t="s">
        <v>167</v>
      </c>
      <c r="BM16" s="146"/>
      <c r="BN16" s="146"/>
      <c r="BO16" s="146"/>
      <c r="BP16" s="146"/>
      <c r="BQ16" s="167" t="s">
        <v>176</v>
      </c>
      <c r="BR16" s="146"/>
      <c r="BS16" s="146"/>
      <c r="BT16" s="146"/>
      <c r="BU16" s="146"/>
      <c r="BV16" s="8"/>
      <c r="BW16" s="8"/>
      <c r="BX16" s="8"/>
      <c r="BY16" s="8"/>
      <c r="BZ16" s="8"/>
      <c r="CA16" s="8"/>
      <c r="CB16" s="8"/>
    </row>
    <row r="17" spans="1:80" ht="18.7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146" t="s">
        <v>85</v>
      </c>
      <c r="AD17" s="146"/>
      <c r="AE17" s="146"/>
      <c r="AF17" s="146"/>
      <c r="AG17" s="160">
        <f>保険料算出!AP20</f>
        <v>0</v>
      </c>
      <c r="AH17" s="160"/>
      <c r="AI17" s="160"/>
      <c r="AJ17" s="160"/>
      <c r="AK17" s="160"/>
      <c r="AL17" s="160">
        <f>保険料算出!AP33</f>
        <v>0</v>
      </c>
      <c r="AM17" s="160"/>
      <c r="AN17" s="160"/>
      <c r="AO17" s="160"/>
      <c r="AP17" s="160"/>
      <c r="AQ17" s="164">
        <f>保険料算出!AP46</f>
        <v>0</v>
      </c>
      <c r="AR17" s="164"/>
      <c r="AS17" s="164"/>
      <c r="AT17" s="164"/>
      <c r="AU17" s="164"/>
      <c r="AV17" s="160">
        <f>保険料算出!AP59</f>
        <v>0</v>
      </c>
      <c r="AW17" s="160"/>
      <c r="AX17" s="160"/>
      <c r="AY17" s="160"/>
      <c r="AZ17" s="160"/>
      <c r="BA17" s="8"/>
      <c r="BB17" s="8"/>
      <c r="BC17" s="8"/>
      <c r="BD17" s="8"/>
      <c r="BE17" s="8"/>
      <c r="BF17" s="8"/>
      <c r="BG17" s="146"/>
      <c r="BH17" s="146"/>
      <c r="BI17" s="146"/>
      <c r="BJ17" s="146"/>
      <c r="BK17" s="146"/>
      <c r="BL17" s="146"/>
      <c r="BM17" s="146"/>
      <c r="BN17" s="146"/>
      <c r="BO17" s="146"/>
      <c r="BP17" s="146"/>
      <c r="BQ17" s="146"/>
      <c r="BR17" s="146"/>
      <c r="BS17" s="146"/>
      <c r="BT17" s="146"/>
      <c r="BU17" s="146"/>
      <c r="BV17" s="58"/>
      <c r="BW17" s="8"/>
      <c r="BX17" s="8"/>
      <c r="BY17" s="8"/>
      <c r="BZ17" s="8"/>
      <c r="CA17" s="8"/>
      <c r="CB17" s="8"/>
    </row>
    <row r="18" spans="1:80" ht="18.75" customHeight="1">
      <c r="A18" s="8"/>
      <c r="B18" s="198" t="s">
        <v>32</v>
      </c>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200"/>
      <c r="AA18" s="8"/>
      <c r="AB18" s="8"/>
      <c r="AC18" s="176" t="s">
        <v>86</v>
      </c>
      <c r="AD18" s="176"/>
      <c r="AE18" s="176"/>
      <c r="AF18" s="176"/>
      <c r="AG18" s="160">
        <f>保険料算出!AT20</f>
        <v>0</v>
      </c>
      <c r="AH18" s="160"/>
      <c r="AI18" s="160"/>
      <c r="AJ18" s="160"/>
      <c r="AK18" s="160"/>
      <c r="AL18" s="160">
        <f>保険料算出!AT33</f>
        <v>0</v>
      </c>
      <c r="AM18" s="160"/>
      <c r="AN18" s="160"/>
      <c r="AO18" s="160"/>
      <c r="AP18" s="160"/>
      <c r="AQ18" s="164">
        <f>保険料算出!AT46</f>
        <v>0</v>
      </c>
      <c r="AR18" s="164"/>
      <c r="AS18" s="164"/>
      <c r="AT18" s="164"/>
      <c r="AU18" s="164"/>
      <c r="AV18" s="160">
        <f>保険料算出!AT59</f>
        <v>0</v>
      </c>
      <c r="AW18" s="160"/>
      <c r="AX18" s="160"/>
      <c r="AY18" s="160"/>
      <c r="AZ18" s="160"/>
      <c r="BA18" s="8"/>
      <c r="BB18" s="8"/>
      <c r="BC18" s="2">
        <v>1</v>
      </c>
      <c r="BD18" s="146" t="s">
        <v>3</v>
      </c>
      <c r="BE18" s="146"/>
      <c r="BF18" s="146"/>
      <c r="BG18" s="160">
        <f>'総・軽減所得（給与所得者等人数）'!W4</f>
        <v>0</v>
      </c>
      <c r="BH18" s="160"/>
      <c r="BI18" s="160"/>
      <c r="BJ18" s="160"/>
      <c r="BK18" s="160"/>
      <c r="BL18" s="160">
        <f>'総・軽減所得（給与所得者等人数）'!AB4</f>
        <v>0</v>
      </c>
      <c r="BM18" s="160"/>
      <c r="BN18" s="160"/>
      <c r="BO18" s="160"/>
      <c r="BP18" s="160"/>
      <c r="BQ18" s="160">
        <f>'総・軽減所得（給与所得者等人数）'!W16</f>
        <v>0</v>
      </c>
      <c r="BR18" s="160"/>
      <c r="BS18" s="160"/>
      <c r="BT18" s="160"/>
      <c r="BU18" s="160"/>
      <c r="BV18" s="58"/>
      <c r="BW18" s="8"/>
      <c r="BX18" s="8"/>
      <c r="BY18" s="8"/>
      <c r="BZ18" s="8"/>
      <c r="CA18" s="8"/>
      <c r="CB18" s="8"/>
    </row>
    <row r="19" spans="1:80" ht="18.75" customHeight="1">
      <c r="A19" s="8"/>
      <c r="B19" s="242" t="s">
        <v>33</v>
      </c>
      <c r="C19" s="146"/>
      <c r="D19" s="146"/>
      <c r="E19" s="146"/>
      <c r="F19" s="146"/>
      <c r="G19" s="146" t="s">
        <v>34</v>
      </c>
      <c r="H19" s="146"/>
      <c r="I19" s="146"/>
      <c r="J19" s="146"/>
      <c r="K19" s="146"/>
      <c r="L19" s="146" t="s">
        <v>205</v>
      </c>
      <c r="M19" s="146"/>
      <c r="N19" s="146"/>
      <c r="O19" s="146"/>
      <c r="P19" s="146"/>
      <c r="Q19" s="178" t="s">
        <v>193</v>
      </c>
      <c r="R19" s="178"/>
      <c r="S19" s="178"/>
      <c r="T19" s="178"/>
      <c r="U19" s="178"/>
      <c r="V19" s="146" t="s">
        <v>36</v>
      </c>
      <c r="W19" s="146"/>
      <c r="X19" s="146"/>
      <c r="Y19" s="146"/>
      <c r="Z19" s="208"/>
      <c r="AA19" s="8"/>
      <c r="AB19" s="8"/>
      <c r="AC19" s="161" t="s">
        <v>198</v>
      </c>
      <c r="AD19" s="161"/>
      <c r="AE19" s="161"/>
      <c r="AF19" s="161"/>
      <c r="AG19" s="162" t="s">
        <v>199</v>
      </c>
      <c r="AH19" s="141"/>
      <c r="AI19" s="141"/>
      <c r="AJ19" s="141"/>
      <c r="AK19" s="163"/>
      <c r="AL19" s="162" t="s">
        <v>199</v>
      </c>
      <c r="AM19" s="141"/>
      <c r="AN19" s="141"/>
      <c r="AO19" s="141"/>
      <c r="AP19" s="163"/>
      <c r="AQ19" s="140">
        <f>保険料算出!AX46</f>
        <v>0</v>
      </c>
      <c r="AR19" s="141"/>
      <c r="AS19" s="141"/>
      <c r="AT19" s="141"/>
      <c r="AU19" s="163"/>
      <c r="AV19" s="162" t="s">
        <v>199</v>
      </c>
      <c r="AW19" s="141"/>
      <c r="AX19" s="141"/>
      <c r="AY19" s="141"/>
      <c r="AZ19" s="163"/>
      <c r="BA19" s="8"/>
      <c r="BB19" s="8"/>
      <c r="BC19" s="2">
        <v>2</v>
      </c>
      <c r="BD19" s="146" t="s">
        <v>4</v>
      </c>
      <c r="BE19" s="146"/>
      <c r="BF19" s="146"/>
      <c r="BG19" s="160">
        <f>'総・軽減所得（給与所得者等人数）'!W5</f>
        <v>0</v>
      </c>
      <c r="BH19" s="160"/>
      <c r="BI19" s="160"/>
      <c r="BJ19" s="160"/>
      <c r="BK19" s="160"/>
      <c r="BL19" s="160">
        <f>'総・軽減所得（給与所得者等人数）'!AB5</f>
        <v>0</v>
      </c>
      <c r="BM19" s="160"/>
      <c r="BN19" s="160"/>
      <c r="BO19" s="160"/>
      <c r="BP19" s="160"/>
      <c r="BQ19" s="160">
        <f>'総・軽減所得（給与所得者等人数）'!W17</f>
        <v>0</v>
      </c>
      <c r="BR19" s="160"/>
      <c r="BS19" s="160"/>
      <c r="BT19" s="160"/>
      <c r="BU19" s="160"/>
      <c r="BV19" s="59"/>
      <c r="BW19" s="8"/>
      <c r="BX19" s="8"/>
      <c r="BY19" s="8"/>
      <c r="BZ19" s="8"/>
      <c r="CA19" s="8"/>
      <c r="CB19" s="8"/>
    </row>
    <row r="20" spans="1:80" ht="18.75" customHeight="1">
      <c r="A20" s="8"/>
      <c r="B20" s="227">
        <f>G20+L20+V20+Q20</f>
        <v>0</v>
      </c>
      <c r="C20" s="228"/>
      <c r="D20" s="228"/>
      <c r="E20" s="228"/>
      <c r="F20" s="107" t="s">
        <v>37</v>
      </c>
      <c r="G20" s="232">
        <f>保険料算出!BR12</f>
        <v>0</v>
      </c>
      <c r="H20" s="228"/>
      <c r="I20" s="228"/>
      <c r="J20" s="228"/>
      <c r="K20" s="107" t="s">
        <v>37</v>
      </c>
      <c r="L20" s="232">
        <f>保険料算出!BR25</f>
        <v>0</v>
      </c>
      <c r="M20" s="228"/>
      <c r="N20" s="228"/>
      <c r="O20" s="228"/>
      <c r="P20" s="107" t="s">
        <v>37</v>
      </c>
      <c r="Q20" s="236">
        <f>保険料算出!BR38</f>
        <v>0</v>
      </c>
      <c r="R20" s="237"/>
      <c r="S20" s="237"/>
      <c r="T20" s="237"/>
      <c r="U20" s="240" t="s">
        <v>37</v>
      </c>
      <c r="V20" s="232">
        <f>保険料算出!BR51</f>
        <v>0</v>
      </c>
      <c r="W20" s="228"/>
      <c r="X20" s="228"/>
      <c r="Y20" s="228"/>
      <c r="Z20" s="234" t="s">
        <v>37</v>
      </c>
      <c r="AA20" s="8"/>
      <c r="AB20" s="8"/>
      <c r="AC20" s="176" t="s">
        <v>87</v>
      </c>
      <c r="AD20" s="176"/>
      <c r="AE20" s="176"/>
      <c r="AF20" s="176"/>
      <c r="AG20" s="160">
        <f>保険料算出!BB20</f>
        <v>0</v>
      </c>
      <c r="AH20" s="160"/>
      <c r="AI20" s="160"/>
      <c r="AJ20" s="160"/>
      <c r="AK20" s="160"/>
      <c r="AL20" s="160">
        <f>保険料算出!BB33</f>
        <v>0</v>
      </c>
      <c r="AM20" s="160"/>
      <c r="AN20" s="160"/>
      <c r="AO20" s="160"/>
      <c r="AP20" s="160"/>
      <c r="AQ20" s="164">
        <f>保険料算出!BB46</f>
        <v>0</v>
      </c>
      <c r="AR20" s="164"/>
      <c r="AS20" s="164"/>
      <c r="AT20" s="164"/>
      <c r="AU20" s="164"/>
      <c r="AV20" s="160">
        <f>保険料算出!BB59</f>
        <v>0</v>
      </c>
      <c r="AW20" s="160"/>
      <c r="AX20" s="160"/>
      <c r="AY20" s="160"/>
      <c r="AZ20" s="160"/>
      <c r="BA20" s="8"/>
      <c r="BB20" s="8"/>
      <c r="BC20" s="2">
        <v>3</v>
      </c>
      <c r="BD20" s="146" t="s">
        <v>4</v>
      </c>
      <c r="BE20" s="146"/>
      <c r="BF20" s="146"/>
      <c r="BG20" s="160">
        <f>'総・軽減所得（給与所得者等人数）'!W6</f>
        <v>0</v>
      </c>
      <c r="BH20" s="160"/>
      <c r="BI20" s="160"/>
      <c r="BJ20" s="160"/>
      <c r="BK20" s="160"/>
      <c r="BL20" s="160">
        <f>'総・軽減所得（給与所得者等人数）'!AB6</f>
        <v>0</v>
      </c>
      <c r="BM20" s="160"/>
      <c r="BN20" s="160"/>
      <c r="BO20" s="160"/>
      <c r="BP20" s="160"/>
      <c r="BQ20" s="160">
        <f>'総・軽減所得（給与所得者等人数）'!W18</f>
        <v>0</v>
      </c>
      <c r="BR20" s="160"/>
      <c r="BS20" s="160"/>
      <c r="BT20" s="160"/>
      <c r="BU20" s="160"/>
      <c r="BV20" s="59"/>
      <c r="BW20" s="8"/>
      <c r="BX20" s="8"/>
      <c r="BY20" s="8"/>
      <c r="BZ20" s="8"/>
      <c r="CA20" s="8"/>
      <c r="CB20" s="8"/>
    </row>
    <row r="21" spans="1:80" ht="18.75" customHeight="1">
      <c r="A21" s="8"/>
      <c r="B21" s="229"/>
      <c r="C21" s="230"/>
      <c r="D21" s="230"/>
      <c r="E21" s="230"/>
      <c r="F21" s="231"/>
      <c r="G21" s="233"/>
      <c r="H21" s="230"/>
      <c r="I21" s="230"/>
      <c r="J21" s="230"/>
      <c r="K21" s="231"/>
      <c r="L21" s="233"/>
      <c r="M21" s="230"/>
      <c r="N21" s="230"/>
      <c r="O21" s="230"/>
      <c r="P21" s="231"/>
      <c r="Q21" s="238"/>
      <c r="R21" s="239"/>
      <c r="S21" s="239"/>
      <c r="T21" s="239"/>
      <c r="U21" s="241"/>
      <c r="V21" s="233"/>
      <c r="W21" s="230"/>
      <c r="X21" s="230"/>
      <c r="Y21" s="230"/>
      <c r="Z21" s="235"/>
      <c r="AA21" s="8"/>
      <c r="AB21" s="8"/>
      <c r="AC21" s="146" t="s">
        <v>88</v>
      </c>
      <c r="AD21" s="146"/>
      <c r="AE21" s="146"/>
      <c r="AF21" s="146"/>
      <c r="AG21" s="160">
        <f>保険料算出!BR12</f>
        <v>0</v>
      </c>
      <c r="AH21" s="160"/>
      <c r="AI21" s="160"/>
      <c r="AJ21" s="160"/>
      <c r="AK21" s="160"/>
      <c r="AL21" s="160">
        <f>保険料算出!BR25</f>
        <v>0</v>
      </c>
      <c r="AM21" s="160"/>
      <c r="AN21" s="160"/>
      <c r="AO21" s="160"/>
      <c r="AP21" s="160"/>
      <c r="AQ21" s="164">
        <f>保険料算出!BR38</f>
        <v>0</v>
      </c>
      <c r="AR21" s="164"/>
      <c r="AS21" s="164"/>
      <c r="AT21" s="164"/>
      <c r="AU21" s="164"/>
      <c r="AV21" s="160">
        <f>保険料算出!BR51</f>
        <v>0</v>
      </c>
      <c r="AW21" s="160"/>
      <c r="AX21" s="160"/>
      <c r="AY21" s="160"/>
      <c r="AZ21" s="160"/>
      <c r="BA21" s="8"/>
      <c r="BB21" s="8"/>
      <c r="BC21" s="2">
        <v>4</v>
      </c>
      <c r="BD21" s="146" t="s">
        <v>4</v>
      </c>
      <c r="BE21" s="146"/>
      <c r="BF21" s="146"/>
      <c r="BG21" s="160">
        <f>'総・軽減所得（給与所得者等人数）'!W7</f>
        <v>0</v>
      </c>
      <c r="BH21" s="160"/>
      <c r="BI21" s="160"/>
      <c r="BJ21" s="160"/>
      <c r="BK21" s="160"/>
      <c r="BL21" s="160">
        <f>'総・軽減所得（給与所得者等人数）'!AB7</f>
        <v>0</v>
      </c>
      <c r="BM21" s="160"/>
      <c r="BN21" s="160"/>
      <c r="BO21" s="160"/>
      <c r="BP21" s="160"/>
      <c r="BQ21" s="160">
        <f>'総・軽減所得（給与所得者等人数）'!W19</f>
        <v>0</v>
      </c>
      <c r="BR21" s="160"/>
      <c r="BS21" s="160"/>
      <c r="BT21" s="160"/>
      <c r="BU21" s="160"/>
      <c r="BV21" s="59"/>
      <c r="BW21" s="8"/>
      <c r="BX21" s="8"/>
      <c r="BY21" s="8"/>
      <c r="BZ21" s="8"/>
      <c r="CA21" s="8"/>
      <c r="CB21" s="8"/>
    </row>
    <row r="22" spans="1:80" ht="18.7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146" t="s">
        <v>89</v>
      </c>
      <c r="AD22" s="146"/>
      <c r="AE22" s="146"/>
      <c r="AF22" s="146"/>
      <c r="AG22" s="160" t="str">
        <f>保険料算出!BP12</f>
        <v>非該当</v>
      </c>
      <c r="AH22" s="160"/>
      <c r="AI22" s="160"/>
      <c r="AJ22" s="160"/>
      <c r="AK22" s="160"/>
      <c r="AL22" s="160" t="str">
        <f>保険料算出!BP25</f>
        <v>非該当</v>
      </c>
      <c r="AM22" s="160"/>
      <c r="AN22" s="160"/>
      <c r="AO22" s="160"/>
      <c r="AP22" s="160"/>
      <c r="AQ22" s="164" t="str">
        <f>保険料算出!BP38</f>
        <v>非該当</v>
      </c>
      <c r="AR22" s="164"/>
      <c r="AS22" s="164"/>
      <c r="AT22" s="164"/>
      <c r="AU22" s="164"/>
      <c r="AV22" s="160" t="str">
        <f>保険料算出!BP51</f>
        <v>非該当</v>
      </c>
      <c r="AW22" s="160"/>
      <c r="AX22" s="160"/>
      <c r="AY22" s="160"/>
      <c r="AZ22" s="160"/>
      <c r="BA22" s="8"/>
      <c r="BB22" s="8"/>
      <c r="BC22" s="2">
        <v>5</v>
      </c>
      <c r="BD22" s="146" t="s">
        <v>4</v>
      </c>
      <c r="BE22" s="146"/>
      <c r="BF22" s="146"/>
      <c r="BG22" s="160">
        <f>'総・軽減所得（給与所得者等人数）'!W8</f>
        <v>0</v>
      </c>
      <c r="BH22" s="160"/>
      <c r="BI22" s="160"/>
      <c r="BJ22" s="160"/>
      <c r="BK22" s="160"/>
      <c r="BL22" s="160">
        <f>'総・軽減所得（給与所得者等人数）'!AB8</f>
        <v>0</v>
      </c>
      <c r="BM22" s="160"/>
      <c r="BN22" s="160"/>
      <c r="BO22" s="160"/>
      <c r="BP22" s="160"/>
      <c r="BQ22" s="160">
        <f>'総・軽減所得（給与所得者等人数）'!W20</f>
        <v>0</v>
      </c>
      <c r="BR22" s="160"/>
      <c r="BS22" s="160"/>
      <c r="BT22" s="160"/>
      <c r="BU22" s="160"/>
      <c r="BV22" s="59"/>
      <c r="BW22" s="8"/>
      <c r="BX22" s="8"/>
      <c r="BY22" s="8"/>
      <c r="BZ22" s="8"/>
      <c r="CA22" s="8"/>
      <c r="CB22" s="8"/>
    </row>
    <row r="23" spans="1:80" ht="18.7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2">
        <v>6</v>
      </c>
      <c r="BD23" s="146" t="s">
        <v>4</v>
      </c>
      <c r="BE23" s="146"/>
      <c r="BF23" s="146"/>
      <c r="BG23" s="160">
        <f>'総・軽減所得（給与所得者等人数）'!W9</f>
        <v>0</v>
      </c>
      <c r="BH23" s="160"/>
      <c r="BI23" s="160"/>
      <c r="BJ23" s="160"/>
      <c r="BK23" s="160"/>
      <c r="BL23" s="160">
        <f>'総・軽減所得（給与所得者等人数）'!AB9</f>
        <v>0</v>
      </c>
      <c r="BM23" s="160"/>
      <c r="BN23" s="160"/>
      <c r="BO23" s="160"/>
      <c r="BP23" s="160"/>
      <c r="BQ23" s="160">
        <f>'総・軽減所得（給与所得者等人数）'!W21</f>
        <v>0</v>
      </c>
      <c r="BR23" s="160"/>
      <c r="BS23" s="160"/>
      <c r="BT23" s="160"/>
      <c r="BU23" s="160"/>
      <c r="BV23" s="59"/>
      <c r="BW23" s="8"/>
      <c r="BX23" s="8"/>
      <c r="BY23" s="8"/>
      <c r="BZ23" s="8"/>
      <c r="CA23" s="8"/>
      <c r="CB23" s="8"/>
    </row>
    <row r="24" spans="1:80" ht="18.7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t="s">
        <v>90</v>
      </c>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2">
        <v>7</v>
      </c>
      <c r="BD24" s="146" t="s">
        <v>4</v>
      </c>
      <c r="BE24" s="146"/>
      <c r="BF24" s="146"/>
      <c r="BG24" s="160">
        <f>'総・軽減所得（給与所得者等人数）'!W10</f>
        <v>0</v>
      </c>
      <c r="BH24" s="160"/>
      <c r="BI24" s="160"/>
      <c r="BJ24" s="160"/>
      <c r="BK24" s="160"/>
      <c r="BL24" s="160">
        <f>'総・軽減所得（給与所得者等人数）'!AB10</f>
        <v>0</v>
      </c>
      <c r="BM24" s="160"/>
      <c r="BN24" s="160"/>
      <c r="BO24" s="160"/>
      <c r="BP24" s="160"/>
      <c r="BQ24" s="160">
        <f>'総・軽減所得（給与所得者等人数）'!W22</f>
        <v>0</v>
      </c>
      <c r="BR24" s="160"/>
      <c r="BS24" s="160"/>
      <c r="BT24" s="160"/>
      <c r="BU24" s="160"/>
      <c r="BV24" s="8"/>
      <c r="BW24" s="8"/>
      <c r="BX24" s="8"/>
      <c r="BY24" s="8"/>
      <c r="BZ24" s="8"/>
      <c r="CA24" s="8"/>
      <c r="CB24" s="8"/>
    </row>
    <row r="25" spans="1:80" ht="18.7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146" t="s">
        <v>91</v>
      </c>
      <c r="AD25" s="146"/>
      <c r="AE25" s="146"/>
      <c r="AF25" s="146"/>
      <c r="AG25" s="146"/>
      <c r="AH25" s="146"/>
      <c r="AI25" s="146" t="str">
        <f>N15</f>
        <v>７割軽減</v>
      </c>
      <c r="AJ25" s="146"/>
      <c r="AK25" s="146"/>
      <c r="AL25" s="146"/>
      <c r="AM25" s="146"/>
      <c r="AN25" s="146"/>
      <c r="AO25" s="146"/>
      <c r="AP25" s="8"/>
      <c r="AQ25" s="8"/>
      <c r="AR25" s="8"/>
      <c r="AS25" s="8"/>
      <c r="AT25" s="8"/>
      <c r="AU25" s="8"/>
      <c r="AV25" s="8"/>
      <c r="AW25" s="8"/>
      <c r="AX25" s="8"/>
      <c r="AY25" s="8"/>
      <c r="AZ25" s="8"/>
      <c r="BA25" s="8"/>
      <c r="BB25" s="8"/>
      <c r="BC25" s="2">
        <v>8</v>
      </c>
      <c r="BD25" s="146" t="s">
        <v>4</v>
      </c>
      <c r="BE25" s="146"/>
      <c r="BF25" s="146"/>
      <c r="BG25" s="160">
        <f>'総・軽減所得（給与所得者等人数）'!W11</f>
        <v>0</v>
      </c>
      <c r="BH25" s="160"/>
      <c r="BI25" s="160"/>
      <c r="BJ25" s="160"/>
      <c r="BK25" s="160"/>
      <c r="BL25" s="160">
        <f>'総・軽減所得（給与所得者等人数）'!AB11</f>
        <v>0</v>
      </c>
      <c r="BM25" s="160"/>
      <c r="BN25" s="160"/>
      <c r="BO25" s="160"/>
      <c r="BP25" s="160"/>
      <c r="BQ25" s="160">
        <f>'総・軽減所得（給与所得者等人数）'!W23</f>
        <v>0</v>
      </c>
      <c r="BR25" s="160"/>
      <c r="BS25" s="160"/>
      <c r="BT25" s="160"/>
      <c r="BU25" s="160"/>
      <c r="BV25" s="8"/>
      <c r="BW25" s="8"/>
      <c r="BX25" s="8"/>
      <c r="BY25" s="8"/>
      <c r="BZ25" s="8"/>
      <c r="CA25" s="8"/>
      <c r="CB25" s="8"/>
    </row>
    <row r="26" spans="1:80" ht="18.7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146" t="s">
        <v>92</v>
      </c>
      <c r="AD26" s="146"/>
      <c r="AE26" s="146"/>
      <c r="AF26" s="146"/>
      <c r="AG26" s="146"/>
      <c r="AH26" s="146"/>
      <c r="AI26" s="146" t="str">
        <f>IF(COUNTIF(AO6:AP13,"〇")&gt;0,"該当","非該当")</f>
        <v>非該当</v>
      </c>
      <c r="AJ26" s="146"/>
      <c r="AK26" s="146"/>
      <c r="AL26" s="146"/>
      <c r="AM26" s="146"/>
      <c r="AN26" s="146"/>
      <c r="AO26" s="146"/>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row>
    <row r="27" spans="1:80" ht="18.7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146" t="s">
        <v>93</v>
      </c>
      <c r="AD27" s="146"/>
      <c r="AE27" s="146"/>
      <c r="AF27" s="146"/>
      <c r="AG27" s="146"/>
      <c r="AH27" s="146"/>
      <c r="AI27" s="146" t="str">
        <f>軽減区分算出!AO14</f>
        <v>非該当</v>
      </c>
      <c r="AJ27" s="146"/>
      <c r="AK27" s="146"/>
      <c r="AL27" s="146"/>
      <c r="AM27" s="146"/>
      <c r="AN27" s="146"/>
      <c r="AO27" s="146"/>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row>
    <row r="28" spans="1:80" ht="18.75" customHeight="1">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146" t="s">
        <v>94</v>
      </c>
      <c r="AD28" s="146"/>
      <c r="AE28" s="146"/>
      <c r="AF28" s="146"/>
      <c r="AG28" s="146"/>
      <c r="AH28" s="146"/>
      <c r="AI28" s="146" t="str">
        <f>IF(軽減区分算出!AD18&gt;0,"該当","非該当")</f>
        <v>非該当</v>
      </c>
      <c r="AJ28" s="146"/>
      <c r="AK28" s="146"/>
      <c r="AL28" s="146"/>
      <c r="AM28" s="146"/>
      <c r="AN28" s="146"/>
      <c r="AO28" s="146"/>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row>
    <row r="29" spans="1:80" ht="18.75" customHeight="1"/>
    <row r="30" spans="1:80" ht="18.75" customHeight="1"/>
    <row r="31" spans="1:80" ht="18.75" customHeight="1"/>
    <row r="32" spans="1:8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sheetData>
  <mergeCells count="269">
    <mergeCell ref="BA8:BE8"/>
    <mergeCell ref="AV11:AZ11"/>
    <mergeCell ref="M9:N9"/>
    <mergeCell ref="O9:P9"/>
    <mergeCell ref="I8:L8"/>
    <mergeCell ref="M8:N8"/>
    <mergeCell ref="O8:P8"/>
    <mergeCell ref="B20:E21"/>
    <mergeCell ref="F20:F21"/>
    <mergeCell ref="G20:J21"/>
    <mergeCell ref="K20:K21"/>
    <mergeCell ref="L20:O21"/>
    <mergeCell ref="P20:P21"/>
    <mergeCell ref="V20:Y21"/>
    <mergeCell ref="Z20:Z21"/>
    <mergeCell ref="AQ21:AU21"/>
    <mergeCell ref="Q19:U19"/>
    <mergeCell ref="Q20:T21"/>
    <mergeCell ref="U20:U21"/>
    <mergeCell ref="C13:E13"/>
    <mergeCell ref="F13:H13"/>
    <mergeCell ref="B15:E16"/>
    <mergeCell ref="B19:F19"/>
    <mergeCell ref="G19:K19"/>
    <mergeCell ref="AO4:AP5"/>
    <mergeCell ref="AO6:AP6"/>
    <mergeCell ref="BP10:BQ10"/>
    <mergeCell ref="BF6:BJ6"/>
    <mergeCell ref="BK10:BO10"/>
    <mergeCell ref="AV10:AZ10"/>
    <mergeCell ref="Q9:U9"/>
    <mergeCell ref="V9:Z9"/>
    <mergeCell ref="AQ10:AU10"/>
    <mergeCell ref="AQ9:AU9"/>
    <mergeCell ref="AB7:AE7"/>
    <mergeCell ref="AF7:AJ7"/>
    <mergeCell ref="AO8:AP8"/>
    <mergeCell ref="AQ8:AU8"/>
    <mergeCell ref="AO10:AP10"/>
    <mergeCell ref="AO7:AP7"/>
    <mergeCell ref="AO9:AP9"/>
    <mergeCell ref="V7:Z7"/>
    <mergeCell ref="BF8:BJ8"/>
    <mergeCell ref="BK8:BO8"/>
    <mergeCell ref="BP8:BQ8"/>
    <mergeCell ref="AB9:AE9"/>
    <mergeCell ref="AF9:AJ9"/>
    <mergeCell ref="BA9:BE9"/>
    <mergeCell ref="AV9:AZ9"/>
    <mergeCell ref="BP6:BQ6"/>
    <mergeCell ref="AQ4:AZ4"/>
    <mergeCell ref="AQ5:AU5"/>
    <mergeCell ref="AV5:AZ5"/>
    <mergeCell ref="AV7:AZ7"/>
    <mergeCell ref="AQ6:AU6"/>
    <mergeCell ref="AV6:AZ6"/>
    <mergeCell ref="BA7:BE7"/>
    <mergeCell ref="BF7:BJ7"/>
    <mergeCell ref="BK7:BO7"/>
    <mergeCell ref="BP7:BQ7"/>
    <mergeCell ref="AQ7:AU7"/>
    <mergeCell ref="BK4:BO5"/>
    <mergeCell ref="BK6:BO6"/>
    <mergeCell ref="BA4:BJ4"/>
    <mergeCell ref="BA5:BE5"/>
    <mergeCell ref="BF5:BJ5"/>
    <mergeCell ref="BA6:BE6"/>
    <mergeCell ref="BP4:BQ5"/>
    <mergeCell ref="BF9:BJ9"/>
    <mergeCell ref="BK9:BO9"/>
    <mergeCell ref="BP9:BQ9"/>
    <mergeCell ref="AV8:AZ8"/>
    <mergeCell ref="BK11:BO11"/>
    <mergeCell ref="BK12:BO12"/>
    <mergeCell ref="BF12:BJ12"/>
    <mergeCell ref="BA10:BE10"/>
    <mergeCell ref="BF10:BJ10"/>
    <mergeCell ref="BA11:BE11"/>
    <mergeCell ref="BF11:BJ11"/>
    <mergeCell ref="BD21:BF21"/>
    <mergeCell ref="BG21:BK21"/>
    <mergeCell ref="BD19:BF19"/>
    <mergeCell ref="BG19:BK19"/>
    <mergeCell ref="BL19:BP19"/>
    <mergeCell ref="BD20:BF20"/>
    <mergeCell ref="BG20:BK20"/>
    <mergeCell ref="BL20:BP20"/>
    <mergeCell ref="BA12:BE12"/>
    <mergeCell ref="BA13:BE13"/>
    <mergeCell ref="BP11:BQ11"/>
    <mergeCell ref="BP12:BQ12"/>
    <mergeCell ref="BP13:BQ13"/>
    <mergeCell ref="BG16:BK17"/>
    <mergeCell ref="BG18:BK18"/>
    <mergeCell ref="BF13:BJ13"/>
    <mergeCell ref="BQ16:BU17"/>
    <mergeCell ref="L19:P19"/>
    <mergeCell ref="V19:Z19"/>
    <mergeCell ref="F15:G16"/>
    <mergeCell ref="H15:I16"/>
    <mergeCell ref="J15:M16"/>
    <mergeCell ref="N15:S16"/>
    <mergeCell ref="I13:L13"/>
    <mergeCell ref="M13:N13"/>
    <mergeCell ref="O13:P13"/>
    <mergeCell ref="Q13:U13"/>
    <mergeCell ref="V13:Z13"/>
    <mergeCell ref="T15:AB16"/>
    <mergeCell ref="I12:L12"/>
    <mergeCell ref="Q12:U12"/>
    <mergeCell ref="M12:N12"/>
    <mergeCell ref="O12:P12"/>
    <mergeCell ref="C12:E12"/>
    <mergeCell ref="B18:Z18"/>
    <mergeCell ref="N1:O1"/>
    <mergeCell ref="L1:M1"/>
    <mergeCell ref="P1:Q1"/>
    <mergeCell ref="Q6:U6"/>
    <mergeCell ref="Q10:U10"/>
    <mergeCell ref="Q5:U5"/>
    <mergeCell ref="M4:N5"/>
    <mergeCell ref="O4:P5"/>
    <mergeCell ref="M6:N6"/>
    <mergeCell ref="O6:P6"/>
    <mergeCell ref="M10:N10"/>
    <mergeCell ref="O10:P10"/>
    <mergeCell ref="I4:L5"/>
    <mergeCell ref="I6:L6"/>
    <mergeCell ref="I10:L10"/>
    <mergeCell ref="U1:Z1"/>
    <mergeCell ref="I9:L9"/>
    <mergeCell ref="F4:H5"/>
    <mergeCell ref="AK4:AN4"/>
    <mergeCell ref="AK5:AL5"/>
    <mergeCell ref="AK7:AL7"/>
    <mergeCell ref="AM7:AN7"/>
    <mergeCell ref="AK9:AL9"/>
    <mergeCell ref="AM9:AN9"/>
    <mergeCell ref="V5:Z5"/>
    <mergeCell ref="V6:Z6"/>
    <mergeCell ref="V10:Z10"/>
    <mergeCell ref="AA5:AE5"/>
    <mergeCell ref="Q4:AJ4"/>
    <mergeCell ref="Q7:U7"/>
    <mergeCell ref="Q8:U8"/>
    <mergeCell ref="V8:Z8"/>
    <mergeCell ref="AM5:AN5"/>
    <mergeCell ref="AK6:AL6"/>
    <mergeCell ref="AM6:AN6"/>
    <mergeCell ref="AB8:AE8"/>
    <mergeCell ref="AF8:AJ8"/>
    <mergeCell ref="AK8:AL8"/>
    <mergeCell ref="AM8:AN8"/>
    <mergeCell ref="AB10:AE10"/>
    <mergeCell ref="AB11:AE11"/>
    <mergeCell ref="B4:E5"/>
    <mergeCell ref="AF5:AJ5"/>
    <mergeCell ref="AF6:AJ6"/>
    <mergeCell ref="AF10:AJ10"/>
    <mergeCell ref="AF11:AJ11"/>
    <mergeCell ref="AB6:AE6"/>
    <mergeCell ref="C11:E11"/>
    <mergeCell ref="M11:N11"/>
    <mergeCell ref="O11:P11"/>
    <mergeCell ref="I7:L7"/>
    <mergeCell ref="M7:N7"/>
    <mergeCell ref="O7:P7"/>
    <mergeCell ref="I11:L11"/>
    <mergeCell ref="C10:E10"/>
    <mergeCell ref="C7:E7"/>
    <mergeCell ref="F7:H7"/>
    <mergeCell ref="C9:E9"/>
    <mergeCell ref="AQ16:AU16"/>
    <mergeCell ref="AQ17:AU17"/>
    <mergeCell ref="AQ18:AU18"/>
    <mergeCell ref="AQ20:AU20"/>
    <mergeCell ref="AB13:AE13"/>
    <mergeCell ref="AB12:AE12"/>
    <mergeCell ref="C6:E6"/>
    <mergeCell ref="F11:H11"/>
    <mergeCell ref="F12:H12"/>
    <mergeCell ref="V12:Z12"/>
    <mergeCell ref="AK10:AL10"/>
    <mergeCell ref="AM10:AN10"/>
    <mergeCell ref="AK11:AL11"/>
    <mergeCell ref="AM11:AN11"/>
    <mergeCell ref="C8:E8"/>
    <mergeCell ref="F8:H8"/>
    <mergeCell ref="AQ11:AU11"/>
    <mergeCell ref="AO11:AP11"/>
    <mergeCell ref="F9:H9"/>
    <mergeCell ref="AQ12:AU12"/>
    <mergeCell ref="F6:H6"/>
    <mergeCell ref="F10:H10"/>
    <mergeCell ref="Q11:U11"/>
    <mergeCell ref="V11:Z11"/>
    <mergeCell ref="AV12:AZ12"/>
    <mergeCell ref="AQ13:AU13"/>
    <mergeCell ref="AV13:AZ13"/>
    <mergeCell ref="AK12:AL12"/>
    <mergeCell ref="AV18:AZ18"/>
    <mergeCell ref="AG20:AK20"/>
    <mergeCell ref="AL20:AP20"/>
    <mergeCell ref="AV20:AZ20"/>
    <mergeCell ref="AG16:AK16"/>
    <mergeCell ref="AL16:AP16"/>
    <mergeCell ref="AV16:AZ16"/>
    <mergeCell ref="AO12:AP12"/>
    <mergeCell ref="AO13:AP13"/>
    <mergeCell ref="AF13:AJ13"/>
    <mergeCell ref="AC17:AF17"/>
    <mergeCell ref="AG17:AK17"/>
    <mergeCell ref="AL17:AP17"/>
    <mergeCell ref="AC18:AF18"/>
    <mergeCell ref="AC20:AF20"/>
    <mergeCell ref="AM12:AN12"/>
    <mergeCell ref="AK13:AL13"/>
    <mergeCell ref="AM13:AN13"/>
    <mergeCell ref="AF12:AJ12"/>
    <mergeCell ref="AV17:AZ17"/>
    <mergeCell ref="BQ24:BU24"/>
    <mergeCell ref="BQ25:BU25"/>
    <mergeCell ref="BK13:BO13"/>
    <mergeCell ref="BL16:BP17"/>
    <mergeCell ref="BL18:BP18"/>
    <mergeCell ref="BL22:BP22"/>
    <mergeCell ref="BL23:BP23"/>
    <mergeCell ref="BL24:BP24"/>
    <mergeCell ref="BL25:BP25"/>
    <mergeCell ref="BG24:BK24"/>
    <mergeCell ref="BG25:BK25"/>
    <mergeCell ref="BQ18:BU18"/>
    <mergeCell ref="BQ22:BU22"/>
    <mergeCell ref="BQ21:BU21"/>
    <mergeCell ref="BQ19:BU19"/>
    <mergeCell ref="BQ20:BU20"/>
    <mergeCell ref="BL21:BP21"/>
    <mergeCell ref="BG23:BK23"/>
    <mergeCell ref="BQ23:BU23"/>
    <mergeCell ref="AC27:AH27"/>
    <mergeCell ref="AC28:AH28"/>
    <mergeCell ref="AI25:AO25"/>
    <mergeCell ref="AI26:AO26"/>
    <mergeCell ref="AI27:AO27"/>
    <mergeCell ref="AI28:AO28"/>
    <mergeCell ref="AC21:AF21"/>
    <mergeCell ref="AC22:AF22"/>
    <mergeCell ref="AG21:AK21"/>
    <mergeCell ref="AL21:AP21"/>
    <mergeCell ref="AG22:AK22"/>
    <mergeCell ref="AL22:AP22"/>
    <mergeCell ref="AC25:AH25"/>
    <mergeCell ref="AC26:AH26"/>
    <mergeCell ref="BD25:BF25"/>
    <mergeCell ref="AV22:AZ22"/>
    <mergeCell ref="BG22:BK22"/>
    <mergeCell ref="AG18:AK18"/>
    <mergeCell ref="AL18:AP18"/>
    <mergeCell ref="AV21:AZ21"/>
    <mergeCell ref="AC19:AF19"/>
    <mergeCell ref="AG19:AK19"/>
    <mergeCell ref="AL19:AP19"/>
    <mergeCell ref="AQ19:AU19"/>
    <mergeCell ref="AV19:AZ19"/>
    <mergeCell ref="BD22:BF22"/>
    <mergeCell ref="BD24:BF24"/>
    <mergeCell ref="AQ22:AU22"/>
    <mergeCell ref="BD23:BF23"/>
    <mergeCell ref="BD18:BF18"/>
  </mergeCells>
  <phoneticPr fontId="1"/>
  <conditionalFormatting sqref="M7:N8">
    <cfRule type="expression" dxfId="38" priority="2">
      <formula>$F$8="旧被保険者"</formula>
    </cfRule>
  </conditionalFormatting>
  <conditionalFormatting sqref="M6:P6">
    <cfRule type="expression" dxfId="37" priority="8">
      <formula>$F$6="旧被保険者"</formula>
    </cfRule>
    <cfRule type="expression" dxfId="36" priority="9">
      <formula>$F$6="擬制世帯主"</formula>
    </cfRule>
  </conditionalFormatting>
  <conditionalFormatting sqref="M9:P9">
    <cfRule type="expression" dxfId="35" priority="6">
      <formula>$F$9="旧被保険者"</formula>
    </cfRule>
  </conditionalFormatting>
  <conditionalFormatting sqref="M10:P10">
    <cfRule type="expression" dxfId="34" priority="5">
      <formula>$F$10="旧被保険者"</formula>
    </cfRule>
  </conditionalFormatting>
  <conditionalFormatting sqref="M11:P11">
    <cfRule type="expression" dxfId="33" priority="89">
      <formula>$F$11="旧被保険者"</formula>
    </cfRule>
    <cfRule type="expression" dxfId="32" priority="28">
      <formula>$F$11="旧被扶養者"</formula>
    </cfRule>
  </conditionalFormatting>
  <conditionalFormatting sqref="M12:P12">
    <cfRule type="expression" dxfId="31" priority="87">
      <formula>$F$12="旧被保険者"</formula>
    </cfRule>
    <cfRule type="expression" dxfId="30" priority="27">
      <formula>$F$12="旧被扶養者"</formula>
    </cfRule>
  </conditionalFormatting>
  <conditionalFormatting sqref="M13:P13">
    <cfRule type="expression" dxfId="29" priority="85">
      <formula>$F$13="旧被保険者"</formula>
    </cfRule>
    <cfRule type="expression" dxfId="28" priority="26">
      <formula>$F$13="旧被扶養者"</formula>
    </cfRule>
  </conditionalFormatting>
  <conditionalFormatting sqref="O6:P6">
    <cfRule type="cellIs" dxfId="27" priority="18" operator="equal">
      <formula>11</formula>
    </cfRule>
    <cfRule type="expression" dxfId="26" priority="16">
      <formula>$I$6="65歳以上"</formula>
    </cfRule>
    <cfRule type="expression" dxfId="25" priority="17">
      <formula>$I$6="40歳未満"</formula>
    </cfRule>
    <cfRule type="cellIs" dxfId="24" priority="19" operator="equal">
      <formula>"４０歳以上～６５歳未満"</formula>
    </cfRule>
  </conditionalFormatting>
  <conditionalFormatting sqref="O7:P7">
    <cfRule type="expression" dxfId="23" priority="3">
      <formula>$I$7="65歳以上"</formula>
    </cfRule>
    <cfRule type="expression" dxfId="22" priority="4">
      <formula>$I$7="40歳未満"</formula>
    </cfRule>
    <cfRule type="expression" dxfId="21" priority="1">
      <formula>$F$7="旧被保険者"</formula>
    </cfRule>
  </conditionalFormatting>
  <conditionalFormatting sqref="O8:P8">
    <cfRule type="expression" dxfId="20" priority="15">
      <formula>$I$8="40歳未満"</formula>
    </cfRule>
    <cfRule type="expression" dxfId="19" priority="12">
      <formula>$I$8="65歳以上"</formula>
    </cfRule>
    <cfRule type="expression" dxfId="18" priority="7">
      <formula>$F$8="旧被保険者"</formula>
    </cfRule>
  </conditionalFormatting>
  <conditionalFormatting sqref="O9:P9">
    <cfRule type="expression" dxfId="17" priority="14">
      <formula>$I$9="40歳未満"</formula>
    </cfRule>
    <cfRule type="expression" dxfId="16" priority="11">
      <formula>$I$9="65歳以上"</formula>
    </cfRule>
  </conditionalFormatting>
  <conditionalFormatting sqref="O10:P10">
    <cfRule type="expression" dxfId="15" priority="13">
      <formula>$I$10="40歳未満"</formula>
    </cfRule>
    <cfRule type="expression" dxfId="14" priority="10">
      <formula>$I$10="65歳以上"</formula>
    </cfRule>
  </conditionalFormatting>
  <conditionalFormatting sqref="O11:P11">
    <cfRule type="expression" dxfId="13" priority="70">
      <formula>$I$11="未就学児"</formula>
    </cfRule>
    <cfRule type="expression" dxfId="12" priority="101">
      <formula>$I$11="65歳以上"</formula>
    </cfRule>
    <cfRule type="expression" dxfId="11" priority="105">
      <formula>$I$11="40歳未満"</formula>
    </cfRule>
  </conditionalFormatting>
  <conditionalFormatting sqref="O12:P12">
    <cfRule type="expression" dxfId="10" priority="69">
      <formula>$I$12="未就学児"</formula>
    </cfRule>
    <cfRule type="expression" dxfId="9" priority="100">
      <formula>$I$12="65歳以上"</formula>
    </cfRule>
    <cfRule type="expression" dxfId="8" priority="104">
      <formula>$I$12="40歳未満"</formula>
    </cfRule>
  </conditionalFormatting>
  <conditionalFormatting sqref="O13:P13">
    <cfRule type="expression" dxfId="7" priority="68">
      <formula>$I$13="未就学児"</formula>
    </cfRule>
    <cfRule type="expression" dxfId="6" priority="99">
      <formula>$I$13="65歳以上"</formula>
    </cfRule>
    <cfRule type="expression" dxfId="5" priority="103">
      <formula>$I$13="40歳未満"</formula>
    </cfRule>
  </conditionalFormatting>
  <dataValidations count="2">
    <dataValidation type="whole" allowBlank="1" showInputMessage="1" showErrorMessage="1" sqref="AM6:AN13" xr:uid="{90BD756F-57E8-42E2-BF17-3A0089EFCE4F}">
      <formula1>0</formula1>
      <formula2>IF(O6&lt;AK6,O6,AK6)</formula2>
    </dataValidation>
    <dataValidation type="whole" allowBlank="1" showInputMessage="1" showErrorMessage="1" sqref="AK6:AL13" xr:uid="{C7110419-8BF3-4433-B790-ECFA3C227FFE}">
      <formula1>0</formula1>
      <formula2>IF(M6&gt;6,6,M6)</formula2>
    </dataValidation>
  </dataValidations>
  <pageMargins left="0.7" right="0.7" top="0.75" bottom="0.75" header="0.3" footer="0.3"/>
  <pageSetup paperSize="9" scale="62"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リスト!$B$2:$B$5</xm:f>
          </x14:formula1>
          <xm:sqref>F11:H13</xm:sqref>
        </x14:dataValidation>
        <x14:dataValidation type="list" allowBlank="1" showInputMessage="1" showErrorMessage="1" xr:uid="{00000000-0002-0000-0000-000004000000}">
          <x14:formula1>
            <xm:f>リスト!$E$2:$E$3</xm:f>
          </x14:formula1>
          <xm:sqref>AO6:AP13</xm:sqref>
        </x14:dataValidation>
        <x14:dataValidation type="list" allowBlank="1" showInputMessage="1" showErrorMessage="1" xr:uid="{7CBCC2FD-D775-4901-8873-BBDEB63D390D}">
          <x14:formula1>
            <xm:f>リスト!$F$2:$F$3</xm:f>
          </x14:formula1>
          <xm:sqref>AA6:AA13</xm:sqref>
        </x14:dataValidation>
        <x14:dataValidation type="list" allowBlank="1" showInputMessage="1" showErrorMessage="1" xr:uid="{00000000-0002-0000-0000-000003000000}">
          <x14:formula1>
            <xm:f>リスト!$D$2:$D$14</xm:f>
          </x14:formula1>
          <xm:sqref>M11:P13</xm:sqref>
        </x14:dataValidation>
        <x14:dataValidation type="list" allowBlank="1" showInputMessage="1" showErrorMessage="1" xr:uid="{795D0BAD-55B5-4CF8-92DA-B916535FB470}">
          <x14:formula1>
            <xm:f>リスト!$C$2:$C$6</xm:f>
          </x14:formula1>
          <xm:sqref>I11:L13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4"/>
  <sheetViews>
    <sheetView workbookViewId="0">
      <selection activeCell="A20" sqref="A20:E20"/>
    </sheetView>
  </sheetViews>
  <sheetFormatPr defaultColWidth="9" defaultRowHeight="16.2"/>
  <cols>
    <col min="1" max="1" width="14" style="1" customWidth="1"/>
    <col min="2" max="2" width="20.5" style="1" customWidth="1"/>
    <col min="3" max="3" width="27" style="1" customWidth="1"/>
    <col min="4" max="4" width="13.09765625" style="1" customWidth="1"/>
    <col min="5" max="16384" width="9" style="1"/>
  </cols>
  <sheetData>
    <row r="1" spans="1:6" ht="16.8" thickBot="1">
      <c r="A1" s="9" t="s">
        <v>7</v>
      </c>
      <c r="B1" s="10" t="s">
        <v>8</v>
      </c>
      <c r="C1" s="10" t="s">
        <v>13</v>
      </c>
      <c r="D1" s="11" t="s">
        <v>16</v>
      </c>
      <c r="E1" s="12" t="s">
        <v>27</v>
      </c>
      <c r="F1" s="1" t="s">
        <v>160</v>
      </c>
    </row>
    <row r="2" spans="1:6">
      <c r="A2" s="1" t="s">
        <v>9</v>
      </c>
      <c r="B2" s="1" t="s">
        <v>6</v>
      </c>
      <c r="C2" s="1" t="s">
        <v>177</v>
      </c>
      <c r="D2" s="1">
        <v>0</v>
      </c>
      <c r="E2" s="1" t="s">
        <v>49</v>
      </c>
      <c r="F2" s="1">
        <v>1</v>
      </c>
    </row>
    <row r="3" spans="1:6">
      <c r="A3" s="1" t="s">
        <v>6</v>
      </c>
      <c r="B3" s="1" t="s">
        <v>10</v>
      </c>
      <c r="C3" s="67" t="s">
        <v>197</v>
      </c>
      <c r="D3" s="1">
        <v>1</v>
      </c>
      <c r="F3" s="1">
        <v>0</v>
      </c>
    </row>
    <row r="4" spans="1:6">
      <c r="A4" s="1" t="s">
        <v>10</v>
      </c>
      <c r="B4" s="1" t="s">
        <v>11</v>
      </c>
      <c r="C4" s="1" t="s">
        <v>200</v>
      </c>
      <c r="D4" s="1">
        <v>2</v>
      </c>
    </row>
    <row r="5" spans="1:6">
      <c r="A5" s="1" t="s">
        <v>11</v>
      </c>
      <c r="C5" s="1" t="s">
        <v>201</v>
      </c>
      <c r="D5" s="1">
        <v>3</v>
      </c>
    </row>
    <row r="6" spans="1:6">
      <c r="C6" s="1" t="s">
        <v>17</v>
      </c>
      <c r="D6" s="1">
        <v>4</v>
      </c>
    </row>
    <row r="7" spans="1:6">
      <c r="D7" s="1">
        <v>5</v>
      </c>
    </row>
    <row r="8" spans="1:6">
      <c r="D8" s="1">
        <v>6</v>
      </c>
    </row>
    <row r="9" spans="1:6">
      <c r="D9" s="1">
        <v>7</v>
      </c>
    </row>
    <row r="10" spans="1:6">
      <c r="D10" s="1">
        <v>8</v>
      </c>
    </row>
    <row r="11" spans="1:6">
      <c r="D11" s="1">
        <v>9</v>
      </c>
    </row>
    <row r="12" spans="1:6">
      <c r="D12" s="1">
        <v>10</v>
      </c>
    </row>
    <row r="13" spans="1:6">
      <c r="D13" s="1">
        <v>11</v>
      </c>
    </row>
    <row r="14" spans="1:6">
      <c r="D14" s="1">
        <v>12</v>
      </c>
    </row>
  </sheetData>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ADBC7-1998-4B8A-91DF-C77BC516883B}">
  <dimension ref="A1:AE120"/>
  <sheetViews>
    <sheetView topLeftCell="F1" workbookViewId="0">
      <selection activeCell="A20" sqref="A20:E20"/>
    </sheetView>
  </sheetViews>
  <sheetFormatPr defaultColWidth="9" defaultRowHeight="18"/>
  <cols>
    <col min="1" max="5" width="3.09765625" style="14" customWidth="1"/>
    <col min="6" max="6" width="3.09765625" customWidth="1"/>
    <col min="7" max="11" width="3.09765625" style="14" customWidth="1"/>
    <col min="12" max="19" width="3.09765625" customWidth="1"/>
    <col min="20" max="20" width="3.8984375" customWidth="1"/>
    <col min="21" max="21" width="21.3984375" style="19" bestFit="1" customWidth="1"/>
    <col min="22" max="22" width="19.59765625" style="19" customWidth="1"/>
    <col min="23" max="23" width="9" bestFit="1" customWidth="1"/>
    <col min="24" max="24" width="15.09765625" style="21" bestFit="1" customWidth="1"/>
    <col min="25" max="25" width="11.3984375" style="20" customWidth="1"/>
    <col min="26" max="28" width="22.09765625" customWidth="1"/>
    <col min="29" max="29" width="7.8984375" customWidth="1"/>
    <col min="30" max="30" width="7.19921875" customWidth="1"/>
    <col min="31" max="31" width="20.09765625" customWidth="1"/>
    <col min="32" max="57" width="22.09765625" customWidth="1"/>
  </cols>
  <sheetData>
    <row r="1" spans="1:31">
      <c r="U1" s="18" t="s">
        <v>124</v>
      </c>
      <c r="V1" s="18"/>
    </row>
    <row r="2" spans="1:31" ht="18.600000000000001" thickBot="1">
      <c r="L2" s="255" t="s">
        <v>39</v>
      </c>
      <c r="M2" s="256"/>
      <c r="N2" s="256"/>
      <c r="O2" s="256"/>
      <c r="P2" s="256"/>
      <c r="Q2" s="256"/>
      <c r="R2" s="256"/>
      <c r="S2" s="257"/>
      <c r="U2" s="19" t="s">
        <v>123</v>
      </c>
      <c r="V2" s="19" t="s">
        <v>127</v>
      </c>
      <c r="W2" s="17" t="s">
        <v>125</v>
      </c>
      <c r="X2" s="258" t="s">
        <v>126</v>
      </c>
      <c r="Y2" s="258"/>
      <c r="Z2" t="s">
        <v>206</v>
      </c>
    </row>
    <row r="3" spans="1:31" ht="18.75" customHeight="1" thickBot="1">
      <c r="A3" s="243">
        <v>0</v>
      </c>
      <c r="B3" s="243"/>
      <c r="C3" s="243"/>
      <c r="D3" s="243"/>
      <c r="E3" s="243"/>
      <c r="F3" s="15" t="s">
        <v>38</v>
      </c>
      <c r="G3" s="251">
        <v>650999</v>
      </c>
      <c r="H3" s="251"/>
      <c r="I3" s="251"/>
      <c r="J3" s="251"/>
      <c r="K3" s="252"/>
      <c r="L3" s="244">
        <v>0</v>
      </c>
      <c r="M3" s="245"/>
      <c r="N3" s="245"/>
      <c r="O3" s="245"/>
      <c r="P3" s="245"/>
      <c r="Q3" s="245"/>
      <c r="R3" s="245"/>
      <c r="S3" s="246"/>
      <c r="U3" s="19">
        <f>試算!Q6</f>
        <v>0</v>
      </c>
      <c r="V3" s="19">
        <f>ROUNDDOWN(U3/4,-3)</f>
        <v>0</v>
      </c>
      <c r="W3">
        <f>IF(AND(A3&lt;=U3,U3&lt;=G3),1,0)</f>
        <v>1</v>
      </c>
      <c r="X3" s="21">
        <f>L3</f>
        <v>0</v>
      </c>
      <c r="Y3" s="20">
        <f t="shared" ref="Y3:Y8" si="0">X3*W3</f>
        <v>0</v>
      </c>
      <c r="Z3" s="69">
        <f>IF(U3&gt;550000,1,0)</f>
        <v>0</v>
      </c>
      <c r="AA3" s="17" t="s">
        <v>137</v>
      </c>
      <c r="AC3" t="s">
        <v>148</v>
      </c>
      <c r="AE3" s="17" t="s">
        <v>149</v>
      </c>
    </row>
    <row r="4" spans="1:31">
      <c r="A4" s="250">
        <v>651000</v>
      </c>
      <c r="B4" s="250"/>
      <c r="C4" s="250"/>
      <c r="D4" s="250"/>
      <c r="E4" s="250"/>
      <c r="F4" s="15" t="s">
        <v>38</v>
      </c>
      <c r="G4" s="251">
        <v>1899999</v>
      </c>
      <c r="H4" s="251"/>
      <c r="I4" s="251"/>
      <c r="J4" s="251"/>
      <c r="K4" s="252"/>
      <c r="L4" s="252" t="s">
        <v>192</v>
      </c>
      <c r="M4" s="253"/>
      <c r="N4" s="253"/>
      <c r="O4" s="253"/>
      <c r="P4" s="253"/>
      <c r="Q4" s="253"/>
      <c r="R4" s="253"/>
      <c r="S4" s="254"/>
      <c r="U4" s="19">
        <f>U3</f>
        <v>0</v>
      </c>
      <c r="V4" s="19">
        <f t="shared" ref="V4:V8" si="1">ROUNDDOWN(U4/4,-3)</f>
        <v>0</v>
      </c>
      <c r="W4">
        <f>IF(AND(A4&lt;=U4,U4&lt;=G4),1,0)</f>
        <v>0</v>
      </c>
      <c r="X4" s="66">
        <f>U4-650000</f>
        <v>-650000</v>
      </c>
      <c r="Y4" s="20">
        <f t="shared" si="0"/>
        <v>0</v>
      </c>
      <c r="AA4" s="30" t="s">
        <v>3</v>
      </c>
      <c r="AB4" s="50">
        <f>Y14</f>
        <v>0</v>
      </c>
      <c r="AC4" s="36">
        <f>試算!AO6</f>
        <v>0</v>
      </c>
      <c r="AD4" s="36">
        <f>IF(AC4="〇",30,100)</f>
        <v>100</v>
      </c>
      <c r="AE4" s="33">
        <f>ROUNDDOWN(試算!V6*AD4/100,0)</f>
        <v>0</v>
      </c>
    </row>
    <row r="5" spans="1:31">
      <c r="A5" s="250">
        <v>1900000</v>
      </c>
      <c r="B5" s="250"/>
      <c r="C5" s="250"/>
      <c r="D5" s="250"/>
      <c r="E5" s="250"/>
      <c r="F5" s="15" t="s">
        <v>38</v>
      </c>
      <c r="G5" s="243">
        <v>3599999</v>
      </c>
      <c r="H5" s="243"/>
      <c r="I5" s="243"/>
      <c r="J5" s="243"/>
      <c r="K5" s="244"/>
      <c r="L5" s="244" t="s">
        <v>118</v>
      </c>
      <c r="M5" s="245"/>
      <c r="N5" s="245"/>
      <c r="O5" s="245"/>
      <c r="P5" s="245"/>
      <c r="Q5" s="245"/>
      <c r="R5" s="245"/>
      <c r="S5" s="246"/>
      <c r="U5" s="19">
        <f t="shared" ref="U5:U8" si="2">U4</f>
        <v>0</v>
      </c>
      <c r="V5" s="19">
        <f t="shared" si="1"/>
        <v>0</v>
      </c>
      <c r="W5">
        <f>IF(AND(A5&lt;=U5,U5&lt;=G5),1,0)</f>
        <v>0</v>
      </c>
      <c r="X5" s="21">
        <f>V5*2.8-80000</f>
        <v>-80000</v>
      </c>
      <c r="Y5" s="20">
        <f t="shared" si="0"/>
        <v>0</v>
      </c>
      <c r="AA5" s="31" t="s">
        <v>132</v>
      </c>
      <c r="AB5" s="51">
        <f>Y29</f>
        <v>0</v>
      </c>
      <c r="AC5" s="17">
        <f>試算!AO7</f>
        <v>0</v>
      </c>
      <c r="AD5" s="17">
        <f t="shared" ref="AD5:AD7" si="3">IF(AC5="〇",30,100)</f>
        <v>100</v>
      </c>
      <c r="AE5" s="34">
        <f>ROUNDDOWN(試算!V7*AD5/100,0)</f>
        <v>0</v>
      </c>
    </row>
    <row r="6" spans="1:31">
      <c r="A6" s="247">
        <v>3600000</v>
      </c>
      <c r="B6" s="248"/>
      <c r="C6" s="248"/>
      <c r="D6" s="248"/>
      <c r="E6" s="249"/>
      <c r="F6" s="15" t="s">
        <v>38</v>
      </c>
      <c r="G6" s="247">
        <v>6599999</v>
      </c>
      <c r="H6" s="248"/>
      <c r="I6" s="248"/>
      <c r="J6" s="248"/>
      <c r="K6" s="249"/>
      <c r="L6" s="244" t="s">
        <v>119</v>
      </c>
      <c r="M6" s="245"/>
      <c r="N6" s="245"/>
      <c r="O6" s="245"/>
      <c r="P6" s="245"/>
      <c r="Q6" s="245"/>
      <c r="R6" s="245"/>
      <c r="S6" s="246"/>
      <c r="U6" s="19">
        <f t="shared" si="2"/>
        <v>0</v>
      </c>
      <c r="V6" s="19">
        <f t="shared" si="1"/>
        <v>0</v>
      </c>
      <c r="W6">
        <f>IF(AND(A6&lt;=U6,U6&lt;=G6),1,0)</f>
        <v>0</v>
      </c>
      <c r="X6" s="21">
        <f>V6*3.2-440000</f>
        <v>-440000</v>
      </c>
      <c r="Y6" s="20">
        <f t="shared" si="0"/>
        <v>0</v>
      </c>
      <c r="AA6" s="31" t="s">
        <v>133</v>
      </c>
      <c r="AB6" s="51">
        <f>Y44</f>
        <v>0</v>
      </c>
      <c r="AC6" s="17">
        <f>試算!AO8</f>
        <v>0</v>
      </c>
      <c r="AD6" s="17">
        <f t="shared" si="3"/>
        <v>100</v>
      </c>
      <c r="AE6" s="34">
        <f>ROUNDDOWN(試算!V8*AD6/100,0)</f>
        <v>0</v>
      </c>
    </row>
    <row r="7" spans="1:31">
      <c r="A7" s="243">
        <v>6600000</v>
      </c>
      <c r="B7" s="243"/>
      <c r="C7" s="243"/>
      <c r="D7" s="243"/>
      <c r="E7" s="243"/>
      <c r="F7" s="15" t="s">
        <v>38</v>
      </c>
      <c r="G7" s="243">
        <v>8499999</v>
      </c>
      <c r="H7" s="243"/>
      <c r="I7" s="243"/>
      <c r="J7" s="243"/>
      <c r="K7" s="244"/>
      <c r="L7" s="244" t="s">
        <v>120</v>
      </c>
      <c r="M7" s="245"/>
      <c r="N7" s="245"/>
      <c r="O7" s="245"/>
      <c r="P7" s="245"/>
      <c r="Q7" s="245"/>
      <c r="R7" s="245"/>
      <c r="S7" s="246"/>
      <c r="U7" s="19">
        <f t="shared" si="2"/>
        <v>0</v>
      </c>
      <c r="V7" s="19">
        <f>ROUNDDOWN(U7/4,-3)</f>
        <v>0</v>
      </c>
      <c r="W7">
        <f>IF(AND(A7&lt;=U7,U7&lt;=G7),1,0)</f>
        <v>0</v>
      </c>
      <c r="X7" s="21">
        <f>U7*0.9-1100000</f>
        <v>-1100000</v>
      </c>
      <c r="Y7" s="20">
        <f t="shared" si="0"/>
        <v>0</v>
      </c>
      <c r="AA7" s="31" t="s">
        <v>134</v>
      </c>
      <c r="AB7" s="51">
        <f>Y60</f>
        <v>0</v>
      </c>
      <c r="AC7" s="17">
        <f>試算!AO9</f>
        <v>0</v>
      </c>
      <c r="AD7" s="17">
        <f t="shared" si="3"/>
        <v>100</v>
      </c>
      <c r="AE7" s="34">
        <f>ROUNDDOWN(試算!V9*AD7/100,0)</f>
        <v>0</v>
      </c>
    </row>
    <row r="8" spans="1:31">
      <c r="A8" s="243">
        <v>8500000</v>
      </c>
      <c r="B8" s="243"/>
      <c r="C8" s="243"/>
      <c r="D8" s="243"/>
      <c r="E8" s="243"/>
      <c r="F8" s="15" t="s">
        <v>38</v>
      </c>
      <c r="G8" s="243"/>
      <c r="H8" s="243"/>
      <c r="I8" s="243"/>
      <c r="J8" s="243"/>
      <c r="K8" s="247"/>
      <c r="L8" s="244" t="s">
        <v>121</v>
      </c>
      <c r="M8" s="245"/>
      <c r="N8" s="245"/>
      <c r="O8" s="245"/>
      <c r="P8" s="245"/>
      <c r="Q8" s="245"/>
      <c r="R8" s="245"/>
      <c r="S8" s="246"/>
      <c r="U8" s="19">
        <f t="shared" si="2"/>
        <v>0</v>
      </c>
      <c r="V8" s="19">
        <f t="shared" si="1"/>
        <v>0</v>
      </c>
      <c r="W8">
        <f>IF(A8&lt;=U8,1,0)</f>
        <v>0</v>
      </c>
      <c r="X8" s="21">
        <f>U8-1950000</f>
        <v>-1950000</v>
      </c>
      <c r="Y8" s="20">
        <f t="shared" si="0"/>
        <v>0</v>
      </c>
      <c r="AA8" s="31" t="s">
        <v>135</v>
      </c>
      <c r="AB8" s="51">
        <f>Y75</f>
        <v>0</v>
      </c>
      <c r="AC8" s="17">
        <f>試算!AO10</f>
        <v>0</v>
      </c>
      <c r="AD8" s="17">
        <f t="shared" ref="AD8:AD11" si="4">IF(AC8="〇",30,100)</f>
        <v>100</v>
      </c>
      <c r="AE8" s="34">
        <f>ROUNDDOWN(試算!V10*AD8/100,0)</f>
        <v>0</v>
      </c>
    </row>
    <row r="9" spans="1:31">
      <c r="A9" s="243"/>
      <c r="B9" s="243"/>
      <c r="C9" s="243"/>
      <c r="D9" s="243"/>
      <c r="E9" s="243"/>
      <c r="F9" s="15"/>
      <c r="G9" s="243"/>
      <c r="H9" s="243"/>
      <c r="I9" s="243"/>
      <c r="J9" s="243"/>
      <c r="K9" s="244"/>
      <c r="L9" s="244"/>
      <c r="M9" s="245"/>
      <c r="N9" s="245"/>
      <c r="O9" s="245"/>
      <c r="P9" s="245"/>
      <c r="Q9" s="245"/>
      <c r="R9" s="245"/>
      <c r="S9" s="246"/>
      <c r="AA9" s="31" t="s">
        <v>184</v>
      </c>
      <c r="AB9" s="51">
        <f>Y90</f>
        <v>0</v>
      </c>
      <c r="AC9" s="17">
        <f>試算!AO11</f>
        <v>0</v>
      </c>
      <c r="AD9" s="17">
        <f t="shared" si="4"/>
        <v>100</v>
      </c>
      <c r="AE9" s="34">
        <f>ROUNDDOWN(試算!V11*AD9/100,0)</f>
        <v>0</v>
      </c>
    </row>
    <row r="10" spans="1:31">
      <c r="A10" s="243"/>
      <c r="B10" s="243"/>
      <c r="C10" s="243"/>
      <c r="D10" s="243"/>
      <c r="E10" s="243"/>
      <c r="F10" s="15"/>
      <c r="G10" s="243"/>
      <c r="H10" s="243"/>
      <c r="I10" s="243"/>
      <c r="J10" s="243"/>
      <c r="K10" s="247"/>
      <c r="L10" s="244"/>
      <c r="M10" s="245"/>
      <c r="N10" s="245"/>
      <c r="O10" s="245"/>
      <c r="P10" s="245"/>
      <c r="Q10" s="245"/>
      <c r="R10" s="245"/>
      <c r="S10" s="246"/>
      <c r="AA10" s="31" t="s">
        <v>185</v>
      </c>
      <c r="AB10" s="51">
        <f>Y105</f>
        <v>0</v>
      </c>
      <c r="AC10" s="17">
        <f>試算!AO12</f>
        <v>0</v>
      </c>
      <c r="AD10" s="17">
        <f t="shared" si="4"/>
        <v>100</v>
      </c>
      <c r="AE10" s="34">
        <f>ROUNDDOWN(試算!V12*AD10/100,0)</f>
        <v>0</v>
      </c>
    </row>
    <row r="11" spans="1:31" ht="18.600000000000001" thickBot="1">
      <c r="A11" s="243"/>
      <c r="B11" s="243"/>
      <c r="C11" s="243"/>
      <c r="D11" s="243"/>
      <c r="E11" s="243"/>
      <c r="F11" s="15"/>
      <c r="G11" s="243"/>
      <c r="H11" s="243"/>
      <c r="I11" s="243"/>
      <c r="J11" s="243"/>
      <c r="K11" s="244"/>
      <c r="L11" s="244"/>
      <c r="M11" s="245"/>
      <c r="N11" s="245"/>
      <c r="O11" s="245"/>
      <c r="P11" s="245"/>
      <c r="Q11" s="245"/>
      <c r="R11" s="245"/>
      <c r="S11" s="246"/>
      <c r="AA11" s="32" t="s">
        <v>186</v>
      </c>
      <c r="AB11" s="52">
        <f>Y120</f>
        <v>0</v>
      </c>
      <c r="AC11" s="49">
        <f>試算!AO13</f>
        <v>0</v>
      </c>
      <c r="AD11" s="49">
        <f t="shared" si="4"/>
        <v>100</v>
      </c>
      <c r="AE11" s="35">
        <f>ROUNDDOWN(試算!V13*AD11/100,0)</f>
        <v>0</v>
      </c>
    </row>
    <row r="12" spans="1:31">
      <c r="A12" s="243"/>
      <c r="B12" s="243"/>
      <c r="C12" s="243"/>
      <c r="D12" s="243"/>
      <c r="E12" s="243"/>
      <c r="F12" s="15"/>
      <c r="G12" s="243"/>
      <c r="H12" s="243"/>
      <c r="I12" s="243"/>
      <c r="J12" s="243"/>
      <c r="K12" s="244"/>
      <c r="L12" s="244"/>
      <c r="M12" s="245"/>
      <c r="N12" s="245"/>
      <c r="O12" s="245"/>
      <c r="P12" s="245"/>
      <c r="Q12" s="245"/>
      <c r="R12" s="245"/>
      <c r="S12" s="246"/>
    </row>
    <row r="13" spans="1:31" ht="18.600000000000001" thickBot="1">
      <c r="A13" s="243"/>
      <c r="B13" s="243"/>
      <c r="C13" s="243"/>
      <c r="D13" s="243"/>
      <c r="E13" s="243"/>
      <c r="F13" s="15"/>
      <c r="G13" s="243"/>
      <c r="H13" s="243"/>
      <c r="I13" s="243"/>
      <c r="J13" s="243"/>
      <c r="K13" s="247"/>
      <c r="L13" s="244"/>
      <c r="M13" s="245"/>
      <c r="N13" s="245"/>
      <c r="O13" s="245"/>
      <c r="P13" s="245"/>
      <c r="Q13" s="245"/>
      <c r="R13" s="245"/>
      <c r="S13" s="246"/>
    </row>
    <row r="14" spans="1:31" ht="18.600000000000001" thickBot="1">
      <c r="A14" s="16" t="s">
        <v>122</v>
      </c>
      <c r="X14" s="22" t="s">
        <v>128</v>
      </c>
      <c r="Y14" s="23">
        <f>SUM(Y3:Y13)</f>
        <v>0</v>
      </c>
    </row>
    <row r="15" spans="1:31">
      <c r="A15" s="16"/>
    </row>
    <row r="16" spans="1:31">
      <c r="U16" s="18" t="s">
        <v>129</v>
      </c>
      <c r="V16" s="18"/>
    </row>
    <row r="17" spans="1:26" ht="18.600000000000001" thickBot="1">
      <c r="L17" s="255" t="s">
        <v>39</v>
      </c>
      <c r="M17" s="256"/>
      <c r="N17" s="256"/>
      <c r="O17" s="256"/>
      <c r="P17" s="256"/>
      <c r="Q17" s="256"/>
      <c r="R17" s="256"/>
      <c r="S17" s="257"/>
      <c r="U17" s="19" t="s">
        <v>123</v>
      </c>
      <c r="V17" s="19" t="s">
        <v>127</v>
      </c>
      <c r="W17" s="17" t="s">
        <v>125</v>
      </c>
      <c r="X17" s="258" t="s">
        <v>126</v>
      </c>
      <c r="Y17" s="258"/>
      <c r="Z17" t="s">
        <v>206</v>
      </c>
    </row>
    <row r="18" spans="1:26" ht="18.600000000000001" thickBot="1">
      <c r="A18" s="243">
        <v>0</v>
      </c>
      <c r="B18" s="243"/>
      <c r="C18" s="243"/>
      <c r="D18" s="243"/>
      <c r="E18" s="243"/>
      <c r="F18" s="15" t="s">
        <v>38</v>
      </c>
      <c r="G18" s="251">
        <v>650999</v>
      </c>
      <c r="H18" s="251"/>
      <c r="I18" s="251"/>
      <c r="J18" s="251"/>
      <c r="K18" s="252"/>
      <c r="L18" s="244">
        <v>0</v>
      </c>
      <c r="M18" s="245"/>
      <c r="N18" s="245"/>
      <c r="O18" s="245"/>
      <c r="P18" s="245"/>
      <c r="Q18" s="245"/>
      <c r="R18" s="245"/>
      <c r="S18" s="246"/>
      <c r="U18" s="19">
        <f>試算!Q21</f>
        <v>0</v>
      </c>
      <c r="V18" s="19">
        <f>ROUNDDOWN(U18/4,-3)</f>
        <v>0</v>
      </c>
      <c r="W18">
        <f>IF(AND(A18&lt;=U18,U18&lt;=G18),1,0)</f>
        <v>1</v>
      </c>
      <c r="X18" s="21">
        <f>L18</f>
        <v>0</v>
      </c>
      <c r="Y18" s="20">
        <f t="shared" ref="Y18:Y23" si="5">X18*W18</f>
        <v>0</v>
      </c>
      <c r="Z18" s="69">
        <f>IF(U18&gt;550000,1,0)</f>
        <v>0</v>
      </c>
    </row>
    <row r="19" spans="1:26">
      <c r="A19" s="250">
        <v>651000</v>
      </c>
      <c r="B19" s="250"/>
      <c r="C19" s="250"/>
      <c r="D19" s="250"/>
      <c r="E19" s="250"/>
      <c r="F19" s="15" t="s">
        <v>38</v>
      </c>
      <c r="G19" s="251">
        <v>1899999</v>
      </c>
      <c r="H19" s="251"/>
      <c r="I19" s="251"/>
      <c r="J19" s="251"/>
      <c r="K19" s="252"/>
      <c r="L19" s="252" t="s">
        <v>192</v>
      </c>
      <c r="M19" s="253"/>
      <c r="N19" s="253"/>
      <c r="O19" s="253"/>
      <c r="P19" s="253"/>
      <c r="Q19" s="253"/>
      <c r="R19" s="253"/>
      <c r="S19" s="254"/>
      <c r="U19" s="19">
        <f>U18</f>
        <v>0</v>
      </c>
      <c r="V19" s="19">
        <f t="shared" ref="V19:V21" si="6">ROUNDDOWN(U19/4,-3)</f>
        <v>0</v>
      </c>
      <c r="W19">
        <f>IF(AND(A19&lt;=U19,U19&lt;=G19),1,0)</f>
        <v>0</v>
      </c>
      <c r="X19" s="66">
        <f>U19-650000</f>
        <v>-650000</v>
      </c>
      <c r="Y19" s="20">
        <f t="shared" si="5"/>
        <v>0</v>
      </c>
    </row>
    <row r="20" spans="1:26" ht="18.75" customHeight="1">
      <c r="A20" s="250">
        <v>1900000</v>
      </c>
      <c r="B20" s="250"/>
      <c r="C20" s="250"/>
      <c r="D20" s="250"/>
      <c r="E20" s="250"/>
      <c r="F20" s="15" t="s">
        <v>38</v>
      </c>
      <c r="G20" s="243">
        <v>3599999</v>
      </c>
      <c r="H20" s="243"/>
      <c r="I20" s="243"/>
      <c r="J20" s="243"/>
      <c r="K20" s="244"/>
      <c r="L20" s="244" t="s">
        <v>118</v>
      </c>
      <c r="M20" s="245"/>
      <c r="N20" s="245"/>
      <c r="O20" s="245"/>
      <c r="P20" s="245"/>
      <c r="Q20" s="245"/>
      <c r="R20" s="245"/>
      <c r="S20" s="246"/>
      <c r="U20" s="19">
        <f t="shared" ref="U20:U23" si="7">U19</f>
        <v>0</v>
      </c>
      <c r="V20" s="19">
        <f t="shared" si="6"/>
        <v>0</v>
      </c>
      <c r="W20">
        <f>IF(AND(A20&lt;=U20,U20&lt;=G20),1,0)</f>
        <v>0</v>
      </c>
      <c r="X20" s="21">
        <f>V20*2.8-80000</f>
        <v>-80000</v>
      </c>
      <c r="Y20" s="20">
        <f t="shared" si="5"/>
        <v>0</v>
      </c>
    </row>
    <row r="21" spans="1:26">
      <c r="A21" s="247">
        <v>3600000</v>
      </c>
      <c r="B21" s="248"/>
      <c r="C21" s="248"/>
      <c r="D21" s="248"/>
      <c r="E21" s="249"/>
      <c r="F21" s="15" t="s">
        <v>38</v>
      </c>
      <c r="G21" s="247">
        <v>6599999</v>
      </c>
      <c r="H21" s="248"/>
      <c r="I21" s="248"/>
      <c r="J21" s="248"/>
      <c r="K21" s="249"/>
      <c r="L21" s="244" t="s">
        <v>119</v>
      </c>
      <c r="M21" s="245"/>
      <c r="N21" s="245"/>
      <c r="O21" s="245"/>
      <c r="P21" s="245"/>
      <c r="Q21" s="245"/>
      <c r="R21" s="245"/>
      <c r="S21" s="246"/>
      <c r="U21" s="19">
        <f t="shared" si="7"/>
        <v>0</v>
      </c>
      <c r="V21" s="19">
        <f t="shared" si="6"/>
        <v>0</v>
      </c>
      <c r="W21">
        <f>IF(AND(A21&lt;=U21,U21&lt;=G21),1,0)</f>
        <v>0</v>
      </c>
      <c r="X21" s="21">
        <f>V21*3.2-440000</f>
        <v>-440000</v>
      </c>
      <c r="Y21" s="20">
        <f t="shared" si="5"/>
        <v>0</v>
      </c>
    </row>
    <row r="22" spans="1:26">
      <c r="A22" s="243">
        <v>6600000</v>
      </c>
      <c r="B22" s="243"/>
      <c r="C22" s="243"/>
      <c r="D22" s="243"/>
      <c r="E22" s="243"/>
      <c r="F22" s="15" t="s">
        <v>38</v>
      </c>
      <c r="G22" s="243">
        <v>8499999</v>
      </c>
      <c r="H22" s="243"/>
      <c r="I22" s="243"/>
      <c r="J22" s="243"/>
      <c r="K22" s="244"/>
      <c r="L22" s="244" t="s">
        <v>120</v>
      </c>
      <c r="M22" s="245"/>
      <c r="N22" s="245"/>
      <c r="O22" s="245"/>
      <c r="P22" s="245"/>
      <c r="Q22" s="245"/>
      <c r="R22" s="245"/>
      <c r="S22" s="246"/>
      <c r="U22" s="19">
        <f t="shared" si="7"/>
        <v>0</v>
      </c>
      <c r="V22" s="19">
        <f>ROUNDDOWN(U22/4,-3)</f>
        <v>0</v>
      </c>
      <c r="W22">
        <f>IF(AND(A22&lt;=U22,U22&lt;=G22),1,0)</f>
        <v>0</v>
      </c>
      <c r="X22" s="21">
        <f>U22*0.9-1100000</f>
        <v>-1100000</v>
      </c>
      <c r="Y22" s="20">
        <f t="shared" si="5"/>
        <v>0</v>
      </c>
    </row>
    <row r="23" spans="1:26">
      <c r="A23" s="243">
        <v>8500000</v>
      </c>
      <c r="B23" s="243"/>
      <c r="C23" s="243"/>
      <c r="D23" s="243"/>
      <c r="E23" s="243"/>
      <c r="F23" s="15" t="s">
        <v>38</v>
      </c>
      <c r="G23" s="243"/>
      <c r="H23" s="243"/>
      <c r="I23" s="243"/>
      <c r="J23" s="243"/>
      <c r="K23" s="247"/>
      <c r="L23" s="244" t="s">
        <v>121</v>
      </c>
      <c r="M23" s="245"/>
      <c r="N23" s="245"/>
      <c r="O23" s="245"/>
      <c r="P23" s="245"/>
      <c r="Q23" s="245"/>
      <c r="R23" s="245"/>
      <c r="S23" s="246"/>
      <c r="U23" s="19">
        <f t="shared" si="7"/>
        <v>0</v>
      </c>
      <c r="V23" s="19">
        <f t="shared" ref="V23" si="8">ROUNDDOWN(U23/4,-3)</f>
        <v>0</v>
      </c>
      <c r="W23">
        <f>IF(A23&lt;=U23,1,0)</f>
        <v>0</v>
      </c>
      <c r="X23" s="21">
        <f>U23-1950000</f>
        <v>-1950000</v>
      </c>
      <c r="Y23" s="20">
        <f t="shared" si="5"/>
        <v>0</v>
      </c>
    </row>
    <row r="24" spans="1:26">
      <c r="A24" s="243"/>
      <c r="B24" s="243"/>
      <c r="C24" s="243"/>
      <c r="D24" s="243"/>
      <c r="E24" s="243"/>
      <c r="F24" s="15"/>
      <c r="G24" s="243"/>
      <c r="H24" s="243"/>
      <c r="I24" s="243"/>
      <c r="J24" s="243"/>
      <c r="K24" s="244"/>
      <c r="L24" s="244"/>
      <c r="M24" s="245"/>
      <c r="N24" s="245"/>
      <c r="O24" s="245"/>
      <c r="P24" s="245"/>
      <c r="Q24" s="245"/>
      <c r="R24" s="245"/>
      <c r="S24" s="246"/>
    </row>
    <row r="25" spans="1:26">
      <c r="A25" s="243"/>
      <c r="B25" s="243"/>
      <c r="C25" s="243"/>
      <c r="D25" s="243"/>
      <c r="E25" s="243"/>
      <c r="F25" s="15"/>
      <c r="G25" s="243"/>
      <c r="H25" s="243"/>
      <c r="I25" s="243"/>
      <c r="J25" s="243"/>
      <c r="K25" s="247"/>
      <c r="L25" s="244"/>
      <c r="M25" s="245"/>
      <c r="N25" s="245"/>
      <c r="O25" s="245"/>
      <c r="P25" s="245"/>
      <c r="Q25" s="245"/>
      <c r="R25" s="245"/>
      <c r="S25" s="246"/>
    </row>
    <row r="26" spans="1:26">
      <c r="A26" s="243"/>
      <c r="B26" s="243"/>
      <c r="C26" s="243"/>
      <c r="D26" s="243"/>
      <c r="E26" s="243"/>
      <c r="F26" s="15"/>
      <c r="G26" s="243"/>
      <c r="H26" s="243"/>
      <c r="I26" s="243"/>
      <c r="J26" s="243"/>
      <c r="K26" s="244"/>
      <c r="L26" s="244"/>
      <c r="M26" s="245"/>
      <c r="N26" s="245"/>
      <c r="O26" s="245"/>
      <c r="P26" s="245"/>
      <c r="Q26" s="245"/>
      <c r="R26" s="245"/>
      <c r="S26" s="246"/>
    </row>
    <row r="27" spans="1:26">
      <c r="A27" s="243"/>
      <c r="B27" s="243"/>
      <c r="C27" s="243"/>
      <c r="D27" s="243"/>
      <c r="E27" s="243"/>
      <c r="F27" s="15"/>
      <c r="G27" s="243"/>
      <c r="H27" s="243"/>
      <c r="I27" s="243"/>
      <c r="J27" s="243"/>
      <c r="K27" s="244"/>
      <c r="L27" s="244"/>
      <c r="M27" s="245"/>
      <c r="N27" s="245"/>
      <c r="O27" s="245"/>
      <c r="P27" s="245"/>
      <c r="Q27" s="245"/>
      <c r="R27" s="245"/>
      <c r="S27" s="246"/>
    </row>
    <row r="28" spans="1:26" ht="18.600000000000001" thickBot="1">
      <c r="A28" s="243"/>
      <c r="B28" s="243"/>
      <c r="C28" s="243"/>
      <c r="D28" s="243"/>
      <c r="E28" s="243"/>
      <c r="F28" s="15"/>
      <c r="G28" s="243"/>
      <c r="H28" s="243"/>
      <c r="I28" s="243"/>
      <c r="J28" s="243"/>
      <c r="K28" s="247"/>
      <c r="L28" s="244"/>
      <c r="M28" s="245"/>
      <c r="N28" s="245"/>
      <c r="O28" s="245"/>
      <c r="P28" s="245"/>
      <c r="Q28" s="245"/>
      <c r="R28" s="245"/>
      <c r="S28" s="246"/>
    </row>
    <row r="29" spans="1:26" ht="18.600000000000001" thickBot="1">
      <c r="A29" s="16" t="s">
        <v>122</v>
      </c>
      <c r="X29" s="22" t="s">
        <v>128</v>
      </c>
      <c r="Y29" s="23">
        <f>SUM(Y18:Y28)</f>
        <v>0</v>
      </c>
    </row>
    <row r="31" spans="1:26">
      <c r="U31" s="18" t="s">
        <v>130</v>
      </c>
      <c r="V31" s="18"/>
    </row>
    <row r="32" spans="1:26" ht="18.600000000000001" thickBot="1">
      <c r="L32" s="255" t="s">
        <v>39</v>
      </c>
      <c r="M32" s="256"/>
      <c r="N32" s="256"/>
      <c r="O32" s="256"/>
      <c r="P32" s="256"/>
      <c r="Q32" s="256"/>
      <c r="R32" s="256"/>
      <c r="S32" s="257"/>
      <c r="U32" s="19" t="s">
        <v>123</v>
      </c>
      <c r="V32" s="19" t="s">
        <v>127</v>
      </c>
      <c r="W32" s="17" t="s">
        <v>125</v>
      </c>
      <c r="X32" s="258" t="s">
        <v>126</v>
      </c>
      <c r="Y32" s="258"/>
      <c r="Z32" t="s">
        <v>206</v>
      </c>
    </row>
    <row r="33" spans="1:26" ht="18.600000000000001" thickBot="1">
      <c r="A33" s="243">
        <v>0</v>
      </c>
      <c r="B33" s="243"/>
      <c r="C33" s="243"/>
      <c r="D33" s="243"/>
      <c r="E33" s="243"/>
      <c r="F33" s="15" t="s">
        <v>38</v>
      </c>
      <c r="G33" s="251">
        <v>650999</v>
      </c>
      <c r="H33" s="251"/>
      <c r="I33" s="251"/>
      <c r="J33" s="251"/>
      <c r="K33" s="252"/>
      <c r="L33" s="244">
        <v>0</v>
      </c>
      <c r="M33" s="245"/>
      <c r="N33" s="245"/>
      <c r="O33" s="245"/>
      <c r="P33" s="245"/>
      <c r="Q33" s="245"/>
      <c r="R33" s="245"/>
      <c r="S33" s="246"/>
      <c r="U33" s="19">
        <f>試算!Q36</f>
        <v>0</v>
      </c>
      <c r="V33" s="19">
        <f>ROUNDDOWN(U33/4,-3)</f>
        <v>0</v>
      </c>
      <c r="W33">
        <f>IF(AND(A33&lt;=U33,U33&lt;=G33),1,0)</f>
        <v>1</v>
      </c>
      <c r="X33" s="21">
        <f>L33</f>
        <v>0</v>
      </c>
      <c r="Y33" s="20">
        <f t="shared" ref="Y33:Y38" si="9">X33*W33</f>
        <v>0</v>
      </c>
      <c r="Z33" s="69">
        <f>IF(U33&gt;550000,1,0)</f>
        <v>0</v>
      </c>
    </row>
    <row r="34" spans="1:26">
      <c r="A34" s="250">
        <v>651000</v>
      </c>
      <c r="B34" s="250"/>
      <c r="C34" s="250"/>
      <c r="D34" s="250"/>
      <c r="E34" s="250"/>
      <c r="F34" s="15" t="s">
        <v>38</v>
      </c>
      <c r="G34" s="251">
        <v>1899999</v>
      </c>
      <c r="H34" s="251"/>
      <c r="I34" s="251"/>
      <c r="J34" s="251"/>
      <c r="K34" s="252"/>
      <c r="L34" s="252" t="s">
        <v>192</v>
      </c>
      <c r="M34" s="253"/>
      <c r="N34" s="253"/>
      <c r="O34" s="253"/>
      <c r="P34" s="253"/>
      <c r="Q34" s="253"/>
      <c r="R34" s="253"/>
      <c r="S34" s="254"/>
      <c r="U34" s="19">
        <f>U33</f>
        <v>0</v>
      </c>
      <c r="V34" s="19">
        <f t="shared" ref="V34:V36" si="10">ROUNDDOWN(U34/4,-3)</f>
        <v>0</v>
      </c>
      <c r="W34">
        <f>IF(AND(A34&lt;=U34,U34&lt;=G34),1,0)</f>
        <v>0</v>
      </c>
      <c r="X34" s="66">
        <f>U34-650000</f>
        <v>-650000</v>
      </c>
      <c r="Y34" s="20">
        <f t="shared" si="9"/>
        <v>0</v>
      </c>
    </row>
    <row r="35" spans="1:26">
      <c r="A35" s="250">
        <v>1900000</v>
      </c>
      <c r="B35" s="250"/>
      <c r="C35" s="250"/>
      <c r="D35" s="250"/>
      <c r="E35" s="250"/>
      <c r="F35" s="15" t="s">
        <v>38</v>
      </c>
      <c r="G35" s="243">
        <v>3599999</v>
      </c>
      <c r="H35" s="243"/>
      <c r="I35" s="243"/>
      <c r="J35" s="243"/>
      <c r="K35" s="244"/>
      <c r="L35" s="244" t="s">
        <v>118</v>
      </c>
      <c r="M35" s="245"/>
      <c r="N35" s="245"/>
      <c r="O35" s="245"/>
      <c r="P35" s="245"/>
      <c r="Q35" s="245"/>
      <c r="R35" s="245"/>
      <c r="S35" s="246"/>
      <c r="U35" s="19">
        <f t="shared" ref="U35:U38" si="11">U34</f>
        <v>0</v>
      </c>
      <c r="V35" s="19">
        <f t="shared" si="10"/>
        <v>0</v>
      </c>
      <c r="W35">
        <f>IF(AND(A35&lt;=U35,U35&lt;=G35),1,0)</f>
        <v>0</v>
      </c>
      <c r="X35" s="21">
        <f>V35*2.8-80000</f>
        <v>-80000</v>
      </c>
      <c r="Y35" s="20">
        <f t="shared" si="9"/>
        <v>0</v>
      </c>
    </row>
    <row r="36" spans="1:26">
      <c r="A36" s="247">
        <v>3600000</v>
      </c>
      <c r="B36" s="248"/>
      <c r="C36" s="248"/>
      <c r="D36" s="248"/>
      <c r="E36" s="249"/>
      <c r="F36" s="15" t="s">
        <v>38</v>
      </c>
      <c r="G36" s="247">
        <v>6599999</v>
      </c>
      <c r="H36" s="248"/>
      <c r="I36" s="248"/>
      <c r="J36" s="248"/>
      <c r="K36" s="249"/>
      <c r="L36" s="244" t="s">
        <v>119</v>
      </c>
      <c r="M36" s="245"/>
      <c r="N36" s="245"/>
      <c r="O36" s="245"/>
      <c r="P36" s="245"/>
      <c r="Q36" s="245"/>
      <c r="R36" s="245"/>
      <c r="S36" s="246"/>
      <c r="U36" s="19">
        <f t="shared" si="11"/>
        <v>0</v>
      </c>
      <c r="V36" s="19">
        <f t="shared" si="10"/>
        <v>0</v>
      </c>
      <c r="W36">
        <f>IF(AND(A36&lt;=U36,U36&lt;=G36),1,0)</f>
        <v>0</v>
      </c>
      <c r="X36" s="21">
        <f>V36*3.2-440000</f>
        <v>-440000</v>
      </c>
      <c r="Y36" s="20">
        <f t="shared" si="9"/>
        <v>0</v>
      </c>
    </row>
    <row r="37" spans="1:26">
      <c r="A37" s="243">
        <v>6600000</v>
      </c>
      <c r="B37" s="243"/>
      <c r="C37" s="243"/>
      <c r="D37" s="243"/>
      <c r="E37" s="243"/>
      <c r="F37" s="15" t="s">
        <v>38</v>
      </c>
      <c r="G37" s="243">
        <v>8499999</v>
      </c>
      <c r="H37" s="243"/>
      <c r="I37" s="243"/>
      <c r="J37" s="243"/>
      <c r="K37" s="244"/>
      <c r="L37" s="244" t="s">
        <v>120</v>
      </c>
      <c r="M37" s="245"/>
      <c r="N37" s="245"/>
      <c r="O37" s="245"/>
      <c r="P37" s="245"/>
      <c r="Q37" s="245"/>
      <c r="R37" s="245"/>
      <c r="S37" s="246"/>
      <c r="U37" s="19">
        <f t="shared" si="11"/>
        <v>0</v>
      </c>
      <c r="V37" s="19">
        <f>ROUNDDOWN(U37/4,-3)</f>
        <v>0</v>
      </c>
      <c r="W37">
        <f>IF(AND(A37&lt;=U37,U37&lt;=G37),1,0)</f>
        <v>0</v>
      </c>
      <c r="X37" s="21">
        <f>U37*0.9-1100000</f>
        <v>-1100000</v>
      </c>
      <c r="Y37" s="20">
        <f t="shared" si="9"/>
        <v>0</v>
      </c>
    </row>
    <row r="38" spans="1:26">
      <c r="A38" s="243">
        <v>8500000</v>
      </c>
      <c r="B38" s="243"/>
      <c r="C38" s="243"/>
      <c r="D38" s="243"/>
      <c r="E38" s="243"/>
      <c r="F38" s="15" t="s">
        <v>38</v>
      </c>
      <c r="G38" s="243"/>
      <c r="H38" s="243"/>
      <c r="I38" s="243"/>
      <c r="J38" s="243"/>
      <c r="K38" s="247"/>
      <c r="L38" s="244" t="s">
        <v>121</v>
      </c>
      <c r="M38" s="245"/>
      <c r="N38" s="245"/>
      <c r="O38" s="245"/>
      <c r="P38" s="245"/>
      <c r="Q38" s="245"/>
      <c r="R38" s="245"/>
      <c r="S38" s="246"/>
      <c r="U38" s="19">
        <f t="shared" si="11"/>
        <v>0</v>
      </c>
      <c r="V38" s="19">
        <f t="shared" ref="V38" si="12">ROUNDDOWN(U38/4,-3)</f>
        <v>0</v>
      </c>
      <c r="W38">
        <f>IF(A38&lt;=U38,1,0)</f>
        <v>0</v>
      </c>
      <c r="X38" s="21">
        <f>U38-1950000</f>
        <v>-1950000</v>
      </c>
      <c r="Y38" s="20">
        <f t="shared" si="9"/>
        <v>0</v>
      </c>
    </row>
    <row r="39" spans="1:26">
      <c r="A39" s="243"/>
      <c r="B39" s="243"/>
      <c r="C39" s="243"/>
      <c r="D39" s="243"/>
      <c r="E39" s="243"/>
      <c r="F39" s="15"/>
      <c r="G39" s="243"/>
      <c r="H39" s="243"/>
      <c r="I39" s="243"/>
      <c r="J39" s="243"/>
      <c r="K39" s="244"/>
      <c r="L39" s="244"/>
      <c r="M39" s="245"/>
      <c r="N39" s="245"/>
      <c r="O39" s="245"/>
      <c r="P39" s="245"/>
      <c r="Q39" s="245"/>
      <c r="R39" s="245"/>
      <c r="S39" s="246"/>
    </row>
    <row r="40" spans="1:26">
      <c r="A40" s="243"/>
      <c r="B40" s="243"/>
      <c r="C40" s="243"/>
      <c r="D40" s="243"/>
      <c r="E40" s="243"/>
      <c r="F40" s="15"/>
      <c r="G40" s="243"/>
      <c r="H40" s="243"/>
      <c r="I40" s="243"/>
      <c r="J40" s="243"/>
      <c r="K40" s="247"/>
      <c r="L40" s="244"/>
      <c r="M40" s="245"/>
      <c r="N40" s="245"/>
      <c r="O40" s="245"/>
      <c r="P40" s="245"/>
      <c r="Q40" s="245"/>
      <c r="R40" s="245"/>
      <c r="S40" s="246"/>
    </row>
    <row r="41" spans="1:26">
      <c r="A41" s="243"/>
      <c r="B41" s="243"/>
      <c r="C41" s="243"/>
      <c r="D41" s="243"/>
      <c r="E41" s="243"/>
      <c r="F41" s="15"/>
      <c r="G41" s="243"/>
      <c r="H41" s="243"/>
      <c r="I41" s="243"/>
      <c r="J41" s="243"/>
      <c r="K41" s="244"/>
      <c r="L41" s="244"/>
      <c r="M41" s="245"/>
      <c r="N41" s="245"/>
      <c r="O41" s="245"/>
      <c r="P41" s="245"/>
      <c r="Q41" s="245"/>
      <c r="R41" s="245"/>
      <c r="S41" s="246"/>
    </row>
    <row r="42" spans="1:26">
      <c r="A42" s="243"/>
      <c r="B42" s="243"/>
      <c r="C42" s="243"/>
      <c r="D42" s="243"/>
      <c r="E42" s="243"/>
      <c r="F42" s="15"/>
      <c r="G42" s="243"/>
      <c r="H42" s="243"/>
      <c r="I42" s="243"/>
      <c r="J42" s="243"/>
      <c r="K42" s="244"/>
      <c r="L42" s="244"/>
      <c r="M42" s="245"/>
      <c r="N42" s="245"/>
      <c r="O42" s="245"/>
      <c r="P42" s="245"/>
      <c r="Q42" s="245"/>
      <c r="R42" s="245"/>
      <c r="S42" s="246"/>
    </row>
    <row r="43" spans="1:26" ht="18.600000000000001" thickBot="1">
      <c r="A43" s="243"/>
      <c r="B43" s="243"/>
      <c r="C43" s="243"/>
      <c r="D43" s="243"/>
      <c r="E43" s="243"/>
      <c r="F43" s="15"/>
      <c r="G43" s="243"/>
      <c r="H43" s="243"/>
      <c r="I43" s="243"/>
      <c r="J43" s="243"/>
      <c r="K43" s="247"/>
      <c r="L43" s="244"/>
      <c r="M43" s="245"/>
      <c r="N43" s="245"/>
      <c r="O43" s="245"/>
      <c r="P43" s="245"/>
      <c r="Q43" s="245"/>
      <c r="R43" s="245"/>
      <c r="S43" s="246"/>
    </row>
    <row r="44" spans="1:26" ht="18.600000000000001" thickBot="1">
      <c r="A44" s="16" t="s">
        <v>122</v>
      </c>
      <c r="X44" s="22" t="s">
        <v>128</v>
      </c>
      <c r="Y44" s="23">
        <f>SUM(Y33:Y43)</f>
        <v>0</v>
      </c>
    </row>
    <row r="47" spans="1:26">
      <c r="U47" s="18" t="s">
        <v>131</v>
      </c>
      <c r="V47" s="18"/>
    </row>
    <row r="48" spans="1:26" ht="18.600000000000001" thickBot="1">
      <c r="L48" s="255" t="s">
        <v>39</v>
      </c>
      <c r="M48" s="256"/>
      <c r="N48" s="256"/>
      <c r="O48" s="256"/>
      <c r="P48" s="256"/>
      <c r="Q48" s="256"/>
      <c r="R48" s="256"/>
      <c r="S48" s="257"/>
      <c r="U48" s="19" t="s">
        <v>123</v>
      </c>
      <c r="V48" s="19" t="s">
        <v>127</v>
      </c>
      <c r="W48" s="17" t="s">
        <v>125</v>
      </c>
      <c r="X48" s="258" t="s">
        <v>126</v>
      </c>
      <c r="Y48" s="258"/>
      <c r="Z48" t="s">
        <v>206</v>
      </c>
    </row>
    <row r="49" spans="1:26" ht="18.600000000000001" thickBot="1">
      <c r="A49" s="243">
        <v>0</v>
      </c>
      <c r="B49" s="243"/>
      <c r="C49" s="243"/>
      <c r="D49" s="243"/>
      <c r="E49" s="243"/>
      <c r="F49" s="15" t="s">
        <v>38</v>
      </c>
      <c r="G49" s="251">
        <v>650999</v>
      </c>
      <c r="H49" s="251"/>
      <c r="I49" s="251"/>
      <c r="J49" s="251"/>
      <c r="K49" s="252"/>
      <c r="L49" s="244">
        <v>0</v>
      </c>
      <c r="M49" s="245"/>
      <c r="N49" s="245"/>
      <c r="O49" s="245"/>
      <c r="P49" s="245"/>
      <c r="Q49" s="245"/>
      <c r="R49" s="245"/>
      <c r="S49" s="246"/>
      <c r="U49" s="19">
        <f>試算!Q52</f>
        <v>0</v>
      </c>
      <c r="V49" s="19">
        <f>ROUNDDOWN(U49/4,-3)</f>
        <v>0</v>
      </c>
      <c r="W49">
        <f>IF(AND(A49&lt;=U49,U49&lt;=G49),1,0)</f>
        <v>1</v>
      </c>
      <c r="X49" s="21">
        <f>L49</f>
        <v>0</v>
      </c>
      <c r="Y49" s="20">
        <f t="shared" ref="Y49:Y54" si="13">X49*W49</f>
        <v>0</v>
      </c>
      <c r="Z49" s="69">
        <f>IF(U49&gt;550000,1,0)</f>
        <v>0</v>
      </c>
    </row>
    <row r="50" spans="1:26">
      <c r="A50" s="250">
        <v>651000</v>
      </c>
      <c r="B50" s="250"/>
      <c r="C50" s="250"/>
      <c r="D50" s="250"/>
      <c r="E50" s="250"/>
      <c r="F50" s="15" t="s">
        <v>38</v>
      </c>
      <c r="G50" s="251">
        <v>1899999</v>
      </c>
      <c r="H50" s="251"/>
      <c r="I50" s="251"/>
      <c r="J50" s="251"/>
      <c r="K50" s="252"/>
      <c r="L50" s="252" t="s">
        <v>192</v>
      </c>
      <c r="M50" s="253"/>
      <c r="N50" s="253"/>
      <c r="O50" s="253"/>
      <c r="P50" s="253"/>
      <c r="Q50" s="253"/>
      <c r="R50" s="253"/>
      <c r="S50" s="254"/>
      <c r="U50" s="19">
        <f>U49</f>
        <v>0</v>
      </c>
      <c r="V50" s="19">
        <f t="shared" ref="V50:V52" si="14">ROUNDDOWN(U50/4,-3)</f>
        <v>0</v>
      </c>
      <c r="W50">
        <f>IF(AND(A50&lt;=U50,U50&lt;=G50),1,0)</f>
        <v>0</v>
      </c>
      <c r="X50" s="66">
        <f>U50-650000</f>
        <v>-650000</v>
      </c>
      <c r="Y50" s="20">
        <f t="shared" si="13"/>
        <v>0</v>
      </c>
    </row>
    <row r="51" spans="1:26">
      <c r="A51" s="250">
        <v>1900000</v>
      </c>
      <c r="B51" s="250"/>
      <c r="C51" s="250"/>
      <c r="D51" s="250"/>
      <c r="E51" s="250"/>
      <c r="F51" s="15" t="s">
        <v>38</v>
      </c>
      <c r="G51" s="243">
        <v>3599999</v>
      </c>
      <c r="H51" s="243"/>
      <c r="I51" s="243"/>
      <c r="J51" s="243"/>
      <c r="K51" s="244"/>
      <c r="L51" s="244" t="s">
        <v>118</v>
      </c>
      <c r="M51" s="245"/>
      <c r="N51" s="245"/>
      <c r="O51" s="245"/>
      <c r="P51" s="245"/>
      <c r="Q51" s="245"/>
      <c r="R51" s="245"/>
      <c r="S51" s="246"/>
      <c r="U51" s="19">
        <f t="shared" ref="U51:U54" si="15">U50</f>
        <v>0</v>
      </c>
      <c r="V51" s="19">
        <f t="shared" si="14"/>
        <v>0</v>
      </c>
      <c r="W51">
        <f>IF(AND(A51&lt;=U51,U51&lt;=G51),1,0)</f>
        <v>0</v>
      </c>
      <c r="X51" s="21">
        <f>V51*2.8-80000</f>
        <v>-80000</v>
      </c>
      <c r="Y51" s="20">
        <f t="shared" si="13"/>
        <v>0</v>
      </c>
    </row>
    <row r="52" spans="1:26">
      <c r="A52" s="247">
        <v>3600000</v>
      </c>
      <c r="B52" s="248"/>
      <c r="C52" s="248"/>
      <c r="D52" s="248"/>
      <c r="E52" s="249"/>
      <c r="F52" s="15" t="s">
        <v>38</v>
      </c>
      <c r="G52" s="247">
        <v>6599999</v>
      </c>
      <c r="H52" s="248"/>
      <c r="I52" s="248"/>
      <c r="J52" s="248"/>
      <c r="K52" s="249"/>
      <c r="L52" s="244" t="s">
        <v>119</v>
      </c>
      <c r="M52" s="245"/>
      <c r="N52" s="245"/>
      <c r="O52" s="245"/>
      <c r="P52" s="245"/>
      <c r="Q52" s="245"/>
      <c r="R52" s="245"/>
      <c r="S52" s="246"/>
      <c r="U52" s="19">
        <f t="shared" si="15"/>
        <v>0</v>
      </c>
      <c r="V52" s="19">
        <f t="shared" si="14"/>
        <v>0</v>
      </c>
      <c r="W52">
        <f>IF(AND(A52&lt;=U52,U52&lt;=G52),1,0)</f>
        <v>0</v>
      </c>
      <c r="X52" s="21">
        <f>V52*3.2-440000</f>
        <v>-440000</v>
      </c>
      <c r="Y52" s="20">
        <f t="shared" si="13"/>
        <v>0</v>
      </c>
    </row>
    <row r="53" spans="1:26">
      <c r="A53" s="243">
        <v>6600000</v>
      </c>
      <c r="B53" s="243"/>
      <c r="C53" s="243"/>
      <c r="D53" s="243"/>
      <c r="E53" s="243"/>
      <c r="F53" s="15" t="s">
        <v>38</v>
      </c>
      <c r="G53" s="243">
        <v>8499999</v>
      </c>
      <c r="H53" s="243"/>
      <c r="I53" s="243"/>
      <c r="J53" s="243"/>
      <c r="K53" s="244"/>
      <c r="L53" s="244" t="s">
        <v>120</v>
      </c>
      <c r="M53" s="245"/>
      <c r="N53" s="245"/>
      <c r="O53" s="245"/>
      <c r="P53" s="245"/>
      <c r="Q53" s="245"/>
      <c r="R53" s="245"/>
      <c r="S53" s="246"/>
      <c r="U53" s="19">
        <f t="shared" si="15"/>
        <v>0</v>
      </c>
      <c r="V53" s="19">
        <f>ROUNDDOWN(U53/4,-3)</f>
        <v>0</v>
      </c>
      <c r="W53">
        <f>IF(AND(A53&lt;=U53,U53&lt;=G53),1,0)</f>
        <v>0</v>
      </c>
      <c r="X53" s="21">
        <f>U53*0.9-1100000</f>
        <v>-1100000</v>
      </c>
      <c r="Y53" s="20">
        <f t="shared" si="13"/>
        <v>0</v>
      </c>
    </row>
    <row r="54" spans="1:26">
      <c r="A54" s="243">
        <v>8500000</v>
      </c>
      <c r="B54" s="243"/>
      <c r="C54" s="243"/>
      <c r="D54" s="243"/>
      <c r="E54" s="243"/>
      <c r="F54" s="15" t="s">
        <v>38</v>
      </c>
      <c r="G54" s="243"/>
      <c r="H54" s="243"/>
      <c r="I54" s="243"/>
      <c r="J54" s="243"/>
      <c r="K54" s="247"/>
      <c r="L54" s="244" t="s">
        <v>121</v>
      </c>
      <c r="M54" s="245"/>
      <c r="N54" s="245"/>
      <c r="O54" s="245"/>
      <c r="P54" s="245"/>
      <c r="Q54" s="245"/>
      <c r="R54" s="245"/>
      <c r="S54" s="246"/>
      <c r="U54" s="19">
        <f t="shared" si="15"/>
        <v>0</v>
      </c>
      <c r="V54" s="19">
        <f t="shared" ref="V54" si="16">ROUNDDOWN(U54/4,-3)</f>
        <v>0</v>
      </c>
      <c r="W54">
        <f>IF(A54&lt;=U54,1,0)</f>
        <v>0</v>
      </c>
      <c r="X54" s="21">
        <f>U54-1950000</f>
        <v>-1950000</v>
      </c>
      <c r="Y54" s="20">
        <f t="shared" si="13"/>
        <v>0</v>
      </c>
    </row>
    <row r="55" spans="1:26">
      <c r="A55" s="243"/>
      <c r="B55" s="243"/>
      <c r="C55" s="243"/>
      <c r="D55" s="243"/>
      <c r="E55" s="243"/>
      <c r="F55" s="15"/>
      <c r="G55" s="243"/>
      <c r="H55" s="243"/>
      <c r="I55" s="243"/>
      <c r="J55" s="243"/>
      <c r="K55" s="244"/>
      <c r="L55" s="244"/>
      <c r="M55" s="245"/>
      <c r="N55" s="245"/>
      <c r="O55" s="245"/>
      <c r="P55" s="245"/>
      <c r="Q55" s="245"/>
      <c r="R55" s="245"/>
      <c r="S55" s="246"/>
    </row>
    <row r="56" spans="1:26">
      <c r="A56" s="243"/>
      <c r="B56" s="243"/>
      <c r="C56" s="243"/>
      <c r="D56" s="243"/>
      <c r="E56" s="243"/>
      <c r="F56" s="15"/>
      <c r="G56" s="243"/>
      <c r="H56" s="243"/>
      <c r="I56" s="243"/>
      <c r="J56" s="243"/>
      <c r="K56" s="247"/>
      <c r="L56" s="244"/>
      <c r="M56" s="245"/>
      <c r="N56" s="245"/>
      <c r="O56" s="245"/>
      <c r="P56" s="245"/>
      <c r="Q56" s="245"/>
      <c r="R56" s="245"/>
      <c r="S56" s="246"/>
    </row>
    <row r="57" spans="1:26">
      <c r="A57" s="243"/>
      <c r="B57" s="243"/>
      <c r="C57" s="243"/>
      <c r="D57" s="243"/>
      <c r="E57" s="243"/>
      <c r="F57" s="15"/>
      <c r="G57" s="243"/>
      <c r="H57" s="243"/>
      <c r="I57" s="243"/>
      <c r="J57" s="243"/>
      <c r="K57" s="244"/>
      <c r="L57" s="244"/>
      <c r="M57" s="245"/>
      <c r="N57" s="245"/>
      <c r="O57" s="245"/>
      <c r="P57" s="245"/>
      <c r="Q57" s="245"/>
      <c r="R57" s="245"/>
      <c r="S57" s="246"/>
    </row>
    <row r="58" spans="1:26">
      <c r="A58" s="243"/>
      <c r="B58" s="243"/>
      <c r="C58" s="243"/>
      <c r="D58" s="243"/>
      <c r="E58" s="243"/>
      <c r="F58" s="15"/>
      <c r="G58" s="243"/>
      <c r="H58" s="243"/>
      <c r="I58" s="243"/>
      <c r="J58" s="243"/>
      <c r="K58" s="244"/>
      <c r="L58" s="244"/>
      <c r="M58" s="245"/>
      <c r="N58" s="245"/>
      <c r="O58" s="245"/>
      <c r="P58" s="245"/>
      <c r="Q58" s="245"/>
      <c r="R58" s="245"/>
      <c r="S58" s="246"/>
    </row>
    <row r="59" spans="1:26" ht="18.600000000000001" thickBot="1">
      <c r="A59" s="243"/>
      <c r="B59" s="243"/>
      <c r="C59" s="243"/>
      <c r="D59" s="243"/>
      <c r="E59" s="243"/>
      <c r="F59" s="15"/>
      <c r="G59" s="243"/>
      <c r="H59" s="243"/>
      <c r="I59" s="243"/>
      <c r="J59" s="243"/>
      <c r="K59" s="247"/>
      <c r="L59" s="244"/>
      <c r="M59" s="245"/>
      <c r="N59" s="245"/>
      <c r="O59" s="245"/>
      <c r="P59" s="245"/>
      <c r="Q59" s="245"/>
      <c r="R59" s="245"/>
      <c r="S59" s="246"/>
    </row>
    <row r="60" spans="1:26" ht="18.600000000000001" thickBot="1">
      <c r="A60" s="16" t="s">
        <v>122</v>
      </c>
      <c r="X60" s="22" t="s">
        <v>128</v>
      </c>
      <c r="Y60" s="23">
        <f>SUM(Y49:Y59)</f>
        <v>0</v>
      </c>
    </row>
    <row r="62" spans="1:26">
      <c r="U62" s="18" t="s">
        <v>136</v>
      </c>
      <c r="V62" s="18"/>
    </row>
    <row r="63" spans="1:26" ht="18.600000000000001" thickBot="1">
      <c r="L63" s="255" t="s">
        <v>39</v>
      </c>
      <c r="M63" s="256"/>
      <c r="N63" s="256"/>
      <c r="O63" s="256"/>
      <c r="P63" s="256"/>
      <c r="Q63" s="256"/>
      <c r="R63" s="256"/>
      <c r="S63" s="257"/>
      <c r="U63" s="19" t="s">
        <v>123</v>
      </c>
      <c r="V63" s="19" t="s">
        <v>127</v>
      </c>
      <c r="W63" s="17" t="s">
        <v>125</v>
      </c>
      <c r="X63" s="258" t="s">
        <v>126</v>
      </c>
      <c r="Y63" s="258"/>
      <c r="Z63" t="s">
        <v>206</v>
      </c>
    </row>
    <row r="64" spans="1:26" ht="18.600000000000001" thickBot="1">
      <c r="A64" s="243">
        <v>0</v>
      </c>
      <c r="B64" s="243"/>
      <c r="C64" s="243"/>
      <c r="D64" s="243"/>
      <c r="E64" s="243"/>
      <c r="F64" s="15" t="s">
        <v>38</v>
      </c>
      <c r="G64" s="251">
        <v>650999</v>
      </c>
      <c r="H64" s="251"/>
      <c r="I64" s="251"/>
      <c r="J64" s="251"/>
      <c r="K64" s="252"/>
      <c r="L64" s="244">
        <v>0</v>
      </c>
      <c r="M64" s="245"/>
      <c r="N64" s="245"/>
      <c r="O64" s="245"/>
      <c r="P64" s="245"/>
      <c r="Q64" s="245"/>
      <c r="R64" s="245"/>
      <c r="S64" s="246"/>
      <c r="U64" s="19">
        <f>試算!Q67</f>
        <v>0</v>
      </c>
      <c r="V64" s="19">
        <f>ROUNDDOWN(U64/4,-3)</f>
        <v>0</v>
      </c>
      <c r="W64">
        <f>IF(AND(A64&lt;=U64,U64&lt;=G64),1,0)</f>
        <v>1</v>
      </c>
      <c r="X64" s="21">
        <f>L64</f>
        <v>0</v>
      </c>
      <c r="Y64" s="20">
        <f t="shared" ref="Y64:Y69" si="17">X64*W64</f>
        <v>0</v>
      </c>
      <c r="Z64" s="69">
        <f>IF(U64&gt;550000,1,0)</f>
        <v>0</v>
      </c>
    </row>
    <row r="65" spans="1:26">
      <c r="A65" s="250">
        <v>651000</v>
      </c>
      <c r="B65" s="250"/>
      <c r="C65" s="250"/>
      <c r="D65" s="250"/>
      <c r="E65" s="250"/>
      <c r="F65" s="15" t="s">
        <v>38</v>
      </c>
      <c r="G65" s="251">
        <v>1899999</v>
      </c>
      <c r="H65" s="251"/>
      <c r="I65" s="251"/>
      <c r="J65" s="251"/>
      <c r="K65" s="252"/>
      <c r="L65" s="252" t="s">
        <v>192</v>
      </c>
      <c r="M65" s="253"/>
      <c r="N65" s="253"/>
      <c r="O65" s="253"/>
      <c r="P65" s="253"/>
      <c r="Q65" s="253"/>
      <c r="R65" s="253"/>
      <c r="S65" s="254"/>
      <c r="U65" s="19">
        <f>U64</f>
        <v>0</v>
      </c>
      <c r="V65" s="19">
        <f t="shared" ref="V65:V67" si="18">ROUNDDOWN(U65/4,-3)</f>
        <v>0</v>
      </c>
      <c r="W65">
        <f>IF(AND(A65&lt;=U65,U65&lt;=G65),1,0)</f>
        <v>0</v>
      </c>
      <c r="X65" s="66">
        <f>U65-650000</f>
        <v>-650000</v>
      </c>
      <c r="Y65" s="20">
        <f t="shared" si="17"/>
        <v>0</v>
      </c>
    </row>
    <row r="66" spans="1:26">
      <c r="A66" s="250">
        <v>1900000</v>
      </c>
      <c r="B66" s="250"/>
      <c r="C66" s="250"/>
      <c r="D66" s="250"/>
      <c r="E66" s="250"/>
      <c r="F66" s="15" t="s">
        <v>38</v>
      </c>
      <c r="G66" s="243">
        <v>3599999</v>
      </c>
      <c r="H66" s="243"/>
      <c r="I66" s="243"/>
      <c r="J66" s="243"/>
      <c r="K66" s="244"/>
      <c r="L66" s="244" t="s">
        <v>118</v>
      </c>
      <c r="M66" s="245"/>
      <c r="N66" s="245"/>
      <c r="O66" s="245"/>
      <c r="P66" s="245"/>
      <c r="Q66" s="245"/>
      <c r="R66" s="245"/>
      <c r="S66" s="246"/>
      <c r="U66" s="19">
        <f t="shared" ref="U66:U69" si="19">U65</f>
        <v>0</v>
      </c>
      <c r="V66" s="19">
        <f t="shared" si="18"/>
        <v>0</v>
      </c>
      <c r="W66">
        <f>IF(AND(A66&lt;=U66,U66&lt;=G66),1,0)</f>
        <v>0</v>
      </c>
      <c r="X66" s="21">
        <f>V66*2.8-80000</f>
        <v>-80000</v>
      </c>
      <c r="Y66" s="20">
        <f t="shared" si="17"/>
        <v>0</v>
      </c>
    </row>
    <row r="67" spans="1:26">
      <c r="A67" s="247">
        <v>3600000</v>
      </c>
      <c r="B67" s="248"/>
      <c r="C67" s="248"/>
      <c r="D67" s="248"/>
      <c r="E67" s="249"/>
      <c r="F67" s="15" t="s">
        <v>38</v>
      </c>
      <c r="G67" s="247">
        <v>6599999</v>
      </c>
      <c r="H67" s="248"/>
      <c r="I67" s="248"/>
      <c r="J67" s="248"/>
      <c r="K67" s="249"/>
      <c r="L67" s="244" t="s">
        <v>119</v>
      </c>
      <c r="M67" s="245"/>
      <c r="N67" s="245"/>
      <c r="O67" s="245"/>
      <c r="P67" s="245"/>
      <c r="Q67" s="245"/>
      <c r="R67" s="245"/>
      <c r="S67" s="246"/>
      <c r="U67" s="19">
        <f t="shared" si="19"/>
        <v>0</v>
      </c>
      <c r="V67" s="19">
        <f t="shared" si="18"/>
        <v>0</v>
      </c>
      <c r="W67">
        <f>IF(AND(A67&lt;=U67,U67&lt;=G67),1,0)</f>
        <v>0</v>
      </c>
      <c r="X67" s="21">
        <f>V67*3.2-440000</f>
        <v>-440000</v>
      </c>
      <c r="Y67" s="20">
        <f t="shared" si="17"/>
        <v>0</v>
      </c>
    </row>
    <row r="68" spans="1:26">
      <c r="A68" s="243">
        <v>6600000</v>
      </c>
      <c r="B68" s="243"/>
      <c r="C68" s="243"/>
      <c r="D68" s="243"/>
      <c r="E68" s="243"/>
      <c r="F68" s="15" t="s">
        <v>38</v>
      </c>
      <c r="G68" s="243">
        <v>8499999</v>
      </c>
      <c r="H68" s="243"/>
      <c r="I68" s="243"/>
      <c r="J68" s="243"/>
      <c r="K68" s="244"/>
      <c r="L68" s="244" t="s">
        <v>120</v>
      </c>
      <c r="M68" s="245"/>
      <c r="N68" s="245"/>
      <c r="O68" s="245"/>
      <c r="P68" s="245"/>
      <c r="Q68" s="245"/>
      <c r="R68" s="245"/>
      <c r="S68" s="246"/>
      <c r="U68" s="19">
        <f t="shared" si="19"/>
        <v>0</v>
      </c>
      <c r="V68" s="19">
        <f>ROUNDDOWN(U68/4,-3)</f>
        <v>0</v>
      </c>
      <c r="W68">
        <f>IF(AND(A68&lt;=U68,U68&lt;=G68),1,0)</f>
        <v>0</v>
      </c>
      <c r="X68" s="21">
        <f>U68*0.9-1100000</f>
        <v>-1100000</v>
      </c>
      <c r="Y68" s="20">
        <f t="shared" si="17"/>
        <v>0</v>
      </c>
    </row>
    <row r="69" spans="1:26">
      <c r="A69" s="243">
        <v>8500000</v>
      </c>
      <c r="B69" s="243"/>
      <c r="C69" s="243"/>
      <c r="D69" s="243"/>
      <c r="E69" s="243"/>
      <c r="F69" s="15" t="s">
        <v>38</v>
      </c>
      <c r="G69" s="243"/>
      <c r="H69" s="243"/>
      <c r="I69" s="243"/>
      <c r="J69" s="243"/>
      <c r="K69" s="247"/>
      <c r="L69" s="244" t="s">
        <v>121</v>
      </c>
      <c r="M69" s="245"/>
      <c r="N69" s="245"/>
      <c r="O69" s="245"/>
      <c r="P69" s="245"/>
      <c r="Q69" s="245"/>
      <c r="R69" s="245"/>
      <c r="S69" s="246"/>
      <c r="U69" s="19">
        <f t="shared" si="19"/>
        <v>0</v>
      </c>
      <c r="V69" s="19">
        <f t="shared" ref="V69" si="20">ROUNDDOWN(U69/4,-3)</f>
        <v>0</v>
      </c>
      <c r="W69">
        <f>IF(A69&lt;=U69,1,0)</f>
        <v>0</v>
      </c>
      <c r="X69" s="21">
        <f>U69-1950000</f>
        <v>-1950000</v>
      </c>
      <c r="Y69" s="20">
        <f t="shared" si="17"/>
        <v>0</v>
      </c>
    </row>
    <row r="70" spans="1:26">
      <c r="A70" s="243"/>
      <c r="B70" s="243"/>
      <c r="C70" s="243"/>
      <c r="D70" s="243"/>
      <c r="E70" s="243"/>
      <c r="F70" s="15"/>
      <c r="G70" s="243"/>
      <c r="H70" s="243"/>
      <c r="I70" s="243"/>
      <c r="J70" s="243"/>
      <c r="K70" s="244"/>
      <c r="L70" s="244"/>
      <c r="M70" s="245"/>
      <c r="N70" s="245"/>
      <c r="O70" s="245"/>
      <c r="P70" s="245"/>
      <c r="Q70" s="245"/>
      <c r="R70" s="245"/>
      <c r="S70" s="246"/>
    </row>
    <row r="71" spans="1:26">
      <c r="A71" s="243"/>
      <c r="B71" s="243"/>
      <c r="C71" s="243"/>
      <c r="D71" s="243"/>
      <c r="E71" s="243"/>
      <c r="F71" s="15"/>
      <c r="G71" s="243"/>
      <c r="H71" s="243"/>
      <c r="I71" s="243"/>
      <c r="J71" s="243"/>
      <c r="K71" s="247"/>
      <c r="L71" s="244"/>
      <c r="M71" s="245"/>
      <c r="N71" s="245"/>
      <c r="O71" s="245"/>
      <c r="P71" s="245"/>
      <c r="Q71" s="245"/>
      <c r="R71" s="245"/>
      <c r="S71" s="246"/>
    </row>
    <row r="72" spans="1:26">
      <c r="A72" s="243"/>
      <c r="B72" s="243"/>
      <c r="C72" s="243"/>
      <c r="D72" s="243"/>
      <c r="E72" s="243"/>
      <c r="F72" s="15"/>
      <c r="G72" s="243"/>
      <c r="H72" s="243"/>
      <c r="I72" s="243"/>
      <c r="J72" s="243"/>
      <c r="K72" s="244"/>
      <c r="L72" s="244"/>
      <c r="M72" s="245"/>
      <c r="N72" s="245"/>
      <c r="O72" s="245"/>
      <c r="P72" s="245"/>
      <c r="Q72" s="245"/>
      <c r="R72" s="245"/>
      <c r="S72" s="246"/>
    </row>
    <row r="73" spans="1:26">
      <c r="A73" s="243"/>
      <c r="B73" s="243"/>
      <c r="C73" s="243"/>
      <c r="D73" s="243"/>
      <c r="E73" s="243"/>
      <c r="F73" s="15"/>
      <c r="G73" s="243"/>
      <c r="H73" s="243"/>
      <c r="I73" s="243"/>
      <c r="J73" s="243"/>
      <c r="K73" s="244"/>
      <c r="L73" s="244"/>
      <c r="M73" s="245"/>
      <c r="N73" s="245"/>
      <c r="O73" s="245"/>
      <c r="P73" s="245"/>
      <c r="Q73" s="245"/>
      <c r="R73" s="245"/>
      <c r="S73" s="246"/>
    </row>
    <row r="74" spans="1:26" ht="18.600000000000001" thickBot="1">
      <c r="A74" s="243"/>
      <c r="B74" s="243"/>
      <c r="C74" s="243"/>
      <c r="D74" s="243"/>
      <c r="E74" s="243"/>
      <c r="F74" s="15"/>
      <c r="G74" s="243"/>
      <c r="H74" s="243"/>
      <c r="I74" s="243"/>
      <c r="J74" s="243"/>
      <c r="K74" s="247"/>
      <c r="L74" s="244"/>
      <c r="M74" s="245"/>
      <c r="N74" s="245"/>
      <c r="O74" s="245"/>
      <c r="P74" s="245"/>
      <c r="Q74" s="245"/>
      <c r="R74" s="245"/>
      <c r="S74" s="246"/>
    </row>
    <row r="75" spans="1:26" ht="18.600000000000001" thickBot="1">
      <c r="A75" s="16" t="s">
        <v>122</v>
      </c>
      <c r="X75" s="22" t="s">
        <v>128</v>
      </c>
      <c r="Y75" s="23">
        <f>SUM(Y64:Y74)</f>
        <v>0</v>
      </c>
    </row>
    <row r="77" spans="1:26">
      <c r="U77" s="18" t="s">
        <v>187</v>
      </c>
      <c r="V77" s="18"/>
    </row>
    <row r="78" spans="1:26" ht="18.600000000000001" thickBot="1">
      <c r="L78" s="255" t="s">
        <v>39</v>
      </c>
      <c r="M78" s="256"/>
      <c r="N78" s="256"/>
      <c r="O78" s="256"/>
      <c r="P78" s="256"/>
      <c r="Q78" s="256"/>
      <c r="R78" s="256"/>
      <c r="S78" s="257"/>
      <c r="U78" s="19" t="s">
        <v>123</v>
      </c>
      <c r="V78" s="19" t="s">
        <v>127</v>
      </c>
      <c r="W78" s="17" t="s">
        <v>125</v>
      </c>
      <c r="X78" s="258" t="s">
        <v>126</v>
      </c>
      <c r="Y78" s="258"/>
      <c r="Z78" t="s">
        <v>206</v>
      </c>
    </row>
    <row r="79" spans="1:26" ht="18.600000000000001" thickBot="1">
      <c r="A79" s="243">
        <v>0</v>
      </c>
      <c r="B79" s="243"/>
      <c r="C79" s="243"/>
      <c r="D79" s="243"/>
      <c r="E79" s="243"/>
      <c r="F79" s="15" t="s">
        <v>38</v>
      </c>
      <c r="G79" s="251">
        <v>650999</v>
      </c>
      <c r="H79" s="251"/>
      <c r="I79" s="251"/>
      <c r="J79" s="251"/>
      <c r="K79" s="252"/>
      <c r="L79" s="244">
        <v>0</v>
      </c>
      <c r="M79" s="245"/>
      <c r="N79" s="245"/>
      <c r="O79" s="245"/>
      <c r="P79" s="245"/>
      <c r="Q79" s="245"/>
      <c r="R79" s="245"/>
      <c r="S79" s="246"/>
      <c r="U79" s="19">
        <f>試算!Q82</f>
        <v>0</v>
      </c>
      <c r="V79" s="19">
        <f>ROUNDDOWN(U79/4,-3)</f>
        <v>0</v>
      </c>
      <c r="W79">
        <f>IF(AND(A79&lt;=U79,U79&lt;=G79),1,0)</f>
        <v>1</v>
      </c>
      <c r="X79" s="21">
        <f>L79</f>
        <v>0</v>
      </c>
      <c r="Y79" s="20">
        <f t="shared" ref="Y79:Y84" si="21">X79*W79</f>
        <v>0</v>
      </c>
      <c r="Z79" s="69">
        <f>IF(U79&gt;550000,1,0)</f>
        <v>0</v>
      </c>
    </row>
    <row r="80" spans="1:26">
      <c r="A80" s="250">
        <v>651000</v>
      </c>
      <c r="B80" s="250"/>
      <c r="C80" s="250"/>
      <c r="D80" s="250"/>
      <c r="E80" s="250"/>
      <c r="F80" s="15" t="s">
        <v>38</v>
      </c>
      <c r="G80" s="251">
        <v>1899999</v>
      </c>
      <c r="H80" s="251"/>
      <c r="I80" s="251"/>
      <c r="J80" s="251"/>
      <c r="K80" s="252"/>
      <c r="L80" s="252" t="s">
        <v>192</v>
      </c>
      <c r="M80" s="253"/>
      <c r="N80" s="253"/>
      <c r="O80" s="253"/>
      <c r="P80" s="253"/>
      <c r="Q80" s="253"/>
      <c r="R80" s="253"/>
      <c r="S80" s="254"/>
      <c r="U80" s="19">
        <f>U79</f>
        <v>0</v>
      </c>
      <c r="V80" s="19">
        <f t="shared" ref="V80:V82" si="22">ROUNDDOWN(U80/4,-3)</f>
        <v>0</v>
      </c>
      <c r="W80">
        <f>IF(AND(A80&lt;=U80,U80&lt;=G80),1,0)</f>
        <v>0</v>
      </c>
      <c r="X80" s="66">
        <f>U80-650000</f>
        <v>-650000</v>
      </c>
      <c r="Y80" s="20">
        <f t="shared" si="21"/>
        <v>0</v>
      </c>
    </row>
    <row r="81" spans="1:26">
      <c r="A81" s="250">
        <v>1900000</v>
      </c>
      <c r="B81" s="250"/>
      <c r="C81" s="250"/>
      <c r="D81" s="250"/>
      <c r="E81" s="250"/>
      <c r="F81" s="15" t="s">
        <v>38</v>
      </c>
      <c r="G81" s="243">
        <v>3599999</v>
      </c>
      <c r="H81" s="243"/>
      <c r="I81" s="243"/>
      <c r="J81" s="243"/>
      <c r="K81" s="244"/>
      <c r="L81" s="244" t="s">
        <v>118</v>
      </c>
      <c r="M81" s="245"/>
      <c r="N81" s="245"/>
      <c r="O81" s="245"/>
      <c r="P81" s="245"/>
      <c r="Q81" s="245"/>
      <c r="R81" s="245"/>
      <c r="S81" s="246"/>
      <c r="U81" s="19">
        <f t="shared" ref="U81:U84" si="23">U80</f>
        <v>0</v>
      </c>
      <c r="V81" s="19">
        <f t="shared" si="22"/>
        <v>0</v>
      </c>
      <c r="W81">
        <f>IF(AND(A81&lt;=U81,U81&lt;=G81),1,0)</f>
        <v>0</v>
      </c>
      <c r="X81" s="21">
        <f>V81*2.8-80000</f>
        <v>-80000</v>
      </c>
      <c r="Y81" s="20">
        <f t="shared" si="21"/>
        <v>0</v>
      </c>
    </row>
    <row r="82" spans="1:26">
      <c r="A82" s="247">
        <v>3600000</v>
      </c>
      <c r="B82" s="248"/>
      <c r="C82" s="248"/>
      <c r="D82" s="248"/>
      <c r="E82" s="249"/>
      <c r="F82" s="15" t="s">
        <v>38</v>
      </c>
      <c r="G82" s="247">
        <v>6599999</v>
      </c>
      <c r="H82" s="248"/>
      <c r="I82" s="248"/>
      <c r="J82" s="248"/>
      <c r="K82" s="249"/>
      <c r="L82" s="244" t="s">
        <v>119</v>
      </c>
      <c r="M82" s="245"/>
      <c r="N82" s="245"/>
      <c r="O82" s="245"/>
      <c r="P82" s="245"/>
      <c r="Q82" s="245"/>
      <c r="R82" s="245"/>
      <c r="S82" s="246"/>
      <c r="U82" s="19">
        <f t="shared" si="23"/>
        <v>0</v>
      </c>
      <c r="V82" s="19">
        <f t="shared" si="22"/>
        <v>0</v>
      </c>
      <c r="W82">
        <f>IF(AND(A82&lt;=U82,U82&lt;=G82),1,0)</f>
        <v>0</v>
      </c>
      <c r="X82" s="21">
        <f>V82*3.2-440000</f>
        <v>-440000</v>
      </c>
      <c r="Y82" s="20">
        <f t="shared" si="21"/>
        <v>0</v>
      </c>
    </row>
    <row r="83" spans="1:26">
      <c r="A83" s="243">
        <v>6600000</v>
      </c>
      <c r="B83" s="243"/>
      <c r="C83" s="243"/>
      <c r="D83" s="243"/>
      <c r="E83" s="243"/>
      <c r="F83" s="15" t="s">
        <v>38</v>
      </c>
      <c r="G83" s="243">
        <v>8499999</v>
      </c>
      <c r="H83" s="243"/>
      <c r="I83" s="243"/>
      <c r="J83" s="243"/>
      <c r="K83" s="244"/>
      <c r="L83" s="244" t="s">
        <v>120</v>
      </c>
      <c r="M83" s="245"/>
      <c r="N83" s="245"/>
      <c r="O83" s="245"/>
      <c r="P83" s="245"/>
      <c r="Q83" s="245"/>
      <c r="R83" s="245"/>
      <c r="S83" s="246"/>
      <c r="U83" s="19">
        <f t="shared" si="23"/>
        <v>0</v>
      </c>
      <c r="V83" s="19">
        <f>ROUNDDOWN(U83/4,-3)</f>
        <v>0</v>
      </c>
      <c r="W83">
        <f>IF(AND(A83&lt;=U83,U83&lt;=G83),1,0)</f>
        <v>0</v>
      </c>
      <c r="X83" s="21">
        <f>U83*0.9-1100000</f>
        <v>-1100000</v>
      </c>
      <c r="Y83" s="20">
        <f t="shared" si="21"/>
        <v>0</v>
      </c>
    </row>
    <row r="84" spans="1:26">
      <c r="A84" s="243">
        <v>8500000</v>
      </c>
      <c r="B84" s="243"/>
      <c r="C84" s="243"/>
      <c r="D84" s="243"/>
      <c r="E84" s="243"/>
      <c r="F84" s="15" t="s">
        <v>38</v>
      </c>
      <c r="G84" s="243"/>
      <c r="H84" s="243"/>
      <c r="I84" s="243"/>
      <c r="J84" s="243"/>
      <c r="K84" s="247"/>
      <c r="L84" s="244" t="s">
        <v>121</v>
      </c>
      <c r="M84" s="245"/>
      <c r="N84" s="245"/>
      <c r="O84" s="245"/>
      <c r="P84" s="245"/>
      <c r="Q84" s="245"/>
      <c r="R84" s="245"/>
      <c r="S84" s="246"/>
      <c r="U84" s="19">
        <f t="shared" si="23"/>
        <v>0</v>
      </c>
      <c r="V84" s="19">
        <f t="shared" ref="V84" si="24">ROUNDDOWN(U84/4,-3)</f>
        <v>0</v>
      </c>
      <c r="W84">
        <f>IF(A84&lt;=U84,1,0)</f>
        <v>0</v>
      </c>
      <c r="X84" s="21">
        <f>U84-1950000</f>
        <v>-1950000</v>
      </c>
      <c r="Y84" s="20">
        <f t="shared" si="21"/>
        <v>0</v>
      </c>
    </row>
    <row r="85" spans="1:26">
      <c r="A85" s="243"/>
      <c r="B85" s="243"/>
      <c r="C85" s="243"/>
      <c r="D85" s="243"/>
      <c r="E85" s="243"/>
      <c r="F85" s="15"/>
      <c r="G85" s="243"/>
      <c r="H85" s="243"/>
      <c r="I85" s="243"/>
      <c r="J85" s="243"/>
      <c r="K85" s="244"/>
      <c r="L85" s="244"/>
      <c r="M85" s="245"/>
      <c r="N85" s="245"/>
      <c r="O85" s="245"/>
      <c r="P85" s="245"/>
      <c r="Q85" s="245"/>
      <c r="R85" s="245"/>
      <c r="S85" s="246"/>
    </row>
    <row r="86" spans="1:26">
      <c r="A86" s="243"/>
      <c r="B86" s="243"/>
      <c r="C86" s="243"/>
      <c r="D86" s="243"/>
      <c r="E86" s="243"/>
      <c r="F86" s="15"/>
      <c r="G86" s="243"/>
      <c r="H86" s="243"/>
      <c r="I86" s="243"/>
      <c r="J86" s="243"/>
      <c r="K86" s="247"/>
      <c r="L86" s="244"/>
      <c r="M86" s="245"/>
      <c r="N86" s="245"/>
      <c r="O86" s="245"/>
      <c r="P86" s="245"/>
      <c r="Q86" s="245"/>
      <c r="R86" s="245"/>
      <c r="S86" s="246"/>
    </row>
    <row r="87" spans="1:26">
      <c r="A87" s="243"/>
      <c r="B87" s="243"/>
      <c r="C87" s="243"/>
      <c r="D87" s="243"/>
      <c r="E87" s="243"/>
      <c r="F87" s="15"/>
      <c r="G87" s="243"/>
      <c r="H87" s="243"/>
      <c r="I87" s="243"/>
      <c r="J87" s="243"/>
      <c r="K87" s="244"/>
      <c r="L87" s="244"/>
      <c r="M87" s="245"/>
      <c r="N87" s="245"/>
      <c r="O87" s="245"/>
      <c r="P87" s="245"/>
      <c r="Q87" s="245"/>
      <c r="R87" s="245"/>
      <c r="S87" s="246"/>
    </row>
    <row r="88" spans="1:26">
      <c r="A88" s="243"/>
      <c r="B88" s="243"/>
      <c r="C88" s="243"/>
      <c r="D88" s="243"/>
      <c r="E88" s="243"/>
      <c r="F88" s="15"/>
      <c r="G88" s="243"/>
      <c r="H88" s="243"/>
      <c r="I88" s="243"/>
      <c r="J88" s="243"/>
      <c r="K88" s="244"/>
      <c r="L88" s="244"/>
      <c r="M88" s="245"/>
      <c r="N88" s="245"/>
      <c r="O88" s="245"/>
      <c r="P88" s="245"/>
      <c r="Q88" s="245"/>
      <c r="R88" s="245"/>
      <c r="S88" s="246"/>
    </row>
    <row r="89" spans="1:26" ht="18.600000000000001" thickBot="1">
      <c r="A89" s="243"/>
      <c r="B89" s="243"/>
      <c r="C89" s="243"/>
      <c r="D89" s="243"/>
      <c r="E89" s="243"/>
      <c r="F89" s="15"/>
      <c r="G89" s="243"/>
      <c r="H89" s="243"/>
      <c r="I89" s="243"/>
      <c r="J89" s="243"/>
      <c r="K89" s="247"/>
      <c r="L89" s="244"/>
      <c r="M89" s="245"/>
      <c r="N89" s="245"/>
      <c r="O89" s="245"/>
      <c r="P89" s="245"/>
      <c r="Q89" s="245"/>
      <c r="R89" s="245"/>
      <c r="S89" s="246"/>
    </row>
    <row r="90" spans="1:26" ht="18.600000000000001" thickBot="1">
      <c r="A90" s="16" t="s">
        <v>122</v>
      </c>
      <c r="X90" s="22" t="s">
        <v>41</v>
      </c>
      <c r="Y90" s="23">
        <f>SUM(Y79:Y89)</f>
        <v>0</v>
      </c>
    </row>
    <row r="92" spans="1:26">
      <c r="U92" s="18" t="s">
        <v>188</v>
      </c>
      <c r="V92" s="18"/>
    </row>
    <row r="93" spans="1:26" ht="18.600000000000001" thickBot="1">
      <c r="L93" s="255" t="s">
        <v>39</v>
      </c>
      <c r="M93" s="256"/>
      <c r="N93" s="256"/>
      <c r="O93" s="256"/>
      <c r="P93" s="256"/>
      <c r="Q93" s="256"/>
      <c r="R93" s="256"/>
      <c r="S93" s="257"/>
      <c r="U93" s="19" t="s">
        <v>123</v>
      </c>
      <c r="V93" s="19" t="s">
        <v>127</v>
      </c>
      <c r="W93" s="17" t="s">
        <v>125</v>
      </c>
      <c r="X93" s="258" t="s">
        <v>126</v>
      </c>
      <c r="Y93" s="258"/>
      <c r="Z93" t="s">
        <v>206</v>
      </c>
    </row>
    <row r="94" spans="1:26" ht="18.600000000000001" thickBot="1">
      <c r="A94" s="243">
        <v>0</v>
      </c>
      <c r="B94" s="243"/>
      <c r="C94" s="243"/>
      <c r="D94" s="243"/>
      <c r="E94" s="243"/>
      <c r="F94" s="15" t="s">
        <v>38</v>
      </c>
      <c r="G94" s="251">
        <v>650999</v>
      </c>
      <c r="H94" s="251"/>
      <c r="I94" s="251"/>
      <c r="J94" s="251"/>
      <c r="K94" s="252"/>
      <c r="L94" s="244">
        <v>0</v>
      </c>
      <c r="M94" s="245"/>
      <c r="N94" s="245"/>
      <c r="O94" s="245"/>
      <c r="P94" s="245"/>
      <c r="Q94" s="245"/>
      <c r="R94" s="245"/>
      <c r="S94" s="246"/>
      <c r="U94" s="19">
        <f>試算!Q97</f>
        <v>0</v>
      </c>
      <c r="V94" s="19">
        <f>ROUNDDOWN(U94/4,-3)</f>
        <v>0</v>
      </c>
      <c r="W94">
        <f>IF(AND(A94&lt;=U94,U94&lt;=G94),1,0)</f>
        <v>1</v>
      </c>
      <c r="X94" s="21">
        <f>L94</f>
        <v>0</v>
      </c>
      <c r="Y94" s="20">
        <f t="shared" ref="Y94:Y99" si="25">X94*W94</f>
        <v>0</v>
      </c>
      <c r="Z94" s="69">
        <f>IF(U94&gt;550000,1,0)</f>
        <v>0</v>
      </c>
    </row>
    <row r="95" spans="1:26">
      <c r="A95" s="250">
        <v>651000</v>
      </c>
      <c r="B95" s="250"/>
      <c r="C95" s="250"/>
      <c r="D95" s="250"/>
      <c r="E95" s="250"/>
      <c r="F95" s="15" t="s">
        <v>38</v>
      </c>
      <c r="G95" s="251">
        <v>1899999</v>
      </c>
      <c r="H95" s="251"/>
      <c r="I95" s="251"/>
      <c r="J95" s="251"/>
      <c r="K95" s="252"/>
      <c r="L95" s="252" t="s">
        <v>192</v>
      </c>
      <c r="M95" s="253"/>
      <c r="N95" s="253"/>
      <c r="O95" s="253"/>
      <c r="P95" s="253"/>
      <c r="Q95" s="253"/>
      <c r="R95" s="253"/>
      <c r="S95" s="254"/>
      <c r="U95" s="19">
        <f>U94</f>
        <v>0</v>
      </c>
      <c r="V95" s="19">
        <f t="shared" ref="V95:V97" si="26">ROUNDDOWN(U95/4,-3)</f>
        <v>0</v>
      </c>
      <c r="W95">
        <f>IF(AND(A95&lt;=U95,U95&lt;=G95),1,0)</f>
        <v>0</v>
      </c>
      <c r="X95" s="66">
        <f>U95-650000</f>
        <v>-650000</v>
      </c>
      <c r="Y95" s="20">
        <f t="shared" si="25"/>
        <v>0</v>
      </c>
    </row>
    <row r="96" spans="1:26">
      <c r="A96" s="250">
        <v>1900000</v>
      </c>
      <c r="B96" s="250"/>
      <c r="C96" s="250"/>
      <c r="D96" s="250"/>
      <c r="E96" s="250"/>
      <c r="F96" s="15" t="s">
        <v>38</v>
      </c>
      <c r="G96" s="243">
        <v>3599999</v>
      </c>
      <c r="H96" s="243"/>
      <c r="I96" s="243"/>
      <c r="J96" s="243"/>
      <c r="K96" s="244"/>
      <c r="L96" s="244" t="s">
        <v>118</v>
      </c>
      <c r="M96" s="245"/>
      <c r="N96" s="245"/>
      <c r="O96" s="245"/>
      <c r="P96" s="245"/>
      <c r="Q96" s="245"/>
      <c r="R96" s="245"/>
      <c r="S96" s="246"/>
      <c r="U96" s="19">
        <f t="shared" ref="U96:U99" si="27">U95</f>
        <v>0</v>
      </c>
      <c r="V96" s="19">
        <f t="shared" si="26"/>
        <v>0</v>
      </c>
      <c r="W96">
        <f>IF(AND(A96&lt;=U96,U96&lt;=G96),1,0)</f>
        <v>0</v>
      </c>
      <c r="X96" s="21">
        <f>V96*2.8-80000</f>
        <v>-80000</v>
      </c>
      <c r="Y96" s="20">
        <f t="shared" si="25"/>
        <v>0</v>
      </c>
    </row>
    <row r="97" spans="1:26">
      <c r="A97" s="247">
        <v>3600000</v>
      </c>
      <c r="B97" s="248"/>
      <c r="C97" s="248"/>
      <c r="D97" s="248"/>
      <c r="E97" s="249"/>
      <c r="F97" s="15" t="s">
        <v>38</v>
      </c>
      <c r="G97" s="247">
        <v>6599999</v>
      </c>
      <c r="H97" s="248"/>
      <c r="I97" s="248"/>
      <c r="J97" s="248"/>
      <c r="K97" s="249"/>
      <c r="L97" s="244" t="s">
        <v>119</v>
      </c>
      <c r="M97" s="245"/>
      <c r="N97" s="245"/>
      <c r="O97" s="245"/>
      <c r="P97" s="245"/>
      <c r="Q97" s="245"/>
      <c r="R97" s="245"/>
      <c r="S97" s="246"/>
      <c r="U97" s="19">
        <f t="shared" si="27"/>
        <v>0</v>
      </c>
      <c r="V97" s="19">
        <f t="shared" si="26"/>
        <v>0</v>
      </c>
      <c r="W97">
        <f>IF(AND(A97&lt;=U97,U97&lt;=G97),1,0)</f>
        <v>0</v>
      </c>
      <c r="X97" s="21">
        <f>V97*3.2-440000</f>
        <v>-440000</v>
      </c>
      <c r="Y97" s="20">
        <f t="shared" si="25"/>
        <v>0</v>
      </c>
    </row>
    <row r="98" spans="1:26">
      <c r="A98" s="243">
        <v>6600000</v>
      </c>
      <c r="B98" s="243"/>
      <c r="C98" s="243"/>
      <c r="D98" s="243"/>
      <c r="E98" s="243"/>
      <c r="F98" s="15" t="s">
        <v>38</v>
      </c>
      <c r="G98" s="243">
        <v>8499999</v>
      </c>
      <c r="H98" s="243"/>
      <c r="I98" s="243"/>
      <c r="J98" s="243"/>
      <c r="K98" s="244"/>
      <c r="L98" s="244" t="s">
        <v>120</v>
      </c>
      <c r="M98" s="245"/>
      <c r="N98" s="245"/>
      <c r="O98" s="245"/>
      <c r="P98" s="245"/>
      <c r="Q98" s="245"/>
      <c r="R98" s="245"/>
      <c r="S98" s="246"/>
      <c r="U98" s="19">
        <f t="shared" si="27"/>
        <v>0</v>
      </c>
      <c r="V98" s="19">
        <f>ROUNDDOWN(U98/4,-3)</f>
        <v>0</v>
      </c>
      <c r="W98">
        <f>IF(AND(A98&lt;=U98,U98&lt;=G98),1,0)</f>
        <v>0</v>
      </c>
      <c r="X98" s="21">
        <f>U98*0.9-1100000</f>
        <v>-1100000</v>
      </c>
      <c r="Y98" s="20">
        <f t="shared" si="25"/>
        <v>0</v>
      </c>
    </row>
    <row r="99" spans="1:26">
      <c r="A99" s="243">
        <v>8500000</v>
      </c>
      <c r="B99" s="243"/>
      <c r="C99" s="243"/>
      <c r="D99" s="243"/>
      <c r="E99" s="243"/>
      <c r="F99" s="15" t="s">
        <v>38</v>
      </c>
      <c r="G99" s="243"/>
      <c r="H99" s="243"/>
      <c r="I99" s="243"/>
      <c r="J99" s="243"/>
      <c r="K99" s="247"/>
      <c r="L99" s="244" t="s">
        <v>121</v>
      </c>
      <c r="M99" s="245"/>
      <c r="N99" s="245"/>
      <c r="O99" s="245"/>
      <c r="P99" s="245"/>
      <c r="Q99" s="245"/>
      <c r="R99" s="245"/>
      <c r="S99" s="246"/>
      <c r="U99" s="19">
        <f t="shared" si="27"/>
        <v>0</v>
      </c>
      <c r="V99" s="19">
        <f t="shared" ref="V99" si="28">ROUNDDOWN(U99/4,-3)</f>
        <v>0</v>
      </c>
      <c r="W99">
        <f>IF(A99&lt;=U99,1,0)</f>
        <v>0</v>
      </c>
      <c r="X99" s="21">
        <f>U99-1950000</f>
        <v>-1950000</v>
      </c>
      <c r="Y99" s="20">
        <f t="shared" si="25"/>
        <v>0</v>
      </c>
    </row>
    <row r="100" spans="1:26">
      <c r="A100" s="243"/>
      <c r="B100" s="243"/>
      <c r="C100" s="243"/>
      <c r="D100" s="243"/>
      <c r="E100" s="243"/>
      <c r="F100" s="15"/>
      <c r="G100" s="243"/>
      <c r="H100" s="243"/>
      <c r="I100" s="243"/>
      <c r="J100" s="243"/>
      <c r="K100" s="244"/>
      <c r="L100" s="244"/>
      <c r="M100" s="245"/>
      <c r="N100" s="245"/>
      <c r="O100" s="245"/>
      <c r="P100" s="245"/>
      <c r="Q100" s="245"/>
      <c r="R100" s="245"/>
      <c r="S100" s="246"/>
    </row>
    <row r="101" spans="1:26">
      <c r="A101" s="243"/>
      <c r="B101" s="243"/>
      <c r="C101" s="243"/>
      <c r="D101" s="243"/>
      <c r="E101" s="243"/>
      <c r="F101" s="15"/>
      <c r="G101" s="243"/>
      <c r="H101" s="243"/>
      <c r="I101" s="243"/>
      <c r="J101" s="243"/>
      <c r="K101" s="247"/>
      <c r="L101" s="244"/>
      <c r="M101" s="245"/>
      <c r="N101" s="245"/>
      <c r="O101" s="245"/>
      <c r="P101" s="245"/>
      <c r="Q101" s="245"/>
      <c r="R101" s="245"/>
      <c r="S101" s="246"/>
    </row>
    <row r="102" spans="1:26">
      <c r="A102" s="243"/>
      <c r="B102" s="243"/>
      <c r="C102" s="243"/>
      <c r="D102" s="243"/>
      <c r="E102" s="243"/>
      <c r="F102" s="15"/>
      <c r="G102" s="243"/>
      <c r="H102" s="243"/>
      <c r="I102" s="243"/>
      <c r="J102" s="243"/>
      <c r="K102" s="244"/>
      <c r="L102" s="244"/>
      <c r="M102" s="245"/>
      <c r="N102" s="245"/>
      <c r="O102" s="245"/>
      <c r="P102" s="245"/>
      <c r="Q102" s="245"/>
      <c r="R102" s="245"/>
      <c r="S102" s="246"/>
    </row>
    <row r="103" spans="1:26">
      <c r="A103" s="243"/>
      <c r="B103" s="243"/>
      <c r="C103" s="243"/>
      <c r="D103" s="243"/>
      <c r="E103" s="243"/>
      <c r="F103" s="15"/>
      <c r="G103" s="243"/>
      <c r="H103" s="243"/>
      <c r="I103" s="243"/>
      <c r="J103" s="243"/>
      <c r="K103" s="244"/>
      <c r="L103" s="244"/>
      <c r="M103" s="245"/>
      <c r="N103" s="245"/>
      <c r="O103" s="245"/>
      <c r="P103" s="245"/>
      <c r="Q103" s="245"/>
      <c r="R103" s="245"/>
      <c r="S103" s="246"/>
    </row>
    <row r="104" spans="1:26" ht="18.600000000000001" thickBot="1">
      <c r="A104" s="243"/>
      <c r="B104" s="243"/>
      <c r="C104" s="243"/>
      <c r="D104" s="243"/>
      <c r="E104" s="243"/>
      <c r="F104" s="15"/>
      <c r="G104" s="243"/>
      <c r="H104" s="243"/>
      <c r="I104" s="243"/>
      <c r="J104" s="243"/>
      <c r="K104" s="247"/>
      <c r="L104" s="244"/>
      <c r="M104" s="245"/>
      <c r="N104" s="245"/>
      <c r="O104" s="245"/>
      <c r="P104" s="245"/>
      <c r="Q104" s="245"/>
      <c r="R104" s="245"/>
      <c r="S104" s="246"/>
    </row>
    <row r="105" spans="1:26" ht="18.600000000000001" thickBot="1">
      <c r="A105" s="16" t="s">
        <v>122</v>
      </c>
      <c r="X105" s="22" t="s">
        <v>41</v>
      </c>
      <c r="Y105" s="23">
        <f>SUM(Y94:Y104)</f>
        <v>0</v>
      </c>
    </row>
    <row r="107" spans="1:26">
      <c r="U107" s="18" t="s">
        <v>189</v>
      </c>
      <c r="V107" s="18"/>
    </row>
    <row r="108" spans="1:26" ht="18.600000000000001" thickBot="1">
      <c r="L108" s="255" t="s">
        <v>39</v>
      </c>
      <c r="M108" s="256"/>
      <c r="N108" s="256"/>
      <c r="O108" s="256"/>
      <c r="P108" s="256"/>
      <c r="Q108" s="256"/>
      <c r="R108" s="256"/>
      <c r="S108" s="257"/>
      <c r="U108" s="19" t="s">
        <v>123</v>
      </c>
      <c r="V108" s="19" t="s">
        <v>127</v>
      </c>
      <c r="W108" s="17" t="s">
        <v>125</v>
      </c>
      <c r="X108" s="258" t="s">
        <v>126</v>
      </c>
      <c r="Y108" s="258"/>
      <c r="Z108" t="s">
        <v>206</v>
      </c>
    </row>
    <row r="109" spans="1:26" ht="18.600000000000001" thickBot="1">
      <c r="A109" s="243">
        <v>0</v>
      </c>
      <c r="B109" s="243"/>
      <c r="C109" s="243"/>
      <c r="D109" s="243"/>
      <c r="E109" s="243"/>
      <c r="F109" s="15" t="s">
        <v>38</v>
      </c>
      <c r="G109" s="251">
        <v>650999</v>
      </c>
      <c r="H109" s="251"/>
      <c r="I109" s="251"/>
      <c r="J109" s="251"/>
      <c r="K109" s="252"/>
      <c r="L109" s="244">
        <v>0</v>
      </c>
      <c r="M109" s="245"/>
      <c r="N109" s="245"/>
      <c r="O109" s="245"/>
      <c r="P109" s="245"/>
      <c r="Q109" s="245"/>
      <c r="R109" s="245"/>
      <c r="S109" s="246"/>
      <c r="U109" s="19">
        <f>試算!Q112</f>
        <v>0</v>
      </c>
      <c r="V109" s="19">
        <f>ROUNDDOWN(U109/4,-3)</f>
        <v>0</v>
      </c>
      <c r="W109">
        <f>IF(AND(A109&lt;=U109,U109&lt;=G109),1,0)</f>
        <v>1</v>
      </c>
      <c r="X109" s="21">
        <f>L109</f>
        <v>0</v>
      </c>
      <c r="Y109" s="20">
        <f t="shared" ref="Y109:Y114" si="29">X109*W109</f>
        <v>0</v>
      </c>
      <c r="Z109" s="69">
        <f>IF(U109&gt;550000,1,0)</f>
        <v>0</v>
      </c>
    </row>
    <row r="110" spans="1:26">
      <c r="A110" s="250">
        <v>651000</v>
      </c>
      <c r="B110" s="250"/>
      <c r="C110" s="250"/>
      <c r="D110" s="250"/>
      <c r="E110" s="250"/>
      <c r="F110" s="15" t="s">
        <v>38</v>
      </c>
      <c r="G110" s="251">
        <v>1899999</v>
      </c>
      <c r="H110" s="251"/>
      <c r="I110" s="251"/>
      <c r="J110" s="251"/>
      <c r="K110" s="252"/>
      <c r="L110" s="252" t="s">
        <v>192</v>
      </c>
      <c r="M110" s="253"/>
      <c r="N110" s="253"/>
      <c r="O110" s="253"/>
      <c r="P110" s="253"/>
      <c r="Q110" s="253"/>
      <c r="R110" s="253"/>
      <c r="S110" s="254"/>
      <c r="U110" s="19">
        <f>U109</f>
        <v>0</v>
      </c>
      <c r="V110" s="19">
        <f t="shared" ref="V110:V112" si="30">ROUNDDOWN(U110/4,-3)</f>
        <v>0</v>
      </c>
      <c r="W110">
        <f>IF(AND(A110&lt;=U110,U110&lt;=G110),1,0)</f>
        <v>0</v>
      </c>
      <c r="X110" s="66">
        <f>U110-650000</f>
        <v>-650000</v>
      </c>
      <c r="Y110" s="20">
        <f t="shared" si="29"/>
        <v>0</v>
      </c>
    </row>
    <row r="111" spans="1:26">
      <c r="A111" s="250">
        <v>1900000</v>
      </c>
      <c r="B111" s="250"/>
      <c r="C111" s="250"/>
      <c r="D111" s="250"/>
      <c r="E111" s="250"/>
      <c r="F111" s="15" t="s">
        <v>38</v>
      </c>
      <c r="G111" s="243">
        <v>3599999</v>
      </c>
      <c r="H111" s="243"/>
      <c r="I111" s="243"/>
      <c r="J111" s="243"/>
      <c r="K111" s="244"/>
      <c r="L111" s="244" t="s">
        <v>118</v>
      </c>
      <c r="M111" s="245"/>
      <c r="N111" s="245"/>
      <c r="O111" s="245"/>
      <c r="P111" s="245"/>
      <c r="Q111" s="245"/>
      <c r="R111" s="245"/>
      <c r="S111" s="246"/>
      <c r="U111" s="19">
        <f t="shared" ref="U111:U114" si="31">U110</f>
        <v>0</v>
      </c>
      <c r="V111" s="19">
        <f t="shared" si="30"/>
        <v>0</v>
      </c>
      <c r="W111">
        <f>IF(AND(A111&lt;=U111,U111&lt;=G111),1,0)</f>
        <v>0</v>
      </c>
      <c r="X111" s="21">
        <f>V111*2.8-80000</f>
        <v>-80000</v>
      </c>
      <c r="Y111" s="20">
        <f t="shared" si="29"/>
        <v>0</v>
      </c>
    </row>
    <row r="112" spans="1:26">
      <c r="A112" s="247">
        <v>3600000</v>
      </c>
      <c r="B112" s="248"/>
      <c r="C112" s="248"/>
      <c r="D112" s="248"/>
      <c r="E112" s="249"/>
      <c r="F112" s="15" t="s">
        <v>38</v>
      </c>
      <c r="G112" s="247">
        <v>6599999</v>
      </c>
      <c r="H112" s="248"/>
      <c r="I112" s="248"/>
      <c r="J112" s="248"/>
      <c r="K112" s="249"/>
      <c r="L112" s="244" t="s">
        <v>119</v>
      </c>
      <c r="M112" s="245"/>
      <c r="N112" s="245"/>
      <c r="O112" s="245"/>
      <c r="P112" s="245"/>
      <c r="Q112" s="245"/>
      <c r="R112" s="245"/>
      <c r="S112" s="246"/>
      <c r="U112" s="19">
        <f t="shared" si="31"/>
        <v>0</v>
      </c>
      <c r="V112" s="19">
        <f t="shared" si="30"/>
        <v>0</v>
      </c>
      <c r="W112">
        <f>IF(AND(A112&lt;=U112,U112&lt;=G112),1,0)</f>
        <v>0</v>
      </c>
      <c r="X112" s="21">
        <f>V112*3.2-440000</f>
        <v>-440000</v>
      </c>
      <c r="Y112" s="20">
        <f t="shared" si="29"/>
        <v>0</v>
      </c>
    </row>
    <row r="113" spans="1:25">
      <c r="A113" s="243">
        <v>6600000</v>
      </c>
      <c r="B113" s="243"/>
      <c r="C113" s="243"/>
      <c r="D113" s="243"/>
      <c r="E113" s="243"/>
      <c r="F113" s="15" t="s">
        <v>38</v>
      </c>
      <c r="G113" s="243">
        <v>8499999</v>
      </c>
      <c r="H113" s="243"/>
      <c r="I113" s="243"/>
      <c r="J113" s="243"/>
      <c r="K113" s="244"/>
      <c r="L113" s="244" t="s">
        <v>120</v>
      </c>
      <c r="M113" s="245"/>
      <c r="N113" s="245"/>
      <c r="O113" s="245"/>
      <c r="P113" s="245"/>
      <c r="Q113" s="245"/>
      <c r="R113" s="245"/>
      <c r="S113" s="246"/>
      <c r="U113" s="19">
        <f t="shared" si="31"/>
        <v>0</v>
      </c>
      <c r="V113" s="19">
        <f>ROUNDDOWN(U113/4,-3)</f>
        <v>0</v>
      </c>
      <c r="W113">
        <f>IF(AND(A113&lt;=U113,U113&lt;=G113),1,0)</f>
        <v>0</v>
      </c>
      <c r="X113" s="21">
        <f>U113*0.9-1100000</f>
        <v>-1100000</v>
      </c>
      <c r="Y113" s="20">
        <f t="shared" si="29"/>
        <v>0</v>
      </c>
    </row>
    <row r="114" spans="1:25">
      <c r="A114" s="243">
        <v>8500000</v>
      </c>
      <c r="B114" s="243"/>
      <c r="C114" s="243"/>
      <c r="D114" s="243"/>
      <c r="E114" s="243"/>
      <c r="F114" s="15" t="s">
        <v>38</v>
      </c>
      <c r="G114" s="243"/>
      <c r="H114" s="243"/>
      <c r="I114" s="243"/>
      <c r="J114" s="243"/>
      <c r="K114" s="247"/>
      <c r="L114" s="244" t="s">
        <v>121</v>
      </c>
      <c r="M114" s="245"/>
      <c r="N114" s="245"/>
      <c r="O114" s="245"/>
      <c r="P114" s="245"/>
      <c r="Q114" s="245"/>
      <c r="R114" s="245"/>
      <c r="S114" s="246"/>
      <c r="U114" s="19">
        <f t="shared" si="31"/>
        <v>0</v>
      </c>
      <c r="V114" s="19">
        <f t="shared" ref="V114" si="32">ROUNDDOWN(U114/4,-3)</f>
        <v>0</v>
      </c>
      <c r="W114">
        <f>IF(A114&lt;=U114,1,0)</f>
        <v>0</v>
      </c>
      <c r="X114" s="21">
        <f>U114-1950000</f>
        <v>-1950000</v>
      </c>
      <c r="Y114" s="20">
        <f t="shared" si="29"/>
        <v>0</v>
      </c>
    </row>
    <row r="115" spans="1:25">
      <c r="A115" s="243"/>
      <c r="B115" s="243"/>
      <c r="C115" s="243"/>
      <c r="D115" s="243"/>
      <c r="E115" s="243"/>
      <c r="F115" s="15"/>
      <c r="G115" s="243"/>
      <c r="H115" s="243"/>
      <c r="I115" s="243"/>
      <c r="J115" s="243"/>
      <c r="K115" s="244"/>
      <c r="L115" s="244"/>
      <c r="M115" s="245"/>
      <c r="N115" s="245"/>
      <c r="O115" s="245"/>
      <c r="P115" s="245"/>
      <c r="Q115" s="245"/>
      <c r="R115" s="245"/>
      <c r="S115" s="246"/>
    </row>
    <row r="116" spans="1:25">
      <c r="A116" s="243"/>
      <c r="B116" s="243"/>
      <c r="C116" s="243"/>
      <c r="D116" s="243"/>
      <c r="E116" s="243"/>
      <c r="F116" s="15"/>
      <c r="G116" s="243"/>
      <c r="H116" s="243"/>
      <c r="I116" s="243"/>
      <c r="J116" s="243"/>
      <c r="K116" s="247"/>
      <c r="L116" s="244"/>
      <c r="M116" s="245"/>
      <c r="N116" s="245"/>
      <c r="O116" s="245"/>
      <c r="P116" s="245"/>
      <c r="Q116" s="245"/>
      <c r="R116" s="245"/>
      <c r="S116" s="246"/>
    </row>
    <row r="117" spans="1:25">
      <c r="A117" s="243"/>
      <c r="B117" s="243"/>
      <c r="C117" s="243"/>
      <c r="D117" s="243"/>
      <c r="E117" s="243"/>
      <c r="F117" s="15"/>
      <c r="G117" s="243"/>
      <c r="H117" s="243"/>
      <c r="I117" s="243"/>
      <c r="J117" s="243"/>
      <c r="K117" s="244"/>
      <c r="L117" s="244"/>
      <c r="M117" s="245"/>
      <c r="N117" s="245"/>
      <c r="O117" s="245"/>
      <c r="P117" s="245"/>
      <c r="Q117" s="245"/>
      <c r="R117" s="245"/>
      <c r="S117" s="246"/>
    </row>
    <row r="118" spans="1:25">
      <c r="A118" s="243"/>
      <c r="B118" s="243"/>
      <c r="C118" s="243"/>
      <c r="D118" s="243"/>
      <c r="E118" s="243"/>
      <c r="F118" s="15"/>
      <c r="G118" s="243"/>
      <c r="H118" s="243"/>
      <c r="I118" s="243"/>
      <c r="J118" s="243"/>
      <c r="K118" s="244"/>
      <c r="L118" s="244"/>
      <c r="M118" s="245"/>
      <c r="N118" s="245"/>
      <c r="O118" s="245"/>
      <c r="P118" s="245"/>
      <c r="Q118" s="245"/>
      <c r="R118" s="245"/>
      <c r="S118" s="246"/>
    </row>
    <row r="119" spans="1:25" ht="18.600000000000001" thickBot="1">
      <c r="A119" s="243"/>
      <c r="B119" s="243"/>
      <c r="C119" s="243"/>
      <c r="D119" s="243"/>
      <c r="E119" s="243"/>
      <c r="F119" s="15"/>
      <c r="G119" s="243"/>
      <c r="H119" s="243"/>
      <c r="I119" s="243"/>
      <c r="J119" s="243"/>
      <c r="K119" s="247"/>
      <c r="L119" s="244"/>
      <c r="M119" s="245"/>
      <c r="N119" s="245"/>
      <c r="O119" s="245"/>
      <c r="P119" s="245"/>
      <c r="Q119" s="245"/>
      <c r="R119" s="245"/>
      <c r="S119" s="246"/>
    </row>
    <row r="120" spans="1:25" ht="18.600000000000001" thickBot="1">
      <c r="A120" s="16" t="s">
        <v>122</v>
      </c>
      <c r="X120" s="22" t="s">
        <v>41</v>
      </c>
      <c r="Y120" s="23">
        <f>SUM(Y109:Y119)</f>
        <v>0</v>
      </c>
    </row>
  </sheetData>
  <mergeCells count="280">
    <mergeCell ref="A117:E117"/>
    <mergeCell ref="G117:K117"/>
    <mergeCell ref="L117:S117"/>
    <mergeCell ref="A118:E118"/>
    <mergeCell ref="G118:K118"/>
    <mergeCell ref="L118:S118"/>
    <mergeCell ref="A119:E119"/>
    <mergeCell ref="G119:K119"/>
    <mergeCell ref="L119:S119"/>
    <mergeCell ref="A114:E114"/>
    <mergeCell ref="G114:K114"/>
    <mergeCell ref="L114:S114"/>
    <mergeCell ref="A115:E115"/>
    <mergeCell ref="G115:K115"/>
    <mergeCell ref="L115:S115"/>
    <mergeCell ref="A116:E116"/>
    <mergeCell ref="G116:K116"/>
    <mergeCell ref="L116:S116"/>
    <mergeCell ref="A111:E111"/>
    <mergeCell ref="G111:K111"/>
    <mergeCell ref="L111:S111"/>
    <mergeCell ref="A112:E112"/>
    <mergeCell ref="G112:K112"/>
    <mergeCell ref="L112:S112"/>
    <mergeCell ref="A113:E113"/>
    <mergeCell ref="G113:K113"/>
    <mergeCell ref="L113:S113"/>
    <mergeCell ref="A104:E104"/>
    <mergeCell ref="G104:K104"/>
    <mergeCell ref="L104:S104"/>
    <mergeCell ref="L108:S108"/>
    <mergeCell ref="X108:Y108"/>
    <mergeCell ref="A109:E109"/>
    <mergeCell ref="G109:K109"/>
    <mergeCell ref="L109:S109"/>
    <mergeCell ref="A110:E110"/>
    <mergeCell ref="G110:K110"/>
    <mergeCell ref="L110:S110"/>
    <mergeCell ref="A101:E101"/>
    <mergeCell ref="G101:K101"/>
    <mergeCell ref="L101:S101"/>
    <mergeCell ref="A102:E102"/>
    <mergeCell ref="G102:K102"/>
    <mergeCell ref="L102:S102"/>
    <mergeCell ref="A103:E103"/>
    <mergeCell ref="G103:K103"/>
    <mergeCell ref="L103:S103"/>
    <mergeCell ref="A98:E98"/>
    <mergeCell ref="G98:K98"/>
    <mergeCell ref="L98:S98"/>
    <mergeCell ref="A99:E99"/>
    <mergeCell ref="G99:K99"/>
    <mergeCell ref="L99:S99"/>
    <mergeCell ref="A100:E100"/>
    <mergeCell ref="G100:K100"/>
    <mergeCell ref="L100:S100"/>
    <mergeCell ref="A95:E95"/>
    <mergeCell ref="G95:K95"/>
    <mergeCell ref="L95:S95"/>
    <mergeCell ref="A96:E96"/>
    <mergeCell ref="G96:K96"/>
    <mergeCell ref="L96:S96"/>
    <mergeCell ref="A97:E97"/>
    <mergeCell ref="G97:K97"/>
    <mergeCell ref="L97:S97"/>
    <mergeCell ref="A88:E88"/>
    <mergeCell ref="G88:K88"/>
    <mergeCell ref="L88:S88"/>
    <mergeCell ref="A89:E89"/>
    <mergeCell ref="G89:K89"/>
    <mergeCell ref="L89:S89"/>
    <mergeCell ref="L93:S93"/>
    <mergeCell ref="X93:Y93"/>
    <mergeCell ref="A94:E94"/>
    <mergeCell ref="G94:K94"/>
    <mergeCell ref="L94:S94"/>
    <mergeCell ref="A85:E85"/>
    <mergeCell ref="G85:K85"/>
    <mergeCell ref="L85:S85"/>
    <mergeCell ref="A86:E86"/>
    <mergeCell ref="G86:K86"/>
    <mergeCell ref="L86:S86"/>
    <mergeCell ref="A87:E87"/>
    <mergeCell ref="G87:K87"/>
    <mergeCell ref="L87:S87"/>
    <mergeCell ref="A82:E82"/>
    <mergeCell ref="G82:K82"/>
    <mergeCell ref="L82:S82"/>
    <mergeCell ref="A83:E83"/>
    <mergeCell ref="G83:K83"/>
    <mergeCell ref="L83:S83"/>
    <mergeCell ref="A84:E84"/>
    <mergeCell ref="G84:K84"/>
    <mergeCell ref="L84:S84"/>
    <mergeCell ref="L78:S78"/>
    <mergeCell ref="X78:Y78"/>
    <mergeCell ref="A79:E79"/>
    <mergeCell ref="G79:K79"/>
    <mergeCell ref="L79:S79"/>
    <mergeCell ref="A80:E80"/>
    <mergeCell ref="G80:K80"/>
    <mergeCell ref="L80:S80"/>
    <mergeCell ref="A81:E81"/>
    <mergeCell ref="G81:K81"/>
    <mergeCell ref="L81:S81"/>
    <mergeCell ref="A7:E7"/>
    <mergeCell ref="G7:K7"/>
    <mergeCell ref="L7:S7"/>
    <mergeCell ref="A9:E9"/>
    <mergeCell ref="G9:K9"/>
    <mergeCell ref="L9:S9"/>
    <mergeCell ref="L17:S17"/>
    <mergeCell ref="L2:S2"/>
    <mergeCell ref="A4:E4"/>
    <mergeCell ref="G4:K4"/>
    <mergeCell ref="L4:S4"/>
    <mergeCell ref="A3:E3"/>
    <mergeCell ref="G3:K3"/>
    <mergeCell ref="L3:S3"/>
    <mergeCell ref="A6:E6"/>
    <mergeCell ref="G6:K6"/>
    <mergeCell ref="L6:S6"/>
    <mergeCell ref="A5:E5"/>
    <mergeCell ref="G5:K5"/>
    <mergeCell ref="L5:S5"/>
    <mergeCell ref="A8:E8"/>
    <mergeCell ref="G8:K8"/>
    <mergeCell ref="A19:E19"/>
    <mergeCell ref="G19:K19"/>
    <mergeCell ref="L19:S19"/>
    <mergeCell ref="A20:E20"/>
    <mergeCell ref="G20:K20"/>
    <mergeCell ref="L20:S20"/>
    <mergeCell ref="X2:Y2"/>
    <mergeCell ref="X17:Y17"/>
    <mergeCell ref="A18:E18"/>
    <mergeCell ref="G18:K18"/>
    <mergeCell ref="L18:S18"/>
    <mergeCell ref="A12:E12"/>
    <mergeCell ref="G12:K12"/>
    <mergeCell ref="L12:S12"/>
    <mergeCell ref="A13:E13"/>
    <mergeCell ref="G13:K13"/>
    <mergeCell ref="L13:S13"/>
    <mergeCell ref="A10:E10"/>
    <mergeCell ref="G10:K10"/>
    <mergeCell ref="L10:S10"/>
    <mergeCell ref="A11:E11"/>
    <mergeCell ref="G11:K11"/>
    <mergeCell ref="L11:S11"/>
    <mergeCell ref="L8:S8"/>
    <mergeCell ref="A23:E23"/>
    <mergeCell ref="G23:K23"/>
    <mergeCell ref="L23:S23"/>
    <mergeCell ref="A24:E24"/>
    <mergeCell ref="G24:K24"/>
    <mergeCell ref="L24:S24"/>
    <mergeCell ref="A21:E21"/>
    <mergeCell ref="G21:K21"/>
    <mergeCell ref="L21:S21"/>
    <mergeCell ref="A22:E22"/>
    <mergeCell ref="G22:K22"/>
    <mergeCell ref="L22:S22"/>
    <mergeCell ref="A27:E27"/>
    <mergeCell ref="G27:K27"/>
    <mergeCell ref="L27:S27"/>
    <mergeCell ref="A28:E28"/>
    <mergeCell ref="G28:K28"/>
    <mergeCell ref="L28:S28"/>
    <mergeCell ref="A25:E25"/>
    <mergeCell ref="G25:K25"/>
    <mergeCell ref="L25:S25"/>
    <mergeCell ref="A26:E26"/>
    <mergeCell ref="G26:K26"/>
    <mergeCell ref="L26:S26"/>
    <mergeCell ref="A34:E34"/>
    <mergeCell ref="G34:K34"/>
    <mergeCell ref="L34:S34"/>
    <mergeCell ref="A35:E35"/>
    <mergeCell ref="G35:K35"/>
    <mergeCell ref="L35:S35"/>
    <mergeCell ref="L32:S32"/>
    <mergeCell ref="X32:Y32"/>
    <mergeCell ref="A33:E33"/>
    <mergeCell ref="G33:K33"/>
    <mergeCell ref="L33:S33"/>
    <mergeCell ref="A38:E38"/>
    <mergeCell ref="G38:K38"/>
    <mergeCell ref="L38:S38"/>
    <mergeCell ref="A39:E39"/>
    <mergeCell ref="G39:K39"/>
    <mergeCell ref="L39:S39"/>
    <mergeCell ref="A36:E36"/>
    <mergeCell ref="G36:K36"/>
    <mergeCell ref="L36:S36"/>
    <mergeCell ref="A37:E37"/>
    <mergeCell ref="G37:K37"/>
    <mergeCell ref="L37:S37"/>
    <mergeCell ref="A42:E42"/>
    <mergeCell ref="G42:K42"/>
    <mergeCell ref="L42:S42"/>
    <mergeCell ref="A43:E43"/>
    <mergeCell ref="G43:K43"/>
    <mergeCell ref="L43:S43"/>
    <mergeCell ref="A40:E40"/>
    <mergeCell ref="G40:K40"/>
    <mergeCell ref="L40:S40"/>
    <mergeCell ref="A41:E41"/>
    <mergeCell ref="G41:K41"/>
    <mergeCell ref="L41:S41"/>
    <mergeCell ref="A50:E50"/>
    <mergeCell ref="G50:K50"/>
    <mergeCell ref="L50:S50"/>
    <mergeCell ref="A51:E51"/>
    <mergeCell ref="G51:K51"/>
    <mergeCell ref="L51:S51"/>
    <mergeCell ref="L48:S48"/>
    <mergeCell ref="X48:Y48"/>
    <mergeCell ref="A49:E49"/>
    <mergeCell ref="G49:K49"/>
    <mergeCell ref="L49:S49"/>
    <mergeCell ref="A54:E54"/>
    <mergeCell ref="G54:K54"/>
    <mergeCell ref="L54:S54"/>
    <mergeCell ref="A55:E55"/>
    <mergeCell ref="G55:K55"/>
    <mergeCell ref="L55:S55"/>
    <mergeCell ref="A52:E52"/>
    <mergeCell ref="G52:K52"/>
    <mergeCell ref="L52:S52"/>
    <mergeCell ref="A53:E53"/>
    <mergeCell ref="G53:K53"/>
    <mergeCell ref="L53:S53"/>
    <mergeCell ref="A58:E58"/>
    <mergeCell ref="G58:K58"/>
    <mergeCell ref="L58:S58"/>
    <mergeCell ref="A59:E59"/>
    <mergeCell ref="G59:K59"/>
    <mergeCell ref="L59:S59"/>
    <mergeCell ref="A56:E56"/>
    <mergeCell ref="G56:K56"/>
    <mergeCell ref="L56:S56"/>
    <mergeCell ref="A57:E57"/>
    <mergeCell ref="G57:K57"/>
    <mergeCell ref="L57:S57"/>
    <mergeCell ref="A65:E65"/>
    <mergeCell ref="G65:K65"/>
    <mergeCell ref="L65:S65"/>
    <mergeCell ref="A66:E66"/>
    <mergeCell ref="G66:K66"/>
    <mergeCell ref="L66:S66"/>
    <mergeCell ref="L63:S63"/>
    <mergeCell ref="X63:Y63"/>
    <mergeCell ref="A64:E64"/>
    <mergeCell ref="G64:K64"/>
    <mergeCell ref="L64:S64"/>
    <mergeCell ref="A69:E69"/>
    <mergeCell ref="G69:K69"/>
    <mergeCell ref="L69:S69"/>
    <mergeCell ref="A70:E70"/>
    <mergeCell ref="G70:K70"/>
    <mergeCell ref="L70:S70"/>
    <mergeCell ref="A67:E67"/>
    <mergeCell ref="G67:K67"/>
    <mergeCell ref="L67:S67"/>
    <mergeCell ref="A68:E68"/>
    <mergeCell ref="G68:K68"/>
    <mergeCell ref="L68:S68"/>
    <mergeCell ref="A73:E73"/>
    <mergeCell ref="G73:K73"/>
    <mergeCell ref="L73:S73"/>
    <mergeCell ref="A74:E74"/>
    <mergeCell ref="G74:K74"/>
    <mergeCell ref="L74:S74"/>
    <mergeCell ref="A71:E71"/>
    <mergeCell ref="G71:K71"/>
    <mergeCell ref="L71:S71"/>
    <mergeCell ref="A72:E72"/>
    <mergeCell ref="G72:K72"/>
    <mergeCell ref="L72:S72"/>
  </mergeCells>
  <phoneticPr fontId="1"/>
  <pageMargins left="0.7" right="0.7" top="0.75" bottom="0.75" header="0.3" footer="0.3"/>
  <pageSetup paperSize="9" orientation="portrait" horizontalDpi="300" verticalDpi="30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AA436-55AB-4B65-A364-6A82D25BC12C}">
  <dimension ref="A1:AA79"/>
  <sheetViews>
    <sheetView topLeftCell="A21" workbookViewId="0">
      <selection activeCell="A20" sqref="A20:E20"/>
    </sheetView>
  </sheetViews>
  <sheetFormatPr defaultColWidth="9" defaultRowHeight="17.399999999999999"/>
  <cols>
    <col min="1" max="19" width="3.09765625" style="3" customWidth="1"/>
    <col min="20" max="20" width="9" style="3"/>
    <col min="21" max="21" width="21.3984375" style="3" bestFit="1" customWidth="1"/>
    <col min="22" max="22" width="9" style="3"/>
    <col min="23" max="23" width="21" style="3" bestFit="1" customWidth="1"/>
    <col min="24" max="24" width="10.59765625" style="3" bestFit="1" customWidth="1"/>
    <col min="25" max="25" width="9" style="3"/>
    <col min="26" max="27" width="14.59765625" style="3" customWidth="1"/>
    <col min="28" max="16384" width="9" style="3"/>
  </cols>
  <sheetData>
    <row r="1" spans="1:27" ht="18">
      <c r="U1" s="18" t="s">
        <v>124</v>
      </c>
      <c r="V1"/>
      <c r="W1" s="21"/>
      <c r="X1" s="20"/>
    </row>
    <row r="2" spans="1:27" ht="18">
      <c r="A2" s="14"/>
      <c r="B2" s="14"/>
      <c r="C2" s="14"/>
      <c r="D2" s="14"/>
      <c r="E2" s="14"/>
      <c r="F2"/>
      <c r="G2" s="14"/>
      <c r="H2" s="14"/>
      <c r="I2" s="14"/>
      <c r="J2" s="14"/>
      <c r="K2" s="14"/>
      <c r="L2" s="255" t="s">
        <v>138</v>
      </c>
      <c r="M2" s="256"/>
      <c r="N2" s="256"/>
      <c r="O2" s="256"/>
      <c r="P2" s="256"/>
      <c r="Q2" s="256"/>
      <c r="R2" s="256"/>
      <c r="S2" s="257"/>
      <c r="U2" s="19" t="s">
        <v>145</v>
      </c>
      <c r="V2" s="17" t="s">
        <v>125</v>
      </c>
      <c r="W2" s="258" t="s">
        <v>146</v>
      </c>
      <c r="X2" s="258"/>
    </row>
    <row r="3" spans="1:27" ht="18.600000000000001" thickBot="1">
      <c r="A3" s="243">
        <v>0</v>
      </c>
      <c r="B3" s="243"/>
      <c r="C3" s="243"/>
      <c r="D3" s="243"/>
      <c r="E3" s="243"/>
      <c r="F3" s="15" t="s">
        <v>38</v>
      </c>
      <c r="G3" s="243">
        <v>1100000</v>
      </c>
      <c r="H3" s="243"/>
      <c r="I3" s="243"/>
      <c r="J3" s="243"/>
      <c r="K3" s="244"/>
      <c r="L3" s="244">
        <v>0</v>
      </c>
      <c r="M3" s="245"/>
      <c r="N3" s="245"/>
      <c r="O3" s="245"/>
      <c r="P3" s="245"/>
      <c r="Q3" s="245"/>
      <c r="R3" s="245"/>
      <c r="S3" s="246"/>
      <c r="U3" s="19">
        <f>試算!AQ6</f>
        <v>0</v>
      </c>
      <c r="V3">
        <f>IF(AND(A3&lt;=U3,U3&lt;=G3),1,0)</f>
        <v>1</v>
      </c>
      <c r="W3" s="21">
        <v>0</v>
      </c>
      <c r="X3" s="20">
        <f>W3*V3</f>
        <v>0</v>
      </c>
      <c r="Z3" t="s">
        <v>137</v>
      </c>
      <c r="AA3"/>
    </row>
    <row r="4" spans="1:27" ht="18">
      <c r="A4" s="243">
        <v>1100001</v>
      </c>
      <c r="B4" s="243"/>
      <c r="C4" s="243"/>
      <c r="D4" s="243"/>
      <c r="E4" s="243"/>
      <c r="F4" s="15" t="s">
        <v>38</v>
      </c>
      <c r="G4" s="243">
        <v>3299999</v>
      </c>
      <c r="H4" s="243"/>
      <c r="I4" s="243"/>
      <c r="J4" s="243"/>
      <c r="K4" s="244"/>
      <c r="L4" s="244" t="s">
        <v>143</v>
      </c>
      <c r="M4" s="245"/>
      <c r="N4" s="245"/>
      <c r="O4" s="245"/>
      <c r="P4" s="245"/>
      <c r="Q4" s="245"/>
      <c r="R4" s="245"/>
      <c r="S4" s="246"/>
      <c r="U4" s="19">
        <f>U3</f>
        <v>0</v>
      </c>
      <c r="V4">
        <f>IF(AND(A4&lt;=U4,U4&lt;=G4),1,0)</f>
        <v>0</v>
      </c>
      <c r="W4" s="21">
        <f>U4-1100000</f>
        <v>-1100000</v>
      </c>
      <c r="X4" s="20">
        <f>W4*V4</f>
        <v>0</v>
      </c>
      <c r="Z4" s="24" t="s">
        <v>3</v>
      </c>
      <c r="AA4" s="25">
        <f>X9</f>
        <v>0</v>
      </c>
    </row>
    <row r="5" spans="1:27" ht="18">
      <c r="A5" s="243">
        <v>3300000</v>
      </c>
      <c r="B5" s="243"/>
      <c r="C5" s="243"/>
      <c r="D5" s="243"/>
      <c r="E5" s="243"/>
      <c r="F5" s="15" t="s">
        <v>38</v>
      </c>
      <c r="G5" s="243">
        <v>4099999</v>
      </c>
      <c r="H5" s="243"/>
      <c r="I5" s="243"/>
      <c r="J5" s="243"/>
      <c r="K5" s="244"/>
      <c r="L5" s="244" t="s">
        <v>140</v>
      </c>
      <c r="M5" s="245"/>
      <c r="N5" s="245"/>
      <c r="O5" s="245"/>
      <c r="P5" s="245"/>
      <c r="Q5" s="245"/>
      <c r="R5" s="245"/>
      <c r="S5" s="246"/>
      <c r="U5" s="19">
        <f t="shared" ref="U5:U8" si="0">U4</f>
        <v>0</v>
      </c>
      <c r="V5">
        <f>IF(AND(A5&lt;=U5,U5&lt;=G5),1,0)</f>
        <v>0</v>
      </c>
      <c r="W5" s="21">
        <f>U5*0.75-275000</f>
        <v>-275000</v>
      </c>
      <c r="X5" s="20">
        <f t="shared" ref="X5:X8" si="1">W5*V5</f>
        <v>0</v>
      </c>
      <c r="Z5" s="26" t="s">
        <v>132</v>
      </c>
      <c r="AA5" s="27">
        <f>X19</f>
        <v>0</v>
      </c>
    </row>
    <row r="6" spans="1:27" ht="18">
      <c r="A6" s="243">
        <v>4100000</v>
      </c>
      <c r="B6" s="243"/>
      <c r="C6" s="243"/>
      <c r="D6" s="243"/>
      <c r="E6" s="243"/>
      <c r="F6" s="15" t="s">
        <v>38</v>
      </c>
      <c r="G6" s="243">
        <v>7699999</v>
      </c>
      <c r="H6" s="243"/>
      <c r="I6" s="243"/>
      <c r="J6" s="243"/>
      <c r="K6" s="244"/>
      <c r="L6" s="244" t="s">
        <v>141</v>
      </c>
      <c r="M6" s="245"/>
      <c r="N6" s="245"/>
      <c r="O6" s="245"/>
      <c r="P6" s="245"/>
      <c r="Q6" s="245"/>
      <c r="R6" s="245"/>
      <c r="S6" s="246"/>
      <c r="U6" s="19">
        <f t="shared" si="0"/>
        <v>0</v>
      </c>
      <c r="V6">
        <f>IF(AND(A6&lt;=U6,U6&lt;=G6),1,0)</f>
        <v>0</v>
      </c>
      <c r="W6" s="21">
        <f>U6*0.85-685000</f>
        <v>-685000</v>
      </c>
      <c r="X6" s="20">
        <f t="shared" si="1"/>
        <v>0</v>
      </c>
      <c r="Z6" s="26" t="s">
        <v>133</v>
      </c>
      <c r="AA6" s="27">
        <f>X29</f>
        <v>0</v>
      </c>
    </row>
    <row r="7" spans="1:27" ht="18">
      <c r="A7" s="243">
        <v>7700000</v>
      </c>
      <c r="B7" s="243"/>
      <c r="C7" s="243"/>
      <c r="D7" s="243"/>
      <c r="E7" s="243"/>
      <c r="F7" s="15" t="s">
        <v>38</v>
      </c>
      <c r="G7" s="243">
        <v>9999999</v>
      </c>
      <c r="H7" s="243"/>
      <c r="I7" s="243"/>
      <c r="J7" s="243"/>
      <c r="K7" s="244"/>
      <c r="L7" s="244" t="s">
        <v>142</v>
      </c>
      <c r="M7" s="245"/>
      <c r="N7" s="245"/>
      <c r="O7" s="245"/>
      <c r="P7" s="245"/>
      <c r="Q7" s="245"/>
      <c r="R7" s="245"/>
      <c r="S7" s="246"/>
      <c r="U7" s="19">
        <f t="shared" si="0"/>
        <v>0</v>
      </c>
      <c r="V7">
        <f>IF(AND(A7&lt;=U7,U7&lt;=G7),1,0)</f>
        <v>0</v>
      </c>
      <c r="W7" s="21">
        <f>U7*0.95-1455000</f>
        <v>-1455000</v>
      </c>
      <c r="X7" s="20">
        <f t="shared" si="1"/>
        <v>0</v>
      </c>
      <c r="Z7" s="26" t="s">
        <v>134</v>
      </c>
      <c r="AA7" s="27">
        <f>X39</f>
        <v>0</v>
      </c>
    </row>
    <row r="8" spans="1:27" ht="18.600000000000001" thickBot="1">
      <c r="A8" s="243">
        <v>10000000</v>
      </c>
      <c r="B8" s="243"/>
      <c r="C8" s="243"/>
      <c r="D8" s="243"/>
      <c r="E8" s="243"/>
      <c r="F8" s="15" t="s">
        <v>38</v>
      </c>
      <c r="G8" s="243"/>
      <c r="H8" s="243"/>
      <c r="I8" s="243"/>
      <c r="J8" s="243"/>
      <c r="K8" s="244"/>
      <c r="L8" s="244" t="s">
        <v>144</v>
      </c>
      <c r="M8" s="245"/>
      <c r="N8" s="245"/>
      <c r="O8" s="245"/>
      <c r="P8" s="245"/>
      <c r="Q8" s="245"/>
      <c r="R8" s="245"/>
      <c r="S8" s="246"/>
      <c r="U8" s="19">
        <f t="shared" si="0"/>
        <v>0</v>
      </c>
      <c r="V8">
        <f>IF(A8&lt;=U8,1,0)</f>
        <v>0</v>
      </c>
      <c r="W8" s="21">
        <f>U8-1955000</f>
        <v>-1955000</v>
      </c>
      <c r="X8" s="20">
        <f t="shared" si="1"/>
        <v>0</v>
      </c>
      <c r="Z8" s="26" t="s">
        <v>135</v>
      </c>
      <c r="AA8" s="27">
        <f>X49</f>
        <v>0</v>
      </c>
    </row>
    <row r="9" spans="1:27" ht="18.600000000000001" thickBot="1">
      <c r="U9" s="19"/>
      <c r="V9"/>
      <c r="W9" s="22" t="s">
        <v>147</v>
      </c>
      <c r="X9" s="23">
        <f>SUM(X3:X8)</f>
        <v>0</v>
      </c>
      <c r="Z9" s="26" t="s">
        <v>184</v>
      </c>
      <c r="AA9" s="27">
        <f>X59</f>
        <v>0</v>
      </c>
    </row>
    <row r="10" spans="1:27" ht="18">
      <c r="Z10" s="26" t="s">
        <v>185</v>
      </c>
      <c r="AA10" s="27">
        <f>X69</f>
        <v>0</v>
      </c>
    </row>
    <row r="11" spans="1:27" ht="18.600000000000001" thickBot="1">
      <c r="U11" s="18" t="s">
        <v>129</v>
      </c>
      <c r="V11"/>
      <c r="W11" s="21"/>
      <c r="X11" s="20"/>
      <c r="Z11" s="28" t="s">
        <v>186</v>
      </c>
      <c r="AA11" s="29">
        <f>X79</f>
        <v>0</v>
      </c>
    </row>
    <row r="12" spans="1:27" ht="18">
      <c r="A12" s="14"/>
      <c r="B12" s="14"/>
      <c r="C12" s="14"/>
      <c r="D12" s="14"/>
      <c r="E12" s="14"/>
      <c r="F12"/>
      <c r="G12" s="14"/>
      <c r="H12" s="14"/>
      <c r="I12" s="14"/>
      <c r="J12" s="14"/>
      <c r="K12" s="14"/>
      <c r="L12" s="255" t="s">
        <v>138</v>
      </c>
      <c r="M12" s="256"/>
      <c r="N12" s="256"/>
      <c r="O12" s="256"/>
      <c r="P12" s="256"/>
      <c r="Q12" s="256"/>
      <c r="R12" s="256"/>
      <c r="S12" s="257"/>
      <c r="U12" s="19" t="s">
        <v>145</v>
      </c>
      <c r="V12" s="17" t="s">
        <v>125</v>
      </c>
      <c r="W12" s="258" t="s">
        <v>146</v>
      </c>
      <c r="X12" s="258"/>
    </row>
    <row r="13" spans="1:27" ht="18">
      <c r="A13" s="243">
        <v>0</v>
      </c>
      <c r="B13" s="243"/>
      <c r="C13" s="243"/>
      <c r="D13" s="243"/>
      <c r="E13" s="243"/>
      <c r="F13" s="15" t="s">
        <v>38</v>
      </c>
      <c r="G13" s="243">
        <v>1100000</v>
      </c>
      <c r="H13" s="243"/>
      <c r="I13" s="243"/>
      <c r="J13" s="243"/>
      <c r="K13" s="244"/>
      <c r="L13" s="244">
        <v>0</v>
      </c>
      <c r="M13" s="245"/>
      <c r="N13" s="245"/>
      <c r="O13" s="245"/>
      <c r="P13" s="245"/>
      <c r="Q13" s="245"/>
      <c r="R13" s="245"/>
      <c r="S13" s="246"/>
      <c r="U13" s="19">
        <f>試算!AQ7</f>
        <v>0</v>
      </c>
      <c r="V13">
        <f>IF(AND(A13&lt;=U13,U13&lt;=G13),1,0)</f>
        <v>1</v>
      </c>
      <c r="W13" s="21">
        <v>0</v>
      </c>
      <c r="X13" s="20">
        <f>W13*V13</f>
        <v>0</v>
      </c>
    </row>
    <row r="14" spans="1:27" ht="18">
      <c r="A14" s="243">
        <v>1100001</v>
      </c>
      <c r="B14" s="243"/>
      <c r="C14" s="243"/>
      <c r="D14" s="243"/>
      <c r="E14" s="243"/>
      <c r="F14" s="15" t="s">
        <v>38</v>
      </c>
      <c r="G14" s="243">
        <v>3299999</v>
      </c>
      <c r="H14" s="243"/>
      <c r="I14" s="243"/>
      <c r="J14" s="243"/>
      <c r="K14" s="244"/>
      <c r="L14" s="244" t="s">
        <v>143</v>
      </c>
      <c r="M14" s="245"/>
      <c r="N14" s="245"/>
      <c r="O14" s="245"/>
      <c r="P14" s="245"/>
      <c r="Q14" s="245"/>
      <c r="R14" s="245"/>
      <c r="S14" s="246"/>
      <c r="U14" s="19">
        <f>U13</f>
        <v>0</v>
      </c>
      <c r="V14">
        <f>IF(AND(A14&lt;=U14,U14&lt;=G14),1,0)</f>
        <v>0</v>
      </c>
      <c r="W14" s="21">
        <f>U14-1100000</f>
        <v>-1100000</v>
      </c>
      <c r="X14" s="20">
        <f>W14*V14</f>
        <v>0</v>
      </c>
    </row>
    <row r="15" spans="1:27" ht="18">
      <c r="A15" s="243">
        <v>3300000</v>
      </c>
      <c r="B15" s="243"/>
      <c r="C15" s="243"/>
      <c r="D15" s="243"/>
      <c r="E15" s="243"/>
      <c r="F15" s="15" t="s">
        <v>38</v>
      </c>
      <c r="G15" s="243">
        <v>4099999</v>
      </c>
      <c r="H15" s="243"/>
      <c r="I15" s="243"/>
      <c r="J15" s="243"/>
      <c r="K15" s="244"/>
      <c r="L15" s="244" t="s">
        <v>140</v>
      </c>
      <c r="M15" s="245"/>
      <c r="N15" s="245"/>
      <c r="O15" s="245"/>
      <c r="P15" s="245"/>
      <c r="Q15" s="245"/>
      <c r="R15" s="245"/>
      <c r="S15" s="246"/>
      <c r="U15" s="19">
        <f t="shared" ref="U15:U18" si="2">U14</f>
        <v>0</v>
      </c>
      <c r="V15">
        <f>IF(AND(A15&lt;=U15,U15&lt;=G15),1,0)</f>
        <v>0</v>
      </c>
      <c r="W15" s="21">
        <f>U15*0.75-275000</f>
        <v>-275000</v>
      </c>
      <c r="X15" s="20">
        <f t="shared" ref="X15:X18" si="3">W15*V15</f>
        <v>0</v>
      </c>
    </row>
    <row r="16" spans="1:27" ht="18">
      <c r="A16" s="243">
        <v>4100000</v>
      </c>
      <c r="B16" s="243"/>
      <c r="C16" s="243"/>
      <c r="D16" s="243"/>
      <c r="E16" s="243"/>
      <c r="F16" s="15" t="s">
        <v>38</v>
      </c>
      <c r="G16" s="243">
        <v>7699999</v>
      </c>
      <c r="H16" s="243"/>
      <c r="I16" s="243"/>
      <c r="J16" s="243"/>
      <c r="K16" s="244"/>
      <c r="L16" s="244" t="s">
        <v>141</v>
      </c>
      <c r="M16" s="245"/>
      <c r="N16" s="245"/>
      <c r="O16" s="245"/>
      <c r="P16" s="245"/>
      <c r="Q16" s="245"/>
      <c r="R16" s="245"/>
      <c r="S16" s="246"/>
      <c r="U16" s="19">
        <f t="shared" si="2"/>
        <v>0</v>
      </c>
      <c r="V16">
        <f>IF(AND(A16&lt;=U16,U16&lt;=G16),1,0)</f>
        <v>0</v>
      </c>
      <c r="W16" s="21">
        <f>U16*0.85-685000</f>
        <v>-685000</v>
      </c>
      <c r="X16" s="20">
        <f t="shared" si="3"/>
        <v>0</v>
      </c>
    </row>
    <row r="17" spans="1:24" ht="18">
      <c r="A17" s="243">
        <v>7700000</v>
      </c>
      <c r="B17" s="243"/>
      <c r="C17" s="243"/>
      <c r="D17" s="243"/>
      <c r="E17" s="243"/>
      <c r="F17" s="15" t="s">
        <v>38</v>
      </c>
      <c r="G17" s="243">
        <v>9999999</v>
      </c>
      <c r="H17" s="243"/>
      <c r="I17" s="243"/>
      <c r="J17" s="243"/>
      <c r="K17" s="244"/>
      <c r="L17" s="244" t="s">
        <v>142</v>
      </c>
      <c r="M17" s="245"/>
      <c r="N17" s="245"/>
      <c r="O17" s="245"/>
      <c r="P17" s="245"/>
      <c r="Q17" s="245"/>
      <c r="R17" s="245"/>
      <c r="S17" s="246"/>
      <c r="U17" s="19">
        <f t="shared" si="2"/>
        <v>0</v>
      </c>
      <c r="V17">
        <f>IF(AND(A17&lt;=U17,U17&lt;=G17),1,0)</f>
        <v>0</v>
      </c>
      <c r="W17" s="21">
        <f>U17*0.95-1455000</f>
        <v>-1455000</v>
      </c>
      <c r="X17" s="20">
        <f t="shared" si="3"/>
        <v>0</v>
      </c>
    </row>
    <row r="18" spans="1:24" ht="18.600000000000001" thickBot="1">
      <c r="A18" s="243">
        <v>10000000</v>
      </c>
      <c r="B18" s="243"/>
      <c r="C18" s="243"/>
      <c r="D18" s="243"/>
      <c r="E18" s="243"/>
      <c r="F18" s="15" t="s">
        <v>38</v>
      </c>
      <c r="G18" s="243"/>
      <c r="H18" s="243"/>
      <c r="I18" s="243"/>
      <c r="J18" s="243"/>
      <c r="K18" s="244"/>
      <c r="L18" s="244" t="s">
        <v>144</v>
      </c>
      <c r="M18" s="245"/>
      <c r="N18" s="245"/>
      <c r="O18" s="245"/>
      <c r="P18" s="245"/>
      <c r="Q18" s="245"/>
      <c r="R18" s="245"/>
      <c r="S18" s="246"/>
      <c r="U18" s="19">
        <f t="shared" si="2"/>
        <v>0</v>
      </c>
      <c r="V18">
        <f>IF(A18&lt;=U18,1,0)</f>
        <v>0</v>
      </c>
      <c r="W18" s="21">
        <f>U18-1955000</f>
        <v>-1955000</v>
      </c>
      <c r="X18" s="20">
        <f t="shared" si="3"/>
        <v>0</v>
      </c>
    </row>
    <row r="19" spans="1:24" ht="18.600000000000001" thickBot="1">
      <c r="U19" s="19"/>
      <c r="V19"/>
      <c r="W19" s="22" t="s">
        <v>147</v>
      </c>
      <c r="X19" s="23">
        <f>SUM(X13:X18)</f>
        <v>0</v>
      </c>
    </row>
    <row r="21" spans="1:24" ht="18">
      <c r="U21" s="18" t="s">
        <v>130</v>
      </c>
      <c r="V21"/>
      <c r="W21" s="21"/>
      <c r="X21" s="20"/>
    </row>
    <row r="22" spans="1:24" ht="18">
      <c r="A22" s="14"/>
      <c r="B22" s="14"/>
      <c r="C22" s="14"/>
      <c r="D22" s="14"/>
      <c r="E22" s="14"/>
      <c r="F22"/>
      <c r="G22" s="14"/>
      <c r="H22" s="14"/>
      <c r="I22" s="14"/>
      <c r="J22" s="14"/>
      <c r="K22" s="14"/>
      <c r="L22" s="255" t="s">
        <v>138</v>
      </c>
      <c r="M22" s="256"/>
      <c r="N22" s="256"/>
      <c r="O22" s="256"/>
      <c r="P22" s="256"/>
      <c r="Q22" s="256"/>
      <c r="R22" s="256"/>
      <c r="S22" s="257"/>
      <c r="U22" s="19" t="s">
        <v>145</v>
      </c>
      <c r="V22" s="17" t="s">
        <v>125</v>
      </c>
      <c r="W22" s="258" t="s">
        <v>146</v>
      </c>
      <c r="X22" s="258"/>
    </row>
    <row r="23" spans="1:24" ht="18">
      <c r="A23" s="243">
        <v>0</v>
      </c>
      <c r="B23" s="243"/>
      <c r="C23" s="243"/>
      <c r="D23" s="243"/>
      <c r="E23" s="243"/>
      <c r="F23" s="15" t="s">
        <v>38</v>
      </c>
      <c r="G23" s="243">
        <v>1100000</v>
      </c>
      <c r="H23" s="243"/>
      <c r="I23" s="243"/>
      <c r="J23" s="243"/>
      <c r="K23" s="244"/>
      <c r="L23" s="244">
        <v>0</v>
      </c>
      <c r="M23" s="245"/>
      <c r="N23" s="245"/>
      <c r="O23" s="245"/>
      <c r="P23" s="245"/>
      <c r="Q23" s="245"/>
      <c r="R23" s="245"/>
      <c r="S23" s="246"/>
      <c r="U23" s="19">
        <f>試算!AQ8</f>
        <v>0</v>
      </c>
      <c r="V23">
        <f>IF(AND(A23&lt;=U23,U23&lt;=G23),1,0)</f>
        <v>1</v>
      </c>
      <c r="W23" s="21">
        <v>0</v>
      </c>
      <c r="X23" s="20">
        <f>W23*V23</f>
        <v>0</v>
      </c>
    </row>
    <row r="24" spans="1:24" ht="18">
      <c r="A24" s="243">
        <v>1100001</v>
      </c>
      <c r="B24" s="243"/>
      <c r="C24" s="243"/>
      <c r="D24" s="243"/>
      <c r="E24" s="243"/>
      <c r="F24" s="15" t="s">
        <v>38</v>
      </c>
      <c r="G24" s="243">
        <v>3299999</v>
      </c>
      <c r="H24" s="243"/>
      <c r="I24" s="243"/>
      <c r="J24" s="243"/>
      <c r="K24" s="244"/>
      <c r="L24" s="244" t="s">
        <v>143</v>
      </c>
      <c r="M24" s="245"/>
      <c r="N24" s="245"/>
      <c r="O24" s="245"/>
      <c r="P24" s="245"/>
      <c r="Q24" s="245"/>
      <c r="R24" s="245"/>
      <c r="S24" s="246"/>
      <c r="U24" s="19">
        <f>U23</f>
        <v>0</v>
      </c>
      <c r="V24">
        <f>IF(AND(A24&lt;=U24,U24&lt;=G24),1,0)</f>
        <v>0</v>
      </c>
      <c r="W24" s="21">
        <f>U24-1100000</f>
        <v>-1100000</v>
      </c>
      <c r="X24" s="20">
        <f>W24*V24</f>
        <v>0</v>
      </c>
    </row>
    <row r="25" spans="1:24" ht="18">
      <c r="A25" s="243">
        <v>3300000</v>
      </c>
      <c r="B25" s="243"/>
      <c r="C25" s="243"/>
      <c r="D25" s="243"/>
      <c r="E25" s="243"/>
      <c r="F25" s="15" t="s">
        <v>38</v>
      </c>
      <c r="G25" s="243">
        <v>4099999</v>
      </c>
      <c r="H25" s="243"/>
      <c r="I25" s="243"/>
      <c r="J25" s="243"/>
      <c r="K25" s="244"/>
      <c r="L25" s="244" t="s">
        <v>140</v>
      </c>
      <c r="M25" s="245"/>
      <c r="N25" s="245"/>
      <c r="O25" s="245"/>
      <c r="P25" s="245"/>
      <c r="Q25" s="245"/>
      <c r="R25" s="245"/>
      <c r="S25" s="246"/>
      <c r="U25" s="19">
        <f t="shared" ref="U25:U28" si="4">U24</f>
        <v>0</v>
      </c>
      <c r="V25">
        <f>IF(AND(A25&lt;=U25,U25&lt;=G25),1,0)</f>
        <v>0</v>
      </c>
      <c r="W25" s="21">
        <f>U25*0.75-275000</f>
        <v>-275000</v>
      </c>
      <c r="X25" s="20">
        <f t="shared" ref="X25:X28" si="5">W25*V25</f>
        <v>0</v>
      </c>
    </row>
    <row r="26" spans="1:24" ht="18">
      <c r="A26" s="243">
        <v>4100000</v>
      </c>
      <c r="B26" s="243"/>
      <c r="C26" s="243"/>
      <c r="D26" s="243"/>
      <c r="E26" s="243"/>
      <c r="F26" s="15" t="s">
        <v>38</v>
      </c>
      <c r="G26" s="243">
        <v>7699999</v>
      </c>
      <c r="H26" s="243"/>
      <c r="I26" s="243"/>
      <c r="J26" s="243"/>
      <c r="K26" s="244"/>
      <c r="L26" s="244" t="s">
        <v>141</v>
      </c>
      <c r="M26" s="245"/>
      <c r="N26" s="245"/>
      <c r="O26" s="245"/>
      <c r="P26" s="245"/>
      <c r="Q26" s="245"/>
      <c r="R26" s="245"/>
      <c r="S26" s="246"/>
      <c r="U26" s="19">
        <f t="shared" si="4"/>
        <v>0</v>
      </c>
      <c r="V26">
        <f>IF(AND(A26&lt;=U26,U26&lt;=G26),1,0)</f>
        <v>0</v>
      </c>
      <c r="W26" s="21">
        <f>U26*0.85-685000</f>
        <v>-685000</v>
      </c>
      <c r="X26" s="20">
        <f t="shared" si="5"/>
        <v>0</v>
      </c>
    </row>
    <row r="27" spans="1:24" ht="18">
      <c r="A27" s="243">
        <v>7700000</v>
      </c>
      <c r="B27" s="243"/>
      <c r="C27" s="243"/>
      <c r="D27" s="243"/>
      <c r="E27" s="243"/>
      <c r="F27" s="15" t="s">
        <v>38</v>
      </c>
      <c r="G27" s="243">
        <v>9999999</v>
      </c>
      <c r="H27" s="243"/>
      <c r="I27" s="243"/>
      <c r="J27" s="243"/>
      <c r="K27" s="244"/>
      <c r="L27" s="244" t="s">
        <v>142</v>
      </c>
      <c r="M27" s="245"/>
      <c r="N27" s="245"/>
      <c r="O27" s="245"/>
      <c r="P27" s="245"/>
      <c r="Q27" s="245"/>
      <c r="R27" s="245"/>
      <c r="S27" s="246"/>
      <c r="U27" s="19">
        <f t="shared" si="4"/>
        <v>0</v>
      </c>
      <c r="V27">
        <f>IF(AND(A27&lt;=U27,U27&lt;=G27),1,0)</f>
        <v>0</v>
      </c>
      <c r="W27" s="21">
        <f>U27*0.95-1455000</f>
        <v>-1455000</v>
      </c>
      <c r="X27" s="20">
        <f t="shared" si="5"/>
        <v>0</v>
      </c>
    </row>
    <row r="28" spans="1:24" ht="18.600000000000001" thickBot="1">
      <c r="A28" s="243">
        <v>10000000</v>
      </c>
      <c r="B28" s="243"/>
      <c r="C28" s="243"/>
      <c r="D28" s="243"/>
      <c r="E28" s="243"/>
      <c r="F28" s="15" t="s">
        <v>38</v>
      </c>
      <c r="G28" s="243"/>
      <c r="H28" s="243"/>
      <c r="I28" s="243"/>
      <c r="J28" s="243"/>
      <c r="K28" s="244"/>
      <c r="L28" s="244" t="s">
        <v>144</v>
      </c>
      <c r="M28" s="245"/>
      <c r="N28" s="245"/>
      <c r="O28" s="245"/>
      <c r="P28" s="245"/>
      <c r="Q28" s="245"/>
      <c r="R28" s="245"/>
      <c r="S28" s="246"/>
      <c r="U28" s="19">
        <f t="shared" si="4"/>
        <v>0</v>
      </c>
      <c r="V28">
        <f>IF(A28&lt;=U28,1,0)</f>
        <v>0</v>
      </c>
      <c r="W28" s="21">
        <f>U28-1955000</f>
        <v>-1955000</v>
      </c>
      <c r="X28" s="20">
        <f t="shared" si="5"/>
        <v>0</v>
      </c>
    </row>
    <row r="29" spans="1:24" ht="18.600000000000001" thickBot="1">
      <c r="U29" s="19"/>
      <c r="V29"/>
      <c r="W29" s="22" t="s">
        <v>147</v>
      </c>
      <c r="X29" s="23">
        <f>SUM(X23:X28)</f>
        <v>0</v>
      </c>
    </row>
    <row r="31" spans="1:24" ht="18">
      <c r="U31" s="18" t="s">
        <v>131</v>
      </c>
      <c r="V31"/>
      <c r="W31" s="21"/>
      <c r="X31" s="20"/>
    </row>
    <row r="32" spans="1:24" ht="18">
      <c r="A32" s="14"/>
      <c r="B32" s="14"/>
      <c r="C32" s="14"/>
      <c r="D32" s="14"/>
      <c r="E32" s="14"/>
      <c r="F32"/>
      <c r="G32" s="14"/>
      <c r="H32" s="14"/>
      <c r="I32" s="14"/>
      <c r="J32" s="14"/>
      <c r="K32" s="14"/>
      <c r="L32" s="255" t="s">
        <v>138</v>
      </c>
      <c r="M32" s="256"/>
      <c r="N32" s="256"/>
      <c r="O32" s="256"/>
      <c r="P32" s="256"/>
      <c r="Q32" s="256"/>
      <c r="R32" s="256"/>
      <c r="S32" s="257"/>
      <c r="U32" s="19" t="s">
        <v>145</v>
      </c>
      <c r="V32" s="17" t="s">
        <v>125</v>
      </c>
      <c r="W32" s="258" t="s">
        <v>146</v>
      </c>
      <c r="X32" s="258"/>
    </row>
    <row r="33" spans="1:24" ht="18">
      <c r="A33" s="243">
        <v>0</v>
      </c>
      <c r="B33" s="243"/>
      <c r="C33" s="243"/>
      <c r="D33" s="243"/>
      <c r="E33" s="243"/>
      <c r="F33" s="15" t="s">
        <v>38</v>
      </c>
      <c r="G33" s="243">
        <v>1100000</v>
      </c>
      <c r="H33" s="243"/>
      <c r="I33" s="243"/>
      <c r="J33" s="243"/>
      <c r="K33" s="244"/>
      <c r="L33" s="244">
        <v>0</v>
      </c>
      <c r="M33" s="245"/>
      <c r="N33" s="245"/>
      <c r="O33" s="245"/>
      <c r="P33" s="245"/>
      <c r="Q33" s="245"/>
      <c r="R33" s="245"/>
      <c r="S33" s="246"/>
      <c r="U33" s="19">
        <f>試算!AQ9</f>
        <v>0</v>
      </c>
      <c r="V33">
        <f>IF(AND(A33&lt;=U33,U33&lt;=G33),1,0)</f>
        <v>1</v>
      </c>
      <c r="W33" s="21">
        <v>0</v>
      </c>
      <c r="X33" s="20">
        <f>W33*V33</f>
        <v>0</v>
      </c>
    </row>
    <row r="34" spans="1:24" ht="18">
      <c r="A34" s="243">
        <v>1100001</v>
      </c>
      <c r="B34" s="243"/>
      <c r="C34" s="243"/>
      <c r="D34" s="243"/>
      <c r="E34" s="243"/>
      <c r="F34" s="15" t="s">
        <v>38</v>
      </c>
      <c r="G34" s="243">
        <v>3299999</v>
      </c>
      <c r="H34" s="243"/>
      <c r="I34" s="243"/>
      <c r="J34" s="243"/>
      <c r="K34" s="244"/>
      <c r="L34" s="244" t="s">
        <v>143</v>
      </c>
      <c r="M34" s="245"/>
      <c r="N34" s="245"/>
      <c r="O34" s="245"/>
      <c r="P34" s="245"/>
      <c r="Q34" s="245"/>
      <c r="R34" s="245"/>
      <c r="S34" s="246"/>
      <c r="U34" s="19">
        <f>U33</f>
        <v>0</v>
      </c>
      <c r="V34">
        <f>IF(AND(A34&lt;=U34,U34&lt;=G34),1,0)</f>
        <v>0</v>
      </c>
      <c r="W34" s="21">
        <f>U34-1100000</f>
        <v>-1100000</v>
      </c>
      <c r="X34" s="20">
        <f>W34*V34</f>
        <v>0</v>
      </c>
    </row>
    <row r="35" spans="1:24" ht="18">
      <c r="A35" s="243">
        <v>3300000</v>
      </c>
      <c r="B35" s="243"/>
      <c r="C35" s="243"/>
      <c r="D35" s="243"/>
      <c r="E35" s="243"/>
      <c r="F35" s="15" t="s">
        <v>38</v>
      </c>
      <c r="G35" s="243">
        <v>4099999</v>
      </c>
      <c r="H35" s="243"/>
      <c r="I35" s="243"/>
      <c r="J35" s="243"/>
      <c r="K35" s="244"/>
      <c r="L35" s="244" t="s">
        <v>140</v>
      </c>
      <c r="M35" s="245"/>
      <c r="N35" s="245"/>
      <c r="O35" s="245"/>
      <c r="P35" s="245"/>
      <c r="Q35" s="245"/>
      <c r="R35" s="245"/>
      <c r="S35" s="246"/>
      <c r="U35" s="19">
        <f t="shared" ref="U35:U38" si="6">U34</f>
        <v>0</v>
      </c>
      <c r="V35">
        <f>IF(AND(A35&lt;=U35,U35&lt;=G35),1,0)</f>
        <v>0</v>
      </c>
      <c r="W35" s="21">
        <f>U35*0.75-275000</f>
        <v>-275000</v>
      </c>
      <c r="X35" s="20">
        <f t="shared" ref="X35:X38" si="7">W35*V35</f>
        <v>0</v>
      </c>
    </row>
    <row r="36" spans="1:24" ht="18">
      <c r="A36" s="243">
        <v>4100000</v>
      </c>
      <c r="B36" s="243"/>
      <c r="C36" s="243"/>
      <c r="D36" s="243"/>
      <c r="E36" s="243"/>
      <c r="F36" s="15" t="s">
        <v>38</v>
      </c>
      <c r="G36" s="243">
        <v>7699999</v>
      </c>
      <c r="H36" s="243"/>
      <c r="I36" s="243"/>
      <c r="J36" s="243"/>
      <c r="K36" s="244"/>
      <c r="L36" s="244" t="s">
        <v>141</v>
      </c>
      <c r="M36" s="245"/>
      <c r="N36" s="245"/>
      <c r="O36" s="245"/>
      <c r="P36" s="245"/>
      <c r="Q36" s="245"/>
      <c r="R36" s="245"/>
      <c r="S36" s="246"/>
      <c r="U36" s="19">
        <f t="shared" si="6"/>
        <v>0</v>
      </c>
      <c r="V36">
        <f>IF(AND(A36&lt;=U36,U36&lt;=G36),1,0)</f>
        <v>0</v>
      </c>
      <c r="W36" s="21">
        <f>U36*0.85-685000</f>
        <v>-685000</v>
      </c>
      <c r="X36" s="20">
        <f t="shared" si="7"/>
        <v>0</v>
      </c>
    </row>
    <row r="37" spans="1:24" ht="18">
      <c r="A37" s="243">
        <v>7700000</v>
      </c>
      <c r="B37" s="243"/>
      <c r="C37" s="243"/>
      <c r="D37" s="243"/>
      <c r="E37" s="243"/>
      <c r="F37" s="15" t="s">
        <v>38</v>
      </c>
      <c r="G37" s="243">
        <v>9999999</v>
      </c>
      <c r="H37" s="243"/>
      <c r="I37" s="243"/>
      <c r="J37" s="243"/>
      <c r="K37" s="244"/>
      <c r="L37" s="244" t="s">
        <v>142</v>
      </c>
      <c r="M37" s="245"/>
      <c r="N37" s="245"/>
      <c r="O37" s="245"/>
      <c r="P37" s="245"/>
      <c r="Q37" s="245"/>
      <c r="R37" s="245"/>
      <c r="S37" s="246"/>
      <c r="U37" s="19">
        <f t="shared" si="6"/>
        <v>0</v>
      </c>
      <c r="V37">
        <f>IF(AND(A37&lt;=U37,U37&lt;=G37),1,0)</f>
        <v>0</v>
      </c>
      <c r="W37" s="21">
        <f>U37*0.95-1455000</f>
        <v>-1455000</v>
      </c>
      <c r="X37" s="20">
        <f t="shared" si="7"/>
        <v>0</v>
      </c>
    </row>
    <row r="38" spans="1:24" ht="18.600000000000001" thickBot="1">
      <c r="A38" s="243">
        <v>10000000</v>
      </c>
      <c r="B38" s="243"/>
      <c r="C38" s="243"/>
      <c r="D38" s="243"/>
      <c r="E38" s="243"/>
      <c r="F38" s="15" t="s">
        <v>38</v>
      </c>
      <c r="G38" s="243"/>
      <c r="H38" s="243"/>
      <c r="I38" s="243"/>
      <c r="J38" s="243"/>
      <c r="K38" s="244"/>
      <c r="L38" s="244" t="s">
        <v>144</v>
      </c>
      <c r="M38" s="245"/>
      <c r="N38" s="245"/>
      <c r="O38" s="245"/>
      <c r="P38" s="245"/>
      <c r="Q38" s="245"/>
      <c r="R38" s="245"/>
      <c r="S38" s="246"/>
      <c r="U38" s="19">
        <f t="shared" si="6"/>
        <v>0</v>
      </c>
      <c r="V38">
        <f>IF(A38&lt;=U38,1,0)</f>
        <v>0</v>
      </c>
      <c r="W38" s="21">
        <f>U38-1955000</f>
        <v>-1955000</v>
      </c>
      <c r="X38" s="20">
        <f t="shared" si="7"/>
        <v>0</v>
      </c>
    </row>
    <row r="39" spans="1:24" ht="18.600000000000001" thickBot="1">
      <c r="U39" s="19"/>
      <c r="V39"/>
      <c r="W39" s="22" t="s">
        <v>147</v>
      </c>
      <c r="X39" s="23">
        <f>SUM(X33:X38)</f>
        <v>0</v>
      </c>
    </row>
    <row r="41" spans="1:24" ht="18">
      <c r="U41" s="18" t="s">
        <v>136</v>
      </c>
      <c r="V41"/>
      <c r="W41" s="21"/>
      <c r="X41" s="20"/>
    </row>
    <row r="42" spans="1:24" ht="18">
      <c r="A42" s="14"/>
      <c r="B42" s="14"/>
      <c r="C42" s="14"/>
      <c r="D42" s="14"/>
      <c r="E42" s="14"/>
      <c r="F42"/>
      <c r="G42" s="14"/>
      <c r="H42" s="14"/>
      <c r="I42" s="14"/>
      <c r="J42" s="14"/>
      <c r="K42" s="14"/>
      <c r="L42" s="255" t="s">
        <v>138</v>
      </c>
      <c r="M42" s="256"/>
      <c r="N42" s="256"/>
      <c r="O42" s="256"/>
      <c r="P42" s="256"/>
      <c r="Q42" s="256"/>
      <c r="R42" s="256"/>
      <c r="S42" s="257"/>
      <c r="U42" s="19" t="s">
        <v>145</v>
      </c>
      <c r="V42" s="17" t="s">
        <v>125</v>
      </c>
      <c r="W42" s="258" t="s">
        <v>146</v>
      </c>
      <c r="X42" s="258"/>
    </row>
    <row r="43" spans="1:24" ht="18">
      <c r="A43" s="243">
        <v>0</v>
      </c>
      <c r="B43" s="243"/>
      <c r="C43" s="243"/>
      <c r="D43" s="243"/>
      <c r="E43" s="243"/>
      <c r="F43" s="15" t="s">
        <v>38</v>
      </c>
      <c r="G43" s="243">
        <v>1100000</v>
      </c>
      <c r="H43" s="243"/>
      <c r="I43" s="243"/>
      <c r="J43" s="243"/>
      <c r="K43" s="244"/>
      <c r="L43" s="244">
        <v>0</v>
      </c>
      <c r="M43" s="245"/>
      <c r="N43" s="245"/>
      <c r="O43" s="245"/>
      <c r="P43" s="245"/>
      <c r="Q43" s="245"/>
      <c r="R43" s="245"/>
      <c r="S43" s="246"/>
      <c r="U43" s="19">
        <f>試算!AQ10</f>
        <v>0</v>
      </c>
      <c r="V43">
        <f>IF(AND(A43&lt;=U43,U43&lt;=G43),1,0)</f>
        <v>1</v>
      </c>
      <c r="W43" s="21">
        <v>0</v>
      </c>
      <c r="X43" s="20">
        <f>W43*V43</f>
        <v>0</v>
      </c>
    </row>
    <row r="44" spans="1:24" ht="18">
      <c r="A44" s="243">
        <v>1100001</v>
      </c>
      <c r="B44" s="243"/>
      <c r="C44" s="243"/>
      <c r="D44" s="243"/>
      <c r="E44" s="243"/>
      <c r="F44" s="15" t="s">
        <v>38</v>
      </c>
      <c r="G44" s="243">
        <v>3299999</v>
      </c>
      <c r="H44" s="243"/>
      <c r="I44" s="243"/>
      <c r="J44" s="243"/>
      <c r="K44" s="244"/>
      <c r="L44" s="244" t="s">
        <v>143</v>
      </c>
      <c r="M44" s="245"/>
      <c r="N44" s="245"/>
      <c r="O44" s="245"/>
      <c r="P44" s="245"/>
      <c r="Q44" s="245"/>
      <c r="R44" s="245"/>
      <c r="S44" s="246"/>
      <c r="U44" s="19">
        <f>U43</f>
        <v>0</v>
      </c>
      <c r="V44">
        <f>IF(AND(A44&lt;=U44,U44&lt;=G44),1,0)</f>
        <v>0</v>
      </c>
      <c r="W44" s="21">
        <f>U44-1100000</f>
        <v>-1100000</v>
      </c>
      <c r="X44" s="20">
        <f>W44*V44</f>
        <v>0</v>
      </c>
    </row>
    <row r="45" spans="1:24" ht="18">
      <c r="A45" s="243">
        <v>3300000</v>
      </c>
      <c r="B45" s="243"/>
      <c r="C45" s="243"/>
      <c r="D45" s="243"/>
      <c r="E45" s="243"/>
      <c r="F45" s="15" t="s">
        <v>38</v>
      </c>
      <c r="G45" s="243">
        <v>4099999</v>
      </c>
      <c r="H45" s="243"/>
      <c r="I45" s="243"/>
      <c r="J45" s="243"/>
      <c r="K45" s="244"/>
      <c r="L45" s="244" t="s">
        <v>140</v>
      </c>
      <c r="M45" s="245"/>
      <c r="N45" s="245"/>
      <c r="O45" s="245"/>
      <c r="P45" s="245"/>
      <c r="Q45" s="245"/>
      <c r="R45" s="245"/>
      <c r="S45" s="246"/>
      <c r="U45" s="19">
        <f t="shared" ref="U45:U48" si="8">U44</f>
        <v>0</v>
      </c>
      <c r="V45">
        <f>IF(AND(A45&lt;=U45,U45&lt;=G45),1,0)</f>
        <v>0</v>
      </c>
      <c r="W45" s="21">
        <f>U45*0.75-275000</f>
        <v>-275000</v>
      </c>
      <c r="X45" s="20">
        <f t="shared" ref="X45:X48" si="9">W45*V45</f>
        <v>0</v>
      </c>
    </row>
    <row r="46" spans="1:24" ht="18">
      <c r="A46" s="243">
        <v>4100000</v>
      </c>
      <c r="B46" s="243"/>
      <c r="C46" s="243"/>
      <c r="D46" s="243"/>
      <c r="E46" s="243"/>
      <c r="F46" s="15" t="s">
        <v>38</v>
      </c>
      <c r="G46" s="243">
        <v>7699999</v>
      </c>
      <c r="H46" s="243"/>
      <c r="I46" s="243"/>
      <c r="J46" s="243"/>
      <c r="K46" s="244"/>
      <c r="L46" s="244" t="s">
        <v>141</v>
      </c>
      <c r="M46" s="245"/>
      <c r="N46" s="245"/>
      <c r="O46" s="245"/>
      <c r="P46" s="245"/>
      <c r="Q46" s="245"/>
      <c r="R46" s="245"/>
      <c r="S46" s="246"/>
      <c r="U46" s="19">
        <f t="shared" si="8"/>
        <v>0</v>
      </c>
      <c r="V46">
        <f>IF(AND(A46&lt;=U46,U46&lt;=G46),1,0)</f>
        <v>0</v>
      </c>
      <c r="W46" s="21">
        <f>U46*0.85-685000</f>
        <v>-685000</v>
      </c>
      <c r="X46" s="20">
        <f t="shared" si="9"/>
        <v>0</v>
      </c>
    </row>
    <row r="47" spans="1:24" ht="18">
      <c r="A47" s="243">
        <v>7700000</v>
      </c>
      <c r="B47" s="243"/>
      <c r="C47" s="243"/>
      <c r="D47" s="243"/>
      <c r="E47" s="243"/>
      <c r="F47" s="15" t="s">
        <v>38</v>
      </c>
      <c r="G47" s="243">
        <v>9999999</v>
      </c>
      <c r="H47" s="243"/>
      <c r="I47" s="243"/>
      <c r="J47" s="243"/>
      <c r="K47" s="244"/>
      <c r="L47" s="244" t="s">
        <v>142</v>
      </c>
      <c r="M47" s="245"/>
      <c r="N47" s="245"/>
      <c r="O47" s="245"/>
      <c r="P47" s="245"/>
      <c r="Q47" s="245"/>
      <c r="R47" s="245"/>
      <c r="S47" s="246"/>
      <c r="U47" s="19">
        <f t="shared" si="8"/>
        <v>0</v>
      </c>
      <c r="V47">
        <f>IF(AND(A47&lt;=U47,U47&lt;=G47),1,0)</f>
        <v>0</v>
      </c>
      <c r="W47" s="21">
        <f>U47*0.95-1455000</f>
        <v>-1455000</v>
      </c>
      <c r="X47" s="20">
        <f t="shared" si="9"/>
        <v>0</v>
      </c>
    </row>
    <row r="48" spans="1:24" ht="18.600000000000001" thickBot="1">
      <c r="A48" s="243">
        <v>10000000</v>
      </c>
      <c r="B48" s="243"/>
      <c r="C48" s="243"/>
      <c r="D48" s="243"/>
      <c r="E48" s="243"/>
      <c r="F48" s="15" t="s">
        <v>38</v>
      </c>
      <c r="G48" s="243"/>
      <c r="H48" s="243"/>
      <c r="I48" s="243"/>
      <c r="J48" s="243"/>
      <c r="K48" s="244"/>
      <c r="L48" s="244" t="s">
        <v>144</v>
      </c>
      <c r="M48" s="245"/>
      <c r="N48" s="245"/>
      <c r="O48" s="245"/>
      <c r="P48" s="245"/>
      <c r="Q48" s="245"/>
      <c r="R48" s="245"/>
      <c r="S48" s="246"/>
      <c r="U48" s="19">
        <f t="shared" si="8"/>
        <v>0</v>
      </c>
      <c r="V48">
        <f>IF(A48&lt;=U48,1,0)</f>
        <v>0</v>
      </c>
      <c r="W48" s="21">
        <f>U48-1955000</f>
        <v>-1955000</v>
      </c>
      <c r="X48" s="20">
        <f t="shared" si="9"/>
        <v>0</v>
      </c>
    </row>
    <row r="49" spans="1:24" ht="18.600000000000001" thickBot="1">
      <c r="U49" s="19"/>
      <c r="V49"/>
      <c r="W49" s="22" t="s">
        <v>147</v>
      </c>
      <c r="X49" s="23">
        <f>SUM(X43:X48)</f>
        <v>0</v>
      </c>
    </row>
    <row r="51" spans="1:24" ht="18">
      <c r="U51" s="18" t="s">
        <v>187</v>
      </c>
      <c r="V51"/>
      <c r="W51" s="21"/>
      <c r="X51" s="20"/>
    </row>
    <row r="52" spans="1:24" ht="18">
      <c r="A52" s="14"/>
      <c r="B52" s="14"/>
      <c r="C52" s="14"/>
      <c r="D52" s="14"/>
      <c r="E52" s="14"/>
      <c r="F52"/>
      <c r="G52" s="14"/>
      <c r="H52" s="14"/>
      <c r="I52" s="14"/>
      <c r="J52" s="14"/>
      <c r="K52" s="14"/>
      <c r="L52" s="255" t="s">
        <v>138</v>
      </c>
      <c r="M52" s="256"/>
      <c r="N52" s="256"/>
      <c r="O52" s="256"/>
      <c r="P52" s="256"/>
      <c r="Q52" s="256"/>
      <c r="R52" s="256"/>
      <c r="S52" s="257"/>
      <c r="U52" s="19" t="s">
        <v>145</v>
      </c>
      <c r="V52" s="17" t="s">
        <v>125</v>
      </c>
      <c r="W52" s="258" t="s">
        <v>146</v>
      </c>
      <c r="X52" s="258"/>
    </row>
    <row r="53" spans="1:24" ht="18">
      <c r="A53" s="243">
        <v>0</v>
      </c>
      <c r="B53" s="243"/>
      <c r="C53" s="243"/>
      <c r="D53" s="243"/>
      <c r="E53" s="243"/>
      <c r="F53" s="15" t="s">
        <v>38</v>
      </c>
      <c r="G53" s="243">
        <v>1100000</v>
      </c>
      <c r="H53" s="243"/>
      <c r="I53" s="243"/>
      <c r="J53" s="243"/>
      <c r="K53" s="244"/>
      <c r="L53" s="244">
        <v>0</v>
      </c>
      <c r="M53" s="245"/>
      <c r="N53" s="245"/>
      <c r="O53" s="245"/>
      <c r="P53" s="245"/>
      <c r="Q53" s="245"/>
      <c r="R53" s="245"/>
      <c r="S53" s="246"/>
      <c r="U53" s="19">
        <f>試算!AQ11</f>
        <v>0</v>
      </c>
      <c r="V53">
        <f>IF(AND(A53&lt;=U53,U53&lt;=G53),1,0)</f>
        <v>1</v>
      </c>
      <c r="W53" s="21">
        <v>0</v>
      </c>
      <c r="X53" s="20">
        <f>W53*V53</f>
        <v>0</v>
      </c>
    </row>
    <row r="54" spans="1:24" ht="18">
      <c r="A54" s="243">
        <v>1100001</v>
      </c>
      <c r="B54" s="243"/>
      <c r="C54" s="243"/>
      <c r="D54" s="243"/>
      <c r="E54" s="243"/>
      <c r="F54" s="15" t="s">
        <v>38</v>
      </c>
      <c r="G54" s="243">
        <v>3299999</v>
      </c>
      <c r="H54" s="243"/>
      <c r="I54" s="243"/>
      <c r="J54" s="243"/>
      <c r="K54" s="244"/>
      <c r="L54" s="244" t="s">
        <v>143</v>
      </c>
      <c r="M54" s="245"/>
      <c r="N54" s="245"/>
      <c r="O54" s="245"/>
      <c r="P54" s="245"/>
      <c r="Q54" s="245"/>
      <c r="R54" s="245"/>
      <c r="S54" s="246"/>
      <c r="U54" s="19">
        <f>U53</f>
        <v>0</v>
      </c>
      <c r="V54">
        <f>IF(AND(A54&lt;=U54,U54&lt;=G54),1,0)</f>
        <v>0</v>
      </c>
      <c r="W54" s="21">
        <f>U54-1100000</f>
        <v>-1100000</v>
      </c>
      <c r="X54" s="20">
        <f>W54*V54</f>
        <v>0</v>
      </c>
    </row>
    <row r="55" spans="1:24" ht="18">
      <c r="A55" s="243">
        <v>3300000</v>
      </c>
      <c r="B55" s="243"/>
      <c r="C55" s="243"/>
      <c r="D55" s="243"/>
      <c r="E55" s="243"/>
      <c r="F55" s="15" t="s">
        <v>38</v>
      </c>
      <c r="G55" s="243">
        <v>4099999</v>
      </c>
      <c r="H55" s="243"/>
      <c r="I55" s="243"/>
      <c r="J55" s="243"/>
      <c r="K55" s="244"/>
      <c r="L55" s="244" t="s">
        <v>140</v>
      </c>
      <c r="M55" s="245"/>
      <c r="N55" s="245"/>
      <c r="O55" s="245"/>
      <c r="P55" s="245"/>
      <c r="Q55" s="245"/>
      <c r="R55" s="245"/>
      <c r="S55" s="246"/>
      <c r="U55" s="19">
        <f t="shared" ref="U55:U58" si="10">U54</f>
        <v>0</v>
      </c>
      <c r="V55">
        <f>IF(AND(A55&lt;=U55,U55&lt;=G55),1,0)</f>
        <v>0</v>
      </c>
      <c r="W55" s="21">
        <f>U55*0.75-275000</f>
        <v>-275000</v>
      </c>
      <c r="X55" s="20">
        <f t="shared" ref="X55:X58" si="11">W55*V55</f>
        <v>0</v>
      </c>
    </row>
    <row r="56" spans="1:24" ht="18">
      <c r="A56" s="243">
        <v>4100000</v>
      </c>
      <c r="B56" s="243"/>
      <c r="C56" s="243"/>
      <c r="D56" s="243"/>
      <c r="E56" s="243"/>
      <c r="F56" s="15" t="s">
        <v>38</v>
      </c>
      <c r="G56" s="243">
        <v>7699999</v>
      </c>
      <c r="H56" s="243"/>
      <c r="I56" s="243"/>
      <c r="J56" s="243"/>
      <c r="K56" s="244"/>
      <c r="L56" s="244" t="s">
        <v>141</v>
      </c>
      <c r="M56" s="245"/>
      <c r="N56" s="245"/>
      <c r="O56" s="245"/>
      <c r="P56" s="245"/>
      <c r="Q56" s="245"/>
      <c r="R56" s="245"/>
      <c r="S56" s="246"/>
      <c r="U56" s="19">
        <f t="shared" si="10"/>
        <v>0</v>
      </c>
      <c r="V56">
        <f>IF(AND(A56&lt;=U56,U56&lt;=G56),1,0)</f>
        <v>0</v>
      </c>
      <c r="W56" s="21">
        <f>U56*0.85-685000</f>
        <v>-685000</v>
      </c>
      <c r="X56" s="20">
        <f t="shared" si="11"/>
        <v>0</v>
      </c>
    </row>
    <row r="57" spans="1:24" ht="18">
      <c r="A57" s="243">
        <v>7700000</v>
      </c>
      <c r="B57" s="243"/>
      <c r="C57" s="243"/>
      <c r="D57" s="243"/>
      <c r="E57" s="243"/>
      <c r="F57" s="15" t="s">
        <v>38</v>
      </c>
      <c r="G57" s="243">
        <v>9999999</v>
      </c>
      <c r="H57" s="243"/>
      <c r="I57" s="243"/>
      <c r="J57" s="243"/>
      <c r="K57" s="244"/>
      <c r="L57" s="244" t="s">
        <v>142</v>
      </c>
      <c r="M57" s="245"/>
      <c r="N57" s="245"/>
      <c r="O57" s="245"/>
      <c r="P57" s="245"/>
      <c r="Q57" s="245"/>
      <c r="R57" s="245"/>
      <c r="S57" s="246"/>
      <c r="U57" s="19">
        <f t="shared" si="10"/>
        <v>0</v>
      </c>
      <c r="V57">
        <f>IF(AND(A57&lt;=U57,U57&lt;=G57),1,0)</f>
        <v>0</v>
      </c>
      <c r="W57" s="21">
        <f>U57*0.95-1455000</f>
        <v>-1455000</v>
      </c>
      <c r="X57" s="20">
        <f t="shared" si="11"/>
        <v>0</v>
      </c>
    </row>
    <row r="58" spans="1:24" ht="18.600000000000001" thickBot="1">
      <c r="A58" s="243">
        <v>10000000</v>
      </c>
      <c r="B58" s="243"/>
      <c r="C58" s="243"/>
      <c r="D58" s="243"/>
      <c r="E58" s="243"/>
      <c r="F58" s="15" t="s">
        <v>38</v>
      </c>
      <c r="G58" s="243"/>
      <c r="H58" s="243"/>
      <c r="I58" s="243"/>
      <c r="J58" s="243"/>
      <c r="K58" s="244"/>
      <c r="L58" s="244" t="s">
        <v>144</v>
      </c>
      <c r="M58" s="245"/>
      <c r="N58" s="245"/>
      <c r="O58" s="245"/>
      <c r="P58" s="245"/>
      <c r="Q58" s="245"/>
      <c r="R58" s="245"/>
      <c r="S58" s="246"/>
      <c r="U58" s="19">
        <f t="shared" si="10"/>
        <v>0</v>
      </c>
      <c r="V58">
        <f>IF(A58&lt;=U58,1,0)</f>
        <v>0</v>
      </c>
      <c r="W58" s="21">
        <f>U58-1955000</f>
        <v>-1955000</v>
      </c>
      <c r="X58" s="20">
        <f t="shared" si="11"/>
        <v>0</v>
      </c>
    </row>
    <row r="59" spans="1:24" ht="18.600000000000001" thickBot="1">
      <c r="U59" s="19"/>
      <c r="V59"/>
      <c r="W59" s="22" t="s">
        <v>147</v>
      </c>
      <c r="X59" s="23">
        <f>SUM(X53:X58)</f>
        <v>0</v>
      </c>
    </row>
    <row r="61" spans="1:24" ht="18">
      <c r="U61" s="18" t="s">
        <v>188</v>
      </c>
      <c r="V61"/>
      <c r="W61" s="21"/>
      <c r="X61" s="20"/>
    </row>
    <row r="62" spans="1:24" ht="18">
      <c r="A62" s="14"/>
      <c r="B62" s="14"/>
      <c r="C62" s="14"/>
      <c r="D62" s="14"/>
      <c r="E62" s="14"/>
      <c r="F62"/>
      <c r="G62" s="14"/>
      <c r="H62" s="14"/>
      <c r="I62" s="14"/>
      <c r="J62" s="14"/>
      <c r="K62" s="14"/>
      <c r="L62" s="255" t="s">
        <v>138</v>
      </c>
      <c r="M62" s="256"/>
      <c r="N62" s="256"/>
      <c r="O62" s="256"/>
      <c r="P62" s="256"/>
      <c r="Q62" s="256"/>
      <c r="R62" s="256"/>
      <c r="S62" s="257"/>
      <c r="U62" s="19" t="s">
        <v>145</v>
      </c>
      <c r="V62" s="17" t="s">
        <v>125</v>
      </c>
      <c r="W62" s="258" t="s">
        <v>146</v>
      </c>
      <c r="X62" s="258"/>
    </row>
    <row r="63" spans="1:24" ht="18">
      <c r="A63" s="243">
        <v>0</v>
      </c>
      <c r="B63" s="243"/>
      <c r="C63" s="243"/>
      <c r="D63" s="243"/>
      <c r="E63" s="243"/>
      <c r="F63" s="15" t="s">
        <v>38</v>
      </c>
      <c r="G63" s="243">
        <v>1100000</v>
      </c>
      <c r="H63" s="243"/>
      <c r="I63" s="243"/>
      <c r="J63" s="243"/>
      <c r="K63" s="244"/>
      <c r="L63" s="244">
        <v>0</v>
      </c>
      <c r="M63" s="245"/>
      <c r="N63" s="245"/>
      <c r="O63" s="245"/>
      <c r="P63" s="245"/>
      <c r="Q63" s="245"/>
      <c r="R63" s="245"/>
      <c r="S63" s="246"/>
      <c r="U63" s="19">
        <f>試算!AQ12</f>
        <v>0</v>
      </c>
      <c r="V63">
        <f>IF(AND(A63&lt;=U63,U63&lt;=G63),1,0)</f>
        <v>1</v>
      </c>
      <c r="W63" s="21">
        <v>0</v>
      </c>
      <c r="X63" s="20">
        <f>W63*V63</f>
        <v>0</v>
      </c>
    </row>
    <row r="64" spans="1:24" ht="18">
      <c r="A64" s="243">
        <v>1100001</v>
      </c>
      <c r="B64" s="243"/>
      <c r="C64" s="243"/>
      <c r="D64" s="243"/>
      <c r="E64" s="243"/>
      <c r="F64" s="15" t="s">
        <v>38</v>
      </c>
      <c r="G64" s="243">
        <v>3299999</v>
      </c>
      <c r="H64" s="243"/>
      <c r="I64" s="243"/>
      <c r="J64" s="243"/>
      <c r="K64" s="244"/>
      <c r="L64" s="244" t="s">
        <v>143</v>
      </c>
      <c r="M64" s="245"/>
      <c r="N64" s="245"/>
      <c r="O64" s="245"/>
      <c r="P64" s="245"/>
      <c r="Q64" s="245"/>
      <c r="R64" s="245"/>
      <c r="S64" s="246"/>
      <c r="U64" s="19">
        <f>U63</f>
        <v>0</v>
      </c>
      <c r="V64">
        <f>IF(AND(A64&lt;=U64,U64&lt;=G64),1,0)</f>
        <v>0</v>
      </c>
      <c r="W64" s="21">
        <f>U64-1100000</f>
        <v>-1100000</v>
      </c>
      <c r="X64" s="20">
        <f>W64*V64</f>
        <v>0</v>
      </c>
    </row>
    <row r="65" spans="1:24" ht="18">
      <c r="A65" s="243">
        <v>3300000</v>
      </c>
      <c r="B65" s="243"/>
      <c r="C65" s="243"/>
      <c r="D65" s="243"/>
      <c r="E65" s="243"/>
      <c r="F65" s="15" t="s">
        <v>38</v>
      </c>
      <c r="G65" s="243">
        <v>4099999</v>
      </c>
      <c r="H65" s="243"/>
      <c r="I65" s="243"/>
      <c r="J65" s="243"/>
      <c r="K65" s="244"/>
      <c r="L65" s="244" t="s">
        <v>140</v>
      </c>
      <c r="M65" s="245"/>
      <c r="N65" s="245"/>
      <c r="O65" s="245"/>
      <c r="P65" s="245"/>
      <c r="Q65" s="245"/>
      <c r="R65" s="245"/>
      <c r="S65" s="246"/>
      <c r="U65" s="19">
        <f t="shared" ref="U65:U68" si="12">U64</f>
        <v>0</v>
      </c>
      <c r="V65">
        <f>IF(AND(A65&lt;=U65,U65&lt;=G65),1,0)</f>
        <v>0</v>
      </c>
      <c r="W65" s="21">
        <f>U65*0.75-275000</f>
        <v>-275000</v>
      </c>
      <c r="X65" s="20">
        <f t="shared" ref="X65:X68" si="13">W65*V65</f>
        <v>0</v>
      </c>
    </row>
    <row r="66" spans="1:24" ht="18">
      <c r="A66" s="243">
        <v>4100000</v>
      </c>
      <c r="B66" s="243"/>
      <c r="C66" s="243"/>
      <c r="D66" s="243"/>
      <c r="E66" s="243"/>
      <c r="F66" s="15" t="s">
        <v>38</v>
      </c>
      <c r="G66" s="243">
        <v>7699999</v>
      </c>
      <c r="H66" s="243"/>
      <c r="I66" s="243"/>
      <c r="J66" s="243"/>
      <c r="K66" s="244"/>
      <c r="L66" s="244" t="s">
        <v>141</v>
      </c>
      <c r="M66" s="245"/>
      <c r="N66" s="245"/>
      <c r="O66" s="245"/>
      <c r="P66" s="245"/>
      <c r="Q66" s="245"/>
      <c r="R66" s="245"/>
      <c r="S66" s="246"/>
      <c r="U66" s="19">
        <f t="shared" si="12"/>
        <v>0</v>
      </c>
      <c r="V66">
        <f>IF(AND(A66&lt;=U66,U66&lt;=G66),1,0)</f>
        <v>0</v>
      </c>
      <c r="W66" s="21">
        <f>U66*0.85-685000</f>
        <v>-685000</v>
      </c>
      <c r="X66" s="20">
        <f t="shared" si="13"/>
        <v>0</v>
      </c>
    </row>
    <row r="67" spans="1:24" ht="18">
      <c r="A67" s="243">
        <v>7700000</v>
      </c>
      <c r="B67" s="243"/>
      <c r="C67" s="243"/>
      <c r="D67" s="243"/>
      <c r="E67" s="243"/>
      <c r="F67" s="15" t="s">
        <v>38</v>
      </c>
      <c r="G67" s="243">
        <v>9999999</v>
      </c>
      <c r="H67" s="243"/>
      <c r="I67" s="243"/>
      <c r="J67" s="243"/>
      <c r="K67" s="244"/>
      <c r="L67" s="244" t="s">
        <v>142</v>
      </c>
      <c r="M67" s="245"/>
      <c r="N67" s="245"/>
      <c r="O67" s="245"/>
      <c r="P67" s="245"/>
      <c r="Q67" s="245"/>
      <c r="R67" s="245"/>
      <c r="S67" s="246"/>
      <c r="U67" s="19">
        <f t="shared" si="12"/>
        <v>0</v>
      </c>
      <c r="V67">
        <f>IF(AND(A67&lt;=U67,U67&lt;=G67),1,0)</f>
        <v>0</v>
      </c>
      <c r="W67" s="21">
        <f>U67*0.95-1455000</f>
        <v>-1455000</v>
      </c>
      <c r="X67" s="20">
        <f t="shared" si="13"/>
        <v>0</v>
      </c>
    </row>
    <row r="68" spans="1:24" ht="18.600000000000001" thickBot="1">
      <c r="A68" s="243">
        <v>10000000</v>
      </c>
      <c r="B68" s="243"/>
      <c r="C68" s="243"/>
      <c r="D68" s="243"/>
      <c r="E68" s="243"/>
      <c r="F68" s="15" t="s">
        <v>38</v>
      </c>
      <c r="G68" s="243"/>
      <c r="H68" s="243"/>
      <c r="I68" s="243"/>
      <c r="J68" s="243"/>
      <c r="K68" s="244"/>
      <c r="L68" s="244" t="s">
        <v>144</v>
      </c>
      <c r="M68" s="245"/>
      <c r="N68" s="245"/>
      <c r="O68" s="245"/>
      <c r="P68" s="245"/>
      <c r="Q68" s="245"/>
      <c r="R68" s="245"/>
      <c r="S68" s="246"/>
      <c r="U68" s="19">
        <f t="shared" si="12"/>
        <v>0</v>
      </c>
      <c r="V68">
        <f>IF(A68&lt;=U68,1,0)</f>
        <v>0</v>
      </c>
      <c r="W68" s="21">
        <f>U68-1955000</f>
        <v>-1955000</v>
      </c>
      <c r="X68" s="20">
        <f t="shared" si="13"/>
        <v>0</v>
      </c>
    </row>
    <row r="69" spans="1:24" ht="18.600000000000001" thickBot="1">
      <c r="U69" s="19"/>
      <c r="V69"/>
      <c r="W69" s="22" t="s">
        <v>147</v>
      </c>
      <c r="X69" s="23">
        <f>SUM(X63:X68)</f>
        <v>0</v>
      </c>
    </row>
    <row r="71" spans="1:24" ht="18">
      <c r="U71" s="18" t="s">
        <v>189</v>
      </c>
      <c r="V71"/>
      <c r="W71" s="21"/>
      <c r="X71" s="20"/>
    </row>
    <row r="72" spans="1:24" ht="18">
      <c r="A72" s="14"/>
      <c r="B72" s="14"/>
      <c r="C72" s="14"/>
      <c r="D72" s="14"/>
      <c r="E72" s="14"/>
      <c r="F72"/>
      <c r="G72" s="14"/>
      <c r="H72" s="14"/>
      <c r="I72" s="14"/>
      <c r="J72" s="14"/>
      <c r="K72" s="14"/>
      <c r="L72" s="255" t="s">
        <v>138</v>
      </c>
      <c r="M72" s="256"/>
      <c r="N72" s="256"/>
      <c r="O72" s="256"/>
      <c r="P72" s="256"/>
      <c r="Q72" s="256"/>
      <c r="R72" s="256"/>
      <c r="S72" s="257"/>
      <c r="U72" s="19" t="s">
        <v>145</v>
      </c>
      <c r="V72" s="17" t="s">
        <v>125</v>
      </c>
      <c r="W72" s="258" t="s">
        <v>146</v>
      </c>
      <c r="X72" s="258"/>
    </row>
    <row r="73" spans="1:24" ht="18">
      <c r="A73" s="243">
        <v>0</v>
      </c>
      <c r="B73" s="243"/>
      <c r="C73" s="243"/>
      <c r="D73" s="243"/>
      <c r="E73" s="243"/>
      <c r="F73" s="15" t="s">
        <v>38</v>
      </c>
      <c r="G73" s="243">
        <v>1100000</v>
      </c>
      <c r="H73" s="243"/>
      <c r="I73" s="243"/>
      <c r="J73" s="243"/>
      <c r="K73" s="244"/>
      <c r="L73" s="244">
        <v>0</v>
      </c>
      <c r="M73" s="245"/>
      <c r="N73" s="245"/>
      <c r="O73" s="245"/>
      <c r="P73" s="245"/>
      <c r="Q73" s="245"/>
      <c r="R73" s="245"/>
      <c r="S73" s="246"/>
      <c r="U73" s="19">
        <f>試算!AQ13</f>
        <v>0</v>
      </c>
      <c r="V73">
        <f>IF(AND(A73&lt;=U73,U73&lt;=G73),1,0)</f>
        <v>1</v>
      </c>
      <c r="W73" s="21">
        <v>0</v>
      </c>
      <c r="X73" s="20">
        <f>W73*V73</f>
        <v>0</v>
      </c>
    </row>
    <row r="74" spans="1:24" ht="18">
      <c r="A74" s="243">
        <v>1100001</v>
      </c>
      <c r="B74" s="243"/>
      <c r="C74" s="243"/>
      <c r="D74" s="243"/>
      <c r="E74" s="243"/>
      <c r="F74" s="15" t="s">
        <v>38</v>
      </c>
      <c r="G74" s="243">
        <v>3299999</v>
      </c>
      <c r="H74" s="243"/>
      <c r="I74" s="243"/>
      <c r="J74" s="243"/>
      <c r="K74" s="244"/>
      <c r="L74" s="244" t="s">
        <v>143</v>
      </c>
      <c r="M74" s="245"/>
      <c r="N74" s="245"/>
      <c r="O74" s="245"/>
      <c r="P74" s="245"/>
      <c r="Q74" s="245"/>
      <c r="R74" s="245"/>
      <c r="S74" s="246"/>
      <c r="U74" s="19">
        <f>U73</f>
        <v>0</v>
      </c>
      <c r="V74">
        <f>IF(AND(A74&lt;=U74,U74&lt;=G74),1,0)</f>
        <v>0</v>
      </c>
      <c r="W74" s="21">
        <f>U74-1100000</f>
        <v>-1100000</v>
      </c>
      <c r="X74" s="20">
        <f>W74*V74</f>
        <v>0</v>
      </c>
    </row>
    <row r="75" spans="1:24" ht="18">
      <c r="A75" s="243">
        <v>3300000</v>
      </c>
      <c r="B75" s="243"/>
      <c r="C75" s="243"/>
      <c r="D75" s="243"/>
      <c r="E75" s="243"/>
      <c r="F75" s="15" t="s">
        <v>38</v>
      </c>
      <c r="G75" s="243">
        <v>4099999</v>
      </c>
      <c r="H75" s="243"/>
      <c r="I75" s="243"/>
      <c r="J75" s="243"/>
      <c r="K75" s="244"/>
      <c r="L75" s="244" t="s">
        <v>140</v>
      </c>
      <c r="M75" s="245"/>
      <c r="N75" s="245"/>
      <c r="O75" s="245"/>
      <c r="P75" s="245"/>
      <c r="Q75" s="245"/>
      <c r="R75" s="245"/>
      <c r="S75" s="246"/>
      <c r="U75" s="19">
        <f t="shared" ref="U75:U78" si="14">U74</f>
        <v>0</v>
      </c>
      <c r="V75">
        <f>IF(AND(A75&lt;=U75,U75&lt;=G75),1,0)</f>
        <v>0</v>
      </c>
      <c r="W75" s="21">
        <f>U75*0.75-275000</f>
        <v>-275000</v>
      </c>
      <c r="X75" s="20">
        <f t="shared" ref="X75:X78" si="15">W75*V75</f>
        <v>0</v>
      </c>
    </row>
    <row r="76" spans="1:24" ht="18">
      <c r="A76" s="243">
        <v>4100000</v>
      </c>
      <c r="B76" s="243"/>
      <c r="C76" s="243"/>
      <c r="D76" s="243"/>
      <c r="E76" s="243"/>
      <c r="F76" s="15" t="s">
        <v>38</v>
      </c>
      <c r="G76" s="243">
        <v>7699999</v>
      </c>
      <c r="H76" s="243"/>
      <c r="I76" s="243"/>
      <c r="J76" s="243"/>
      <c r="K76" s="244"/>
      <c r="L76" s="244" t="s">
        <v>141</v>
      </c>
      <c r="M76" s="245"/>
      <c r="N76" s="245"/>
      <c r="O76" s="245"/>
      <c r="P76" s="245"/>
      <c r="Q76" s="245"/>
      <c r="R76" s="245"/>
      <c r="S76" s="246"/>
      <c r="U76" s="19">
        <f t="shared" si="14"/>
        <v>0</v>
      </c>
      <c r="V76">
        <f>IF(AND(A76&lt;=U76,U76&lt;=G76),1,0)</f>
        <v>0</v>
      </c>
      <c r="W76" s="21">
        <f>U76*0.85-685000</f>
        <v>-685000</v>
      </c>
      <c r="X76" s="20">
        <f t="shared" si="15"/>
        <v>0</v>
      </c>
    </row>
    <row r="77" spans="1:24" ht="18">
      <c r="A77" s="243">
        <v>7700000</v>
      </c>
      <c r="B77" s="243"/>
      <c r="C77" s="243"/>
      <c r="D77" s="243"/>
      <c r="E77" s="243"/>
      <c r="F77" s="15" t="s">
        <v>38</v>
      </c>
      <c r="G77" s="243">
        <v>9999999</v>
      </c>
      <c r="H77" s="243"/>
      <c r="I77" s="243"/>
      <c r="J77" s="243"/>
      <c r="K77" s="244"/>
      <c r="L77" s="244" t="s">
        <v>142</v>
      </c>
      <c r="M77" s="245"/>
      <c r="N77" s="245"/>
      <c r="O77" s="245"/>
      <c r="P77" s="245"/>
      <c r="Q77" s="245"/>
      <c r="R77" s="245"/>
      <c r="S77" s="246"/>
      <c r="U77" s="19">
        <f t="shared" si="14"/>
        <v>0</v>
      </c>
      <c r="V77">
        <f>IF(AND(A77&lt;=U77,U77&lt;=G77),1,0)</f>
        <v>0</v>
      </c>
      <c r="W77" s="21">
        <f>U77*0.95-1455000</f>
        <v>-1455000</v>
      </c>
      <c r="X77" s="20">
        <f t="shared" si="15"/>
        <v>0</v>
      </c>
    </row>
    <row r="78" spans="1:24" ht="18.600000000000001" thickBot="1">
      <c r="A78" s="243">
        <v>10000000</v>
      </c>
      <c r="B78" s="243"/>
      <c r="C78" s="243"/>
      <c r="D78" s="243"/>
      <c r="E78" s="243"/>
      <c r="F78" s="15" t="s">
        <v>38</v>
      </c>
      <c r="G78" s="243"/>
      <c r="H78" s="243"/>
      <c r="I78" s="243"/>
      <c r="J78" s="243"/>
      <c r="K78" s="244"/>
      <c r="L78" s="244" t="s">
        <v>144</v>
      </c>
      <c r="M78" s="245"/>
      <c r="N78" s="245"/>
      <c r="O78" s="245"/>
      <c r="P78" s="245"/>
      <c r="Q78" s="245"/>
      <c r="R78" s="245"/>
      <c r="S78" s="246"/>
      <c r="U78" s="19">
        <f t="shared" si="14"/>
        <v>0</v>
      </c>
      <c r="V78">
        <f>IF(A78&lt;=U78,1,0)</f>
        <v>0</v>
      </c>
      <c r="W78" s="21">
        <f>U78-1955000</f>
        <v>-1955000</v>
      </c>
      <c r="X78" s="20">
        <f t="shared" si="15"/>
        <v>0</v>
      </c>
    </row>
    <row r="79" spans="1:24" ht="18.600000000000001" thickBot="1">
      <c r="U79" s="19"/>
      <c r="V79"/>
      <c r="W79" s="22" t="s">
        <v>147</v>
      </c>
      <c r="X79" s="23">
        <f>SUM(X73:X78)</f>
        <v>0</v>
      </c>
    </row>
  </sheetData>
  <mergeCells count="160">
    <mergeCell ref="A78:E78"/>
    <mergeCell ref="G78:K78"/>
    <mergeCell ref="L78:S78"/>
    <mergeCell ref="A76:E76"/>
    <mergeCell ref="G76:K76"/>
    <mergeCell ref="L76:S76"/>
    <mergeCell ref="A77:E77"/>
    <mergeCell ref="G77:K77"/>
    <mergeCell ref="L77:S77"/>
    <mergeCell ref="A74:E74"/>
    <mergeCell ref="G74:K74"/>
    <mergeCell ref="L74:S74"/>
    <mergeCell ref="A75:E75"/>
    <mergeCell ref="G75:K75"/>
    <mergeCell ref="L75:S75"/>
    <mergeCell ref="L72:S72"/>
    <mergeCell ref="W72:X72"/>
    <mergeCell ref="A73:E73"/>
    <mergeCell ref="G73:K73"/>
    <mergeCell ref="L73:S73"/>
    <mergeCell ref="A67:E67"/>
    <mergeCell ref="G67:K67"/>
    <mergeCell ref="L67:S67"/>
    <mergeCell ref="A68:E68"/>
    <mergeCell ref="G68:K68"/>
    <mergeCell ref="L68:S68"/>
    <mergeCell ref="A65:E65"/>
    <mergeCell ref="G65:K65"/>
    <mergeCell ref="L65:S65"/>
    <mergeCell ref="A66:E66"/>
    <mergeCell ref="G66:K66"/>
    <mergeCell ref="L66:S66"/>
    <mergeCell ref="A63:E63"/>
    <mergeCell ref="G63:K63"/>
    <mergeCell ref="L63:S63"/>
    <mergeCell ref="A64:E64"/>
    <mergeCell ref="G64:K64"/>
    <mergeCell ref="L64:S64"/>
    <mergeCell ref="A58:E58"/>
    <mergeCell ref="G58:K58"/>
    <mergeCell ref="L58:S58"/>
    <mergeCell ref="L62:S62"/>
    <mergeCell ref="W62:X62"/>
    <mergeCell ref="A56:E56"/>
    <mergeCell ref="G56:K56"/>
    <mergeCell ref="L56:S56"/>
    <mergeCell ref="A57:E57"/>
    <mergeCell ref="G57:K57"/>
    <mergeCell ref="L57:S57"/>
    <mergeCell ref="A54:E54"/>
    <mergeCell ref="G54:K54"/>
    <mergeCell ref="L54:S54"/>
    <mergeCell ref="A55:E55"/>
    <mergeCell ref="G55:K55"/>
    <mergeCell ref="L55:S55"/>
    <mergeCell ref="L52:S52"/>
    <mergeCell ref="W52:X52"/>
    <mergeCell ref="A53:E53"/>
    <mergeCell ref="G53:K53"/>
    <mergeCell ref="L53:S53"/>
    <mergeCell ref="A14:E14"/>
    <mergeCell ref="G14:K14"/>
    <mergeCell ref="L14:S14"/>
    <mergeCell ref="A13:E13"/>
    <mergeCell ref="G13:K13"/>
    <mergeCell ref="L13:S13"/>
    <mergeCell ref="A15:E15"/>
    <mergeCell ref="G15:K15"/>
    <mergeCell ref="L15:S15"/>
    <mergeCell ref="A16:E16"/>
    <mergeCell ref="G16:K16"/>
    <mergeCell ref="L16:S16"/>
    <mergeCell ref="A17:E17"/>
    <mergeCell ref="G17:K17"/>
    <mergeCell ref="L17:S17"/>
    <mergeCell ref="A18:E18"/>
    <mergeCell ref="G18:K18"/>
    <mergeCell ref="L18:S18"/>
    <mergeCell ref="W22:X22"/>
    <mergeCell ref="L3:S3"/>
    <mergeCell ref="A5:E5"/>
    <mergeCell ref="G5:K5"/>
    <mergeCell ref="L5:S5"/>
    <mergeCell ref="A6:E6"/>
    <mergeCell ref="G6:K6"/>
    <mergeCell ref="W2:X2"/>
    <mergeCell ref="A4:E4"/>
    <mergeCell ref="G4:K4"/>
    <mergeCell ref="L4:S4"/>
    <mergeCell ref="L2:S2"/>
    <mergeCell ref="A3:E3"/>
    <mergeCell ref="G3:K3"/>
    <mergeCell ref="L12:S12"/>
    <mergeCell ref="W12:X12"/>
    <mergeCell ref="L6:S6"/>
    <mergeCell ref="A7:E7"/>
    <mergeCell ref="G7:K7"/>
    <mergeCell ref="L7:S7"/>
    <mergeCell ref="A8:E8"/>
    <mergeCell ref="G8:K8"/>
    <mergeCell ref="L8:S8"/>
    <mergeCell ref="L22:S22"/>
    <mergeCell ref="A26:E26"/>
    <mergeCell ref="G26:K26"/>
    <mergeCell ref="L26:S26"/>
    <mergeCell ref="A34:E34"/>
    <mergeCell ref="G34:K34"/>
    <mergeCell ref="L34:S34"/>
    <mergeCell ref="A27:E27"/>
    <mergeCell ref="G27:K27"/>
    <mergeCell ref="L27:S27"/>
    <mergeCell ref="A28:E28"/>
    <mergeCell ref="G28:K28"/>
    <mergeCell ref="L28:S28"/>
    <mergeCell ref="L32:S32"/>
    <mergeCell ref="A23:E23"/>
    <mergeCell ref="G23:K23"/>
    <mergeCell ref="L23:S23"/>
    <mergeCell ref="A25:E25"/>
    <mergeCell ref="G25:K25"/>
    <mergeCell ref="L25:S25"/>
    <mergeCell ref="A24:E24"/>
    <mergeCell ref="G24:K24"/>
    <mergeCell ref="L24:S24"/>
    <mergeCell ref="A37:E37"/>
    <mergeCell ref="G37:K37"/>
    <mergeCell ref="L37:S37"/>
    <mergeCell ref="A38:E38"/>
    <mergeCell ref="G38:K38"/>
    <mergeCell ref="L38:S38"/>
    <mergeCell ref="L42:S42"/>
    <mergeCell ref="W32:X32"/>
    <mergeCell ref="A33:E33"/>
    <mergeCell ref="G33:K33"/>
    <mergeCell ref="L33:S33"/>
    <mergeCell ref="A35:E35"/>
    <mergeCell ref="G35:K35"/>
    <mergeCell ref="L35:S35"/>
    <mergeCell ref="A36:E36"/>
    <mergeCell ref="G36:K36"/>
    <mergeCell ref="L36:S36"/>
    <mergeCell ref="W42:X42"/>
    <mergeCell ref="A43:E43"/>
    <mergeCell ref="G43:K43"/>
    <mergeCell ref="L43:S43"/>
    <mergeCell ref="A45:E45"/>
    <mergeCell ref="G45:K45"/>
    <mergeCell ref="L45:S45"/>
    <mergeCell ref="A48:E48"/>
    <mergeCell ref="G48:K48"/>
    <mergeCell ref="L48:S48"/>
    <mergeCell ref="A46:E46"/>
    <mergeCell ref="G46:K46"/>
    <mergeCell ref="L46:S46"/>
    <mergeCell ref="A47:E47"/>
    <mergeCell ref="G47:K47"/>
    <mergeCell ref="L47:S47"/>
    <mergeCell ref="A44:E44"/>
    <mergeCell ref="G44:K44"/>
    <mergeCell ref="L44:S44"/>
  </mergeCells>
  <phoneticPr fontId="1"/>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119B7-BE78-474A-8791-1C69800FF4BA}">
  <dimension ref="A1:AA79"/>
  <sheetViews>
    <sheetView topLeftCell="A32" workbookViewId="0">
      <selection activeCell="A20" sqref="A20:E20"/>
    </sheetView>
  </sheetViews>
  <sheetFormatPr defaultColWidth="9" defaultRowHeight="17.399999999999999"/>
  <cols>
    <col min="1" max="19" width="3.09765625" style="3" customWidth="1"/>
    <col min="20" max="20" width="9" style="3"/>
    <col min="21" max="21" width="21.3984375" style="3" bestFit="1" customWidth="1"/>
    <col min="22" max="22" width="9" style="3"/>
    <col min="23" max="23" width="21" style="3" bestFit="1" customWidth="1"/>
    <col min="24" max="24" width="10.59765625" style="3" bestFit="1" customWidth="1"/>
    <col min="25" max="25" width="9" style="3"/>
    <col min="26" max="27" width="14.59765625" style="3" customWidth="1"/>
    <col min="28" max="16384" width="9" style="3"/>
  </cols>
  <sheetData>
    <row r="1" spans="1:27" ht="18">
      <c r="U1" s="18" t="s">
        <v>124</v>
      </c>
      <c r="V1"/>
      <c r="W1" s="21"/>
      <c r="X1" s="20"/>
    </row>
    <row r="2" spans="1:27" ht="18">
      <c r="A2" s="14"/>
      <c r="B2" s="14"/>
      <c r="C2" s="14"/>
      <c r="D2" s="14"/>
      <c r="E2" s="14"/>
      <c r="F2"/>
      <c r="G2" s="14"/>
      <c r="H2" s="14"/>
      <c r="I2" s="14"/>
      <c r="J2" s="14"/>
      <c r="K2" s="14"/>
      <c r="L2" s="255" t="s">
        <v>138</v>
      </c>
      <c r="M2" s="256"/>
      <c r="N2" s="256"/>
      <c r="O2" s="256"/>
      <c r="P2" s="256"/>
      <c r="Q2" s="256"/>
      <c r="R2" s="256"/>
      <c r="S2" s="257"/>
      <c r="U2" s="19" t="s">
        <v>145</v>
      </c>
      <c r="V2" s="17" t="s">
        <v>125</v>
      </c>
      <c r="W2" s="258" t="s">
        <v>146</v>
      </c>
      <c r="X2" s="258"/>
    </row>
    <row r="3" spans="1:27" ht="18.600000000000001" thickBot="1">
      <c r="A3" s="243">
        <v>0</v>
      </c>
      <c r="B3" s="243"/>
      <c r="C3" s="243"/>
      <c r="D3" s="243"/>
      <c r="E3" s="243"/>
      <c r="F3" s="15" t="s">
        <v>38</v>
      </c>
      <c r="G3" s="243">
        <v>600000</v>
      </c>
      <c r="H3" s="243"/>
      <c r="I3" s="243"/>
      <c r="J3" s="243"/>
      <c r="K3" s="244"/>
      <c r="L3" s="244">
        <v>0</v>
      </c>
      <c r="M3" s="245"/>
      <c r="N3" s="245"/>
      <c r="O3" s="245"/>
      <c r="P3" s="245"/>
      <c r="Q3" s="245"/>
      <c r="R3" s="245"/>
      <c r="S3" s="246"/>
      <c r="U3" s="19">
        <f>試算!BA6</f>
        <v>0</v>
      </c>
      <c r="V3">
        <f>IF(AND(A3&lt;=U3,U3&lt;=G3),1,0)</f>
        <v>1</v>
      </c>
      <c r="W3" s="21">
        <v>0</v>
      </c>
      <c r="X3" s="20">
        <f>W3*V3</f>
        <v>0</v>
      </c>
      <c r="Z3" t="s">
        <v>137</v>
      </c>
      <c r="AA3"/>
    </row>
    <row r="4" spans="1:27" ht="18">
      <c r="A4" s="243">
        <v>600001</v>
      </c>
      <c r="B4" s="243"/>
      <c r="C4" s="243"/>
      <c r="D4" s="243"/>
      <c r="E4" s="243"/>
      <c r="F4" s="15" t="s">
        <v>38</v>
      </c>
      <c r="G4" s="243">
        <v>1299999</v>
      </c>
      <c r="H4" s="243"/>
      <c r="I4" s="243"/>
      <c r="J4" s="243"/>
      <c r="K4" s="244"/>
      <c r="L4" s="244" t="s">
        <v>139</v>
      </c>
      <c r="M4" s="245"/>
      <c r="N4" s="245"/>
      <c r="O4" s="245"/>
      <c r="P4" s="245"/>
      <c r="Q4" s="245"/>
      <c r="R4" s="245"/>
      <c r="S4" s="246"/>
      <c r="U4" s="19">
        <f>U3</f>
        <v>0</v>
      </c>
      <c r="V4">
        <f>IF(AND(A4&lt;=U4,U4&lt;=G4),1,0)</f>
        <v>0</v>
      </c>
      <c r="W4" s="21">
        <f>U4-600000</f>
        <v>-600000</v>
      </c>
      <c r="X4" s="20">
        <f>W4*V4</f>
        <v>0</v>
      </c>
      <c r="Z4" s="24" t="s">
        <v>3</v>
      </c>
      <c r="AA4" s="25">
        <f>X9</f>
        <v>0</v>
      </c>
    </row>
    <row r="5" spans="1:27" ht="18">
      <c r="A5" s="243">
        <v>1300000</v>
      </c>
      <c r="B5" s="243"/>
      <c r="C5" s="243"/>
      <c r="D5" s="243"/>
      <c r="E5" s="243"/>
      <c r="F5" s="15" t="s">
        <v>38</v>
      </c>
      <c r="G5" s="243">
        <v>4099999</v>
      </c>
      <c r="H5" s="243"/>
      <c r="I5" s="243"/>
      <c r="J5" s="243"/>
      <c r="K5" s="244"/>
      <c r="L5" s="244" t="s">
        <v>140</v>
      </c>
      <c r="M5" s="245"/>
      <c r="N5" s="245"/>
      <c r="O5" s="245"/>
      <c r="P5" s="245"/>
      <c r="Q5" s="245"/>
      <c r="R5" s="245"/>
      <c r="S5" s="246"/>
      <c r="U5" s="19">
        <f t="shared" ref="U5:U8" si="0">U4</f>
        <v>0</v>
      </c>
      <c r="V5">
        <f>IF(AND(A5&lt;=U5,U5&lt;=G5),1,0)</f>
        <v>0</v>
      </c>
      <c r="W5" s="21">
        <f>U5*0.75-275000</f>
        <v>-275000</v>
      </c>
      <c r="X5" s="20">
        <f t="shared" ref="X5:X8" si="1">W5*V5</f>
        <v>0</v>
      </c>
      <c r="Z5" s="26" t="s">
        <v>132</v>
      </c>
      <c r="AA5" s="27">
        <f>X19</f>
        <v>0</v>
      </c>
    </row>
    <row r="6" spans="1:27" ht="18">
      <c r="A6" s="243">
        <v>4100000</v>
      </c>
      <c r="B6" s="243"/>
      <c r="C6" s="243"/>
      <c r="D6" s="243"/>
      <c r="E6" s="243"/>
      <c r="F6" s="15" t="s">
        <v>38</v>
      </c>
      <c r="G6" s="243">
        <v>7699999</v>
      </c>
      <c r="H6" s="243"/>
      <c r="I6" s="243"/>
      <c r="J6" s="243"/>
      <c r="K6" s="244"/>
      <c r="L6" s="244" t="s">
        <v>141</v>
      </c>
      <c r="M6" s="245"/>
      <c r="N6" s="245"/>
      <c r="O6" s="245"/>
      <c r="P6" s="245"/>
      <c r="Q6" s="245"/>
      <c r="R6" s="245"/>
      <c r="S6" s="246"/>
      <c r="U6" s="19">
        <f t="shared" si="0"/>
        <v>0</v>
      </c>
      <c r="V6">
        <f>IF(AND(A6&lt;=U6,U6&lt;=G6),1,0)</f>
        <v>0</v>
      </c>
      <c r="W6" s="21">
        <f>U6*0.85-685000</f>
        <v>-685000</v>
      </c>
      <c r="X6" s="20">
        <f t="shared" si="1"/>
        <v>0</v>
      </c>
      <c r="Z6" s="26" t="s">
        <v>133</v>
      </c>
      <c r="AA6" s="27">
        <f>X29</f>
        <v>0</v>
      </c>
    </row>
    <row r="7" spans="1:27" ht="18">
      <c r="A7" s="243">
        <v>7700000</v>
      </c>
      <c r="B7" s="243"/>
      <c r="C7" s="243"/>
      <c r="D7" s="243"/>
      <c r="E7" s="243"/>
      <c r="F7" s="15" t="s">
        <v>38</v>
      </c>
      <c r="G7" s="243">
        <v>9999999</v>
      </c>
      <c r="H7" s="243"/>
      <c r="I7" s="243"/>
      <c r="J7" s="243"/>
      <c r="K7" s="244"/>
      <c r="L7" s="244" t="s">
        <v>142</v>
      </c>
      <c r="M7" s="245"/>
      <c r="N7" s="245"/>
      <c r="O7" s="245"/>
      <c r="P7" s="245"/>
      <c r="Q7" s="245"/>
      <c r="R7" s="245"/>
      <c r="S7" s="246"/>
      <c r="U7" s="19">
        <f t="shared" si="0"/>
        <v>0</v>
      </c>
      <c r="V7">
        <f>IF(AND(A7&lt;=U7,U7&lt;=G7),1,0)</f>
        <v>0</v>
      </c>
      <c r="W7" s="21">
        <f>U7*0.95-1455000</f>
        <v>-1455000</v>
      </c>
      <c r="X7" s="20">
        <f t="shared" si="1"/>
        <v>0</v>
      </c>
      <c r="Z7" s="26" t="s">
        <v>134</v>
      </c>
      <c r="AA7" s="27">
        <f>X39</f>
        <v>0</v>
      </c>
    </row>
    <row r="8" spans="1:27" ht="18.600000000000001" thickBot="1">
      <c r="A8" s="243">
        <v>10000000</v>
      </c>
      <c r="B8" s="243"/>
      <c r="C8" s="243"/>
      <c r="D8" s="243"/>
      <c r="E8" s="243"/>
      <c r="F8" s="15" t="s">
        <v>38</v>
      </c>
      <c r="G8" s="243"/>
      <c r="H8" s="243"/>
      <c r="I8" s="243"/>
      <c r="J8" s="243"/>
      <c r="K8" s="244"/>
      <c r="L8" s="244" t="s">
        <v>144</v>
      </c>
      <c r="M8" s="245"/>
      <c r="N8" s="245"/>
      <c r="O8" s="245"/>
      <c r="P8" s="245"/>
      <c r="Q8" s="245"/>
      <c r="R8" s="245"/>
      <c r="S8" s="246"/>
      <c r="U8" s="19">
        <f t="shared" si="0"/>
        <v>0</v>
      </c>
      <c r="V8">
        <f>IF(A8&lt;=U8,1,0)</f>
        <v>0</v>
      </c>
      <c r="W8" s="21">
        <f>U8-1955000</f>
        <v>-1955000</v>
      </c>
      <c r="X8" s="20">
        <f t="shared" si="1"/>
        <v>0</v>
      </c>
      <c r="Z8" s="26" t="s">
        <v>135</v>
      </c>
      <c r="AA8" s="27">
        <f>X49</f>
        <v>0</v>
      </c>
    </row>
    <row r="9" spans="1:27" ht="18.600000000000001" thickBot="1">
      <c r="U9" s="19"/>
      <c r="V9"/>
      <c r="W9" s="22" t="s">
        <v>147</v>
      </c>
      <c r="X9" s="23">
        <f>SUM(X3:X8)</f>
        <v>0</v>
      </c>
      <c r="Z9" s="26" t="s">
        <v>184</v>
      </c>
      <c r="AA9" s="27">
        <f>X59</f>
        <v>0</v>
      </c>
    </row>
    <row r="10" spans="1:27" ht="18">
      <c r="Z10" s="26" t="s">
        <v>185</v>
      </c>
      <c r="AA10" s="27">
        <f>X69</f>
        <v>0</v>
      </c>
    </row>
    <row r="11" spans="1:27" ht="18.600000000000001" thickBot="1">
      <c r="U11" s="18" t="s">
        <v>129</v>
      </c>
      <c r="V11"/>
      <c r="W11" s="21"/>
      <c r="X11" s="20"/>
      <c r="Z11" s="28" t="s">
        <v>186</v>
      </c>
      <c r="AA11" s="29">
        <f>X79</f>
        <v>0</v>
      </c>
    </row>
    <row r="12" spans="1:27" ht="18">
      <c r="A12" s="14"/>
      <c r="B12" s="14"/>
      <c r="C12" s="14"/>
      <c r="D12" s="14"/>
      <c r="E12" s="14"/>
      <c r="F12"/>
      <c r="G12" s="14"/>
      <c r="H12" s="14"/>
      <c r="I12" s="14"/>
      <c r="J12" s="14"/>
      <c r="K12" s="14"/>
      <c r="L12" s="255" t="s">
        <v>138</v>
      </c>
      <c r="M12" s="256"/>
      <c r="N12" s="256"/>
      <c r="O12" s="256"/>
      <c r="P12" s="256"/>
      <c r="Q12" s="256"/>
      <c r="R12" s="256"/>
      <c r="S12" s="257"/>
      <c r="U12" s="19" t="s">
        <v>145</v>
      </c>
      <c r="V12" s="17" t="s">
        <v>125</v>
      </c>
      <c r="W12" s="258" t="s">
        <v>146</v>
      </c>
      <c r="X12" s="258"/>
    </row>
    <row r="13" spans="1:27" ht="18">
      <c r="A13" s="243">
        <v>0</v>
      </c>
      <c r="B13" s="243"/>
      <c r="C13" s="243"/>
      <c r="D13" s="243"/>
      <c r="E13" s="243"/>
      <c r="F13" s="15" t="s">
        <v>38</v>
      </c>
      <c r="G13" s="243">
        <v>600000</v>
      </c>
      <c r="H13" s="243"/>
      <c r="I13" s="243"/>
      <c r="J13" s="243"/>
      <c r="K13" s="244"/>
      <c r="L13" s="244">
        <v>0</v>
      </c>
      <c r="M13" s="245"/>
      <c r="N13" s="245"/>
      <c r="O13" s="245"/>
      <c r="P13" s="245"/>
      <c r="Q13" s="245"/>
      <c r="R13" s="245"/>
      <c r="S13" s="246"/>
      <c r="U13" s="19">
        <f>試算!BA7</f>
        <v>0</v>
      </c>
      <c r="V13">
        <f>IF(AND(A13&lt;=U13,U13&lt;=G13),1,0)</f>
        <v>1</v>
      </c>
      <c r="W13" s="21">
        <v>0</v>
      </c>
      <c r="X13" s="20">
        <f>W13*V13</f>
        <v>0</v>
      </c>
    </row>
    <row r="14" spans="1:27" ht="18">
      <c r="A14" s="243">
        <v>600001</v>
      </c>
      <c r="B14" s="243"/>
      <c r="C14" s="243"/>
      <c r="D14" s="243"/>
      <c r="E14" s="243"/>
      <c r="F14" s="15" t="s">
        <v>38</v>
      </c>
      <c r="G14" s="243">
        <v>1299999</v>
      </c>
      <c r="H14" s="243"/>
      <c r="I14" s="243"/>
      <c r="J14" s="243"/>
      <c r="K14" s="244"/>
      <c r="L14" s="244" t="s">
        <v>139</v>
      </c>
      <c r="M14" s="245"/>
      <c r="N14" s="245"/>
      <c r="O14" s="245"/>
      <c r="P14" s="245"/>
      <c r="Q14" s="245"/>
      <c r="R14" s="245"/>
      <c r="S14" s="246"/>
      <c r="U14" s="19">
        <f>U13</f>
        <v>0</v>
      </c>
      <c r="V14">
        <f>IF(AND(A14&lt;=U14,U14&lt;=G14),1,0)</f>
        <v>0</v>
      </c>
      <c r="W14" s="21">
        <f>U14-600000</f>
        <v>-600000</v>
      </c>
      <c r="X14" s="20">
        <f>W14*V14</f>
        <v>0</v>
      </c>
    </row>
    <row r="15" spans="1:27" ht="18">
      <c r="A15" s="243">
        <v>1300000</v>
      </c>
      <c r="B15" s="243"/>
      <c r="C15" s="243"/>
      <c r="D15" s="243"/>
      <c r="E15" s="243"/>
      <c r="F15" s="15" t="s">
        <v>38</v>
      </c>
      <c r="G15" s="243">
        <v>4099999</v>
      </c>
      <c r="H15" s="243"/>
      <c r="I15" s="243"/>
      <c r="J15" s="243"/>
      <c r="K15" s="244"/>
      <c r="L15" s="244" t="s">
        <v>140</v>
      </c>
      <c r="M15" s="245"/>
      <c r="N15" s="245"/>
      <c r="O15" s="245"/>
      <c r="P15" s="245"/>
      <c r="Q15" s="245"/>
      <c r="R15" s="245"/>
      <c r="S15" s="246"/>
      <c r="U15" s="19">
        <f t="shared" ref="U15:U18" si="2">U14</f>
        <v>0</v>
      </c>
      <c r="V15">
        <f>IF(AND(A15&lt;=U15,U15&lt;=G15),1,0)</f>
        <v>0</v>
      </c>
      <c r="W15" s="21">
        <f>U15*0.75-275000</f>
        <v>-275000</v>
      </c>
      <c r="X15" s="20">
        <f t="shared" ref="X15:X18" si="3">W15*V15</f>
        <v>0</v>
      </c>
    </row>
    <row r="16" spans="1:27" ht="18">
      <c r="A16" s="243">
        <v>4100000</v>
      </c>
      <c r="B16" s="243"/>
      <c r="C16" s="243"/>
      <c r="D16" s="243"/>
      <c r="E16" s="243"/>
      <c r="F16" s="15" t="s">
        <v>38</v>
      </c>
      <c r="G16" s="243">
        <v>7699999</v>
      </c>
      <c r="H16" s="243"/>
      <c r="I16" s="243"/>
      <c r="J16" s="243"/>
      <c r="K16" s="244"/>
      <c r="L16" s="244" t="s">
        <v>141</v>
      </c>
      <c r="M16" s="245"/>
      <c r="N16" s="245"/>
      <c r="O16" s="245"/>
      <c r="P16" s="245"/>
      <c r="Q16" s="245"/>
      <c r="R16" s="245"/>
      <c r="S16" s="246"/>
      <c r="U16" s="19">
        <f t="shared" si="2"/>
        <v>0</v>
      </c>
      <c r="V16">
        <f>IF(AND(A16&lt;=U16,U16&lt;=G16),1,0)</f>
        <v>0</v>
      </c>
      <c r="W16" s="21">
        <f>U16*0.85-685000</f>
        <v>-685000</v>
      </c>
      <c r="X16" s="20">
        <f t="shared" si="3"/>
        <v>0</v>
      </c>
    </row>
    <row r="17" spans="1:24" ht="18">
      <c r="A17" s="243">
        <v>7700000</v>
      </c>
      <c r="B17" s="243"/>
      <c r="C17" s="243"/>
      <c r="D17" s="243"/>
      <c r="E17" s="243"/>
      <c r="F17" s="15" t="s">
        <v>38</v>
      </c>
      <c r="G17" s="243">
        <v>9999999</v>
      </c>
      <c r="H17" s="243"/>
      <c r="I17" s="243"/>
      <c r="J17" s="243"/>
      <c r="K17" s="244"/>
      <c r="L17" s="244" t="s">
        <v>142</v>
      </c>
      <c r="M17" s="245"/>
      <c r="N17" s="245"/>
      <c r="O17" s="245"/>
      <c r="P17" s="245"/>
      <c r="Q17" s="245"/>
      <c r="R17" s="245"/>
      <c r="S17" s="246"/>
      <c r="U17" s="19">
        <f t="shared" si="2"/>
        <v>0</v>
      </c>
      <c r="V17">
        <f>IF(AND(A17&lt;=U17,U17&lt;=G17),1,0)</f>
        <v>0</v>
      </c>
      <c r="W17" s="21">
        <f>U17*0.95-1455000</f>
        <v>-1455000</v>
      </c>
      <c r="X17" s="20">
        <f t="shared" si="3"/>
        <v>0</v>
      </c>
    </row>
    <row r="18" spans="1:24" ht="18.600000000000001" thickBot="1">
      <c r="A18" s="243">
        <v>10000000</v>
      </c>
      <c r="B18" s="243"/>
      <c r="C18" s="243"/>
      <c r="D18" s="243"/>
      <c r="E18" s="243"/>
      <c r="F18" s="15" t="s">
        <v>38</v>
      </c>
      <c r="G18" s="243"/>
      <c r="H18" s="243"/>
      <c r="I18" s="243"/>
      <c r="J18" s="243"/>
      <c r="K18" s="244"/>
      <c r="L18" s="244" t="s">
        <v>144</v>
      </c>
      <c r="M18" s="245"/>
      <c r="N18" s="245"/>
      <c r="O18" s="245"/>
      <c r="P18" s="245"/>
      <c r="Q18" s="245"/>
      <c r="R18" s="245"/>
      <c r="S18" s="246"/>
      <c r="U18" s="19">
        <f t="shared" si="2"/>
        <v>0</v>
      </c>
      <c r="V18">
        <f>IF(A18&lt;=U18,1,0)</f>
        <v>0</v>
      </c>
      <c r="W18" s="21">
        <f>U18-1955000</f>
        <v>-1955000</v>
      </c>
      <c r="X18" s="20">
        <f t="shared" si="3"/>
        <v>0</v>
      </c>
    </row>
    <row r="19" spans="1:24" ht="18.600000000000001" thickBot="1">
      <c r="U19" s="19"/>
      <c r="V19"/>
      <c r="W19" s="22" t="s">
        <v>147</v>
      </c>
      <c r="X19" s="23">
        <f>SUM(X13:X18)</f>
        <v>0</v>
      </c>
    </row>
    <row r="21" spans="1:24" ht="18">
      <c r="U21" s="18" t="s">
        <v>130</v>
      </c>
      <c r="V21"/>
      <c r="W21" s="21"/>
      <c r="X21" s="20"/>
    </row>
    <row r="22" spans="1:24" ht="18">
      <c r="A22" s="14"/>
      <c r="B22" s="14"/>
      <c r="C22" s="14"/>
      <c r="D22" s="14"/>
      <c r="E22" s="14"/>
      <c r="F22"/>
      <c r="G22" s="14"/>
      <c r="H22" s="14"/>
      <c r="I22" s="14"/>
      <c r="J22" s="14"/>
      <c r="K22" s="14"/>
      <c r="L22" s="255" t="s">
        <v>138</v>
      </c>
      <c r="M22" s="256"/>
      <c r="N22" s="256"/>
      <c r="O22" s="256"/>
      <c r="P22" s="256"/>
      <c r="Q22" s="256"/>
      <c r="R22" s="256"/>
      <c r="S22" s="257"/>
      <c r="U22" s="19" t="s">
        <v>145</v>
      </c>
      <c r="V22" s="17" t="s">
        <v>125</v>
      </c>
      <c r="W22" s="258" t="s">
        <v>146</v>
      </c>
      <c r="X22" s="258"/>
    </row>
    <row r="23" spans="1:24" ht="18">
      <c r="A23" s="243">
        <v>0</v>
      </c>
      <c r="B23" s="243"/>
      <c r="C23" s="243"/>
      <c r="D23" s="243"/>
      <c r="E23" s="243"/>
      <c r="F23" s="15" t="s">
        <v>38</v>
      </c>
      <c r="G23" s="243">
        <v>600000</v>
      </c>
      <c r="H23" s="243"/>
      <c r="I23" s="243"/>
      <c r="J23" s="243"/>
      <c r="K23" s="244"/>
      <c r="L23" s="244">
        <v>0</v>
      </c>
      <c r="M23" s="245"/>
      <c r="N23" s="245"/>
      <c r="O23" s="245"/>
      <c r="P23" s="245"/>
      <c r="Q23" s="245"/>
      <c r="R23" s="245"/>
      <c r="S23" s="246"/>
      <c r="U23" s="19">
        <f>試算!BA8</f>
        <v>0</v>
      </c>
      <c r="V23">
        <f>IF(AND(A23&lt;=U23,U23&lt;=G23),1,0)</f>
        <v>1</v>
      </c>
      <c r="W23" s="21">
        <v>0</v>
      </c>
      <c r="X23" s="20">
        <f>W23*V23</f>
        <v>0</v>
      </c>
    </row>
    <row r="24" spans="1:24" ht="18">
      <c r="A24" s="243">
        <v>600001</v>
      </c>
      <c r="B24" s="243"/>
      <c r="C24" s="243"/>
      <c r="D24" s="243"/>
      <c r="E24" s="243"/>
      <c r="F24" s="15" t="s">
        <v>38</v>
      </c>
      <c r="G24" s="243">
        <v>1299999</v>
      </c>
      <c r="H24" s="243"/>
      <c r="I24" s="243"/>
      <c r="J24" s="243"/>
      <c r="K24" s="244"/>
      <c r="L24" s="244" t="s">
        <v>139</v>
      </c>
      <c r="M24" s="245"/>
      <c r="N24" s="245"/>
      <c r="O24" s="245"/>
      <c r="P24" s="245"/>
      <c r="Q24" s="245"/>
      <c r="R24" s="245"/>
      <c r="S24" s="246"/>
      <c r="U24" s="19">
        <f>U23</f>
        <v>0</v>
      </c>
      <c r="V24">
        <f>IF(AND(A24&lt;=U24,U24&lt;=G24),1,0)</f>
        <v>0</v>
      </c>
      <c r="W24" s="21">
        <f>U24-600000</f>
        <v>-600000</v>
      </c>
      <c r="X24" s="20">
        <f>W24*V24</f>
        <v>0</v>
      </c>
    </row>
    <row r="25" spans="1:24" ht="18">
      <c r="A25" s="243">
        <v>1300000</v>
      </c>
      <c r="B25" s="243"/>
      <c r="C25" s="243"/>
      <c r="D25" s="243"/>
      <c r="E25" s="243"/>
      <c r="F25" s="15" t="s">
        <v>38</v>
      </c>
      <c r="G25" s="243">
        <v>4099999</v>
      </c>
      <c r="H25" s="243"/>
      <c r="I25" s="243"/>
      <c r="J25" s="243"/>
      <c r="K25" s="244"/>
      <c r="L25" s="244" t="s">
        <v>140</v>
      </c>
      <c r="M25" s="245"/>
      <c r="N25" s="245"/>
      <c r="O25" s="245"/>
      <c r="P25" s="245"/>
      <c r="Q25" s="245"/>
      <c r="R25" s="245"/>
      <c r="S25" s="246"/>
      <c r="U25" s="19">
        <f t="shared" ref="U25:U28" si="4">U24</f>
        <v>0</v>
      </c>
      <c r="V25">
        <f>IF(AND(A25&lt;=U25,U25&lt;=G25),1,0)</f>
        <v>0</v>
      </c>
      <c r="W25" s="21">
        <f>U25*0.75-275000</f>
        <v>-275000</v>
      </c>
      <c r="X25" s="20">
        <f t="shared" ref="X25:X28" si="5">W25*V25</f>
        <v>0</v>
      </c>
    </row>
    <row r="26" spans="1:24" ht="18">
      <c r="A26" s="243">
        <v>4100000</v>
      </c>
      <c r="B26" s="243"/>
      <c r="C26" s="243"/>
      <c r="D26" s="243"/>
      <c r="E26" s="243"/>
      <c r="F26" s="15" t="s">
        <v>38</v>
      </c>
      <c r="G26" s="243">
        <v>7699999</v>
      </c>
      <c r="H26" s="243"/>
      <c r="I26" s="243"/>
      <c r="J26" s="243"/>
      <c r="K26" s="244"/>
      <c r="L26" s="244" t="s">
        <v>141</v>
      </c>
      <c r="M26" s="245"/>
      <c r="N26" s="245"/>
      <c r="O26" s="245"/>
      <c r="P26" s="245"/>
      <c r="Q26" s="245"/>
      <c r="R26" s="245"/>
      <c r="S26" s="246"/>
      <c r="U26" s="19">
        <f t="shared" si="4"/>
        <v>0</v>
      </c>
      <c r="V26">
        <f>IF(AND(A26&lt;=U26,U26&lt;=G26),1,0)</f>
        <v>0</v>
      </c>
      <c r="W26" s="21">
        <f>U26*0.85-685000</f>
        <v>-685000</v>
      </c>
      <c r="X26" s="20">
        <f t="shared" si="5"/>
        <v>0</v>
      </c>
    </row>
    <row r="27" spans="1:24" ht="18">
      <c r="A27" s="243">
        <v>7700000</v>
      </c>
      <c r="B27" s="243"/>
      <c r="C27" s="243"/>
      <c r="D27" s="243"/>
      <c r="E27" s="243"/>
      <c r="F27" s="15" t="s">
        <v>38</v>
      </c>
      <c r="G27" s="243">
        <v>9999999</v>
      </c>
      <c r="H27" s="243"/>
      <c r="I27" s="243"/>
      <c r="J27" s="243"/>
      <c r="K27" s="244"/>
      <c r="L27" s="244" t="s">
        <v>142</v>
      </c>
      <c r="M27" s="245"/>
      <c r="N27" s="245"/>
      <c r="O27" s="245"/>
      <c r="P27" s="245"/>
      <c r="Q27" s="245"/>
      <c r="R27" s="245"/>
      <c r="S27" s="246"/>
      <c r="U27" s="19">
        <f t="shared" si="4"/>
        <v>0</v>
      </c>
      <c r="V27">
        <f>IF(AND(A27&lt;=U27,U27&lt;=G27),1,0)</f>
        <v>0</v>
      </c>
      <c r="W27" s="21">
        <f>U27*0.95-1455000</f>
        <v>-1455000</v>
      </c>
      <c r="X27" s="20">
        <f t="shared" si="5"/>
        <v>0</v>
      </c>
    </row>
    <row r="28" spans="1:24" ht="18.600000000000001" thickBot="1">
      <c r="A28" s="243">
        <v>10000000</v>
      </c>
      <c r="B28" s="243"/>
      <c r="C28" s="243"/>
      <c r="D28" s="243"/>
      <c r="E28" s="243"/>
      <c r="F28" s="15" t="s">
        <v>38</v>
      </c>
      <c r="G28" s="243"/>
      <c r="H28" s="243"/>
      <c r="I28" s="243"/>
      <c r="J28" s="243"/>
      <c r="K28" s="244"/>
      <c r="L28" s="244" t="s">
        <v>144</v>
      </c>
      <c r="M28" s="245"/>
      <c r="N28" s="245"/>
      <c r="O28" s="245"/>
      <c r="P28" s="245"/>
      <c r="Q28" s="245"/>
      <c r="R28" s="245"/>
      <c r="S28" s="246"/>
      <c r="U28" s="19">
        <f t="shared" si="4"/>
        <v>0</v>
      </c>
      <c r="V28">
        <f>IF(A28&lt;=U28,1,0)</f>
        <v>0</v>
      </c>
      <c r="W28" s="21">
        <f>U28-1955000</f>
        <v>-1955000</v>
      </c>
      <c r="X28" s="20">
        <f t="shared" si="5"/>
        <v>0</v>
      </c>
    </row>
    <row r="29" spans="1:24" ht="18.600000000000001" thickBot="1">
      <c r="U29" s="19"/>
      <c r="V29"/>
      <c r="W29" s="22" t="s">
        <v>147</v>
      </c>
      <c r="X29" s="23">
        <f>SUM(X23:X28)</f>
        <v>0</v>
      </c>
    </row>
    <row r="31" spans="1:24" ht="18">
      <c r="U31" s="18" t="s">
        <v>131</v>
      </c>
      <c r="V31"/>
      <c r="W31" s="21"/>
      <c r="X31" s="20"/>
    </row>
    <row r="32" spans="1:24" ht="18">
      <c r="A32" s="14"/>
      <c r="B32" s="14"/>
      <c r="C32" s="14"/>
      <c r="D32" s="14"/>
      <c r="E32" s="14"/>
      <c r="F32"/>
      <c r="G32" s="14"/>
      <c r="H32" s="14"/>
      <c r="I32" s="14"/>
      <c r="J32" s="14"/>
      <c r="K32" s="14"/>
      <c r="L32" s="255" t="s">
        <v>138</v>
      </c>
      <c r="M32" s="256"/>
      <c r="N32" s="256"/>
      <c r="O32" s="256"/>
      <c r="P32" s="256"/>
      <c r="Q32" s="256"/>
      <c r="R32" s="256"/>
      <c r="S32" s="257"/>
      <c r="U32" s="19" t="s">
        <v>145</v>
      </c>
      <c r="V32" s="17" t="s">
        <v>125</v>
      </c>
      <c r="W32" s="258" t="s">
        <v>146</v>
      </c>
      <c r="X32" s="258"/>
    </row>
    <row r="33" spans="1:24" ht="18">
      <c r="A33" s="243">
        <v>0</v>
      </c>
      <c r="B33" s="243"/>
      <c r="C33" s="243"/>
      <c r="D33" s="243"/>
      <c r="E33" s="243"/>
      <c r="F33" s="15" t="s">
        <v>38</v>
      </c>
      <c r="G33" s="243">
        <v>600000</v>
      </c>
      <c r="H33" s="243"/>
      <c r="I33" s="243"/>
      <c r="J33" s="243"/>
      <c r="K33" s="244"/>
      <c r="L33" s="244">
        <v>0</v>
      </c>
      <c r="M33" s="245"/>
      <c r="N33" s="245"/>
      <c r="O33" s="245"/>
      <c r="P33" s="245"/>
      <c r="Q33" s="245"/>
      <c r="R33" s="245"/>
      <c r="S33" s="246"/>
      <c r="U33" s="19">
        <f>試算!BA9</f>
        <v>0</v>
      </c>
      <c r="V33">
        <f>IF(AND(A33&lt;=U33,U33&lt;=G33),1,0)</f>
        <v>1</v>
      </c>
      <c r="W33" s="21">
        <v>0</v>
      </c>
      <c r="X33" s="20">
        <f>W33*V33</f>
        <v>0</v>
      </c>
    </row>
    <row r="34" spans="1:24" ht="18">
      <c r="A34" s="243">
        <v>600001</v>
      </c>
      <c r="B34" s="243"/>
      <c r="C34" s="243"/>
      <c r="D34" s="243"/>
      <c r="E34" s="243"/>
      <c r="F34" s="15" t="s">
        <v>38</v>
      </c>
      <c r="G34" s="243">
        <v>1299999</v>
      </c>
      <c r="H34" s="243"/>
      <c r="I34" s="243"/>
      <c r="J34" s="243"/>
      <c r="K34" s="244"/>
      <c r="L34" s="244" t="s">
        <v>139</v>
      </c>
      <c r="M34" s="245"/>
      <c r="N34" s="245"/>
      <c r="O34" s="245"/>
      <c r="P34" s="245"/>
      <c r="Q34" s="245"/>
      <c r="R34" s="245"/>
      <c r="S34" s="246"/>
      <c r="U34" s="19">
        <f>U33</f>
        <v>0</v>
      </c>
      <c r="V34">
        <f>IF(AND(A34&lt;=U34,U34&lt;=G34),1,0)</f>
        <v>0</v>
      </c>
      <c r="W34" s="21">
        <f>U34-600000</f>
        <v>-600000</v>
      </c>
      <c r="X34" s="20">
        <f>W34*V34</f>
        <v>0</v>
      </c>
    </row>
    <row r="35" spans="1:24" ht="18">
      <c r="A35" s="243">
        <v>1300000</v>
      </c>
      <c r="B35" s="243"/>
      <c r="C35" s="243"/>
      <c r="D35" s="243"/>
      <c r="E35" s="243"/>
      <c r="F35" s="15" t="s">
        <v>38</v>
      </c>
      <c r="G35" s="243">
        <v>4099999</v>
      </c>
      <c r="H35" s="243"/>
      <c r="I35" s="243"/>
      <c r="J35" s="243"/>
      <c r="K35" s="244"/>
      <c r="L35" s="244" t="s">
        <v>140</v>
      </c>
      <c r="M35" s="245"/>
      <c r="N35" s="245"/>
      <c r="O35" s="245"/>
      <c r="P35" s="245"/>
      <c r="Q35" s="245"/>
      <c r="R35" s="245"/>
      <c r="S35" s="246"/>
      <c r="U35" s="19">
        <f t="shared" ref="U35:U38" si="6">U34</f>
        <v>0</v>
      </c>
      <c r="V35">
        <f>IF(AND(A35&lt;=U35,U35&lt;=G35),1,0)</f>
        <v>0</v>
      </c>
      <c r="W35" s="21">
        <f>U35*0.75-275000</f>
        <v>-275000</v>
      </c>
      <c r="X35" s="20">
        <f t="shared" ref="X35:X38" si="7">W35*V35</f>
        <v>0</v>
      </c>
    </row>
    <row r="36" spans="1:24" ht="18">
      <c r="A36" s="243">
        <v>4100000</v>
      </c>
      <c r="B36" s="243"/>
      <c r="C36" s="243"/>
      <c r="D36" s="243"/>
      <c r="E36" s="243"/>
      <c r="F36" s="15" t="s">
        <v>38</v>
      </c>
      <c r="G36" s="243">
        <v>7699999</v>
      </c>
      <c r="H36" s="243"/>
      <c r="I36" s="243"/>
      <c r="J36" s="243"/>
      <c r="K36" s="244"/>
      <c r="L36" s="244" t="s">
        <v>141</v>
      </c>
      <c r="M36" s="245"/>
      <c r="N36" s="245"/>
      <c r="O36" s="245"/>
      <c r="P36" s="245"/>
      <c r="Q36" s="245"/>
      <c r="R36" s="245"/>
      <c r="S36" s="246"/>
      <c r="U36" s="19">
        <f t="shared" si="6"/>
        <v>0</v>
      </c>
      <c r="V36">
        <f>IF(AND(A36&lt;=U36,U36&lt;=G36),1,0)</f>
        <v>0</v>
      </c>
      <c r="W36" s="21">
        <f>U36*0.85-685000</f>
        <v>-685000</v>
      </c>
      <c r="X36" s="20">
        <f t="shared" si="7"/>
        <v>0</v>
      </c>
    </row>
    <row r="37" spans="1:24" ht="18">
      <c r="A37" s="243">
        <v>7700000</v>
      </c>
      <c r="B37" s="243"/>
      <c r="C37" s="243"/>
      <c r="D37" s="243"/>
      <c r="E37" s="243"/>
      <c r="F37" s="15" t="s">
        <v>38</v>
      </c>
      <c r="G37" s="243">
        <v>9999999</v>
      </c>
      <c r="H37" s="243"/>
      <c r="I37" s="243"/>
      <c r="J37" s="243"/>
      <c r="K37" s="244"/>
      <c r="L37" s="244" t="s">
        <v>142</v>
      </c>
      <c r="M37" s="245"/>
      <c r="N37" s="245"/>
      <c r="O37" s="245"/>
      <c r="P37" s="245"/>
      <c r="Q37" s="245"/>
      <c r="R37" s="245"/>
      <c r="S37" s="246"/>
      <c r="U37" s="19">
        <f t="shared" si="6"/>
        <v>0</v>
      </c>
      <c r="V37">
        <f>IF(AND(A37&lt;=U37,U37&lt;=G37),1,0)</f>
        <v>0</v>
      </c>
      <c r="W37" s="21">
        <f>U37*0.95-1455000</f>
        <v>-1455000</v>
      </c>
      <c r="X37" s="20">
        <f t="shared" si="7"/>
        <v>0</v>
      </c>
    </row>
    <row r="38" spans="1:24" ht="18.600000000000001" thickBot="1">
      <c r="A38" s="243">
        <v>10000000</v>
      </c>
      <c r="B38" s="243"/>
      <c r="C38" s="243"/>
      <c r="D38" s="243"/>
      <c r="E38" s="243"/>
      <c r="F38" s="15" t="s">
        <v>38</v>
      </c>
      <c r="G38" s="243"/>
      <c r="H38" s="243"/>
      <c r="I38" s="243"/>
      <c r="J38" s="243"/>
      <c r="K38" s="244"/>
      <c r="L38" s="244" t="s">
        <v>144</v>
      </c>
      <c r="M38" s="245"/>
      <c r="N38" s="245"/>
      <c r="O38" s="245"/>
      <c r="P38" s="245"/>
      <c r="Q38" s="245"/>
      <c r="R38" s="245"/>
      <c r="S38" s="246"/>
      <c r="U38" s="19">
        <f t="shared" si="6"/>
        <v>0</v>
      </c>
      <c r="V38">
        <f>IF(A38&lt;=U38,1,0)</f>
        <v>0</v>
      </c>
      <c r="W38" s="21">
        <f>U38-1955000</f>
        <v>-1955000</v>
      </c>
      <c r="X38" s="20">
        <f t="shared" si="7"/>
        <v>0</v>
      </c>
    </row>
    <row r="39" spans="1:24" ht="18.600000000000001" thickBot="1">
      <c r="U39" s="19"/>
      <c r="V39"/>
      <c r="W39" s="22" t="s">
        <v>147</v>
      </c>
      <c r="X39" s="23">
        <f>SUM(X33:X38)</f>
        <v>0</v>
      </c>
    </row>
    <row r="41" spans="1:24" ht="18">
      <c r="U41" s="18" t="s">
        <v>136</v>
      </c>
      <c r="V41"/>
      <c r="W41" s="21"/>
      <c r="X41" s="20"/>
    </row>
    <row r="42" spans="1:24" ht="18">
      <c r="A42" s="14"/>
      <c r="B42" s="14"/>
      <c r="C42" s="14"/>
      <c r="D42" s="14"/>
      <c r="E42" s="14"/>
      <c r="F42"/>
      <c r="G42" s="14"/>
      <c r="H42" s="14"/>
      <c r="I42" s="14"/>
      <c r="J42" s="14"/>
      <c r="K42" s="14"/>
      <c r="L42" s="255" t="s">
        <v>138</v>
      </c>
      <c r="M42" s="256"/>
      <c r="N42" s="256"/>
      <c r="O42" s="256"/>
      <c r="P42" s="256"/>
      <c r="Q42" s="256"/>
      <c r="R42" s="256"/>
      <c r="S42" s="257"/>
      <c r="U42" s="19" t="s">
        <v>145</v>
      </c>
      <c r="V42" s="17" t="s">
        <v>125</v>
      </c>
      <c r="W42" s="258" t="s">
        <v>146</v>
      </c>
      <c r="X42" s="258"/>
    </row>
    <row r="43" spans="1:24" ht="18">
      <c r="A43" s="243">
        <v>0</v>
      </c>
      <c r="B43" s="243"/>
      <c r="C43" s="243"/>
      <c r="D43" s="243"/>
      <c r="E43" s="243"/>
      <c r="F43" s="15" t="s">
        <v>38</v>
      </c>
      <c r="G43" s="243">
        <v>600000</v>
      </c>
      <c r="H43" s="243"/>
      <c r="I43" s="243"/>
      <c r="J43" s="243"/>
      <c r="K43" s="244"/>
      <c r="L43" s="244">
        <v>0</v>
      </c>
      <c r="M43" s="245"/>
      <c r="N43" s="245"/>
      <c r="O43" s="245"/>
      <c r="P43" s="245"/>
      <c r="Q43" s="245"/>
      <c r="R43" s="245"/>
      <c r="S43" s="246"/>
      <c r="U43" s="19">
        <f>試算!BA10</f>
        <v>0</v>
      </c>
      <c r="V43">
        <f>IF(AND(A43&lt;=U43,U43&lt;=G43),1,0)</f>
        <v>1</v>
      </c>
      <c r="W43" s="21">
        <v>0</v>
      </c>
      <c r="X43" s="20">
        <f>W43*V43</f>
        <v>0</v>
      </c>
    </row>
    <row r="44" spans="1:24" ht="18">
      <c r="A44" s="243">
        <v>600001</v>
      </c>
      <c r="B44" s="243"/>
      <c r="C44" s="243"/>
      <c r="D44" s="243"/>
      <c r="E44" s="243"/>
      <c r="F44" s="15" t="s">
        <v>38</v>
      </c>
      <c r="G44" s="243">
        <v>1299999</v>
      </c>
      <c r="H44" s="243"/>
      <c r="I44" s="243"/>
      <c r="J44" s="243"/>
      <c r="K44" s="244"/>
      <c r="L44" s="244" t="s">
        <v>139</v>
      </c>
      <c r="M44" s="245"/>
      <c r="N44" s="245"/>
      <c r="O44" s="245"/>
      <c r="P44" s="245"/>
      <c r="Q44" s="245"/>
      <c r="R44" s="245"/>
      <c r="S44" s="246"/>
      <c r="U44" s="19">
        <f>U43</f>
        <v>0</v>
      </c>
      <c r="V44">
        <f>IF(AND(A44&lt;=U44,U44&lt;=G44),1,0)</f>
        <v>0</v>
      </c>
      <c r="W44" s="21">
        <f>U44-600000</f>
        <v>-600000</v>
      </c>
      <c r="X44" s="20">
        <f>W44*V44</f>
        <v>0</v>
      </c>
    </row>
    <row r="45" spans="1:24" ht="18">
      <c r="A45" s="243">
        <v>1300000</v>
      </c>
      <c r="B45" s="243"/>
      <c r="C45" s="243"/>
      <c r="D45" s="243"/>
      <c r="E45" s="243"/>
      <c r="F45" s="15" t="s">
        <v>38</v>
      </c>
      <c r="G45" s="243">
        <v>4099999</v>
      </c>
      <c r="H45" s="243"/>
      <c r="I45" s="243"/>
      <c r="J45" s="243"/>
      <c r="K45" s="244"/>
      <c r="L45" s="244" t="s">
        <v>140</v>
      </c>
      <c r="M45" s="245"/>
      <c r="N45" s="245"/>
      <c r="O45" s="245"/>
      <c r="P45" s="245"/>
      <c r="Q45" s="245"/>
      <c r="R45" s="245"/>
      <c r="S45" s="246"/>
      <c r="U45" s="19">
        <f t="shared" ref="U45:U48" si="8">U44</f>
        <v>0</v>
      </c>
      <c r="V45">
        <f>IF(AND(A45&lt;=U45,U45&lt;=G45),1,0)</f>
        <v>0</v>
      </c>
      <c r="W45" s="21">
        <f>U45*0.75-275000</f>
        <v>-275000</v>
      </c>
      <c r="X45" s="20">
        <f t="shared" ref="X45:X48" si="9">W45*V45</f>
        <v>0</v>
      </c>
    </row>
    <row r="46" spans="1:24" ht="18">
      <c r="A46" s="243">
        <v>4100000</v>
      </c>
      <c r="B46" s="243"/>
      <c r="C46" s="243"/>
      <c r="D46" s="243"/>
      <c r="E46" s="243"/>
      <c r="F46" s="15" t="s">
        <v>38</v>
      </c>
      <c r="G46" s="243">
        <v>7699999</v>
      </c>
      <c r="H46" s="243"/>
      <c r="I46" s="243"/>
      <c r="J46" s="243"/>
      <c r="K46" s="244"/>
      <c r="L46" s="244" t="s">
        <v>141</v>
      </c>
      <c r="M46" s="245"/>
      <c r="N46" s="245"/>
      <c r="O46" s="245"/>
      <c r="P46" s="245"/>
      <c r="Q46" s="245"/>
      <c r="R46" s="245"/>
      <c r="S46" s="246"/>
      <c r="U46" s="19">
        <f t="shared" si="8"/>
        <v>0</v>
      </c>
      <c r="V46">
        <f>IF(AND(A46&lt;=U46,U46&lt;=G46),1,0)</f>
        <v>0</v>
      </c>
      <c r="W46" s="21">
        <f>U46*0.85-685000</f>
        <v>-685000</v>
      </c>
      <c r="X46" s="20">
        <f t="shared" si="9"/>
        <v>0</v>
      </c>
    </row>
    <row r="47" spans="1:24" ht="18">
      <c r="A47" s="243">
        <v>7700000</v>
      </c>
      <c r="B47" s="243"/>
      <c r="C47" s="243"/>
      <c r="D47" s="243"/>
      <c r="E47" s="243"/>
      <c r="F47" s="15" t="s">
        <v>38</v>
      </c>
      <c r="G47" s="243">
        <v>9999999</v>
      </c>
      <c r="H47" s="243"/>
      <c r="I47" s="243"/>
      <c r="J47" s="243"/>
      <c r="K47" s="244"/>
      <c r="L47" s="244" t="s">
        <v>142</v>
      </c>
      <c r="M47" s="245"/>
      <c r="N47" s="245"/>
      <c r="O47" s="245"/>
      <c r="P47" s="245"/>
      <c r="Q47" s="245"/>
      <c r="R47" s="245"/>
      <c r="S47" s="246"/>
      <c r="U47" s="19">
        <f t="shared" si="8"/>
        <v>0</v>
      </c>
      <c r="V47">
        <f>IF(AND(A47&lt;=U47,U47&lt;=G47),1,0)</f>
        <v>0</v>
      </c>
      <c r="W47" s="21">
        <f>U47*0.95-1455000</f>
        <v>-1455000</v>
      </c>
      <c r="X47" s="20">
        <f t="shared" si="9"/>
        <v>0</v>
      </c>
    </row>
    <row r="48" spans="1:24" ht="18.600000000000001" thickBot="1">
      <c r="A48" s="243">
        <v>10000000</v>
      </c>
      <c r="B48" s="243"/>
      <c r="C48" s="243"/>
      <c r="D48" s="243"/>
      <c r="E48" s="243"/>
      <c r="F48" s="15" t="s">
        <v>38</v>
      </c>
      <c r="G48" s="243"/>
      <c r="H48" s="243"/>
      <c r="I48" s="243"/>
      <c r="J48" s="243"/>
      <c r="K48" s="244"/>
      <c r="L48" s="244" t="s">
        <v>144</v>
      </c>
      <c r="M48" s="245"/>
      <c r="N48" s="245"/>
      <c r="O48" s="245"/>
      <c r="P48" s="245"/>
      <c r="Q48" s="245"/>
      <c r="R48" s="245"/>
      <c r="S48" s="246"/>
      <c r="U48" s="19">
        <f t="shared" si="8"/>
        <v>0</v>
      </c>
      <c r="V48">
        <f>IF(A48&lt;=U48,1,0)</f>
        <v>0</v>
      </c>
      <c r="W48" s="21">
        <f>U48-1955000</f>
        <v>-1955000</v>
      </c>
      <c r="X48" s="20">
        <f t="shared" si="9"/>
        <v>0</v>
      </c>
    </row>
    <row r="49" spans="1:24" ht="18.600000000000001" thickBot="1">
      <c r="U49" s="19"/>
      <c r="V49"/>
      <c r="W49" s="22" t="s">
        <v>147</v>
      </c>
      <c r="X49" s="23">
        <f>SUM(X43:X48)</f>
        <v>0</v>
      </c>
    </row>
    <row r="51" spans="1:24" ht="18">
      <c r="U51" s="18" t="s">
        <v>187</v>
      </c>
      <c r="V51"/>
      <c r="W51" s="21"/>
      <c r="X51" s="20"/>
    </row>
    <row r="52" spans="1:24" ht="18">
      <c r="A52" s="14"/>
      <c r="B52" s="14"/>
      <c r="C52" s="14"/>
      <c r="D52" s="14"/>
      <c r="E52" s="14"/>
      <c r="F52"/>
      <c r="G52" s="14"/>
      <c r="H52" s="14"/>
      <c r="I52" s="14"/>
      <c r="J52" s="14"/>
      <c r="K52" s="14"/>
      <c r="L52" s="255" t="s">
        <v>138</v>
      </c>
      <c r="M52" s="256"/>
      <c r="N52" s="256"/>
      <c r="O52" s="256"/>
      <c r="P52" s="256"/>
      <c r="Q52" s="256"/>
      <c r="R52" s="256"/>
      <c r="S52" s="257"/>
      <c r="U52" s="19" t="s">
        <v>145</v>
      </c>
      <c r="V52" s="17" t="s">
        <v>125</v>
      </c>
      <c r="W52" s="258" t="s">
        <v>146</v>
      </c>
      <c r="X52" s="258"/>
    </row>
    <row r="53" spans="1:24" ht="18">
      <c r="A53" s="243">
        <v>0</v>
      </c>
      <c r="B53" s="243"/>
      <c r="C53" s="243"/>
      <c r="D53" s="243"/>
      <c r="E53" s="243"/>
      <c r="F53" s="15" t="s">
        <v>38</v>
      </c>
      <c r="G53" s="243">
        <v>600000</v>
      </c>
      <c r="H53" s="243"/>
      <c r="I53" s="243"/>
      <c r="J53" s="243"/>
      <c r="K53" s="244"/>
      <c r="L53" s="244">
        <v>0</v>
      </c>
      <c r="M53" s="245"/>
      <c r="N53" s="245"/>
      <c r="O53" s="245"/>
      <c r="P53" s="245"/>
      <c r="Q53" s="245"/>
      <c r="R53" s="245"/>
      <c r="S53" s="246"/>
      <c r="U53" s="19">
        <f>試算!BA11</f>
        <v>0</v>
      </c>
      <c r="V53">
        <f>IF(AND(A53&lt;=U53,U53&lt;=G53),1,0)</f>
        <v>1</v>
      </c>
      <c r="W53" s="21">
        <v>0</v>
      </c>
      <c r="X53" s="20">
        <f>W53*V53</f>
        <v>0</v>
      </c>
    </row>
    <row r="54" spans="1:24" ht="18">
      <c r="A54" s="243">
        <v>600001</v>
      </c>
      <c r="B54" s="243"/>
      <c r="C54" s="243"/>
      <c r="D54" s="243"/>
      <c r="E54" s="243"/>
      <c r="F54" s="15" t="s">
        <v>38</v>
      </c>
      <c r="G54" s="243">
        <v>1299999</v>
      </c>
      <c r="H54" s="243"/>
      <c r="I54" s="243"/>
      <c r="J54" s="243"/>
      <c r="K54" s="244"/>
      <c r="L54" s="244" t="s">
        <v>139</v>
      </c>
      <c r="M54" s="245"/>
      <c r="N54" s="245"/>
      <c r="O54" s="245"/>
      <c r="P54" s="245"/>
      <c r="Q54" s="245"/>
      <c r="R54" s="245"/>
      <c r="S54" s="246"/>
      <c r="U54" s="19">
        <f>U53</f>
        <v>0</v>
      </c>
      <c r="V54">
        <f>IF(AND(A54&lt;=U54,U54&lt;=G54),1,0)</f>
        <v>0</v>
      </c>
      <c r="W54" s="21">
        <f>U54-600000</f>
        <v>-600000</v>
      </c>
      <c r="X54" s="20">
        <f>W54*V54</f>
        <v>0</v>
      </c>
    </row>
    <row r="55" spans="1:24" ht="18">
      <c r="A55" s="243">
        <v>1300000</v>
      </c>
      <c r="B55" s="243"/>
      <c r="C55" s="243"/>
      <c r="D55" s="243"/>
      <c r="E55" s="243"/>
      <c r="F55" s="15" t="s">
        <v>38</v>
      </c>
      <c r="G55" s="243">
        <v>4099999</v>
      </c>
      <c r="H55" s="243"/>
      <c r="I55" s="243"/>
      <c r="J55" s="243"/>
      <c r="K55" s="244"/>
      <c r="L55" s="244" t="s">
        <v>140</v>
      </c>
      <c r="M55" s="245"/>
      <c r="N55" s="245"/>
      <c r="O55" s="245"/>
      <c r="P55" s="245"/>
      <c r="Q55" s="245"/>
      <c r="R55" s="245"/>
      <c r="S55" s="246"/>
      <c r="U55" s="19">
        <f t="shared" ref="U55:U58" si="10">U54</f>
        <v>0</v>
      </c>
      <c r="V55">
        <f>IF(AND(A55&lt;=U55,U55&lt;=G55),1,0)</f>
        <v>0</v>
      </c>
      <c r="W55" s="21">
        <f>U55*0.75-275000</f>
        <v>-275000</v>
      </c>
      <c r="X55" s="20">
        <f t="shared" ref="X55:X58" si="11">W55*V55</f>
        <v>0</v>
      </c>
    </row>
    <row r="56" spans="1:24" ht="18">
      <c r="A56" s="243">
        <v>4100000</v>
      </c>
      <c r="B56" s="243"/>
      <c r="C56" s="243"/>
      <c r="D56" s="243"/>
      <c r="E56" s="243"/>
      <c r="F56" s="15" t="s">
        <v>38</v>
      </c>
      <c r="G56" s="243">
        <v>7699999</v>
      </c>
      <c r="H56" s="243"/>
      <c r="I56" s="243"/>
      <c r="J56" s="243"/>
      <c r="K56" s="244"/>
      <c r="L56" s="244" t="s">
        <v>141</v>
      </c>
      <c r="M56" s="245"/>
      <c r="N56" s="245"/>
      <c r="O56" s="245"/>
      <c r="P56" s="245"/>
      <c r="Q56" s="245"/>
      <c r="R56" s="245"/>
      <c r="S56" s="246"/>
      <c r="U56" s="19">
        <f t="shared" si="10"/>
        <v>0</v>
      </c>
      <c r="V56">
        <f>IF(AND(A56&lt;=U56,U56&lt;=G56),1,0)</f>
        <v>0</v>
      </c>
      <c r="W56" s="21">
        <f>U56*0.85-685000</f>
        <v>-685000</v>
      </c>
      <c r="X56" s="20">
        <f t="shared" si="11"/>
        <v>0</v>
      </c>
    </row>
    <row r="57" spans="1:24" ht="18">
      <c r="A57" s="243">
        <v>7700000</v>
      </c>
      <c r="B57" s="243"/>
      <c r="C57" s="243"/>
      <c r="D57" s="243"/>
      <c r="E57" s="243"/>
      <c r="F57" s="15" t="s">
        <v>38</v>
      </c>
      <c r="G57" s="243">
        <v>9999999</v>
      </c>
      <c r="H57" s="243"/>
      <c r="I57" s="243"/>
      <c r="J57" s="243"/>
      <c r="K57" s="244"/>
      <c r="L57" s="244" t="s">
        <v>142</v>
      </c>
      <c r="M57" s="245"/>
      <c r="N57" s="245"/>
      <c r="O57" s="245"/>
      <c r="P57" s="245"/>
      <c r="Q57" s="245"/>
      <c r="R57" s="245"/>
      <c r="S57" s="246"/>
      <c r="U57" s="19">
        <f t="shared" si="10"/>
        <v>0</v>
      </c>
      <c r="V57">
        <f>IF(AND(A57&lt;=U57,U57&lt;=G57),1,0)</f>
        <v>0</v>
      </c>
      <c r="W57" s="21">
        <f>U57*0.95-1455000</f>
        <v>-1455000</v>
      </c>
      <c r="X57" s="20">
        <f t="shared" si="11"/>
        <v>0</v>
      </c>
    </row>
    <row r="58" spans="1:24" ht="18.600000000000001" thickBot="1">
      <c r="A58" s="243">
        <v>10000000</v>
      </c>
      <c r="B58" s="243"/>
      <c r="C58" s="243"/>
      <c r="D58" s="243"/>
      <c r="E58" s="243"/>
      <c r="F58" s="15" t="s">
        <v>38</v>
      </c>
      <c r="G58" s="243"/>
      <c r="H58" s="243"/>
      <c r="I58" s="243"/>
      <c r="J58" s="243"/>
      <c r="K58" s="244"/>
      <c r="L58" s="244" t="s">
        <v>144</v>
      </c>
      <c r="M58" s="245"/>
      <c r="N58" s="245"/>
      <c r="O58" s="245"/>
      <c r="P58" s="245"/>
      <c r="Q58" s="245"/>
      <c r="R58" s="245"/>
      <c r="S58" s="246"/>
      <c r="U58" s="19">
        <f t="shared" si="10"/>
        <v>0</v>
      </c>
      <c r="V58">
        <f>IF(A58&lt;=U58,1,0)</f>
        <v>0</v>
      </c>
      <c r="W58" s="21">
        <f>U58-1955000</f>
        <v>-1955000</v>
      </c>
      <c r="X58" s="20">
        <f t="shared" si="11"/>
        <v>0</v>
      </c>
    </row>
    <row r="59" spans="1:24" ht="18.600000000000001" thickBot="1">
      <c r="U59" s="19"/>
      <c r="V59"/>
      <c r="W59" s="22" t="s">
        <v>147</v>
      </c>
      <c r="X59" s="23">
        <f>SUM(X53:X58)</f>
        <v>0</v>
      </c>
    </row>
    <row r="61" spans="1:24" ht="18">
      <c r="U61" s="18" t="s">
        <v>188</v>
      </c>
      <c r="V61"/>
      <c r="W61" s="21"/>
      <c r="X61" s="20"/>
    </row>
    <row r="62" spans="1:24" ht="18">
      <c r="A62" s="14"/>
      <c r="B62" s="14"/>
      <c r="C62" s="14"/>
      <c r="D62" s="14"/>
      <c r="E62" s="14"/>
      <c r="F62"/>
      <c r="G62" s="14"/>
      <c r="H62" s="14"/>
      <c r="I62" s="14"/>
      <c r="J62" s="14"/>
      <c r="K62" s="14"/>
      <c r="L62" s="255" t="s">
        <v>138</v>
      </c>
      <c r="M62" s="256"/>
      <c r="N62" s="256"/>
      <c r="O62" s="256"/>
      <c r="P62" s="256"/>
      <c r="Q62" s="256"/>
      <c r="R62" s="256"/>
      <c r="S62" s="257"/>
      <c r="U62" s="19" t="s">
        <v>145</v>
      </c>
      <c r="V62" s="17" t="s">
        <v>125</v>
      </c>
      <c r="W62" s="258" t="s">
        <v>146</v>
      </c>
      <c r="X62" s="258"/>
    </row>
    <row r="63" spans="1:24" ht="18">
      <c r="A63" s="243">
        <v>0</v>
      </c>
      <c r="B63" s="243"/>
      <c r="C63" s="243"/>
      <c r="D63" s="243"/>
      <c r="E63" s="243"/>
      <c r="F63" s="15" t="s">
        <v>38</v>
      </c>
      <c r="G63" s="243">
        <v>600000</v>
      </c>
      <c r="H63" s="243"/>
      <c r="I63" s="243"/>
      <c r="J63" s="243"/>
      <c r="K63" s="244"/>
      <c r="L63" s="244">
        <v>0</v>
      </c>
      <c r="M63" s="245"/>
      <c r="N63" s="245"/>
      <c r="O63" s="245"/>
      <c r="P63" s="245"/>
      <c r="Q63" s="245"/>
      <c r="R63" s="245"/>
      <c r="S63" s="246"/>
      <c r="U63" s="19">
        <f>試算!BA12</f>
        <v>0</v>
      </c>
      <c r="V63">
        <f>IF(AND(A63&lt;=U63,U63&lt;=G63),1,0)</f>
        <v>1</v>
      </c>
      <c r="W63" s="21">
        <v>0</v>
      </c>
      <c r="X63" s="20">
        <f>W63*V63</f>
        <v>0</v>
      </c>
    </row>
    <row r="64" spans="1:24" ht="18">
      <c r="A64" s="243">
        <v>600001</v>
      </c>
      <c r="B64" s="243"/>
      <c r="C64" s="243"/>
      <c r="D64" s="243"/>
      <c r="E64" s="243"/>
      <c r="F64" s="15" t="s">
        <v>38</v>
      </c>
      <c r="G64" s="243">
        <v>1299999</v>
      </c>
      <c r="H64" s="243"/>
      <c r="I64" s="243"/>
      <c r="J64" s="243"/>
      <c r="K64" s="244"/>
      <c r="L64" s="244" t="s">
        <v>139</v>
      </c>
      <c r="M64" s="245"/>
      <c r="N64" s="245"/>
      <c r="O64" s="245"/>
      <c r="P64" s="245"/>
      <c r="Q64" s="245"/>
      <c r="R64" s="245"/>
      <c r="S64" s="246"/>
      <c r="U64" s="19">
        <f>U63</f>
        <v>0</v>
      </c>
      <c r="V64">
        <f>IF(AND(A64&lt;=U64,U64&lt;=G64),1,0)</f>
        <v>0</v>
      </c>
      <c r="W64" s="21">
        <f>U64-600000</f>
        <v>-600000</v>
      </c>
      <c r="X64" s="20">
        <f>W64*V64</f>
        <v>0</v>
      </c>
    </row>
    <row r="65" spans="1:24" ht="18">
      <c r="A65" s="243">
        <v>1300000</v>
      </c>
      <c r="B65" s="243"/>
      <c r="C65" s="243"/>
      <c r="D65" s="243"/>
      <c r="E65" s="243"/>
      <c r="F65" s="15" t="s">
        <v>38</v>
      </c>
      <c r="G65" s="243">
        <v>4099999</v>
      </c>
      <c r="H65" s="243"/>
      <c r="I65" s="243"/>
      <c r="J65" s="243"/>
      <c r="K65" s="244"/>
      <c r="L65" s="244" t="s">
        <v>140</v>
      </c>
      <c r="M65" s="245"/>
      <c r="N65" s="245"/>
      <c r="O65" s="245"/>
      <c r="P65" s="245"/>
      <c r="Q65" s="245"/>
      <c r="R65" s="245"/>
      <c r="S65" s="246"/>
      <c r="U65" s="19">
        <f t="shared" ref="U65:U68" si="12">U64</f>
        <v>0</v>
      </c>
      <c r="V65">
        <f>IF(AND(A65&lt;=U65,U65&lt;=G65),1,0)</f>
        <v>0</v>
      </c>
      <c r="W65" s="21">
        <f>U65*0.75-275000</f>
        <v>-275000</v>
      </c>
      <c r="X65" s="20">
        <f t="shared" ref="X65:X68" si="13">W65*V65</f>
        <v>0</v>
      </c>
    </row>
    <row r="66" spans="1:24" ht="18">
      <c r="A66" s="243">
        <v>4100000</v>
      </c>
      <c r="B66" s="243"/>
      <c r="C66" s="243"/>
      <c r="D66" s="243"/>
      <c r="E66" s="243"/>
      <c r="F66" s="15" t="s">
        <v>38</v>
      </c>
      <c r="G66" s="243">
        <v>7699999</v>
      </c>
      <c r="H66" s="243"/>
      <c r="I66" s="243"/>
      <c r="J66" s="243"/>
      <c r="K66" s="244"/>
      <c r="L66" s="244" t="s">
        <v>141</v>
      </c>
      <c r="M66" s="245"/>
      <c r="N66" s="245"/>
      <c r="O66" s="245"/>
      <c r="P66" s="245"/>
      <c r="Q66" s="245"/>
      <c r="R66" s="245"/>
      <c r="S66" s="246"/>
      <c r="U66" s="19">
        <f t="shared" si="12"/>
        <v>0</v>
      </c>
      <c r="V66">
        <f>IF(AND(A66&lt;=U66,U66&lt;=G66),1,0)</f>
        <v>0</v>
      </c>
      <c r="W66" s="21">
        <f>U66*0.85-685000</f>
        <v>-685000</v>
      </c>
      <c r="X66" s="20">
        <f t="shared" si="13"/>
        <v>0</v>
      </c>
    </row>
    <row r="67" spans="1:24" ht="18">
      <c r="A67" s="243">
        <v>7700000</v>
      </c>
      <c r="B67" s="243"/>
      <c r="C67" s="243"/>
      <c r="D67" s="243"/>
      <c r="E67" s="243"/>
      <c r="F67" s="15" t="s">
        <v>38</v>
      </c>
      <c r="G67" s="243">
        <v>9999999</v>
      </c>
      <c r="H67" s="243"/>
      <c r="I67" s="243"/>
      <c r="J67" s="243"/>
      <c r="K67" s="244"/>
      <c r="L67" s="244" t="s">
        <v>142</v>
      </c>
      <c r="M67" s="245"/>
      <c r="N67" s="245"/>
      <c r="O67" s="245"/>
      <c r="P67" s="245"/>
      <c r="Q67" s="245"/>
      <c r="R67" s="245"/>
      <c r="S67" s="246"/>
      <c r="U67" s="19">
        <f t="shared" si="12"/>
        <v>0</v>
      </c>
      <c r="V67">
        <f>IF(AND(A67&lt;=U67,U67&lt;=G67),1,0)</f>
        <v>0</v>
      </c>
      <c r="W67" s="21">
        <f>U67*0.95-1455000</f>
        <v>-1455000</v>
      </c>
      <c r="X67" s="20">
        <f t="shared" si="13"/>
        <v>0</v>
      </c>
    </row>
    <row r="68" spans="1:24" ht="18.600000000000001" thickBot="1">
      <c r="A68" s="243">
        <v>10000000</v>
      </c>
      <c r="B68" s="243"/>
      <c r="C68" s="243"/>
      <c r="D68" s="243"/>
      <c r="E68" s="243"/>
      <c r="F68" s="15" t="s">
        <v>38</v>
      </c>
      <c r="G68" s="243"/>
      <c r="H68" s="243"/>
      <c r="I68" s="243"/>
      <c r="J68" s="243"/>
      <c r="K68" s="244"/>
      <c r="L68" s="244" t="s">
        <v>144</v>
      </c>
      <c r="M68" s="245"/>
      <c r="N68" s="245"/>
      <c r="O68" s="245"/>
      <c r="P68" s="245"/>
      <c r="Q68" s="245"/>
      <c r="R68" s="245"/>
      <c r="S68" s="246"/>
      <c r="U68" s="19">
        <f t="shared" si="12"/>
        <v>0</v>
      </c>
      <c r="V68">
        <f>IF(A68&lt;=U68,1,0)</f>
        <v>0</v>
      </c>
      <c r="W68" s="21">
        <f>U68-1955000</f>
        <v>-1955000</v>
      </c>
      <c r="X68" s="20">
        <f t="shared" si="13"/>
        <v>0</v>
      </c>
    </row>
    <row r="69" spans="1:24" ht="18.600000000000001" thickBot="1">
      <c r="U69" s="19"/>
      <c r="V69"/>
      <c r="W69" s="22" t="s">
        <v>147</v>
      </c>
      <c r="X69" s="23">
        <f>SUM(X63:X68)</f>
        <v>0</v>
      </c>
    </row>
    <row r="71" spans="1:24" ht="18">
      <c r="U71" s="18" t="s">
        <v>189</v>
      </c>
      <c r="V71"/>
      <c r="W71" s="21"/>
      <c r="X71" s="20"/>
    </row>
    <row r="72" spans="1:24" ht="18">
      <c r="A72" s="14"/>
      <c r="B72" s="14"/>
      <c r="C72" s="14"/>
      <c r="D72" s="14"/>
      <c r="E72" s="14"/>
      <c r="F72"/>
      <c r="G72" s="14"/>
      <c r="H72" s="14"/>
      <c r="I72" s="14"/>
      <c r="J72" s="14"/>
      <c r="K72" s="14"/>
      <c r="L72" s="255" t="s">
        <v>138</v>
      </c>
      <c r="M72" s="256"/>
      <c r="N72" s="256"/>
      <c r="O72" s="256"/>
      <c r="P72" s="256"/>
      <c r="Q72" s="256"/>
      <c r="R72" s="256"/>
      <c r="S72" s="257"/>
      <c r="U72" s="19" t="s">
        <v>145</v>
      </c>
      <c r="V72" s="17" t="s">
        <v>125</v>
      </c>
      <c r="W72" s="258" t="s">
        <v>146</v>
      </c>
      <c r="X72" s="258"/>
    </row>
    <row r="73" spans="1:24" ht="18">
      <c r="A73" s="243">
        <v>0</v>
      </c>
      <c r="B73" s="243"/>
      <c r="C73" s="243"/>
      <c r="D73" s="243"/>
      <c r="E73" s="243"/>
      <c r="F73" s="15" t="s">
        <v>38</v>
      </c>
      <c r="G73" s="243">
        <v>600000</v>
      </c>
      <c r="H73" s="243"/>
      <c r="I73" s="243"/>
      <c r="J73" s="243"/>
      <c r="K73" s="244"/>
      <c r="L73" s="244">
        <v>0</v>
      </c>
      <c r="M73" s="245"/>
      <c r="N73" s="245"/>
      <c r="O73" s="245"/>
      <c r="P73" s="245"/>
      <c r="Q73" s="245"/>
      <c r="R73" s="245"/>
      <c r="S73" s="246"/>
      <c r="U73" s="19">
        <f>試算!BA13</f>
        <v>0</v>
      </c>
      <c r="V73">
        <f>IF(AND(A73&lt;=U73,U73&lt;=G73),1,0)</f>
        <v>1</v>
      </c>
      <c r="W73" s="21">
        <v>0</v>
      </c>
      <c r="X73" s="20">
        <f>W73*V73</f>
        <v>0</v>
      </c>
    </row>
    <row r="74" spans="1:24" ht="18">
      <c r="A74" s="243">
        <v>600001</v>
      </c>
      <c r="B74" s="243"/>
      <c r="C74" s="243"/>
      <c r="D74" s="243"/>
      <c r="E74" s="243"/>
      <c r="F74" s="15" t="s">
        <v>38</v>
      </c>
      <c r="G74" s="243">
        <v>1299999</v>
      </c>
      <c r="H74" s="243"/>
      <c r="I74" s="243"/>
      <c r="J74" s="243"/>
      <c r="K74" s="244"/>
      <c r="L74" s="244" t="s">
        <v>139</v>
      </c>
      <c r="M74" s="245"/>
      <c r="N74" s="245"/>
      <c r="O74" s="245"/>
      <c r="P74" s="245"/>
      <c r="Q74" s="245"/>
      <c r="R74" s="245"/>
      <c r="S74" s="246"/>
      <c r="U74" s="19">
        <f>U73</f>
        <v>0</v>
      </c>
      <c r="V74">
        <f>IF(AND(A74&lt;=U74,U74&lt;=G74),1,0)</f>
        <v>0</v>
      </c>
      <c r="W74" s="21">
        <f>U74-600000</f>
        <v>-600000</v>
      </c>
      <c r="X74" s="20">
        <f>W74*V74</f>
        <v>0</v>
      </c>
    </row>
    <row r="75" spans="1:24" ht="18">
      <c r="A75" s="243">
        <v>1300000</v>
      </c>
      <c r="B75" s="243"/>
      <c r="C75" s="243"/>
      <c r="D75" s="243"/>
      <c r="E75" s="243"/>
      <c r="F75" s="15" t="s">
        <v>38</v>
      </c>
      <c r="G75" s="243">
        <v>4099999</v>
      </c>
      <c r="H75" s="243"/>
      <c r="I75" s="243"/>
      <c r="J75" s="243"/>
      <c r="K75" s="244"/>
      <c r="L75" s="244" t="s">
        <v>140</v>
      </c>
      <c r="M75" s="245"/>
      <c r="N75" s="245"/>
      <c r="O75" s="245"/>
      <c r="P75" s="245"/>
      <c r="Q75" s="245"/>
      <c r="R75" s="245"/>
      <c r="S75" s="246"/>
      <c r="U75" s="19">
        <f t="shared" ref="U75:U78" si="14">U74</f>
        <v>0</v>
      </c>
      <c r="V75">
        <f>IF(AND(A75&lt;=U75,U75&lt;=G75),1,0)</f>
        <v>0</v>
      </c>
      <c r="W75" s="21">
        <f>U75*0.75-275000</f>
        <v>-275000</v>
      </c>
      <c r="X75" s="20">
        <f t="shared" ref="X75:X78" si="15">W75*V75</f>
        <v>0</v>
      </c>
    </row>
    <row r="76" spans="1:24" ht="18">
      <c r="A76" s="243">
        <v>4100000</v>
      </c>
      <c r="B76" s="243"/>
      <c r="C76" s="243"/>
      <c r="D76" s="243"/>
      <c r="E76" s="243"/>
      <c r="F76" s="15" t="s">
        <v>38</v>
      </c>
      <c r="G76" s="243">
        <v>7699999</v>
      </c>
      <c r="H76" s="243"/>
      <c r="I76" s="243"/>
      <c r="J76" s="243"/>
      <c r="K76" s="244"/>
      <c r="L76" s="244" t="s">
        <v>141</v>
      </c>
      <c r="M76" s="245"/>
      <c r="N76" s="245"/>
      <c r="O76" s="245"/>
      <c r="P76" s="245"/>
      <c r="Q76" s="245"/>
      <c r="R76" s="245"/>
      <c r="S76" s="246"/>
      <c r="U76" s="19">
        <f t="shared" si="14"/>
        <v>0</v>
      </c>
      <c r="V76">
        <f>IF(AND(A76&lt;=U76,U76&lt;=G76),1,0)</f>
        <v>0</v>
      </c>
      <c r="W76" s="21">
        <f>U76*0.85-685000</f>
        <v>-685000</v>
      </c>
      <c r="X76" s="20">
        <f t="shared" si="15"/>
        <v>0</v>
      </c>
    </row>
    <row r="77" spans="1:24" ht="18">
      <c r="A77" s="243">
        <v>7700000</v>
      </c>
      <c r="B77" s="243"/>
      <c r="C77" s="243"/>
      <c r="D77" s="243"/>
      <c r="E77" s="243"/>
      <c r="F77" s="15" t="s">
        <v>38</v>
      </c>
      <c r="G77" s="243">
        <v>9999999</v>
      </c>
      <c r="H77" s="243"/>
      <c r="I77" s="243"/>
      <c r="J77" s="243"/>
      <c r="K77" s="244"/>
      <c r="L77" s="244" t="s">
        <v>142</v>
      </c>
      <c r="M77" s="245"/>
      <c r="N77" s="245"/>
      <c r="O77" s="245"/>
      <c r="P77" s="245"/>
      <c r="Q77" s="245"/>
      <c r="R77" s="245"/>
      <c r="S77" s="246"/>
      <c r="U77" s="19">
        <f t="shared" si="14"/>
        <v>0</v>
      </c>
      <c r="V77">
        <f>IF(AND(A77&lt;=U77,U77&lt;=G77),1,0)</f>
        <v>0</v>
      </c>
      <c r="W77" s="21">
        <f>U77*0.95-1455000</f>
        <v>-1455000</v>
      </c>
      <c r="X77" s="20">
        <f t="shared" si="15"/>
        <v>0</v>
      </c>
    </row>
    <row r="78" spans="1:24" ht="18.600000000000001" thickBot="1">
      <c r="A78" s="243">
        <v>10000000</v>
      </c>
      <c r="B78" s="243"/>
      <c r="C78" s="243"/>
      <c r="D78" s="243"/>
      <c r="E78" s="243"/>
      <c r="F78" s="15" t="s">
        <v>38</v>
      </c>
      <c r="G78" s="243"/>
      <c r="H78" s="243"/>
      <c r="I78" s="243"/>
      <c r="J78" s="243"/>
      <c r="K78" s="244"/>
      <c r="L78" s="244" t="s">
        <v>144</v>
      </c>
      <c r="M78" s="245"/>
      <c r="N78" s="245"/>
      <c r="O78" s="245"/>
      <c r="P78" s="245"/>
      <c r="Q78" s="245"/>
      <c r="R78" s="245"/>
      <c r="S78" s="246"/>
      <c r="U78" s="19">
        <f t="shared" si="14"/>
        <v>0</v>
      </c>
      <c r="V78">
        <f>IF(A78&lt;=U78,1,0)</f>
        <v>0</v>
      </c>
      <c r="W78" s="21">
        <f>U78-1955000</f>
        <v>-1955000</v>
      </c>
      <c r="X78" s="20">
        <f t="shared" si="15"/>
        <v>0</v>
      </c>
    </row>
    <row r="79" spans="1:24" ht="18.600000000000001" thickBot="1">
      <c r="U79" s="19"/>
      <c r="V79"/>
      <c r="W79" s="22" t="s">
        <v>147</v>
      </c>
      <c r="X79" s="23">
        <f>SUM(X73:X78)</f>
        <v>0</v>
      </c>
    </row>
  </sheetData>
  <mergeCells count="160">
    <mergeCell ref="A78:E78"/>
    <mergeCell ref="G78:K78"/>
    <mergeCell ref="L78:S78"/>
    <mergeCell ref="A76:E76"/>
    <mergeCell ref="G76:K76"/>
    <mergeCell ref="L76:S76"/>
    <mergeCell ref="A77:E77"/>
    <mergeCell ref="G77:K77"/>
    <mergeCell ref="L77:S77"/>
    <mergeCell ref="A74:E74"/>
    <mergeCell ref="G74:K74"/>
    <mergeCell ref="L74:S74"/>
    <mergeCell ref="A75:E75"/>
    <mergeCell ref="G75:K75"/>
    <mergeCell ref="L75:S75"/>
    <mergeCell ref="L72:S72"/>
    <mergeCell ref="W72:X72"/>
    <mergeCell ref="A73:E73"/>
    <mergeCell ref="G73:K73"/>
    <mergeCell ref="L73:S73"/>
    <mergeCell ref="A67:E67"/>
    <mergeCell ref="G67:K67"/>
    <mergeCell ref="L67:S67"/>
    <mergeCell ref="A68:E68"/>
    <mergeCell ref="G68:K68"/>
    <mergeCell ref="L68:S68"/>
    <mergeCell ref="A65:E65"/>
    <mergeCell ref="G65:K65"/>
    <mergeCell ref="L65:S65"/>
    <mergeCell ref="A66:E66"/>
    <mergeCell ref="G66:K66"/>
    <mergeCell ref="L66:S66"/>
    <mergeCell ref="A63:E63"/>
    <mergeCell ref="G63:K63"/>
    <mergeCell ref="L63:S63"/>
    <mergeCell ref="A64:E64"/>
    <mergeCell ref="G64:K64"/>
    <mergeCell ref="L64:S64"/>
    <mergeCell ref="A58:E58"/>
    <mergeCell ref="G58:K58"/>
    <mergeCell ref="L58:S58"/>
    <mergeCell ref="L62:S62"/>
    <mergeCell ref="W62:X62"/>
    <mergeCell ref="A56:E56"/>
    <mergeCell ref="G56:K56"/>
    <mergeCell ref="L56:S56"/>
    <mergeCell ref="A57:E57"/>
    <mergeCell ref="G57:K57"/>
    <mergeCell ref="L57:S57"/>
    <mergeCell ref="A54:E54"/>
    <mergeCell ref="G54:K54"/>
    <mergeCell ref="L54:S54"/>
    <mergeCell ref="A55:E55"/>
    <mergeCell ref="G55:K55"/>
    <mergeCell ref="L55:S55"/>
    <mergeCell ref="L52:S52"/>
    <mergeCell ref="W52:X52"/>
    <mergeCell ref="A53:E53"/>
    <mergeCell ref="G53:K53"/>
    <mergeCell ref="L53:S53"/>
    <mergeCell ref="A4:E4"/>
    <mergeCell ref="G4:K4"/>
    <mergeCell ref="L4:S4"/>
    <mergeCell ref="L2:S2"/>
    <mergeCell ref="W2:X2"/>
    <mergeCell ref="A3:E3"/>
    <mergeCell ref="G3:K3"/>
    <mergeCell ref="L3:S3"/>
    <mergeCell ref="A5:E5"/>
    <mergeCell ref="G5:K5"/>
    <mergeCell ref="L5:S5"/>
    <mergeCell ref="A6:E6"/>
    <mergeCell ref="G6:K6"/>
    <mergeCell ref="L6:S6"/>
    <mergeCell ref="A7:E7"/>
    <mergeCell ref="G7:K7"/>
    <mergeCell ref="L7:S7"/>
    <mergeCell ref="A8:E8"/>
    <mergeCell ref="G8:K8"/>
    <mergeCell ref="L8:S8"/>
    <mergeCell ref="W12:X12"/>
    <mergeCell ref="A13:E13"/>
    <mergeCell ref="G13:K13"/>
    <mergeCell ref="L13:S13"/>
    <mergeCell ref="A15:E15"/>
    <mergeCell ref="G15:K15"/>
    <mergeCell ref="L15:S15"/>
    <mergeCell ref="A14:E14"/>
    <mergeCell ref="G14:K14"/>
    <mergeCell ref="L14:S14"/>
    <mergeCell ref="L12:S12"/>
    <mergeCell ref="A16:E16"/>
    <mergeCell ref="G16:K16"/>
    <mergeCell ref="L16:S16"/>
    <mergeCell ref="A24:E24"/>
    <mergeCell ref="G24:K24"/>
    <mergeCell ref="L24:S24"/>
    <mergeCell ref="A17:E17"/>
    <mergeCell ref="G17:K17"/>
    <mergeCell ref="L17:S17"/>
    <mergeCell ref="A18:E18"/>
    <mergeCell ref="G18:K18"/>
    <mergeCell ref="L18:S18"/>
    <mergeCell ref="L22:S22"/>
    <mergeCell ref="A27:E27"/>
    <mergeCell ref="G27:K27"/>
    <mergeCell ref="L27:S27"/>
    <mergeCell ref="A28:E28"/>
    <mergeCell ref="G28:K28"/>
    <mergeCell ref="L28:S28"/>
    <mergeCell ref="L32:S32"/>
    <mergeCell ref="W22:X22"/>
    <mergeCell ref="A23:E23"/>
    <mergeCell ref="G23:K23"/>
    <mergeCell ref="L23:S23"/>
    <mergeCell ref="A25:E25"/>
    <mergeCell ref="G25:K25"/>
    <mergeCell ref="L25:S25"/>
    <mergeCell ref="A26:E26"/>
    <mergeCell ref="G26:K26"/>
    <mergeCell ref="L26:S26"/>
    <mergeCell ref="A37:E37"/>
    <mergeCell ref="G37:K37"/>
    <mergeCell ref="L37:S37"/>
    <mergeCell ref="A38:E38"/>
    <mergeCell ref="G38:K38"/>
    <mergeCell ref="L38:S38"/>
    <mergeCell ref="L42:S42"/>
    <mergeCell ref="W32:X32"/>
    <mergeCell ref="A33:E33"/>
    <mergeCell ref="G33:K33"/>
    <mergeCell ref="L33:S33"/>
    <mergeCell ref="A35:E35"/>
    <mergeCell ref="G35:K35"/>
    <mergeCell ref="L35:S35"/>
    <mergeCell ref="A36:E36"/>
    <mergeCell ref="G36:K36"/>
    <mergeCell ref="L36:S36"/>
    <mergeCell ref="A34:E34"/>
    <mergeCell ref="G34:K34"/>
    <mergeCell ref="L34:S34"/>
    <mergeCell ref="W42:X42"/>
    <mergeCell ref="A43:E43"/>
    <mergeCell ref="G43:K43"/>
    <mergeCell ref="L43:S43"/>
    <mergeCell ref="A45:E45"/>
    <mergeCell ref="G45:K45"/>
    <mergeCell ref="L45:S45"/>
    <mergeCell ref="A48:E48"/>
    <mergeCell ref="G48:K48"/>
    <mergeCell ref="L48:S48"/>
    <mergeCell ref="A46:E46"/>
    <mergeCell ref="G46:K46"/>
    <mergeCell ref="L46:S46"/>
    <mergeCell ref="A47:E47"/>
    <mergeCell ref="G47:K47"/>
    <mergeCell ref="L47:S47"/>
    <mergeCell ref="A44:E44"/>
    <mergeCell ref="G44:K44"/>
    <mergeCell ref="L44:S44"/>
  </mergeCells>
  <phoneticPr fontId="1"/>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年度更新</vt:lpstr>
      <vt:lpstr>保険料の計算方法</vt:lpstr>
      <vt:lpstr>このシートの設問に沿って入力してください</vt:lpstr>
      <vt:lpstr>試算シート転記（非表示）</vt:lpstr>
      <vt:lpstr>試算</vt:lpstr>
      <vt:lpstr>リスト</vt:lpstr>
      <vt:lpstr>給与所得 </vt:lpstr>
      <vt:lpstr>年金（６５歳以上）</vt:lpstr>
      <vt:lpstr>年金（６５歳未満）</vt:lpstr>
      <vt:lpstr>所得額調整控除</vt:lpstr>
      <vt:lpstr>総・軽減所得（給与所得者等人数）</vt:lpstr>
      <vt:lpstr>軽減区分算出</vt:lpstr>
      <vt:lpstr>保険料算出</vt:lpstr>
      <vt:lpstr>試算!Print_Area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優</dc:creator>
  <cp:lastModifiedBy>長沼　友水</cp:lastModifiedBy>
  <cp:lastPrinted>2026-03-16T02:52:29Z</cp:lastPrinted>
  <dcterms:created xsi:type="dcterms:W3CDTF">2019-02-26T23:52:53Z</dcterms:created>
  <dcterms:modified xsi:type="dcterms:W3CDTF">2026-04-08T05:52:20Z</dcterms:modified>
</cp:coreProperties>
</file>