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25" firstSheet="1" activeTab="1"/>
  </bookViews>
  <sheets>
    <sheet name="000000" sheetId="1" state="veryHidden" r:id="rId1"/>
    <sheet name="抑制量計算（宅地分譲）" sheetId="2" r:id="rId2"/>
    <sheet name="抑制量計算（宅地分譲）オリフィスあり " sheetId="3" r:id="rId3"/>
    <sheet name="オリフィス計算例" sheetId="4" r:id="rId4"/>
  </sheets>
  <definedNames>
    <definedName name="_xlnm.Print_Area" localSheetId="3">'オリフィス計算例'!$A$2:$P$61</definedName>
    <definedName name="_xlnm.Print_Area" localSheetId="1">'抑制量計算（宅地分譲）'!$A$2:$AF$63</definedName>
    <definedName name="_xlnm.Print_Area" localSheetId="2">'抑制量計算（宅地分譲）オリフィスあり '!$A$2:$AJ$63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L61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59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<sst xmlns="http://schemas.openxmlformats.org/spreadsheetml/2006/main" count="165" uniqueCount="104">
  <si>
    <t>開発後                    流出係数</t>
  </si>
  <si>
    <t>抑制                        流出係数</t>
  </si>
  <si>
    <t>建蔽率</t>
  </si>
  <si>
    <t>降雨強度　　　　　　　　　　　　　　　　　　　　　　　　　　　　　　　　　　　　　（mm/h）</t>
  </si>
  <si>
    <t>抑　　制　　計　　算</t>
  </si>
  <si>
    <t>流　　出　　係　　数　　算　　定</t>
  </si>
  <si>
    <r>
      <t>開発面積　　　　　　　　　　　　　　　　　　　　　　　　　　　　　　　　　　　　　　　　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</si>
  <si>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r>
      <t>屋根面積（m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</si>
  <si>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r>
      <t>駐車場（m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</si>
  <si>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r>
      <t>緑　地　　　　　　　　　　　　　　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</si>
  <si>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r>
      <t>その他　　　　　　　　　　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</si>
  <si>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r>
      <t>合　計　　　　　　　　　　　　　（m</t>
    </r>
    <r>
      <rPr>
        <vertAlign val="superscript"/>
        <sz val="9"/>
        <color indexed="8"/>
        <rFont val="ＭＳ Ｐゴシック"/>
        <family val="3"/>
      </rPr>
      <t>2</t>
    </r>
    <r>
      <rPr>
        <sz val="9"/>
        <color indexed="8"/>
        <rFont val="ＭＳ Ｐゴシック"/>
        <family val="3"/>
      </rPr>
      <t>）</t>
    </r>
  </si>
  <si>
    <t>Ｃ1＝放流流出係数</t>
  </si>
  <si>
    <t>Ｃ2＝平均流出係数</t>
  </si>
  <si>
    <t>Ｃ2の算出</t>
  </si>
  <si>
    <t>㎡</t>
  </si>
  <si>
    <t>㎡</t>
  </si>
  <si>
    <t>屋根面積×0.9</t>
  </si>
  <si>
    <t>間地×0.2</t>
  </si>
  <si>
    <t>計</t>
  </si>
  <si>
    <t>÷</t>
  </si>
  <si>
    <t>＝</t>
  </si>
  <si>
    <t>V=1/360×（C2－C1）×I×Ａ×3600</t>
  </si>
  <si>
    <t>集積所
ご　み</t>
  </si>
  <si>
    <r>
      <t>必要容量　　　　　　　　　　　　　　　　　　　　　　　　　　　　　　　　　　　　　　　　（m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）</t>
    </r>
  </si>
  <si>
    <r>
      <t>計画容量　　　　　　　　　　　　　　　　　　　　　　　　　　　　　　　　　　　　　　　　（m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）</t>
    </r>
  </si>
  <si>
    <t>合計</t>
  </si>
  <si>
    <t>　Ａ＝　宅地面積　</t>
  </si>
  <si>
    <t>　I　＝　降雨強度</t>
  </si>
  <si>
    <t>m2</t>
  </si>
  <si>
    <t>mm/h</t>
  </si>
  <si>
    <t>宅地面積　　　　Ａ＝</t>
  </si>
  <si>
    <t>×0.9 =</t>
  </si>
  <si>
    <t>×0.2 =</t>
  </si>
  <si>
    <t>m3</t>
  </si>
  <si>
    <t>-</t>
  </si>
  <si>
    <t>×3600</t>
  </si>
  <si>
    <t xml:space="preserve">) × 111.1× </t>
  </si>
  <si>
    <t>Ｃ2＝　</t>
  </si>
  <si>
    <t xml:space="preserve"> 1/360 × （</t>
  </si>
  <si>
    <t>V =</t>
  </si>
  <si>
    <t>コンクリート×0.9</t>
  </si>
  <si>
    <t>計算事例（宅地１）</t>
  </si>
  <si>
    <t>黄色着色部のみ入力する。</t>
  </si>
  <si>
    <t>オリフィス径</t>
  </si>
  <si>
    <t>オリフィス計算</t>
  </si>
  <si>
    <t>放流量</t>
  </si>
  <si>
    <t>HWL～
ｵﾘﾌｨｽ中心</t>
  </si>
  <si>
    <t>オリフィス
面積</t>
  </si>
  <si>
    <t>※黄色着色部のみ入力</t>
  </si>
  <si>
    <t>1）</t>
  </si>
  <si>
    <t>2）</t>
  </si>
  <si>
    <t>3）</t>
  </si>
  <si>
    <r>
      <t>許容放流量Ｑ</t>
    </r>
    <r>
      <rPr>
        <vertAlign val="subscript"/>
        <sz val="11"/>
        <color indexed="8"/>
        <rFont val="ＭＳ Ｐ明朝"/>
        <family val="1"/>
      </rPr>
      <t>0</t>
    </r>
    <r>
      <rPr>
        <sz val="11"/>
        <color indexed="8"/>
        <rFont val="ＭＳ Ｐ明朝"/>
        <family val="1"/>
      </rPr>
      <t>を求める計算式</t>
    </r>
  </si>
  <si>
    <r>
      <t>Ｑ</t>
    </r>
    <r>
      <rPr>
        <vertAlign val="subscript"/>
        <sz val="11"/>
        <color indexed="8"/>
        <rFont val="ＭＳ Ｐ明朝"/>
        <family val="1"/>
      </rPr>
      <t>Ａ　</t>
    </r>
    <r>
      <rPr>
        <sz val="11"/>
        <color indexed="8"/>
        <rFont val="ＭＳ Ｐ明朝"/>
        <family val="1"/>
      </rPr>
      <t>＝</t>
    </r>
  </si>
  <si>
    <t>×Ｃ1×Ｉ×Ａ</t>
  </si>
  <si>
    <t>Ｃ1</t>
  </si>
  <si>
    <t>Ｉ</t>
  </si>
  <si>
    <t>Ａ</t>
  </si>
  <si>
    <t>×</t>
  </si>
  <si>
    <t>　　＝</t>
  </si>
  <si>
    <r>
      <t>　ｍ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／sec</t>
    </r>
  </si>
  <si>
    <t>放流吐出口断面径（オリフィス径）ｄの計算</t>
  </si>
  <si>
    <t xml:space="preserve"> -1</t>
  </si>
  <si>
    <t>オリフィス断面積　ａ</t>
  </si>
  <si>
    <t>ａ  ＝</t>
  </si>
  <si>
    <t>ＱＡ</t>
  </si>
  <si>
    <t>×　 2 × 9.8 × ｈ</t>
  </si>
  <si>
    <t>　  ＝</t>
  </si>
  <si>
    <t>×　 2  ×  9.8  ×</t>
  </si>
  <si>
    <r>
      <t>　ｍ</t>
    </r>
    <r>
      <rPr>
        <vertAlign val="superscript"/>
        <sz val="11"/>
        <color indexed="8"/>
        <rFont val="ＭＳ Ｐ明朝"/>
        <family val="1"/>
      </rPr>
      <t>2</t>
    </r>
  </si>
  <si>
    <t xml:space="preserve"> -2</t>
  </si>
  <si>
    <t>オリフィス径　ｄ</t>
  </si>
  <si>
    <t>ｄ  ＝</t>
  </si>
  <si>
    <t>４ａ</t>
  </si>
  <si>
    <t xml:space="preserve">  ＝</t>
  </si>
  <si>
    <t>４×</t>
  </si>
  <si>
    <t>π</t>
  </si>
  <si>
    <t>　ｍ</t>
  </si>
  <si>
    <t>＝</t>
  </si>
  <si>
    <t>　mm</t>
  </si>
  <si>
    <t>放流管の計算</t>
  </si>
  <si>
    <t>計画地からの放流管（取付管）は以下のとおりとする。</t>
  </si>
  <si>
    <t>管番号</t>
  </si>
  <si>
    <t>管径</t>
  </si>
  <si>
    <t>粗度係数</t>
  </si>
  <si>
    <t>勾配</t>
  </si>
  <si>
    <t>流速</t>
  </si>
  <si>
    <t>流量</t>
  </si>
  <si>
    <t>備考</t>
  </si>
  <si>
    <t>（‰）</t>
  </si>
  <si>
    <t>（m/s）</t>
  </si>
  <si>
    <t>（m3/s）</t>
  </si>
  <si>
    <t>取付管
（新設）</t>
  </si>
  <si>
    <t>VUφ</t>
  </si>
  <si>
    <t>取付管の管種</t>
  </si>
  <si>
    <t>管　種</t>
  </si>
  <si>
    <t>使用管種</t>
  </si>
  <si>
    <t>Ｕ字溝</t>
  </si>
  <si>
    <t>塩ビ管</t>
  </si>
  <si>
    <t>○</t>
  </si>
  <si>
    <t>ﾋｭｰﾑ管</t>
  </si>
  <si>
    <t>流出係数</t>
  </si>
  <si>
    <t>道路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</si>
</sst>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"/>
    <numFmt numFmtId="179" formatCode="0.000_ "/>
    <numFmt numFmtId="180" formatCode="0_);[Red]\(0\)"/>
    <numFmt numFmtId="181" formatCode="0.000_);[Red]\(0.000\)"/>
    <numFmt numFmtId="182" formatCode="0.00000_ "/>
    <numFmt numFmtId="183" formatCode="0.0000_ "/>
    <numFmt numFmtId="184" formatCode="0.E+00"/>
    <numFmt numFmtId="185" formatCode="0.0_ "/>
    <numFmt numFmtId="186" formatCode="#,##0.0;[Red]\-#,##0.0"/>
    <numFmt numFmtId="187" formatCode="0.00000"/>
    <numFmt numFmtId="188" formatCode="0.0000"/>
    <numFmt numFmtId="189" formatCode="#,##0.0000;\-#,##0.0000"/>
    <numFmt numFmtId="190" formatCode="&quot;&gt;　&quot;0.0000"/>
    <numFmt numFmtId="191" formatCode="0.0_);[Red]\(0.0\)"/>
    <numFmt numFmtId="192" formatCode="&quot;&gt;　&quot;0.00000"/>
    <numFmt numFmtId="193" formatCode="0.000000_);[Red]\(0.000000\)"/>
    <numFmt numFmtId="194" formatCode="0.0000_);[Red]\(0.0000\)"/>
    <numFmt numFmtId="195" formatCode="0.00000_);[Red]\(0.00000\)"/>
    <numFmt numFmtId="196" formatCode="0.0"/>
  </numFmts>
  <fonts count="62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明朝"/>
      <family val="1"/>
    </font>
    <font>
      <vertAlign val="subscript"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1"/>
      <color theme="1" tint="0.04998999834060669"/>
      <name val="ＭＳ Ｐ明朝"/>
      <family val="1"/>
    </font>
    <font>
      <sz val="22"/>
      <color theme="1" tint="0.04998999834060669"/>
      <name val="ＭＳ Ｐ明朝"/>
      <family val="1"/>
    </font>
    <font>
      <sz val="10"/>
      <color theme="1" tint="0.04998999834060669"/>
      <name val="ＭＳ Ｐ明朝"/>
      <family val="1"/>
    </font>
    <font>
      <sz val="9"/>
      <color theme="1" tint="0.04998999834060669"/>
      <name val="ＭＳ Ｐ明朝"/>
      <family val="1"/>
    </font>
    <font>
      <sz val="8"/>
      <color theme="1"/>
      <name val="Calibri"/>
      <family val="3"/>
    </font>
    <font>
      <sz val="6"/>
      <color theme="1" tint="0.04998999834060669"/>
      <name val="ＭＳ Ｐ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rgb="FFFFFF00"/>
        <bgColor rgb="FFFFFF00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medium"/>
      <right style="medium"/>
      <top style="medium"/>
      <bottom style="medium"/>
    </border>
    <border>
      <left style="hair"/>
      <right/>
      <top style="thin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52" fillId="0" borderId="0" xfId="0" applyNumberFormat="1" applyFont="1" applyFill="1" applyAlignment="1">
      <alignment horizontal="center" vertical="center"/>
    </xf>
    <xf numFmtId="9" fontId="3" fillId="34" borderId="0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181" fontId="52" fillId="0" borderId="0" xfId="0" applyNumberFormat="1" applyFont="1" applyFill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0" fontId="52" fillId="0" borderId="25" xfId="0" applyFont="1" applyFill="1" applyBorder="1" applyAlignment="1">
      <alignment vertical="center"/>
    </xf>
    <xf numFmtId="0" fontId="53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4" fillId="35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1" fontId="52" fillId="0" borderId="0" xfId="0" applyNumberFormat="1" applyFont="1" applyFill="1" applyAlignment="1">
      <alignment horizontal="right" vertical="center"/>
    </xf>
    <xf numFmtId="0" fontId="7" fillId="0" borderId="26" xfId="0" applyFont="1" applyBorder="1" applyAlignment="1">
      <alignment horizontal="center" vertical="center" wrapText="1" shrinkToFit="1"/>
    </xf>
    <xf numFmtId="176" fontId="3" fillId="0" borderId="27" xfId="0" applyNumberFormat="1" applyFont="1" applyFill="1" applyBorder="1" applyAlignment="1">
      <alignment horizontal="center" vertical="center"/>
    </xf>
    <xf numFmtId="0" fontId="55" fillId="36" borderId="0" xfId="61" applyFont="1" applyFill="1">
      <alignment/>
      <protection/>
    </xf>
    <xf numFmtId="0" fontId="56" fillId="37" borderId="0" xfId="61" applyFont="1" applyFill="1">
      <alignment/>
      <protection/>
    </xf>
    <xf numFmtId="0" fontId="55" fillId="37" borderId="0" xfId="61" applyFont="1" applyFill="1">
      <alignment/>
      <protection/>
    </xf>
    <xf numFmtId="0" fontId="55" fillId="0" borderId="0" xfId="61" applyFont="1" applyFill="1">
      <alignment/>
      <protection/>
    </xf>
    <xf numFmtId="0" fontId="55" fillId="0" borderId="0" xfId="61" applyFont="1" applyFill="1" applyBorder="1">
      <alignment/>
      <protection/>
    </xf>
    <xf numFmtId="0" fontId="55" fillId="0" borderId="0" xfId="61" applyFont="1" applyFill="1" applyAlignment="1">
      <alignment horizontal="right"/>
      <protection/>
    </xf>
    <xf numFmtId="0" fontId="55" fillId="0" borderId="28" xfId="61" applyFont="1" applyFill="1" applyBorder="1">
      <alignment/>
      <protection/>
    </xf>
    <xf numFmtId="0" fontId="55" fillId="0" borderId="29" xfId="61" applyFont="1" applyFill="1" applyBorder="1">
      <alignment/>
      <protection/>
    </xf>
    <xf numFmtId="0" fontId="55" fillId="0" borderId="0" xfId="61" applyFont="1" applyFill="1" applyAlignment="1">
      <alignment horizontal="center"/>
      <protection/>
    </xf>
    <xf numFmtId="0" fontId="55" fillId="0" borderId="29" xfId="61" applyFont="1" applyFill="1" applyBorder="1" applyAlignment="1">
      <alignment horizontal="center"/>
      <protection/>
    </xf>
    <xf numFmtId="0" fontId="55" fillId="0" borderId="0" xfId="61" applyFont="1" applyFill="1" applyAlignment="1">
      <alignment vertical="center"/>
      <protection/>
    </xf>
    <xf numFmtId="0" fontId="55" fillId="0" borderId="0" xfId="61" applyFont="1" applyFill="1" applyBorder="1" applyAlignment="1">
      <alignment horizontal="center"/>
      <protection/>
    </xf>
    <xf numFmtId="0" fontId="55" fillId="0" borderId="0" xfId="61" applyFont="1" applyFill="1" applyAlignment="1">
      <alignment horizontal="center" vertical="center"/>
      <protection/>
    </xf>
    <xf numFmtId="0" fontId="55" fillId="0" borderId="0" xfId="61" applyFont="1" applyFill="1" applyAlignment="1" quotePrefix="1">
      <alignment horizontal="center"/>
      <protection/>
    </xf>
    <xf numFmtId="0" fontId="55" fillId="0" borderId="28" xfId="61" applyFont="1" applyFill="1" applyBorder="1" applyAlignment="1">
      <alignment horizontal="center"/>
      <protection/>
    </xf>
    <xf numFmtId="0" fontId="57" fillId="0" borderId="30" xfId="61" applyFont="1" applyFill="1" applyBorder="1" applyAlignment="1">
      <alignment horizontal="center"/>
      <protection/>
    </xf>
    <xf numFmtId="0" fontId="57" fillId="0" borderId="24" xfId="61" applyFont="1" applyFill="1" applyBorder="1" applyAlignment="1">
      <alignment horizontal="center"/>
      <protection/>
    </xf>
    <xf numFmtId="0" fontId="57" fillId="0" borderId="31" xfId="61" applyFont="1" applyFill="1" applyBorder="1" applyAlignment="1">
      <alignment horizontal="center"/>
      <protection/>
    </xf>
    <xf numFmtId="0" fontId="57" fillId="0" borderId="32" xfId="61" applyFont="1" applyFill="1" applyBorder="1" applyAlignment="1">
      <alignment horizontal="center"/>
      <protection/>
    </xf>
    <xf numFmtId="0" fontId="58" fillId="0" borderId="33" xfId="61" applyFont="1" applyFill="1" applyBorder="1" applyAlignment="1">
      <alignment horizontal="center" vertical="center"/>
      <protection/>
    </xf>
    <xf numFmtId="0" fontId="55" fillId="0" borderId="33" xfId="61" applyFont="1" applyFill="1" applyBorder="1" applyAlignment="1">
      <alignment horizontal="center"/>
      <protection/>
    </xf>
    <xf numFmtId="0" fontId="55" fillId="34" borderId="33" xfId="61" applyFont="1" applyFill="1" applyBorder="1" applyAlignment="1">
      <alignment horizontal="center"/>
      <protection/>
    </xf>
    <xf numFmtId="0" fontId="0" fillId="34" borderId="0" xfId="0" applyFill="1" applyAlignment="1">
      <alignment vertical="center"/>
    </xf>
    <xf numFmtId="0" fontId="59" fillId="0" borderId="0" xfId="0" applyFont="1" applyFill="1" applyAlignment="1">
      <alignment horizontal="right" vertical="center"/>
    </xf>
    <xf numFmtId="0" fontId="0" fillId="34" borderId="34" xfId="0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vertical="center"/>
    </xf>
    <xf numFmtId="178" fontId="55" fillId="0" borderId="36" xfId="61" applyNumberFormat="1" applyFont="1" applyFill="1" applyBorder="1" applyAlignment="1">
      <alignment horizontal="center"/>
      <protection/>
    </xf>
    <xf numFmtId="195" fontId="4" fillId="0" borderId="0" xfId="0" applyNumberFormat="1" applyFont="1" applyFill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26" xfId="0" applyNumberFormat="1" applyFont="1" applyBorder="1" applyAlignment="1">
      <alignment horizontal="center" vertical="center" wrapText="1" shrinkToFit="1"/>
    </xf>
    <xf numFmtId="195" fontId="3" fillId="0" borderId="28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76" fontId="52" fillId="0" borderId="25" xfId="0" applyNumberFormat="1" applyFont="1" applyFill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182" fontId="52" fillId="0" borderId="0" xfId="0" applyNumberFormat="1" applyFont="1" applyFill="1" applyAlignment="1">
      <alignment horizontal="left" vertical="center"/>
    </xf>
    <xf numFmtId="181" fontId="5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8" fontId="52" fillId="0" borderId="1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27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44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>
      <alignment horizontal="center" vertical="center" wrapText="1"/>
    </xf>
    <xf numFmtId="195" fontId="0" fillId="0" borderId="48" xfId="0" applyNumberFormat="1" applyFill="1" applyBorder="1" applyAlignment="1">
      <alignment horizontal="center" vertical="center" wrapText="1"/>
    </xf>
    <xf numFmtId="195" fontId="0" fillId="0" borderId="32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95" fontId="6" fillId="0" borderId="21" xfId="0" applyNumberFormat="1" applyFont="1" applyBorder="1" applyAlignment="1">
      <alignment vertical="center"/>
    </xf>
    <xf numFmtId="195" fontId="0" fillId="0" borderId="21" xfId="0" applyNumberForma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0" fontId="3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179" fontId="55" fillId="0" borderId="19" xfId="61" applyNumberFormat="1" applyFont="1" applyFill="1" applyBorder="1">
      <alignment/>
      <protection/>
    </xf>
    <xf numFmtId="179" fontId="55" fillId="0" borderId="41" xfId="61" applyNumberFormat="1" applyFont="1" applyFill="1" applyBorder="1">
      <alignment/>
      <protection/>
    </xf>
    <xf numFmtId="178" fontId="55" fillId="0" borderId="24" xfId="61" applyNumberFormat="1" applyFont="1" applyFill="1" applyBorder="1" applyAlignment="1" applyProtection="1">
      <alignment horizontal="center" vertical="center"/>
      <protection locked="0"/>
    </xf>
    <xf numFmtId="178" fontId="55" fillId="0" borderId="28" xfId="61" applyNumberFormat="1" applyFont="1" applyFill="1" applyBorder="1" applyAlignment="1" applyProtection="1">
      <alignment horizontal="center" vertical="center"/>
      <protection locked="0"/>
    </xf>
    <xf numFmtId="178" fontId="55" fillId="0" borderId="48" xfId="61" applyNumberFormat="1" applyFont="1" applyFill="1" applyBorder="1" applyAlignment="1" applyProtection="1">
      <alignment horizontal="center" vertical="center"/>
      <protection locked="0"/>
    </xf>
    <xf numFmtId="178" fontId="55" fillId="0" borderId="0" xfId="61" applyNumberFormat="1" applyFont="1" applyFill="1" applyBorder="1" applyAlignment="1" applyProtection="1">
      <alignment horizontal="center" vertical="center"/>
      <protection locked="0"/>
    </xf>
    <xf numFmtId="192" fontId="55" fillId="0" borderId="24" xfId="61" applyNumberFormat="1" applyFont="1" applyFill="1" applyBorder="1" applyAlignment="1">
      <alignment horizontal="center" vertical="center"/>
      <protection/>
    </xf>
    <xf numFmtId="192" fontId="55" fillId="0" borderId="28" xfId="61" applyNumberFormat="1" applyFont="1" applyFill="1" applyBorder="1" applyAlignment="1">
      <alignment horizontal="center" vertical="center"/>
      <protection/>
    </xf>
    <xf numFmtId="192" fontId="55" fillId="0" borderId="32" xfId="61" applyNumberFormat="1" applyFont="1" applyFill="1" applyBorder="1" applyAlignment="1">
      <alignment horizontal="center" vertical="center"/>
      <protection/>
    </xf>
    <xf numFmtId="192" fontId="55" fillId="0" borderId="29" xfId="61" applyNumberFormat="1" applyFont="1" applyFill="1" applyBorder="1" applyAlignment="1">
      <alignment horizontal="center" vertical="center"/>
      <protection/>
    </xf>
    <xf numFmtId="178" fontId="55" fillId="0" borderId="33" xfId="61" applyNumberFormat="1" applyFont="1" applyFill="1" applyBorder="1" applyAlignment="1" applyProtection="1">
      <alignment horizontal="center" vertical="center"/>
      <protection locked="0"/>
    </xf>
    <xf numFmtId="0" fontId="57" fillId="0" borderId="33" xfId="61" applyFont="1" applyFill="1" applyBorder="1" applyAlignment="1">
      <alignment horizontal="center" vertical="center"/>
      <protection/>
    </xf>
    <xf numFmtId="0" fontId="55" fillId="0" borderId="19" xfId="61" applyFont="1" applyFill="1" applyBorder="1" applyAlignment="1">
      <alignment horizontal="center" vertical="center" wrapText="1"/>
      <protection/>
    </xf>
    <xf numFmtId="0" fontId="55" fillId="0" borderId="19" xfId="61" applyFont="1" applyFill="1" applyBorder="1" applyAlignment="1">
      <alignment horizontal="center" vertical="center"/>
      <protection/>
    </xf>
    <xf numFmtId="0" fontId="55" fillId="0" borderId="24" xfId="61" applyFont="1" applyFill="1" applyBorder="1" applyAlignment="1">
      <alignment horizontal="right" vertical="center"/>
      <protection/>
    </xf>
    <xf numFmtId="0" fontId="55" fillId="0" borderId="32" xfId="61" applyFont="1" applyFill="1" applyBorder="1" applyAlignment="1">
      <alignment horizontal="right" vertical="center"/>
      <protection/>
    </xf>
    <xf numFmtId="180" fontId="55" fillId="0" borderId="41" xfId="61" applyNumberFormat="1" applyFont="1" applyFill="1" applyBorder="1" applyAlignment="1" applyProtection="1">
      <alignment horizontal="center" vertical="center"/>
      <protection locked="0"/>
    </xf>
    <xf numFmtId="179" fontId="55" fillId="0" borderId="30" xfId="61" applyNumberFormat="1" applyFont="1" applyFill="1" applyBorder="1" applyAlignment="1">
      <alignment horizontal="center" vertical="center"/>
      <protection/>
    </xf>
    <xf numFmtId="0" fontId="55" fillId="0" borderId="31" xfId="61" applyFont="1" applyFill="1" applyBorder="1" applyAlignment="1">
      <alignment horizontal="center" vertical="center"/>
      <protection/>
    </xf>
    <xf numFmtId="2" fontId="55" fillId="34" borderId="33" xfId="61" applyNumberFormat="1" applyFont="1" applyFill="1" applyBorder="1" applyAlignment="1" applyProtection="1">
      <alignment horizontal="center" vertical="center"/>
      <protection locked="0"/>
    </xf>
    <xf numFmtId="189" fontId="55" fillId="0" borderId="30" xfId="61" applyNumberFormat="1" applyFont="1" applyFill="1" applyBorder="1" applyAlignment="1" applyProtection="1">
      <alignment horizontal="center" vertical="center"/>
      <protection locked="0"/>
    </xf>
    <xf numFmtId="189" fontId="55" fillId="0" borderId="31" xfId="61" applyNumberFormat="1" applyFont="1" applyFill="1" applyBorder="1" applyAlignment="1" applyProtection="1">
      <alignment horizontal="center" vertical="center"/>
      <protection locked="0"/>
    </xf>
    <xf numFmtId="0" fontId="57" fillId="0" borderId="30" xfId="61" applyFont="1" applyFill="1" applyBorder="1" applyAlignment="1">
      <alignment horizontal="center" vertical="center"/>
      <protection/>
    </xf>
    <xf numFmtId="0" fontId="57" fillId="0" borderId="31" xfId="61" applyFont="1" applyFill="1" applyBorder="1" applyAlignment="1">
      <alignment horizontal="center" vertical="center"/>
      <protection/>
    </xf>
    <xf numFmtId="0" fontId="57" fillId="0" borderId="24" xfId="61" applyFont="1" applyFill="1" applyBorder="1" applyAlignment="1">
      <alignment horizontal="center" vertical="center"/>
      <protection/>
    </xf>
    <xf numFmtId="0" fontId="57" fillId="0" borderId="49" xfId="61" applyFont="1" applyFill="1" applyBorder="1" applyAlignment="1">
      <alignment horizontal="center" vertical="center"/>
      <protection/>
    </xf>
    <xf numFmtId="0" fontId="57" fillId="0" borderId="32" xfId="61" applyFont="1" applyFill="1" applyBorder="1" applyAlignment="1">
      <alignment horizontal="center" vertical="center"/>
      <protection/>
    </xf>
    <xf numFmtId="0" fontId="57" fillId="0" borderId="50" xfId="61" applyFont="1" applyFill="1" applyBorder="1" applyAlignment="1">
      <alignment horizontal="center" vertical="center"/>
      <protection/>
    </xf>
    <xf numFmtId="0" fontId="57" fillId="0" borderId="44" xfId="61" applyFont="1" applyFill="1" applyBorder="1" applyAlignment="1">
      <alignment horizontal="center" vertical="center"/>
      <protection/>
    </xf>
    <xf numFmtId="0" fontId="57" fillId="0" borderId="24" xfId="61" applyFont="1" applyFill="1" applyBorder="1" applyAlignment="1">
      <alignment horizontal="center"/>
      <protection/>
    </xf>
    <xf numFmtId="0" fontId="57" fillId="0" borderId="28" xfId="61" applyFont="1" applyFill="1" applyBorder="1" applyAlignment="1">
      <alignment horizontal="center"/>
      <protection/>
    </xf>
    <xf numFmtId="0" fontId="57" fillId="0" borderId="28" xfId="61" applyFont="1" applyFill="1" applyBorder="1" applyAlignment="1">
      <alignment horizontal="center" vertical="center"/>
      <protection/>
    </xf>
    <xf numFmtId="0" fontId="57" fillId="0" borderId="29" xfId="61" applyFont="1" applyFill="1" applyBorder="1" applyAlignment="1">
      <alignment horizontal="center" vertical="center"/>
      <protection/>
    </xf>
    <xf numFmtId="0" fontId="57" fillId="0" borderId="48" xfId="61" applyFont="1" applyFill="1" applyBorder="1" applyAlignment="1">
      <alignment horizontal="center"/>
      <protection/>
    </xf>
    <xf numFmtId="0" fontId="57" fillId="0" borderId="0" xfId="61" applyFont="1" applyFill="1" applyBorder="1" applyAlignment="1">
      <alignment horizontal="center"/>
      <protection/>
    </xf>
    <xf numFmtId="0" fontId="55" fillId="0" borderId="0" xfId="61" applyFont="1" applyFill="1" applyAlignment="1">
      <alignment horizontal="center"/>
      <protection/>
    </xf>
    <xf numFmtId="178" fontId="55" fillId="0" borderId="51" xfId="61" applyNumberFormat="1" applyFont="1" applyFill="1" applyBorder="1" applyAlignment="1">
      <alignment horizontal="center"/>
      <protection/>
    </xf>
    <xf numFmtId="178" fontId="55" fillId="0" borderId="52" xfId="61" applyNumberFormat="1" applyFont="1" applyFill="1" applyBorder="1" applyAlignment="1">
      <alignment horizontal="center"/>
      <protection/>
    </xf>
    <xf numFmtId="1" fontId="55" fillId="0" borderId="51" xfId="61" applyNumberFormat="1" applyFont="1" applyFill="1" applyBorder="1" applyAlignment="1">
      <alignment horizontal="center"/>
      <protection/>
    </xf>
    <xf numFmtId="1" fontId="55" fillId="0" borderId="52" xfId="61" applyNumberFormat="1" applyFont="1" applyFill="1" applyBorder="1" applyAlignment="1">
      <alignment horizontal="center"/>
      <protection/>
    </xf>
    <xf numFmtId="0" fontId="55" fillId="0" borderId="0" xfId="61" applyFont="1" applyFill="1" applyAlignment="1">
      <alignment horizontal="center" vertical="center"/>
      <protection/>
    </xf>
    <xf numFmtId="188" fontId="55" fillId="0" borderId="51" xfId="61" applyNumberFormat="1" applyFont="1" applyFill="1" applyBorder="1" applyAlignment="1">
      <alignment horizontal="center"/>
      <protection/>
    </xf>
    <xf numFmtId="188" fontId="55" fillId="0" borderId="52" xfId="61" applyNumberFormat="1" applyFont="1" applyFill="1" applyBorder="1" applyAlignment="1">
      <alignment horizontal="center"/>
      <protection/>
    </xf>
    <xf numFmtId="187" fontId="55" fillId="0" borderId="51" xfId="61" applyNumberFormat="1" applyFont="1" applyFill="1" applyBorder="1" applyAlignment="1">
      <alignment horizontal="center"/>
      <protection/>
    </xf>
    <xf numFmtId="187" fontId="55" fillId="0" borderId="52" xfId="61" applyNumberFormat="1" applyFont="1" applyFill="1" applyBorder="1" applyAlignment="1">
      <alignment horizontal="center"/>
      <protection/>
    </xf>
    <xf numFmtId="0" fontId="55" fillId="0" borderId="0" xfId="61" applyFont="1" applyFill="1" applyAlignment="1">
      <alignment vertical="center"/>
      <protection/>
    </xf>
    <xf numFmtId="0" fontId="55" fillId="0" borderId="0" xfId="61" applyFont="1" applyFill="1" applyBorder="1" applyAlignment="1">
      <alignment horizontal="center"/>
      <protection/>
    </xf>
    <xf numFmtId="181" fontId="55" fillId="0" borderId="53" xfId="61" applyNumberFormat="1" applyFont="1" applyFill="1" applyBorder="1" applyAlignment="1">
      <alignment horizontal="center" vertical="center"/>
      <protection/>
    </xf>
    <xf numFmtId="181" fontId="55" fillId="0" borderId="54" xfId="61" applyNumberFormat="1" applyFont="1" applyFill="1" applyBorder="1" applyAlignment="1">
      <alignment horizontal="center" vertical="center"/>
      <protection/>
    </xf>
    <xf numFmtId="182" fontId="55" fillId="0" borderId="55" xfId="61" applyNumberFormat="1" applyFont="1" applyFill="1" applyBorder="1" applyAlignment="1">
      <alignment horizontal="center" vertical="center"/>
      <protection/>
    </xf>
    <xf numFmtId="182" fontId="55" fillId="0" borderId="56" xfId="61" applyNumberFormat="1" applyFont="1" applyFill="1" applyBorder="1" applyAlignment="1">
      <alignment horizontal="center" vertical="center"/>
      <protection/>
    </xf>
    <xf numFmtId="182" fontId="55" fillId="0" borderId="57" xfId="61" applyNumberFormat="1" applyFont="1" applyFill="1" applyBorder="1" applyAlignment="1">
      <alignment horizontal="center" vertical="center"/>
      <protection/>
    </xf>
    <xf numFmtId="182" fontId="55" fillId="0" borderId="58" xfId="61" applyNumberFormat="1" applyFont="1" applyFill="1" applyBorder="1" applyAlignment="1">
      <alignment horizontal="center" vertical="center"/>
      <protection/>
    </xf>
    <xf numFmtId="0" fontId="55" fillId="0" borderId="0" xfId="61" applyFont="1" applyFill="1" applyBorder="1" applyAlignment="1">
      <alignment vertical="center"/>
      <protection/>
    </xf>
    <xf numFmtId="0" fontId="60" fillId="0" borderId="59" xfId="61" applyFont="1" applyFill="1" applyBorder="1" applyAlignment="1">
      <alignment horizontal="center"/>
      <protection/>
    </xf>
    <xf numFmtId="0" fontId="55" fillId="0" borderId="29" xfId="61" applyFont="1" applyFill="1" applyBorder="1" applyAlignment="1">
      <alignment horizontal="center"/>
      <protection/>
    </xf>
    <xf numFmtId="0" fontId="55" fillId="0" borderId="60" xfId="61" applyFont="1" applyFill="1" applyBorder="1" applyAlignment="1">
      <alignment horizontal="center" vertical="center"/>
      <protection/>
    </xf>
    <xf numFmtId="0" fontId="55" fillId="0" borderId="61" xfId="61" applyFont="1" applyFill="1" applyBorder="1" applyAlignment="1">
      <alignment horizontal="center" vertical="center"/>
      <protection/>
    </xf>
    <xf numFmtId="0" fontId="55" fillId="0" borderId="53" xfId="61" applyNumberFormat="1" applyFont="1" applyFill="1" applyBorder="1" applyAlignment="1">
      <alignment horizontal="center" vertical="center"/>
      <protection/>
    </xf>
    <xf numFmtId="0" fontId="55" fillId="0" borderId="54" xfId="61" applyNumberFormat="1" applyFont="1" applyFill="1" applyBorder="1" applyAlignment="1">
      <alignment horizontal="center" vertical="center"/>
      <protection/>
    </xf>
    <xf numFmtId="0" fontId="55" fillId="0" borderId="62" xfId="61" applyFont="1" applyFill="1" applyBorder="1" applyAlignment="1">
      <alignment horizontal="center" vertical="center"/>
      <protection/>
    </xf>
    <xf numFmtId="191" fontId="55" fillId="0" borderId="53" xfId="61" applyNumberFormat="1" applyFont="1" applyFill="1" applyBorder="1" applyAlignment="1">
      <alignment horizontal="center" vertical="center"/>
      <protection/>
    </xf>
    <xf numFmtId="191" fontId="0" fillId="0" borderId="54" xfId="0" applyNumberForma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24</xdr:row>
      <xdr:rowOff>95250</xdr:rowOff>
    </xdr:from>
    <xdr:to>
      <xdr:col>5</xdr:col>
      <xdr:colOff>180975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90725" y="45339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95250</xdr:rowOff>
    </xdr:from>
    <xdr:to>
      <xdr:col>5</xdr:col>
      <xdr:colOff>200025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2019300" y="4533900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19050</xdr:rowOff>
    </xdr:from>
    <xdr:to>
      <xdr:col>5</xdr:col>
      <xdr:colOff>257175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038350" y="4457700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24</xdr:row>
      <xdr:rowOff>19050</xdr:rowOff>
    </xdr:from>
    <xdr:to>
      <xdr:col>7</xdr:col>
      <xdr:colOff>323850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2095500" y="445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57150</xdr:rowOff>
    </xdr:from>
    <xdr:to>
      <xdr:col>5</xdr:col>
      <xdr:colOff>180975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1990725" y="50958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29</xdr:row>
      <xdr:rowOff>57150</xdr:rowOff>
    </xdr:from>
    <xdr:to>
      <xdr:col>5</xdr:col>
      <xdr:colOff>200025</xdr:colOff>
      <xdr:row>29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019300" y="50958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28575</xdr:rowOff>
    </xdr:from>
    <xdr:to>
      <xdr:col>5</xdr:col>
      <xdr:colOff>257175</xdr:colOff>
      <xdr:row>29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2038350" y="5010150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28575</xdr:rowOff>
    </xdr:from>
    <xdr:to>
      <xdr:col>9</xdr:col>
      <xdr:colOff>28575</xdr:colOff>
      <xdr:row>28</xdr:row>
      <xdr:rowOff>28575</xdr:rowOff>
    </xdr:to>
    <xdr:sp>
      <xdr:nvSpPr>
        <xdr:cNvPr id="8" name="Line 8"/>
        <xdr:cNvSpPr>
          <a:spLocks/>
        </xdr:cNvSpPr>
      </xdr:nvSpPr>
      <xdr:spPr>
        <a:xfrm>
          <a:off x="2095500" y="5010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38</xdr:row>
      <xdr:rowOff>95250</xdr:rowOff>
    </xdr:from>
    <xdr:to>
      <xdr:col>3</xdr:col>
      <xdr:colOff>504825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304925" y="64293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38</xdr:row>
      <xdr:rowOff>95250</xdr:rowOff>
    </xdr:from>
    <xdr:to>
      <xdr:col>3</xdr:col>
      <xdr:colOff>523875</xdr:colOff>
      <xdr:row>39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333500" y="64293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34</xdr:row>
      <xdr:rowOff>142875</xdr:rowOff>
    </xdr:from>
    <xdr:to>
      <xdr:col>4</xdr:col>
      <xdr:colOff>38100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352550" y="6076950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142875</xdr:rowOff>
    </xdr:from>
    <xdr:to>
      <xdr:col>5</xdr:col>
      <xdr:colOff>428625</xdr:colOff>
      <xdr:row>34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504950" y="6076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38</xdr:row>
      <xdr:rowOff>95250</xdr:rowOff>
    </xdr:from>
    <xdr:to>
      <xdr:col>6</xdr:col>
      <xdr:colOff>504825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752725" y="64293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38</xdr:row>
      <xdr:rowOff>95250</xdr:rowOff>
    </xdr:from>
    <xdr:to>
      <xdr:col>6</xdr:col>
      <xdr:colOff>523875</xdr:colOff>
      <xdr:row>39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781300" y="64293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34</xdr:row>
      <xdr:rowOff>142875</xdr:rowOff>
    </xdr:from>
    <xdr:to>
      <xdr:col>7</xdr:col>
      <xdr:colOff>38100</xdr:colOff>
      <xdr:row>39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2800350" y="60769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34</xdr:row>
      <xdr:rowOff>142875</xdr:rowOff>
    </xdr:from>
    <xdr:to>
      <xdr:col>8</xdr:col>
      <xdr:colOff>552450</xdr:colOff>
      <xdr:row>34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886075" y="60769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95250</xdr:rowOff>
    </xdr:from>
    <xdr:to>
      <xdr:col>5</xdr:col>
      <xdr:colOff>180975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990725" y="45339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95250</xdr:rowOff>
    </xdr:from>
    <xdr:to>
      <xdr:col>5</xdr:col>
      <xdr:colOff>200025</xdr:colOff>
      <xdr:row>25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019300" y="4533900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19050</xdr:rowOff>
    </xdr:from>
    <xdr:to>
      <xdr:col>5</xdr:col>
      <xdr:colOff>257175</xdr:colOff>
      <xdr:row>25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2038350" y="4457700"/>
          <a:ext cx="57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24</xdr:row>
      <xdr:rowOff>19050</xdr:rowOff>
    </xdr:from>
    <xdr:to>
      <xdr:col>7</xdr:col>
      <xdr:colOff>323850</xdr:colOff>
      <xdr:row>24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2095500" y="4457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57150</xdr:rowOff>
    </xdr:from>
    <xdr:to>
      <xdr:col>5</xdr:col>
      <xdr:colOff>180975</xdr:colOff>
      <xdr:row>29</xdr:row>
      <xdr:rowOff>133350</xdr:rowOff>
    </xdr:to>
    <xdr:sp>
      <xdr:nvSpPr>
        <xdr:cNvPr id="21" name="Line 21"/>
        <xdr:cNvSpPr>
          <a:spLocks/>
        </xdr:cNvSpPr>
      </xdr:nvSpPr>
      <xdr:spPr>
        <a:xfrm flipV="1">
          <a:off x="1990725" y="50958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29</xdr:row>
      <xdr:rowOff>57150</xdr:rowOff>
    </xdr:from>
    <xdr:to>
      <xdr:col>5</xdr:col>
      <xdr:colOff>200025</xdr:colOff>
      <xdr:row>29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019300" y="50958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28575</xdr:rowOff>
    </xdr:from>
    <xdr:to>
      <xdr:col>5</xdr:col>
      <xdr:colOff>257175</xdr:colOff>
      <xdr:row>29</xdr:row>
      <xdr:rowOff>142875</xdr:rowOff>
    </xdr:to>
    <xdr:sp>
      <xdr:nvSpPr>
        <xdr:cNvPr id="23" name="Line 23"/>
        <xdr:cNvSpPr>
          <a:spLocks/>
        </xdr:cNvSpPr>
      </xdr:nvSpPr>
      <xdr:spPr>
        <a:xfrm flipV="1">
          <a:off x="2038350" y="5010150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28575</xdr:rowOff>
    </xdr:from>
    <xdr:to>
      <xdr:col>9</xdr:col>
      <xdr:colOff>28575</xdr:colOff>
      <xdr:row>28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2095500" y="5010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38</xdr:row>
      <xdr:rowOff>95250</xdr:rowOff>
    </xdr:from>
    <xdr:to>
      <xdr:col>3</xdr:col>
      <xdr:colOff>504825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304925" y="64293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38</xdr:row>
      <xdr:rowOff>95250</xdr:rowOff>
    </xdr:from>
    <xdr:to>
      <xdr:col>3</xdr:col>
      <xdr:colOff>523875</xdr:colOff>
      <xdr:row>39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333500" y="64293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34</xdr:row>
      <xdr:rowOff>142875</xdr:rowOff>
    </xdr:from>
    <xdr:to>
      <xdr:col>4</xdr:col>
      <xdr:colOff>38100</xdr:colOff>
      <xdr:row>39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1352550" y="6076950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142875</xdr:rowOff>
    </xdr:from>
    <xdr:to>
      <xdr:col>5</xdr:col>
      <xdr:colOff>428625</xdr:colOff>
      <xdr:row>34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1504950" y="6076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38</xdr:row>
      <xdr:rowOff>95250</xdr:rowOff>
    </xdr:from>
    <xdr:to>
      <xdr:col>6</xdr:col>
      <xdr:colOff>504825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752725" y="642937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38</xdr:row>
      <xdr:rowOff>95250</xdr:rowOff>
    </xdr:from>
    <xdr:to>
      <xdr:col>6</xdr:col>
      <xdr:colOff>523875</xdr:colOff>
      <xdr:row>39</xdr:row>
      <xdr:rowOff>9525</xdr:rowOff>
    </xdr:to>
    <xdr:sp>
      <xdr:nvSpPr>
        <xdr:cNvPr id="30" name="Line 30"/>
        <xdr:cNvSpPr>
          <a:spLocks/>
        </xdr:cNvSpPr>
      </xdr:nvSpPr>
      <xdr:spPr>
        <a:xfrm>
          <a:off x="2781300" y="642937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34</xdr:row>
      <xdr:rowOff>142875</xdr:rowOff>
    </xdr:from>
    <xdr:to>
      <xdr:col>7</xdr:col>
      <xdr:colOff>38100</xdr:colOff>
      <xdr:row>39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2800350" y="60769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34</xdr:row>
      <xdr:rowOff>142875</xdr:rowOff>
    </xdr:from>
    <xdr:to>
      <xdr:col>10</xdr:col>
      <xdr:colOff>0</xdr:colOff>
      <xdr:row>34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2886075" y="6076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">
      <selection activeCell="A1" sqref="A1"/>
    </sheetView>
  </sheetViews>
  <sheetFormatPr defaultColWidth="9.14062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showGridLines="0" tabSelected="1" zoomScalePageLayoutView="0" workbookViewId="0" topLeftCell="A1">
      <selection activeCell="H32" sqref="H32:H34"/>
    </sheetView>
  </sheetViews>
  <sheetFormatPr defaultColWidth="9.140625" defaultRowHeight="19.5" customHeight="1"/>
  <cols>
    <col min="1" max="1" width="3.8515625" style="1" customWidth="1"/>
    <col min="2" max="8" width="7.57421875" style="1" customWidth="1"/>
    <col min="9" max="9" width="7.57421875" style="15" customWidth="1"/>
    <col min="10" max="11" width="7.57421875" style="1" customWidth="1"/>
    <col min="12" max="12" width="8.8515625" style="3" customWidth="1"/>
    <col min="13" max="13" width="3.7109375" style="1" customWidth="1"/>
    <col min="14" max="14" width="3.28125" style="1" customWidth="1"/>
    <col min="15" max="18" width="2.57421875" style="1" customWidth="1"/>
    <col min="19" max="19" width="2.8515625" style="1" customWidth="1"/>
    <col min="20" max="24" width="2.57421875" style="1" customWidth="1"/>
    <col min="25" max="25" width="0.9921875" style="1" customWidth="1"/>
    <col min="26" max="26" width="5.28125" style="1" customWidth="1"/>
    <col min="27" max="27" width="1.28515625" style="1" customWidth="1"/>
    <col min="28" max="28" width="2.28125" style="1" customWidth="1"/>
    <col min="29" max="29" width="3.00390625" style="1" customWidth="1"/>
    <col min="30" max="57" width="2.57421875" style="1" customWidth="1"/>
    <col min="58" max="16384" width="9.00390625" style="1" customWidth="1"/>
  </cols>
  <sheetData>
    <row r="1" spans="2:12" ht="32.25" customHeight="1">
      <c r="B1" s="42" t="s">
        <v>43</v>
      </c>
      <c r="C1" s="40"/>
      <c r="D1" s="40"/>
      <c r="E1" s="41"/>
      <c r="F1" s="41"/>
      <c r="L1" s="16"/>
    </row>
    <row r="2" spans="2:3" ht="21.75" customHeight="1">
      <c r="B2" s="2" t="s">
        <v>2</v>
      </c>
      <c r="C2" s="34">
        <v>0.5</v>
      </c>
    </row>
    <row r="3" spans="1:12" ht="21.75" customHeight="1">
      <c r="A3" s="25"/>
      <c r="B3" s="120" t="s">
        <v>5</v>
      </c>
      <c r="C3" s="120"/>
      <c r="D3" s="120"/>
      <c r="E3" s="120"/>
      <c r="F3" s="120"/>
      <c r="G3" s="121"/>
      <c r="H3" s="120" t="s">
        <v>4</v>
      </c>
      <c r="I3" s="120"/>
      <c r="J3" s="120"/>
      <c r="K3" s="120"/>
      <c r="L3" s="120"/>
    </row>
    <row r="4" spans="1:15" s="4" customFormat="1" ht="48" customHeight="1">
      <c r="A4" s="20"/>
      <c r="B4" s="21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3" t="s">
        <v>11</v>
      </c>
      <c r="H4" s="21" t="s">
        <v>0</v>
      </c>
      <c r="I4" s="22" t="s">
        <v>1</v>
      </c>
      <c r="J4" s="22" t="s">
        <v>3</v>
      </c>
      <c r="K4" s="35" t="s">
        <v>24</v>
      </c>
      <c r="L4" s="24" t="s">
        <v>25</v>
      </c>
      <c r="O4" s="32" t="s">
        <v>42</v>
      </c>
    </row>
    <row r="5" spans="1:15" s="4" customFormat="1" ht="19.5" customHeight="1">
      <c r="A5" s="114">
        <v>1</v>
      </c>
      <c r="B5" s="5"/>
      <c r="C5" s="6">
        <v>0.9</v>
      </c>
      <c r="D5" s="6">
        <v>0.9</v>
      </c>
      <c r="E5" s="6">
        <v>0.2</v>
      </c>
      <c r="F5" s="6"/>
      <c r="G5" s="7"/>
      <c r="H5" s="117">
        <f>IF(B6="","",ROUNDUP(G7/B6,2))</f>
        <v>0.61</v>
      </c>
      <c r="I5" s="80">
        <v>0.3</v>
      </c>
      <c r="J5" s="86">
        <v>111.11</v>
      </c>
      <c r="K5" s="89">
        <f>IF(H5="","",ROUNDUP((H5-I5)*J5*B6/10000*10,2))</f>
        <v>5.7</v>
      </c>
      <c r="L5" s="107">
        <v>9.5</v>
      </c>
      <c r="O5" s="4" t="s">
        <v>22</v>
      </c>
    </row>
    <row r="6" spans="1:24" s="4" customFormat="1" ht="19.5" customHeight="1">
      <c r="A6" s="115"/>
      <c r="B6" s="13">
        <v>165.23</v>
      </c>
      <c r="C6" s="8">
        <f>B6*$C$2</f>
        <v>82.615</v>
      </c>
      <c r="D6" s="17">
        <v>12.5</v>
      </c>
      <c r="E6" s="8">
        <f>B6-C6-D6</f>
        <v>70.115</v>
      </c>
      <c r="F6" s="8"/>
      <c r="G6" s="9"/>
      <c r="H6" s="118"/>
      <c r="I6" s="81"/>
      <c r="J6" s="87"/>
      <c r="K6" s="90"/>
      <c r="L6" s="108"/>
      <c r="O6" s="4" t="s">
        <v>12</v>
      </c>
      <c r="U6" s="106">
        <f>I5</f>
        <v>0.3</v>
      </c>
      <c r="V6" s="106"/>
      <c r="W6" s="106"/>
      <c r="X6" s="106"/>
    </row>
    <row r="7" spans="1:24" s="4" customFormat="1" ht="19.5" customHeight="1">
      <c r="A7" s="116"/>
      <c r="B7" s="10"/>
      <c r="C7" s="11">
        <f>C6*C5</f>
        <v>74.3535</v>
      </c>
      <c r="D7" s="11">
        <f>D6*D5</f>
        <v>11.25</v>
      </c>
      <c r="E7" s="11">
        <f>E6*E5</f>
        <v>14.023</v>
      </c>
      <c r="F7" s="11"/>
      <c r="G7" s="12">
        <f>SUM(C7:F7)</f>
        <v>99.6265</v>
      </c>
      <c r="H7" s="119"/>
      <c r="I7" s="82"/>
      <c r="J7" s="88"/>
      <c r="K7" s="91"/>
      <c r="L7" s="109"/>
      <c r="O7" s="4" t="s">
        <v>13</v>
      </c>
      <c r="U7" s="106">
        <f>Y18</f>
        <v>0.61</v>
      </c>
      <c r="V7" s="106"/>
      <c r="W7" s="106"/>
      <c r="X7" s="106"/>
    </row>
    <row r="8" spans="1:25" ht="19.5" customHeight="1">
      <c r="A8" s="114">
        <f>1+A5</f>
        <v>2</v>
      </c>
      <c r="B8" s="5"/>
      <c r="C8" s="6">
        <v>0.9</v>
      </c>
      <c r="D8" s="6">
        <v>0.9</v>
      </c>
      <c r="E8" s="6">
        <v>0.2</v>
      </c>
      <c r="F8" s="6"/>
      <c r="G8" s="7"/>
      <c r="H8" s="117">
        <f>IF(B9="","",ROUNDUP(G10/B9,2))</f>
        <v>0.61</v>
      </c>
      <c r="I8" s="80">
        <f>$I$5</f>
        <v>0.3</v>
      </c>
      <c r="J8" s="86">
        <v>111.11</v>
      </c>
      <c r="K8" s="89">
        <f>IF(H8="","",ROUNDUP((H8-I8)*J8*B9/10000*10,2))</f>
        <v>5.6899999999999995</v>
      </c>
      <c r="L8" s="107">
        <v>9.5</v>
      </c>
      <c r="M8" s="27"/>
      <c r="N8" s="27"/>
      <c r="O8" s="36" t="s">
        <v>28</v>
      </c>
      <c r="R8" s="27"/>
      <c r="S8" s="27"/>
      <c r="T8" s="27"/>
      <c r="U8" s="98">
        <f>J5</f>
        <v>111.11</v>
      </c>
      <c r="V8" s="105"/>
      <c r="W8" s="105"/>
      <c r="X8" s="105"/>
      <c r="Y8" s="27" t="s">
        <v>30</v>
      </c>
    </row>
    <row r="9" spans="1:25" ht="19.5" customHeight="1">
      <c r="A9" s="115"/>
      <c r="B9" s="13">
        <v>165.09</v>
      </c>
      <c r="C9" s="8">
        <f>B9*$C$2</f>
        <v>82.545</v>
      </c>
      <c r="D9" s="17">
        <f>D$6</f>
        <v>12.5</v>
      </c>
      <c r="E9" s="8">
        <f>B9-C9-D9</f>
        <v>70.045</v>
      </c>
      <c r="F9" s="8"/>
      <c r="G9" s="9"/>
      <c r="H9" s="118"/>
      <c r="I9" s="81"/>
      <c r="J9" s="87"/>
      <c r="K9" s="110"/>
      <c r="L9" s="108"/>
      <c r="M9" s="27"/>
      <c r="N9" s="27"/>
      <c r="O9" s="29" t="s">
        <v>27</v>
      </c>
      <c r="R9" s="27"/>
      <c r="S9" s="27"/>
      <c r="T9" s="27"/>
      <c r="U9" s="98">
        <f>B6</f>
        <v>165.23</v>
      </c>
      <c r="V9" s="105"/>
      <c r="W9" s="105"/>
      <c r="X9" s="105"/>
      <c r="Y9" s="27" t="s">
        <v>29</v>
      </c>
    </row>
    <row r="10" spans="1:22" ht="19.5" customHeight="1">
      <c r="A10" s="116"/>
      <c r="B10" s="10"/>
      <c r="C10" s="11">
        <f>C9*C8</f>
        <v>74.29050000000001</v>
      </c>
      <c r="D10" s="11">
        <f>D9*D8</f>
        <v>11.25</v>
      </c>
      <c r="E10" s="11">
        <f>E9*E8</f>
        <v>14.009</v>
      </c>
      <c r="F10" s="11"/>
      <c r="G10" s="12">
        <f>SUM(C10:F10)</f>
        <v>99.54950000000001</v>
      </c>
      <c r="H10" s="119"/>
      <c r="I10" s="82"/>
      <c r="J10" s="88"/>
      <c r="K10" s="111"/>
      <c r="L10" s="109"/>
      <c r="M10" s="27"/>
      <c r="N10" s="27"/>
      <c r="O10" s="30"/>
      <c r="P10" s="27"/>
      <c r="Q10" s="27"/>
      <c r="R10" s="27"/>
      <c r="S10" s="27"/>
      <c r="T10" s="27"/>
      <c r="U10" s="27"/>
      <c r="V10" s="27"/>
    </row>
    <row r="11" spans="1:24" ht="19.5" customHeight="1">
      <c r="A11" s="114">
        <f>1+A8</f>
        <v>3</v>
      </c>
      <c r="B11" s="5"/>
      <c r="C11" s="6">
        <v>0.9</v>
      </c>
      <c r="D11" s="6">
        <v>0.9</v>
      </c>
      <c r="E11" s="6">
        <v>0.2</v>
      </c>
      <c r="F11" s="6"/>
      <c r="G11" s="7"/>
      <c r="H11" s="117">
        <f>IF(B12="","",ROUNDUP(G13/B12,2))</f>
        <v>0.61</v>
      </c>
      <c r="I11" s="80">
        <f>$I$5</f>
        <v>0.3</v>
      </c>
      <c r="J11" s="86">
        <v>111.11</v>
      </c>
      <c r="K11" s="89">
        <f>IF(H11="","",ROUNDUP((H11-I11)*J11*B12/10000*10,2))</f>
        <v>5.72</v>
      </c>
      <c r="L11" s="107">
        <v>9.5</v>
      </c>
      <c r="M11" s="27"/>
      <c r="N11" s="27"/>
      <c r="O11" s="4" t="s">
        <v>14</v>
      </c>
      <c r="P11" s="27"/>
      <c r="Q11" s="27"/>
      <c r="R11" s="27"/>
      <c r="S11" s="27"/>
      <c r="T11" s="27"/>
      <c r="U11" s="37"/>
      <c r="V11" s="37"/>
      <c r="W11" s="38"/>
      <c r="X11" s="38"/>
    </row>
    <row r="12" spans="1:29" ht="19.5" customHeight="1">
      <c r="A12" s="115"/>
      <c r="B12" s="13">
        <v>165.87</v>
      </c>
      <c r="C12" s="8">
        <f>B12*$C$2</f>
        <v>82.935</v>
      </c>
      <c r="D12" s="17">
        <f>D$6</f>
        <v>12.5</v>
      </c>
      <c r="E12" s="8">
        <f>B12-C12-D12</f>
        <v>70.435</v>
      </c>
      <c r="F12" s="8"/>
      <c r="G12" s="9"/>
      <c r="H12" s="118"/>
      <c r="I12" s="81"/>
      <c r="J12" s="87"/>
      <c r="K12" s="90"/>
      <c r="L12" s="108"/>
      <c r="M12" s="27"/>
      <c r="N12" s="27"/>
      <c r="O12" s="29" t="s">
        <v>31</v>
      </c>
      <c r="R12" s="27"/>
      <c r="S12" s="27"/>
      <c r="T12" s="27"/>
      <c r="U12" s="95">
        <f>B6</f>
        <v>165.23</v>
      </c>
      <c r="V12" s="96"/>
      <c r="W12" s="96"/>
      <c r="X12" s="27" t="s">
        <v>15</v>
      </c>
      <c r="Z12" s="27"/>
      <c r="AA12" s="98"/>
      <c r="AB12" s="99"/>
      <c r="AC12" s="99"/>
    </row>
    <row r="13" spans="1:29" ht="19.5" customHeight="1">
      <c r="A13" s="116"/>
      <c r="B13" s="10"/>
      <c r="C13" s="11">
        <f>C12*C11</f>
        <v>74.64150000000001</v>
      </c>
      <c r="D13" s="11">
        <f>D12*D11</f>
        <v>11.25</v>
      </c>
      <c r="E13" s="11">
        <f>E12*E11</f>
        <v>14.087000000000002</v>
      </c>
      <c r="F13" s="11"/>
      <c r="G13" s="12">
        <f>SUM(C13:F13)</f>
        <v>99.97850000000001</v>
      </c>
      <c r="H13" s="119"/>
      <c r="I13" s="82"/>
      <c r="J13" s="88"/>
      <c r="K13" s="91"/>
      <c r="L13" s="109"/>
      <c r="M13" s="27"/>
      <c r="N13" s="27"/>
      <c r="O13" s="28" t="s">
        <v>17</v>
      </c>
      <c r="S13" s="27"/>
      <c r="T13" s="27"/>
      <c r="U13" s="97">
        <f>C6</f>
        <v>82.615</v>
      </c>
      <c r="V13" s="96"/>
      <c r="W13" s="96"/>
      <c r="X13" s="27" t="s">
        <v>16</v>
      </c>
      <c r="Z13" s="27" t="s">
        <v>32</v>
      </c>
      <c r="AA13" s="98">
        <f>ROUNDDOWN(U13*0.9,3)</f>
        <v>74.353</v>
      </c>
      <c r="AB13" s="99"/>
      <c r="AC13" s="99"/>
    </row>
    <row r="14" spans="1:29" ht="19.5" customHeight="1">
      <c r="A14" s="114">
        <f>1+A11</f>
        <v>4</v>
      </c>
      <c r="B14" s="5"/>
      <c r="C14" s="6">
        <v>0.9</v>
      </c>
      <c r="D14" s="6">
        <v>0.9</v>
      </c>
      <c r="E14" s="6">
        <v>0.2</v>
      </c>
      <c r="F14" s="6"/>
      <c r="G14" s="7"/>
      <c r="H14" s="117">
        <f>IF(B15="","",ROUNDUP(G16/B15,2))</f>
        <v>0.61</v>
      </c>
      <c r="I14" s="80">
        <f>$I$5</f>
        <v>0.3</v>
      </c>
      <c r="J14" s="86">
        <v>111.11</v>
      </c>
      <c r="K14" s="89">
        <f>IF(H14="","",ROUNDUP((H14-I14)*J14*B15/10000*10,2))</f>
        <v>5.859999999999999</v>
      </c>
      <c r="L14" s="107">
        <v>9.5</v>
      </c>
      <c r="M14" s="27"/>
      <c r="N14" s="27"/>
      <c r="O14" s="28" t="s">
        <v>41</v>
      </c>
      <c r="S14" s="27"/>
      <c r="T14" s="27"/>
      <c r="U14" s="97">
        <f>D6</f>
        <v>12.5</v>
      </c>
      <c r="V14" s="96"/>
      <c r="W14" s="96"/>
      <c r="X14" s="27" t="s">
        <v>16</v>
      </c>
      <c r="Z14" s="27" t="s">
        <v>32</v>
      </c>
      <c r="AA14" s="98">
        <f>ROUNDDOWN(U14*0.9,3)</f>
        <v>11.25</v>
      </c>
      <c r="AB14" s="105"/>
      <c r="AC14" s="105"/>
    </row>
    <row r="15" spans="1:29" ht="19.5" customHeight="1">
      <c r="A15" s="115"/>
      <c r="B15" s="13">
        <v>170.13</v>
      </c>
      <c r="C15" s="8">
        <f>B15*$C$2</f>
        <v>85.065</v>
      </c>
      <c r="D15" s="17">
        <f>D$6</f>
        <v>12.5</v>
      </c>
      <c r="E15" s="8">
        <f>B15-C15-D15</f>
        <v>72.565</v>
      </c>
      <c r="F15" s="8"/>
      <c r="G15" s="9"/>
      <c r="H15" s="118"/>
      <c r="I15" s="81"/>
      <c r="J15" s="87"/>
      <c r="K15" s="90"/>
      <c r="L15" s="108"/>
      <c r="M15" s="27"/>
      <c r="N15" s="27"/>
      <c r="O15" s="28" t="s">
        <v>18</v>
      </c>
      <c r="S15" s="27"/>
      <c r="T15" s="27"/>
      <c r="U15" s="97">
        <f>E6</f>
        <v>70.115</v>
      </c>
      <c r="V15" s="96"/>
      <c r="W15" s="96"/>
      <c r="X15" s="27" t="s">
        <v>16</v>
      </c>
      <c r="Z15" s="27" t="s">
        <v>33</v>
      </c>
      <c r="AA15" s="98">
        <f>ROUNDDOWN(U15*0.2,3)</f>
        <v>14.023</v>
      </c>
      <c r="AB15" s="105"/>
      <c r="AC15" s="105"/>
    </row>
    <row r="16" spans="1:29" ht="19.5" customHeight="1">
      <c r="A16" s="116"/>
      <c r="B16" s="10"/>
      <c r="C16" s="11">
        <f>C15*C14</f>
        <v>76.5585</v>
      </c>
      <c r="D16" s="11">
        <f>D15*D14</f>
        <v>11.25</v>
      </c>
      <c r="E16" s="11">
        <f>E15*E14</f>
        <v>14.513</v>
      </c>
      <c r="F16" s="11"/>
      <c r="G16" s="12">
        <f>SUM(C16:F16)</f>
        <v>102.3215</v>
      </c>
      <c r="H16" s="119"/>
      <c r="I16" s="82"/>
      <c r="J16" s="88"/>
      <c r="K16" s="91"/>
      <c r="L16" s="109"/>
      <c r="M16" s="27"/>
      <c r="N16" s="27"/>
      <c r="O16" s="30" t="s">
        <v>19</v>
      </c>
      <c r="S16" s="27"/>
      <c r="T16" s="27"/>
      <c r="U16" s="97">
        <f>U9</f>
        <v>165.23</v>
      </c>
      <c r="V16" s="96"/>
      <c r="W16" s="96"/>
      <c r="X16" s="27" t="s">
        <v>15</v>
      </c>
      <c r="Z16" s="27"/>
      <c r="AA16" s="98">
        <f>SUM(AA13:AA15)</f>
        <v>99.62599999999999</v>
      </c>
      <c r="AB16" s="105"/>
      <c r="AC16" s="105"/>
    </row>
    <row r="17" spans="1:26" ht="19.5" customHeight="1">
      <c r="A17" s="114">
        <f>1+A14</f>
        <v>5</v>
      </c>
      <c r="B17" s="5"/>
      <c r="C17" s="6">
        <v>0.9</v>
      </c>
      <c r="D17" s="6">
        <v>0.9</v>
      </c>
      <c r="E17" s="6">
        <v>0.2</v>
      </c>
      <c r="F17" s="6"/>
      <c r="G17" s="7"/>
      <c r="H17" s="125">
        <f>IF(B18="","",ROUNDUP(G19/B18,2))</f>
        <v>0.6</v>
      </c>
      <c r="I17" s="80">
        <f>$I$5</f>
        <v>0.3</v>
      </c>
      <c r="J17" s="86">
        <v>111.11</v>
      </c>
      <c r="K17" s="89">
        <f>IF(H17="","",ROUNDUP((H17-I17)*J17*B18/10000*10,2))</f>
        <v>6.38</v>
      </c>
      <c r="L17" s="107">
        <v>9.5</v>
      </c>
      <c r="O17" s="27"/>
      <c r="P17" s="27"/>
      <c r="Q17" s="27"/>
      <c r="R17" s="27"/>
      <c r="S17" s="27"/>
      <c r="T17" s="27"/>
      <c r="U17" s="27"/>
      <c r="V17" s="27"/>
      <c r="Z17" s="27"/>
    </row>
    <row r="18" spans="1:26" ht="19.5" customHeight="1">
      <c r="A18" s="115"/>
      <c r="B18" s="13">
        <v>191.39</v>
      </c>
      <c r="C18" s="8">
        <f>B18*$C$2</f>
        <v>95.695</v>
      </c>
      <c r="D18" s="17">
        <f>D$6</f>
        <v>12.5</v>
      </c>
      <c r="E18" s="8">
        <f>B18-C18-D18</f>
        <v>83.195</v>
      </c>
      <c r="F18" s="8"/>
      <c r="G18" s="9"/>
      <c r="H18" s="126"/>
      <c r="I18" s="81"/>
      <c r="J18" s="87"/>
      <c r="K18" s="90"/>
      <c r="L18" s="108"/>
      <c r="O18" s="31" t="s">
        <v>38</v>
      </c>
      <c r="P18" s="100">
        <f>G7</f>
        <v>99.6265</v>
      </c>
      <c r="Q18" s="101"/>
      <c r="R18" s="102"/>
      <c r="S18" s="30" t="s">
        <v>20</v>
      </c>
      <c r="T18" s="103">
        <f>B6</f>
        <v>165.23</v>
      </c>
      <c r="U18" s="101"/>
      <c r="V18" s="102"/>
      <c r="W18" s="27"/>
      <c r="X18" s="30" t="s">
        <v>21</v>
      </c>
      <c r="Y18" s="104">
        <f>H5</f>
        <v>0.61</v>
      </c>
      <c r="Z18" s="105"/>
    </row>
    <row r="19" spans="1:22" ht="19.5" customHeight="1">
      <c r="A19" s="116"/>
      <c r="B19" s="10"/>
      <c r="C19" s="11">
        <f>C18*C17</f>
        <v>86.1255</v>
      </c>
      <c r="D19" s="11">
        <f>D18*D17</f>
        <v>11.25</v>
      </c>
      <c r="E19" s="11">
        <f>E18*E17</f>
        <v>16.639</v>
      </c>
      <c r="F19" s="11"/>
      <c r="G19" s="12">
        <f>SUM(C19:F19)</f>
        <v>114.0145</v>
      </c>
      <c r="H19" s="127"/>
      <c r="I19" s="82"/>
      <c r="J19" s="88"/>
      <c r="K19" s="91"/>
      <c r="L19" s="109"/>
      <c r="O19" s="27"/>
      <c r="P19" s="27"/>
      <c r="Q19" s="27"/>
      <c r="R19" s="27"/>
      <c r="S19" s="27"/>
      <c r="T19" s="27"/>
      <c r="U19" s="27"/>
      <c r="V19" s="27"/>
    </row>
    <row r="20" spans="1:32" ht="19.5" customHeight="1">
      <c r="A20" s="114">
        <f>1+A17</f>
        <v>6</v>
      </c>
      <c r="B20" s="5"/>
      <c r="C20" s="6">
        <v>0.9</v>
      </c>
      <c r="D20" s="6">
        <v>0.9</v>
      </c>
      <c r="E20" s="6">
        <v>0.2</v>
      </c>
      <c r="F20" s="6"/>
      <c r="G20" s="7"/>
      <c r="H20" s="117">
        <f>IF(B21="","",ROUNDUP(G22/B21,2))</f>
        <v>0.6</v>
      </c>
      <c r="I20" s="80">
        <f>$I$5</f>
        <v>0.3</v>
      </c>
      <c r="J20" s="86">
        <v>111.11</v>
      </c>
      <c r="K20" s="89">
        <f>IF(H20="","",ROUNDUP((H20-I20)*J20*B21/10000*10,2))</f>
        <v>6.34</v>
      </c>
      <c r="L20" s="107">
        <v>9.5</v>
      </c>
      <c r="N20" s="83" t="s">
        <v>40</v>
      </c>
      <c r="O20" s="84"/>
      <c r="P20" s="4" t="s">
        <v>39</v>
      </c>
      <c r="Q20" s="27"/>
      <c r="R20" s="27"/>
      <c r="S20" s="104">
        <f>H5</f>
        <v>0.61</v>
      </c>
      <c r="T20" s="104"/>
      <c r="U20" s="30" t="s">
        <v>35</v>
      </c>
      <c r="V20" s="104">
        <f>I5</f>
        <v>0.3</v>
      </c>
      <c r="W20" s="104"/>
      <c r="X20" s="27" t="s">
        <v>37</v>
      </c>
      <c r="Y20" s="27"/>
      <c r="Z20" s="27"/>
      <c r="AA20" s="94">
        <f>B6/10000</f>
        <v>0.016523</v>
      </c>
      <c r="AB20" s="94"/>
      <c r="AC20" s="94"/>
      <c r="AD20" s="27" t="s">
        <v>36</v>
      </c>
      <c r="AE20" s="27"/>
      <c r="AF20" s="27"/>
    </row>
    <row r="21" spans="1:32" ht="19.5" customHeight="1" thickBot="1">
      <c r="A21" s="115"/>
      <c r="B21" s="13">
        <v>189.93</v>
      </c>
      <c r="C21" s="8">
        <f>B21*$C$2</f>
        <v>94.965</v>
      </c>
      <c r="D21" s="17">
        <f>D$6</f>
        <v>12.5</v>
      </c>
      <c r="E21" s="8">
        <f>B21-C21-D21</f>
        <v>82.465</v>
      </c>
      <c r="F21" s="8"/>
      <c r="G21" s="9"/>
      <c r="H21" s="118"/>
      <c r="I21" s="81"/>
      <c r="J21" s="87"/>
      <c r="K21" s="90"/>
      <c r="L21" s="108"/>
      <c r="N21" s="85" t="s">
        <v>40</v>
      </c>
      <c r="O21" s="84"/>
      <c r="P21" s="92">
        <f>K5</f>
        <v>5.7</v>
      </c>
      <c r="Q21" s="93"/>
      <c r="R21" s="93"/>
      <c r="S21" s="39" t="s">
        <v>34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9.5" customHeight="1" thickTop="1">
      <c r="A22" s="116"/>
      <c r="B22" s="10"/>
      <c r="C22" s="11">
        <f>C21*C20</f>
        <v>85.4685</v>
      </c>
      <c r="D22" s="11">
        <f>D21*D20</f>
        <v>11.25</v>
      </c>
      <c r="E22" s="11">
        <f>E21*E20</f>
        <v>16.493000000000002</v>
      </c>
      <c r="F22" s="11"/>
      <c r="G22" s="12">
        <f>SUM(C22:F22)</f>
        <v>113.2115</v>
      </c>
      <c r="H22" s="119"/>
      <c r="I22" s="82"/>
      <c r="J22" s="88"/>
      <c r="K22" s="91"/>
      <c r="L22" s="109"/>
      <c r="O22" s="26"/>
      <c r="P22" s="33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22" ht="19.5" customHeight="1">
      <c r="A23" s="114">
        <f>1+A20</f>
        <v>7</v>
      </c>
      <c r="B23" s="5"/>
      <c r="C23" s="6">
        <v>0.9</v>
      </c>
      <c r="D23" s="6">
        <v>0.9</v>
      </c>
      <c r="E23" s="6">
        <v>0.2</v>
      </c>
      <c r="F23" s="6"/>
      <c r="G23" s="7"/>
      <c r="H23" s="117">
        <f>IF(B24="","",ROUNDUP(G25/B24,2))</f>
        <v>0.6</v>
      </c>
      <c r="I23" s="80">
        <f>$I$5</f>
        <v>0.3</v>
      </c>
      <c r="J23" s="86">
        <v>111.11</v>
      </c>
      <c r="K23" s="89">
        <f>IF(H23="","",ROUNDUP((H23-I23)*J23*B24/10000*10,2))</f>
        <v>6.029999999999999</v>
      </c>
      <c r="L23" s="107">
        <v>9.5</v>
      </c>
      <c r="O23" s="26"/>
      <c r="P23" s="33"/>
      <c r="Q23" s="27"/>
      <c r="R23" s="27"/>
      <c r="S23" s="27"/>
      <c r="T23" s="27"/>
      <c r="U23" s="27"/>
      <c r="V23" s="27"/>
    </row>
    <row r="24" spans="1:22" ht="19.5" customHeight="1">
      <c r="A24" s="115"/>
      <c r="B24" s="13">
        <v>180.84</v>
      </c>
      <c r="C24" s="8">
        <f>B24*$C$2</f>
        <v>90.42</v>
      </c>
      <c r="D24" s="17">
        <f>D$6</f>
        <v>12.5</v>
      </c>
      <c r="E24" s="8">
        <f>B24-C24-D24</f>
        <v>77.92</v>
      </c>
      <c r="F24" s="8"/>
      <c r="G24" s="9"/>
      <c r="H24" s="118"/>
      <c r="I24" s="81"/>
      <c r="J24" s="87"/>
      <c r="K24" s="90"/>
      <c r="L24" s="108"/>
      <c r="O24" s="26"/>
      <c r="P24" s="33"/>
      <c r="Q24" s="27"/>
      <c r="R24" s="27"/>
      <c r="S24" s="27"/>
      <c r="T24" s="27"/>
      <c r="U24" s="27"/>
      <c r="V24" s="27"/>
    </row>
    <row r="25" spans="1:22" ht="19.5" customHeight="1">
      <c r="A25" s="116"/>
      <c r="B25" s="10"/>
      <c r="C25" s="11">
        <f>C24*C23</f>
        <v>81.378</v>
      </c>
      <c r="D25" s="11">
        <f>D24*D23</f>
        <v>11.25</v>
      </c>
      <c r="E25" s="11">
        <f>E24*E23</f>
        <v>15.584000000000001</v>
      </c>
      <c r="F25" s="11"/>
      <c r="G25" s="12">
        <f>SUM(C25:F25)</f>
        <v>108.212</v>
      </c>
      <c r="H25" s="119"/>
      <c r="I25" s="82"/>
      <c r="J25" s="88"/>
      <c r="K25" s="91"/>
      <c r="L25" s="109"/>
      <c r="O25" s="26"/>
      <c r="P25" s="33"/>
      <c r="Q25" s="27"/>
      <c r="R25" s="27"/>
      <c r="S25" s="27"/>
      <c r="T25" s="27"/>
      <c r="U25" s="27"/>
      <c r="V25" s="27"/>
    </row>
    <row r="26" spans="1:20" ht="19.5" customHeight="1">
      <c r="A26" s="114">
        <f>1+A23</f>
        <v>8</v>
      </c>
      <c r="B26" s="5"/>
      <c r="C26" s="6">
        <v>0.9</v>
      </c>
      <c r="D26" s="6">
        <v>0.9</v>
      </c>
      <c r="E26" s="6">
        <v>0.2</v>
      </c>
      <c r="F26" s="6"/>
      <c r="G26" s="7"/>
      <c r="H26" s="117">
        <f>IF(B27="","",ROUNDUP(G28/B27,2))</f>
        <v>0.6</v>
      </c>
      <c r="I26" s="80">
        <f>$I$5</f>
        <v>0.3</v>
      </c>
      <c r="J26" s="86">
        <v>111.11</v>
      </c>
      <c r="K26" s="89">
        <f>IF(H26="","",ROUNDUP((H26-I26)*J26*B27/10000*10,2))</f>
        <v>6.8999999999999995</v>
      </c>
      <c r="L26" s="107">
        <v>9.5</v>
      </c>
      <c r="O26" s="26"/>
      <c r="P26" s="33"/>
      <c r="Q26" s="27"/>
      <c r="R26" s="27"/>
      <c r="S26" s="27"/>
      <c r="T26" s="27"/>
    </row>
    <row r="27" spans="1:12" ht="19.5" customHeight="1">
      <c r="A27" s="115"/>
      <c r="B27" s="13">
        <v>206.71</v>
      </c>
      <c r="C27" s="8">
        <f>B27*$C$2</f>
        <v>103.355</v>
      </c>
      <c r="D27" s="17">
        <f>D$6</f>
        <v>12.5</v>
      </c>
      <c r="E27" s="8">
        <f>B27-C27-D27</f>
        <v>90.855</v>
      </c>
      <c r="F27" s="8"/>
      <c r="G27" s="9"/>
      <c r="H27" s="118"/>
      <c r="I27" s="81"/>
      <c r="J27" s="87"/>
      <c r="K27" s="90"/>
      <c r="L27" s="108"/>
    </row>
    <row r="28" spans="1:12" ht="19.5" customHeight="1">
      <c r="A28" s="116"/>
      <c r="B28" s="10"/>
      <c r="C28" s="11">
        <f>C27*C26</f>
        <v>93.01950000000001</v>
      </c>
      <c r="D28" s="11">
        <f>D27*D26</f>
        <v>11.25</v>
      </c>
      <c r="E28" s="11">
        <f>E27*E26</f>
        <v>18.171000000000003</v>
      </c>
      <c r="F28" s="11"/>
      <c r="G28" s="12">
        <f>SUM(C28:F28)</f>
        <v>122.44050000000001</v>
      </c>
      <c r="H28" s="119"/>
      <c r="I28" s="82"/>
      <c r="J28" s="88"/>
      <c r="K28" s="91"/>
      <c r="L28" s="109"/>
    </row>
    <row r="29" spans="1:12" ht="19.5" customHeight="1">
      <c r="A29" s="114">
        <f>1+A26</f>
        <v>9</v>
      </c>
      <c r="B29" s="5"/>
      <c r="C29" s="6">
        <v>0.9</v>
      </c>
      <c r="D29" s="6">
        <v>0.9</v>
      </c>
      <c r="E29" s="6">
        <v>0.2</v>
      </c>
      <c r="F29" s="6"/>
      <c r="G29" s="7"/>
      <c r="H29" s="117">
        <f>IF(B30="","",ROUNDUP(G31/B30,2))</f>
        <v>0.59</v>
      </c>
      <c r="I29" s="80">
        <f>$I$5</f>
        <v>0.3</v>
      </c>
      <c r="J29" s="86">
        <v>111.11</v>
      </c>
      <c r="K29" s="89">
        <f>IF(H29="","",ROUNDUP((H29-I29)*J29*B30/10000*10,2))</f>
        <v>7.91</v>
      </c>
      <c r="L29" s="107">
        <v>9.5</v>
      </c>
    </row>
    <row r="30" spans="1:12" ht="19.5" customHeight="1">
      <c r="A30" s="115"/>
      <c r="B30" s="13">
        <v>245.23</v>
      </c>
      <c r="C30" s="8">
        <f>B30*$C$2</f>
        <v>122.615</v>
      </c>
      <c r="D30" s="17">
        <f>D$6</f>
        <v>12.5</v>
      </c>
      <c r="E30" s="8">
        <f>B30-C30-D30</f>
        <v>110.115</v>
      </c>
      <c r="F30" s="8"/>
      <c r="G30" s="9"/>
      <c r="H30" s="118"/>
      <c r="I30" s="81"/>
      <c r="J30" s="87"/>
      <c r="K30" s="90"/>
      <c r="L30" s="108"/>
    </row>
    <row r="31" spans="1:12" ht="19.5" customHeight="1">
      <c r="A31" s="116"/>
      <c r="B31" s="10"/>
      <c r="C31" s="11">
        <f>C30*C29</f>
        <v>110.3535</v>
      </c>
      <c r="D31" s="11">
        <f>D30*D29</f>
        <v>11.25</v>
      </c>
      <c r="E31" s="11">
        <f>E30*E29</f>
        <v>22.023</v>
      </c>
      <c r="F31" s="11"/>
      <c r="G31" s="12">
        <f>SUM(C31:F31)</f>
        <v>143.6265</v>
      </c>
      <c r="H31" s="119"/>
      <c r="I31" s="82"/>
      <c r="J31" s="88"/>
      <c r="K31" s="91"/>
      <c r="L31" s="109"/>
    </row>
    <row r="32" spans="1:12" ht="19.5" customHeight="1">
      <c r="A32" s="114">
        <f>1+A29</f>
        <v>10</v>
      </c>
      <c r="B32" s="5"/>
      <c r="C32" s="6">
        <v>0.9</v>
      </c>
      <c r="D32" s="6">
        <v>0.9</v>
      </c>
      <c r="E32" s="6">
        <v>0.2</v>
      </c>
      <c r="F32" s="6"/>
      <c r="G32" s="7"/>
      <c r="H32" s="117">
        <f>IF(B33="","",ROUNDUP(G34/B33,2))</f>
        <v>0.61</v>
      </c>
      <c r="I32" s="80">
        <f>$I$5</f>
        <v>0.3</v>
      </c>
      <c r="J32" s="86">
        <v>111.11</v>
      </c>
      <c r="K32" s="89">
        <f>IF(H32="","",ROUNDUP((H32-I32)*J32*B33/10000*10,2))</f>
        <v>5.7</v>
      </c>
      <c r="L32" s="107">
        <v>9.5</v>
      </c>
    </row>
    <row r="33" spans="1:12" ht="19.5" customHeight="1">
      <c r="A33" s="115"/>
      <c r="B33" s="18">
        <v>165.3</v>
      </c>
      <c r="C33" s="8">
        <f>B33*$C$2</f>
        <v>82.65</v>
      </c>
      <c r="D33" s="17">
        <f>D$6</f>
        <v>12.5</v>
      </c>
      <c r="E33" s="8">
        <f>B33-C33-D33</f>
        <v>70.15</v>
      </c>
      <c r="F33" s="8"/>
      <c r="G33" s="9"/>
      <c r="H33" s="118"/>
      <c r="I33" s="81"/>
      <c r="J33" s="87"/>
      <c r="K33" s="90"/>
      <c r="L33" s="108"/>
    </row>
    <row r="34" spans="1:12" ht="19.5" customHeight="1">
      <c r="A34" s="116"/>
      <c r="B34" s="10"/>
      <c r="C34" s="11">
        <f>C33*C32</f>
        <v>74.385</v>
      </c>
      <c r="D34" s="11">
        <f>D33*D32</f>
        <v>11.25</v>
      </c>
      <c r="E34" s="11">
        <f>E33*E32</f>
        <v>14.030000000000001</v>
      </c>
      <c r="F34" s="11"/>
      <c r="G34" s="12">
        <f>SUM(C34:F34)</f>
        <v>99.665</v>
      </c>
      <c r="H34" s="119"/>
      <c r="I34" s="82"/>
      <c r="J34" s="88"/>
      <c r="K34" s="91"/>
      <c r="L34" s="109"/>
    </row>
    <row r="35" spans="1:12" ht="19.5" customHeight="1">
      <c r="A35" s="114">
        <f>1+A32</f>
        <v>11</v>
      </c>
      <c r="B35" s="5"/>
      <c r="C35" s="6">
        <v>0.9</v>
      </c>
      <c r="D35" s="6">
        <v>0.9</v>
      </c>
      <c r="E35" s="6">
        <v>0.2</v>
      </c>
      <c r="F35" s="6"/>
      <c r="G35" s="7"/>
      <c r="H35" s="117">
        <f>IF(B36="","",ROUNDUP(G37/B36,2))</f>
        <v>0.59</v>
      </c>
      <c r="I35" s="80">
        <f>$I$5</f>
        <v>0.3</v>
      </c>
      <c r="J35" s="86">
        <v>111.11</v>
      </c>
      <c r="K35" s="89">
        <f>IF(H35="","",ROUNDUP((H35-I35)*J35*B36/10000*10,2))</f>
        <v>7.68</v>
      </c>
      <c r="L35" s="107">
        <v>9.5</v>
      </c>
    </row>
    <row r="36" spans="1:12" ht="19.5" customHeight="1">
      <c r="A36" s="115"/>
      <c r="B36" s="13">
        <v>238.09</v>
      </c>
      <c r="C36" s="8">
        <f>B36*$C$2</f>
        <v>119.045</v>
      </c>
      <c r="D36" s="17">
        <f>D$6</f>
        <v>12.5</v>
      </c>
      <c r="E36" s="8">
        <f>B36-C36-D36</f>
        <v>106.545</v>
      </c>
      <c r="F36" s="8"/>
      <c r="G36" s="9"/>
      <c r="H36" s="118"/>
      <c r="I36" s="81"/>
      <c r="J36" s="128"/>
      <c r="K36" s="90"/>
      <c r="L36" s="112"/>
    </row>
    <row r="37" spans="1:12" ht="19.5" customHeight="1">
      <c r="A37" s="116"/>
      <c r="B37" s="10"/>
      <c r="C37" s="11">
        <f>C36*C35</f>
        <v>107.1405</v>
      </c>
      <c r="D37" s="11">
        <f>D36*D35</f>
        <v>11.25</v>
      </c>
      <c r="E37" s="11">
        <f>E36*E35</f>
        <v>21.309</v>
      </c>
      <c r="F37" s="11"/>
      <c r="G37" s="12">
        <f>SUM(C37:F37)</f>
        <v>139.6995</v>
      </c>
      <c r="H37" s="119"/>
      <c r="I37" s="82"/>
      <c r="J37" s="129"/>
      <c r="K37" s="91"/>
      <c r="L37" s="113"/>
    </row>
    <row r="38" spans="1:12" ht="19.5" customHeight="1" hidden="1">
      <c r="A38" s="114">
        <f>1+A35</f>
        <v>12</v>
      </c>
      <c r="B38" s="5"/>
      <c r="C38" s="6">
        <v>0.9</v>
      </c>
      <c r="D38" s="6">
        <v>0.9</v>
      </c>
      <c r="E38" s="6">
        <v>0.2</v>
      </c>
      <c r="F38" s="6"/>
      <c r="G38" s="7"/>
      <c r="H38" s="117">
        <f>IF(B39="","",ROUNDUP(G40/B39,2))</f>
      </c>
      <c r="I38" s="80">
        <v>0</v>
      </c>
      <c r="J38" s="86">
        <v>111.1</v>
      </c>
      <c r="K38" s="89">
        <f>IF(H38="","",ROUNDUP((H38-I38)*J38*B39/10000*10,2))</f>
      </c>
      <c r="L38" s="107">
        <v>0</v>
      </c>
    </row>
    <row r="39" spans="1:12" ht="19.5" customHeight="1" hidden="1">
      <c r="A39" s="115"/>
      <c r="B39" s="13"/>
      <c r="C39" s="8">
        <f>B39*$C$2</f>
        <v>0</v>
      </c>
      <c r="D39" s="14"/>
      <c r="E39" s="8">
        <f>B39-C39-D39</f>
        <v>0</v>
      </c>
      <c r="F39" s="8"/>
      <c r="G39" s="9"/>
      <c r="H39" s="118"/>
      <c r="I39" s="81"/>
      <c r="J39" s="128"/>
      <c r="K39" s="90"/>
      <c r="L39" s="112"/>
    </row>
    <row r="40" spans="1:12" ht="19.5" customHeight="1" hidden="1">
      <c r="A40" s="116"/>
      <c r="B40" s="10"/>
      <c r="C40" s="11">
        <f>C39*C38</f>
        <v>0</v>
      </c>
      <c r="D40" s="11">
        <f>D39*D38</f>
        <v>0</v>
      </c>
      <c r="E40" s="11">
        <f>E39*E38</f>
        <v>0</v>
      </c>
      <c r="F40" s="11"/>
      <c r="G40" s="12">
        <f>SUM(C40:F40)</f>
        <v>0</v>
      </c>
      <c r="H40" s="119"/>
      <c r="I40" s="82"/>
      <c r="J40" s="129"/>
      <c r="K40" s="91"/>
      <c r="L40" s="113"/>
    </row>
    <row r="41" spans="1:12" ht="19.5" customHeight="1" hidden="1">
      <c r="A41" s="114">
        <f>1+A38</f>
        <v>13</v>
      </c>
      <c r="B41" s="5"/>
      <c r="C41" s="6">
        <v>0.9</v>
      </c>
      <c r="D41" s="6">
        <v>0.9</v>
      </c>
      <c r="E41" s="6">
        <v>0.2</v>
      </c>
      <c r="F41" s="6"/>
      <c r="G41" s="7"/>
      <c r="H41" s="117">
        <f>IF(B42="","",ROUNDUP(G43/B42,2))</f>
      </c>
      <c r="I41" s="80">
        <v>0</v>
      </c>
      <c r="J41" s="86">
        <v>111.1</v>
      </c>
      <c r="K41" s="89">
        <f>IF(H41="","",ROUNDUP((H41-I41)*J41*B42/10000*10,2))</f>
      </c>
      <c r="L41" s="107">
        <v>0</v>
      </c>
    </row>
    <row r="42" spans="1:12" ht="19.5" customHeight="1" hidden="1">
      <c r="A42" s="115"/>
      <c r="B42" s="13"/>
      <c r="C42" s="8">
        <f>B42*$C$2</f>
        <v>0</v>
      </c>
      <c r="D42" s="14"/>
      <c r="E42" s="8">
        <f>B42-C42-D42</f>
        <v>0</v>
      </c>
      <c r="F42" s="8"/>
      <c r="G42" s="9"/>
      <c r="H42" s="118"/>
      <c r="I42" s="81"/>
      <c r="J42" s="128"/>
      <c r="K42" s="90"/>
      <c r="L42" s="112"/>
    </row>
    <row r="43" spans="1:12" ht="19.5" customHeight="1" hidden="1">
      <c r="A43" s="116"/>
      <c r="B43" s="10"/>
      <c r="C43" s="11">
        <f>C42*C41</f>
        <v>0</v>
      </c>
      <c r="D43" s="11">
        <f>D42*D41</f>
        <v>0</v>
      </c>
      <c r="E43" s="11">
        <f>E42*E41</f>
        <v>0</v>
      </c>
      <c r="F43" s="11"/>
      <c r="G43" s="12">
        <f>SUM(C43:F43)</f>
        <v>0</v>
      </c>
      <c r="H43" s="119"/>
      <c r="I43" s="82"/>
      <c r="J43" s="129"/>
      <c r="K43" s="91"/>
      <c r="L43" s="113"/>
    </row>
    <row r="44" spans="1:12" ht="19.5" customHeight="1" hidden="1">
      <c r="A44" s="114">
        <f>1+A41</f>
        <v>14</v>
      </c>
      <c r="B44" s="5"/>
      <c r="C44" s="6">
        <v>0.9</v>
      </c>
      <c r="D44" s="6">
        <v>0.9</v>
      </c>
      <c r="E44" s="6">
        <v>0.2</v>
      </c>
      <c r="F44" s="6"/>
      <c r="G44" s="7"/>
      <c r="H44" s="117">
        <f>IF(B45="","",ROUNDUP(G46/B45,2))</f>
      </c>
      <c r="I44" s="80">
        <f>$I$5</f>
        <v>0.3</v>
      </c>
      <c r="J44" s="86">
        <v>111.1</v>
      </c>
      <c r="K44" s="89">
        <f>IF(H44="","",ROUNDUP((H44-I44)*J44*B45/10000*10,2))</f>
      </c>
      <c r="L44" s="107"/>
    </row>
    <row r="45" spans="1:12" ht="19.5" customHeight="1" hidden="1">
      <c r="A45" s="115"/>
      <c r="B45" s="13"/>
      <c r="C45" s="8">
        <f>B45*$C$2</f>
        <v>0</v>
      </c>
      <c r="D45" s="14"/>
      <c r="E45" s="8">
        <f>B45-C45-D45</f>
        <v>0</v>
      </c>
      <c r="F45" s="8"/>
      <c r="G45" s="9"/>
      <c r="H45" s="118"/>
      <c r="I45" s="81"/>
      <c r="J45" s="128"/>
      <c r="K45" s="90"/>
      <c r="L45" s="112"/>
    </row>
    <row r="46" spans="1:12" ht="19.5" customHeight="1" hidden="1">
      <c r="A46" s="116"/>
      <c r="B46" s="10"/>
      <c r="C46" s="11">
        <f>C45*C44</f>
        <v>0</v>
      </c>
      <c r="D46" s="11">
        <f>D45*D44</f>
        <v>0</v>
      </c>
      <c r="E46" s="11">
        <f>E45*E44</f>
        <v>0</v>
      </c>
      <c r="F46" s="11"/>
      <c r="G46" s="12">
        <f>SUM(C46:F46)</f>
        <v>0</v>
      </c>
      <c r="H46" s="119"/>
      <c r="I46" s="82"/>
      <c r="J46" s="129"/>
      <c r="K46" s="91"/>
      <c r="L46" s="113"/>
    </row>
    <row r="47" spans="1:12" ht="19.5" customHeight="1" hidden="1">
      <c r="A47" s="114">
        <f>1+A44</f>
        <v>15</v>
      </c>
      <c r="B47" s="5"/>
      <c r="C47" s="6">
        <v>0.9</v>
      </c>
      <c r="D47" s="6">
        <v>0.9</v>
      </c>
      <c r="E47" s="6">
        <v>0.2</v>
      </c>
      <c r="F47" s="6"/>
      <c r="G47" s="7"/>
      <c r="H47" s="117">
        <f>IF(B48="","",ROUNDUP(G49/B48,2))</f>
      </c>
      <c r="I47" s="80">
        <f>$I$5</f>
        <v>0.3</v>
      </c>
      <c r="J47" s="86">
        <v>111.1</v>
      </c>
      <c r="K47" s="89">
        <f>IF(H47="","",ROUNDUP((H47-I47)*J47*B48/10000*10,2))</f>
      </c>
      <c r="L47" s="107"/>
    </row>
    <row r="48" spans="1:12" ht="19.5" customHeight="1" hidden="1">
      <c r="A48" s="115"/>
      <c r="B48" s="13"/>
      <c r="C48" s="8">
        <f>B48*$C$2</f>
        <v>0</v>
      </c>
      <c r="D48" s="14"/>
      <c r="E48" s="8">
        <f>B48-C48-D48</f>
        <v>0</v>
      </c>
      <c r="F48" s="8"/>
      <c r="G48" s="9"/>
      <c r="H48" s="118"/>
      <c r="I48" s="81"/>
      <c r="J48" s="128"/>
      <c r="K48" s="90"/>
      <c r="L48" s="112"/>
    </row>
    <row r="49" spans="1:12" ht="19.5" customHeight="1" hidden="1">
      <c r="A49" s="116"/>
      <c r="B49" s="10"/>
      <c r="C49" s="11">
        <f>C48*C47</f>
        <v>0</v>
      </c>
      <c r="D49" s="11">
        <f>D48*D47</f>
        <v>0</v>
      </c>
      <c r="E49" s="11">
        <f>E48*E47</f>
        <v>0</v>
      </c>
      <c r="F49" s="11"/>
      <c r="G49" s="12">
        <f>SUM(C49:F49)</f>
        <v>0</v>
      </c>
      <c r="H49" s="119"/>
      <c r="I49" s="82"/>
      <c r="J49" s="129"/>
      <c r="K49" s="91"/>
      <c r="L49" s="113"/>
    </row>
    <row r="50" spans="1:12" ht="19.5" customHeight="1" hidden="1">
      <c r="A50" s="114">
        <f>1+A47</f>
        <v>16</v>
      </c>
      <c r="B50" s="5"/>
      <c r="C50" s="6">
        <v>0.9</v>
      </c>
      <c r="D50" s="6">
        <v>0.9</v>
      </c>
      <c r="E50" s="6">
        <v>0.2</v>
      </c>
      <c r="F50" s="6"/>
      <c r="G50" s="7"/>
      <c r="H50" s="117">
        <f>IF(B51="","",ROUNDUP(G52/B51,2))</f>
      </c>
      <c r="I50" s="80">
        <f>$I$5</f>
        <v>0.3</v>
      </c>
      <c r="J50" s="86">
        <v>111.1</v>
      </c>
      <c r="K50" s="89">
        <f>IF(H50="","",ROUNDUP((H50-I50)*J50*B51/10000*10,2))</f>
      </c>
      <c r="L50" s="107"/>
    </row>
    <row r="51" spans="1:12" ht="19.5" customHeight="1" hidden="1">
      <c r="A51" s="115"/>
      <c r="B51" s="13"/>
      <c r="C51" s="8">
        <f>B51*$C$2</f>
        <v>0</v>
      </c>
      <c r="D51" s="14"/>
      <c r="E51" s="8">
        <f>B51-C51-D51</f>
        <v>0</v>
      </c>
      <c r="F51" s="8"/>
      <c r="G51" s="9"/>
      <c r="H51" s="118"/>
      <c r="I51" s="81"/>
      <c r="J51" s="128"/>
      <c r="K51" s="90"/>
      <c r="L51" s="112"/>
    </row>
    <row r="52" spans="1:12" ht="19.5" customHeight="1" hidden="1">
      <c r="A52" s="116"/>
      <c r="B52" s="10"/>
      <c r="C52" s="11">
        <f>C51*C50</f>
        <v>0</v>
      </c>
      <c r="D52" s="11">
        <f>D51*D50</f>
        <v>0</v>
      </c>
      <c r="E52" s="11">
        <f>E51*E50</f>
        <v>0</v>
      </c>
      <c r="F52" s="11"/>
      <c r="G52" s="12">
        <f>SUM(C52:F52)</f>
        <v>0</v>
      </c>
      <c r="H52" s="119"/>
      <c r="I52" s="82"/>
      <c r="J52" s="129"/>
      <c r="K52" s="91"/>
      <c r="L52" s="113"/>
    </row>
    <row r="53" spans="1:12" ht="19.5" customHeight="1" hidden="1">
      <c r="A53" s="114">
        <f>1+A50</f>
        <v>17</v>
      </c>
      <c r="B53" s="5"/>
      <c r="C53" s="6">
        <v>0.9</v>
      </c>
      <c r="D53" s="6">
        <v>0.9</v>
      </c>
      <c r="E53" s="6">
        <v>0.2</v>
      </c>
      <c r="F53" s="6"/>
      <c r="G53" s="7"/>
      <c r="H53" s="117">
        <f>IF(B54="","",ROUNDUP(G55/B54,2))</f>
      </c>
      <c r="I53" s="80">
        <f>$I$5</f>
        <v>0.3</v>
      </c>
      <c r="J53" s="86">
        <v>111.1</v>
      </c>
      <c r="K53" s="89">
        <f>IF(H53="","",ROUNDUP((H53-I53)*J53*B54/10000*10,2))</f>
      </c>
      <c r="L53" s="107"/>
    </row>
    <row r="54" spans="1:12" ht="19.5" customHeight="1" hidden="1">
      <c r="A54" s="115"/>
      <c r="B54" s="18"/>
      <c r="C54" s="8">
        <f>B54*$C$2</f>
        <v>0</v>
      </c>
      <c r="D54" s="14"/>
      <c r="E54" s="8">
        <f>B54-C54-D54</f>
        <v>0</v>
      </c>
      <c r="F54" s="8"/>
      <c r="G54" s="9"/>
      <c r="H54" s="118"/>
      <c r="I54" s="81"/>
      <c r="J54" s="128"/>
      <c r="K54" s="90"/>
      <c r="L54" s="112"/>
    </row>
    <row r="55" spans="1:12" ht="19.5" customHeight="1" hidden="1">
      <c r="A55" s="116"/>
      <c r="B55" s="10"/>
      <c r="C55" s="11">
        <f>C54*C53</f>
        <v>0</v>
      </c>
      <c r="D55" s="11">
        <f>D54*D53</f>
        <v>0</v>
      </c>
      <c r="E55" s="11">
        <f>E54*E53</f>
        <v>0</v>
      </c>
      <c r="F55" s="11"/>
      <c r="G55" s="12">
        <f>SUM(C55:F55)</f>
        <v>0</v>
      </c>
      <c r="H55" s="119"/>
      <c r="I55" s="82"/>
      <c r="J55" s="129"/>
      <c r="K55" s="91"/>
      <c r="L55" s="113"/>
    </row>
    <row r="56" spans="1:12" ht="19.5" customHeight="1">
      <c r="A56" s="114" t="s">
        <v>103</v>
      </c>
      <c r="B56" s="5"/>
      <c r="C56" s="209">
        <v>0.85</v>
      </c>
      <c r="D56" s="6"/>
      <c r="E56" s="6"/>
      <c r="F56" s="6"/>
      <c r="G56" s="7"/>
      <c r="H56" s="117">
        <f>IF(B57="","",ROUNDUP(G58/B57,2))</f>
        <v>0.85</v>
      </c>
      <c r="I56" s="80">
        <f>$I$5</f>
        <v>0.3</v>
      </c>
      <c r="J56" s="86">
        <v>111.11</v>
      </c>
      <c r="K56" s="89">
        <f>IF(H56="","",ROUNDUP((H56-I56)*J56*B57/10000*10,2))</f>
        <v>28.69</v>
      </c>
      <c r="L56" s="107">
        <v>0</v>
      </c>
    </row>
    <row r="57" spans="1:12" ht="19.5" customHeight="1">
      <c r="A57" s="115"/>
      <c r="B57" s="13">
        <v>469.45</v>
      </c>
      <c r="C57" s="8">
        <f>B57</f>
        <v>469.45</v>
      </c>
      <c r="D57" s="8"/>
      <c r="E57" s="8"/>
      <c r="F57" s="8"/>
      <c r="G57" s="9"/>
      <c r="H57" s="118"/>
      <c r="I57" s="81"/>
      <c r="J57" s="128"/>
      <c r="K57" s="90"/>
      <c r="L57" s="112"/>
    </row>
    <row r="58" spans="1:12" ht="19.5" customHeight="1">
      <c r="A58" s="116"/>
      <c r="B58" s="10"/>
      <c r="C58" s="11">
        <f>C57*C56</f>
        <v>399.03249999999997</v>
      </c>
      <c r="D58" s="11"/>
      <c r="E58" s="11"/>
      <c r="F58" s="11"/>
      <c r="G58" s="12">
        <f>SUM(C58:F58)</f>
        <v>399.03249999999997</v>
      </c>
      <c r="H58" s="119"/>
      <c r="I58" s="82"/>
      <c r="J58" s="129"/>
      <c r="K58" s="91"/>
      <c r="L58" s="113"/>
    </row>
    <row r="59" spans="1:12" ht="19.5" customHeight="1">
      <c r="A59" s="122" t="s">
        <v>23</v>
      </c>
      <c r="B59" s="5"/>
      <c r="C59" s="209">
        <v>0.9</v>
      </c>
      <c r="D59" s="6"/>
      <c r="E59" s="6"/>
      <c r="F59" s="6"/>
      <c r="G59" s="7"/>
      <c r="H59" s="117">
        <f>IF(B60="","",ROUNDUP(G61/B60,2))</f>
        <v>0.9</v>
      </c>
      <c r="I59" s="80">
        <f>$I$5</f>
        <v>0.3</v>
      </c>
      <c r="J59" s="86">
        <v>111.11</v>
      </c>
      <c r="K59" s="89">
        <f>IF(H59="","",ROUNDUP((H59-I59)*J59*B60/10000*10,2))</f>
        <v>0.32</v>
      </c>
      <c r="L59" s="107">
        <v>0</v>
      </c>
    </row>
    <row r="60" spans="1:12" ht="19.5" customHeight="1">
      <c r="A60" s="123"/>
      <c r="B60" s="13">
        <v>4.8</v>
      </c>
      <c r="C60" s="8">
        <f>B60</f>
        <v>4.8</v>
      </c>
      <c r="D60" s="8"/>
      <c r="E60" s="8"/>
      <c r="F60" s="8"/>
      <c r="G60" s="9"/>
      <c r="H60" s="118"/>
      <c r="I60" s="81"/>
      <c r="J60" s="128"/>
      <c r="K60" s="90"/>
      <c r="L60" s="112"/>
    </row>
    <row r="61" spans="1:12" ht="19.5" customHeight="1">
      <c r="A61" s="124"/>
      <c r="B61" s="10"/>
      <c r="C61" s="11">
        <f>C60*C59</f>
        <v>4.32</v>
      </c>
      <c r="D61" s="11"/>
      <c r="E61" s="11"/>
      <c r="F61" s="11"/>
      <c r="G61" s="12">
        <f>SUM(C61:F61)</f>
        <v>4.32</v>
      </c>
      <c r="H61" s="119"/>
      <c r="I61" s="82"/>
      <c r="J61" s="129"/>
      <c r="K61" s="91"/>
      <c r="L61" s="113"/>
    </row>
    <row r="62" ht="11.25" customHeight="1"/>
    <row r="63" spans="2:12" ht="19.5" customHeight="1">
      <c r="B63" s="19">
        <f>SUM(B5:B61)</f>
        <v>2558.06</v>
      </c>
      <c r="J63" s="1" t="s">
        <v>26</v>
      </c>
      <c r="K63" s="3">
        <f>ROUNDUP(SUM(K5:K61),2)</f>
        <v>98.92</v>
      </c>
      <c r="L63" s="3">
        <f>SUM(L5:L43)</f>
        <v>104.5</v>
      </c>
    </row>
  </sheetData>
  <sheetProtection/>
  <mergeCells count="139">
    <mergeCell ref="K23:K25"/>
    <mergeCell ref="J56:J58"/>
    <mergeCell ref="K56:K58"/>
    <mergeCell ref="J41:J43"/>
    <mergeCell ref="K41:K43"/>
    <mergeCell ref="A44:A46"/>
    <mergeCell ref="H44:H46"/>
    <mergeCell ref="J44:J46"/>
    <mergeCell ref="K44:K46"/>
    <mergeCell ref="I53:I55"/>
    <mergeCell ref="A50:A52"/>
    <mergeCell ref="A56:A58"/>
    <mergeCell ref="H56:H58"/>
    <mergeCell ref="K17:K19"/>
    <mergeCell ref="A20:A22"/>
    <mergeCell ref="H20:H22"/>
    <mergeCell ref="J20:J22"/>
    <mergeCell ref="K20:K22"/>
    <mergeCell ref="A35:A37"/>
    <mergeCell ref="H35:H37"/>
    <mergeCell ref="J59:J61"/>
    <mergeCell ref="K35:K37"/>
    <mergeCell ref="A38:A40"/>
    <mergeCell ref="H38:H40"/>
    <mergeCell ref="J38:J40"/>
    <mergeCell ref="K38:K40"/>
    <mergeCell ref="A41:A43"/>
    <mergeCell ref="K50:K52"/>
    <mergeCell ref="H50:H52"/>
    <mergeCell ref="H41:H43"/>
    <mergeCell ref="J23:J25"/>
    <mergeCell ref="K14:K16"/>
    <mergeCell ref="K53:K55"/>
    <mergeCell ref="K59:K61"/>
    <mergeCell ref="J11:J13"/>
    <mergeCell ref="J32:J34"/>
    <mergeCell ref="J47:J49"/>
    <mergeCell ref="J50:J52"/>
    <mergeCell ref="J14:J16"/>
    <mergeCell ref="J53:J55"/>
    <mergeCell ref="K32:K34"/>
    <mergeCell ref="K47:K49"/>
    <mergeCell ref="K26:K28"/>
    <mergeCell ref="J29:J31"/>
    <mergeCell ref="K29:K31"/>
    <mergeCell ref="J26:J28"/>
    <mergeCell ref="J35:J37"/>
    <mergeCell ref="A53:A55"/>
    <mergeCell ref="A59:A61"/>
    <mergeCell ref="A11:A13"/>
    <mergeCell ref="A32:A34"/>
    <mergeCell ref="H53:H55"/>
    <mergeCell ref="H59:H61"/>
    <mergeCell ref="H14:H16"/>
    <mergeCell ref="H17:H19"/>
    <mergeCell ref="H26:H28"/>
    <mergeCell ref="A47:A49"/>
    <mergeCell ref="B3:G3"/>
    <mergeCell ref="A23:A25"/>
    <mergeCell ref="A29:A31"/>
    <mergeCell ref="H3:L3"/>
    <mergeCell ref="A8:A10"/>
    <mergeCell ref="H5:H7"/>
    <mergeCell ref="H8:H10"/>
    <mergeCell ref="J5:J7"/>
    <mergeCell ref="J8:J10"/>
    <mergeCell ref="A5:A7"/>
    <mergeCell ref="A14:A16"/>
    <mergeCell ref="A17:A19"/>
    <mergeCell ref="A26:A28"/>
    <mergeCell ref="H11:H13"/>
    <mergeCell ref="H32:H34"/>
    <mergeCell ref="H47:H49"/>
    <mergeCell ref="H23:H25"/>
    <mergeCell ref="H29:H31"/>
    <mergeCell ref="L32:L34"/>
    <mergeCell ref="L35:L37"/>
    <mergeCell ref="L38:L40"/>
    <mergeCell ref="L5:L7"/>
    <mergeCell ref="L8:L10"/>
    <mergeCell ref="L11:L13"/>
    <mergeCell ref="L14:L16"/>
    <mergeCell ref="L17:L19"/>
    <mergeCell ref="L20:L22"/>
    <mergeCell ref="I29:I31"/>
    <mergeCell ref="I32:I34"/>
    <mergeCell ref="L59:L61"/>
    <mergeCell ref="L41:L43"/>
    <mergeCell ref="L44:L46"/>
    <mergeCell ref="L47:L49"/>
    <mergeCell ref="L50:L52"/>
    <mergeCell ref="L53:L55"/>
    <mergeCell ref="L56:L58"/>
    <mergeCell ref="L29:L31"/>
    <mergeCell ref="I23:I25"/>
    <mergeCell ref="I26:I28"/>
    <mergeCell ref="U6:X6"/>
    <mergeCell ref="U7:X7"/>
    <mergeCell ref="U8:X8"/>
    <mergeCell ref="U9:X9"/>
    <mergeCell ref="L23:L25"/>
    <mergeCell ref="L26:L28"/>
    <mergeCell ref="K5:K7"/>
    <mergeCell ref="K8:K10"/>
    <mergeCell ref="Y18:Z18"/>
    <mergeCell ref="S20:T20"/>
    <mergeCell ref="V20:W20"/>
    <mergeCell ref="AA13:AC13"/>
    <mergeCell ref="AA14:AC14"/>
    <mergeCell ref="AA15:AC15"/>
    <mergeCell ref="AA16:AC16"/>
    <mergeCell ref="P21:R21"/>
    <mergeCell ref="AA20:AC20"/>
    <mergeCell ref="U12:W12"/>
    <mergeCell ref="U13:W13"/>
    <mergeCell ref="U14:W14"/>
    <mergeCell ref="U15:W15"/>
    <mergeCell ref="U16:W16"/>
    <mergeCell ref="AA12:AC12"/>
    <mergeCell ref="P18:R18"/>
    <mergeCell ref="T18:V18"/>
    <mergeCell ref="N20:O20"/>
    <mergeCell ref="N21:O21"/>
    <mergeCell ref="I5:I7"/>
    <mergeCell ref="I8:I10"/>
    <mergeCell ref="I11:I13"/>
    <mergeCell ref="I14:I16"/>
    <mergeCell ref="I17:I19"/>
    <mergeCell ref="I20:I22"/>
    <mergeCell ref="J17:J19"/>
    <mergeCell ref="K11:K13"/>
    <mergeCell ref="I59:I61"/>
    <mergeCell ref="I35:I37"/>
    <mergeCell ref="I38:I40"/>
    <mergeCell ref="I41:I43"/>
    <mergeCell ref="I44:I46"/>
    <mergeCell ref="I47:I49"/>
    <mergeCell ref="I50:I52"/>
    <mergeCell ref="I56:I58"/>
  </mergeCells>
  <printOptions/>
  <pageMargins left="0.86" right="0.51" top="0.51" bottom="0.5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showGridLines="0" zoomScalePageLayoutView="0" workbookViewId="0" topLeftCell="F1">
      <selection activeCell="H14" sqref="H14:H16"/>
    </sheetView>
  </sheetViews>
  <sheetFormatPr defaultColWidth="9.140625" defaultRowHeight="19.5" customHeight="1"/>
  <cols>
    <col min="1" max="1" width="3.8515625" style="1" customWidth="1"/>
    <col min="2" max="7" width="7.57421875" style="1" customWidth="1"/>
    <col min="8" max="8" width="7.421875" style="1" customWidth="1"/>
    <col min="9" max="9" width="7.57421875" style="44" customWidth="1"/>
    <col min="10" max="11" width="7.57421875" style="1" customWidth="1"/>
    <col min="12" max="12" width="8.8515625" style="3" customWidth="1"/>
    <col min="13" max="13" width="8.8515625" style="77" customWidth="1"/>
    <col min="14" max="14" width="8.8515625" style="3" customWidth="1"/>
    <col min="15" max="15" width="8.8515625" style="77" customWidth="1"/>
    <col min="16" max="16" width="8.00390625" style="3" customWidth="1"/>
    <col min="17" max="17" width="3.7109375" style="1" customWidth="1"/>
    <col min="18" max="18" width="3.28125" style="1" customWidth="1"/>
    <col min="19" max="22" width="2.57421875" style="1" customWidth="1"/>
    <col min="23" max="23" width="2.8515625" style="1" customWidth="1"/>
    <col min="24" max="28" width="2.57421875" style="1" customWidth="1"/>
    <col min="29" max="29" width="0.9921875" style="1" customWidth="1"/>
    <col min="30" max="30" width="5.28125" style="1" customWidth="1"/>
    <col min="31" max="31" width="1.28515625" style="1" customWidth="1"/>
    <col min="32" max="32" width="2.28125" style="1" customWidth="1"/>
    <col min="33" max="33" width="3.00390625" style="1" customWidth="1"/>
    <col min="34" max="61" width="2.57421875" style="1" customWidth="1"/>
    <col min="62" max="16384" width="9.00390625" style="1" customWidth="1"/>
  </cols>
  <sheetData>
    <row r="1" spans="2:16" ht="32.25" customHeight="1">
      <c r="B1" s="42" t="s">
        <v>43</v>
      </c>
      <c r="C1" s="40"/>
      <c r="D1" s="40"/>
      <c r="E1" s="41"/>
      <c r="F1" s="41"/>
      <c r="L1" s="16"/>
      <c r="M1" s="76"/>
      <c r="N1" s="16"/>
      <c r="O1" s="76"/>
      <c r="P1" s="16"/>
    </row>
    <row r="2" spans="2:9" ht="21.75" customHeight="1">
      <c r="B2" s="2" t="s">
        <v>2</v>
      </c>
      <c r="C2" s="34">
        <v>0.5</v>
      </c>
      <c r="H2" s="71" t="s">
        <v>102</v>
      </c>
      <c r="I2" s="70">
        <v>0.5</v>
      </c>
    </row>
    <row r="3" spans="1:16" ht="21.75" customHeight="1">
      <c r="A3" s="25"/>
      <c r="B3" s="120" t="s">
        <v>5</v>
      </c>
      <c r="C3" s="120"/>
      <c r="D3" s="120"/>
      <c r="E3" s="120"/>
      <c r="F3" s="120"/>
      <c r="G3" s="121"/>
      <c r="H3" s="120" t="s">
        <v>4</v>
      </c>
      <c r="I3" s="120"/>
      <c r="J3" s="120"/>
      <c r="K3" s="120"/>
      <c r="L3" s="120"/>
      <c r="M3" s="133" t="s">
        <v>45</v>
      </c>
      <c r="N3" s="134"/>
      <c r="O3" s="134"/>
      <c r="P3" s="135"/>
    </row>
    <row r="4" spans="1:19" s="4" customFormat="1" ht="48" customHeight="1">
      <c r="A4" s="20"/>
      <c r="B4" s="21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3" t="s">
        <v>11</v>
      </c>
      <c r="H4" s="21" t="s">
        <v>0</v>
      </c>
      <c r="I4" s="22" t="s">
        <v>1</v>
      </c>
      <c r="J4" s="22" t="s">
        <v>3</v>
      </c>
      <c r="K4" s="35" t="s">
        <v>24</v>
      </c>
      <c r="L4" s="24" t="s">
        <v>25</v>
      </c>
      <c r="M4" s="79" t="s">
        <v>46</v>
      </c>
      <c r="N4" s="46" t="s">
        <v>47</v>
      </c>
      <c r="O4" s="78" t="s">
        <v>48</v>
      </c>
      <c r="P4" s="47" t="s">
        <v>44</v>
      </c>
      <c r="S4" s="32" t="s">
        <v>42</v>
      </c>
    </row>
    <row r="5" spans="1:19" s="4" customFormat="1" ht="19.5" customHeight="1">
      <c r="A5" s="114">
        <v>1</v>
      </c>
      <c r="B5" s="5"/>
      <c r="C5" s="6">
        <v>0.9</v>
      </c>
      <c r="D5" s="6">
        <v>0.9</v>
      </c>
      <c r="E5" s="6">
        <v>0.2</v>
      </c>
      <c r="F5" s="6"/>
      <c r="G5" s="7"/>
      <c r="H5" s="117">
        <f>+ROUNDUP(G7/B6,2)</f>
        <v>0.6</v>
      </c>
      <c r="I5" s="80">
        <f>$I$2</f>
        <v>0.5</v>
      </c>
      <c r="J5" s="86">
        <v>111.1</v>
      </c>
      <c r="K5" s="89">
        <f>(H5-I5)*J5*B6/10000*10</f>
        <v>2.2219999999999995</v>
      </c>
      <c r="L5" s="107">
        <v>3.56</v>
      </c>
      <c r="M5" s="130">
        <f>I5*J5*B6/10000/360</f>
        <v>0.003086111111111111</v>
      </c>
      <c r="N5" s="74"/>
      <c r="O5" s="136">
        <f>M5/(0.59*(2*9.8*N6)^0.5)</f>
        <v>0.0010785515016641012</v>
      </c>
      <c r="P5" s="138">
        <f>ROUNDDOWN((4*O5/3.14)^0.5*(100),4)</f>
        <v>3.7066</v>
      </c>
      <c r="S5" s="4" t="s">
        <v>22</v>
      </c>
    </row>
    <row r="6" spans="1:28" s="4" customFormat="1" ht="19.5" customHeight="1">
      <c r="A6" s="115"/>
      <c r="B6" s="13">
        <v>200</v>
      </c>
      <c r="C6" s="8">
        <f>B6*$C$2</f>
        <v>100</v>
      </c>
      <c r="D6" s="17">
        <v>13.75</v>
      </c>
      <c r="E6" s="8">
        <f>B6-C6-D6</f>
        <v>86.25</v>
      </c>
      <c r="F6" s="8"/>
      <c r="G6" s="9"/>
      <c r="H6" s="142"/>
      <c r="I6" s="81"/>
      <c r="J6" s="87"/>
      <c r="K6" s="90"/>
      <c r="L6" s="108"/>
      <c r="M6" s="131"/>
      <c r="N6" s="73">
        <v>1.2</v>
      </c>
      <c r="O6" s="137"/>
      <c r="P6" s="139"/>
      <c r="S6" s="4" t="s">
        <v>12</v>
      </c>
      <c r="Y6" s="106">
        <f>I5</f>
        <v>0.5</v>
      </c>
      <c r="Z6" s="106"/>
      <c r="AA6" s="106"/>
      <c r="AB6" s="106"/>
    </row>
    <row r="7" spans="1:28" s="4" customFormat="1" ht="19.5" customHeight="1">
      <c r="A7" s="116"/>
      <c r="B7" s="10"/>
      <c r="C7" s="11">
        <f>C6*C5</f>
        <v>90</v>
      </c>
      <c r="D7" s="11">
        <f>D6*D5</f>
        <v>12.375</v>
      </c>
      <c r="E7" s="11">
        <f>E6*E5</f>
        <v>17.25</v>
      </c>
      <c r="F7" s="11"/>
      <c r="G7" s="12">
        <f>SUM(C7:F7)</f>
        <v>119.625</v>
      </c>
      <c r="H7" s="143"/>
      <c r="I7" s="82"/>
      <c r="J7" s="88"/>
      <c r="K7" s="91"/>
      <c r="L7" s="109"/>
      <c r="M7" s="132"/>
      <c r="N7" s="72"/>
      <c r="O7" s="137"/>
      <c r="P7" s="139"/>
      <c r="S7" s="4" t="s">
        <v>13</v>
      </c>
      <c r="Y7" s="106">
        <f>AC18</f>
        <v>0.6</v>
      </c>
      <c r="Z7" s="106"/>
      <c r="AA7" s="106"/>
      <c r="AB7" s="106"/>
    </row>
    <row r="8" spans="1:29" ht="19.5" customHeight="1">
      <c r="A8" s="114">
        <f>1+A5</f>
        <v>2</v>
      </c>
      <c r="B8" s="5"/>
      <c r="C8" s="6">
        <v>0.9</v>
      </c>
      <c r="D8" s="6">
        <v>0.9</v>
      </c>
      <c r="E8" s="6">
        <v>0.2</v>
      </c>
      <c r="F8" s="6"/>
      <c r="G8" s="7"/>
      <c r="H8" s="117">
        <f>+ROUNDUP(G10/B9,2)</f>
        <v>0.64</v>
      </c>
      <c r="I8" s="80">
        <f>$I$2</f>
        <v>0.5</v>
      </c>
      <c r="J8" s="86">
        <v>111.1</v>
      </c>
      <c r="K8" s="89">
        <f>(H8-I8)*J8*B9/10000*10</f>
        <v>1.8027086</v>
      </c>
      <c r="L8" s="107">
        <v>2.85</v>
      </c>
      <c r="M8" s="130">
        <f>I8*J8*B9/10000/360</f>
        <v>0.001788401388888889</v>
      </c>
      <c r="N8" s="140">
        <v>2.3</v>
      </c>
      <c r="O8" s="136">
        <f>M8/(0.59*(2*9.8*N8)^0.5)</f>
        <v>0.0004514618253063261</v>
      </c>
      <c r="P8" s="138">
        <f>ROUNDDOWN((4*O8/3.14)^0.5*(100),4)</f>
        <v>2.3981</v>
      </c>
      <c r="Q8" s="27"/>
      <c r="R8" s="27"/>
      <c r="S8" s="36" t="s">
        <v>28</v>
      </c>
      <c r="V8" s="27"/>
      <c r="W8" s="27"/>
      <c r="X8" s="27"/>
      <c r="Y8" s="98">
        <f>J5</f>
        <v>111.1</v>
      </c>
      <c r="Z8" s="105"/>
      <c r="AA8" s="105"/>
      <c r="AB8" s="105"/>
      <c r="AC8" s="27" t="s">
        <v>30</v>
      </c>
    </row>
    <row r="9" spans="1:29" ht="19.5" customHeight="1">
      <c r="A9" s="115"/>
      <c r="B9" s="13">
        <v>115.9</v>
      </c>
      <c r="C9" s="8">
        <f>B9*$C$2</f>
        <v>57.95</v>
      </c>
      <c r="D9" s="14">
        <v>13.75</v>
      </c>
      <c r="E9" s="8">
        <f>B9-C9-D9</f>
        <v>44.2</v>
      </c>
      <c r="F9" s="8"/>
      <c r="G9" s="9"/>
      <c r="H9" s="142"/>
      <c r="I9" s="81"/>
      <c r="J9" s="87"/>
      <c r="K9" s="90"/>
      <c r="L9" s="108"/>
      <c r="M9" s="131"/>
      <c r="N9" s="141"/>
      <c r="O9" s="137"/>
      <c r="P9" s="139"/>
      <c r="Q9" s="27"/>
      <c r="R9" s="27"/>
      <c r="S9" s="29" t="s">
        <v>27</v>
      </c>
      <c r="V9" s="27"/>
      <c r="W9" s="27"/>
      <c r="X9" s="27"/>
      <c r="Y9" s="98">
        <f>B6</f>
        <v>200</v>
      </c>
      <c r="Z9" s="105"/>
      <c r="AA9" s="105"/>
      <c r="AB9" s="105"/>
      <c r="AC9" s="27" t="s">
        <v>29</v>
      </c>
    </row>
    <row r="10" spans="1:26" ht="19.5" customHeight="1">
      <c r="A10" s="116"/>
      <c r="B10" s="10"/>
      <c r="C10" s="11">
        <f>C9*C8</f>
        <v>52.155</v>
      </c>
      <c r="D10" s="11">
        <f>D9*D8</f>
        <v>12.375</v>
      </c>
      <c r="E10" s="11">
        <f>E9*E8</f>
        <v>8.840000000000002</v>
      </c>
      <c r="F10" s="11"/>
      <c r="G10" s="12">
        <f>SUM(C10:F10)</f>
        <v>73.37</v>
      </c>
      <c r="H10" s="143"/>
      <c r="I10" s="82"/>
      <c r="J10" s="88"/>
      <c r="K10" s="91"/>
      <c r="L10" s="109"/>
      <c r="M10" s="132"/>
      <c r="N10" s="141"/>
      <c r="O10" s="137"/>
      <c r="P10" s="139"/>
      <c r="Q10" s="27"/>
      <c r="R10" s="27"/>
      <c r="S10" s="43"/>
      <c r="T10" s="27"/>
      <c r="U10" s="27"/>
      <c r="V10" s="27"/>
      <c r="W10" s="27"/>
      <c r="X10" s="27"/>
      <c r="Y10" s="27"/>
      <c r="Z10" s="27"/>
    </row>
    <row r="11" spans="1:28" ht="19.5" customHeight="1">
      <c r="A11" s="114">
        <f>1+A8</f>
        <v>3</v>
      </c>
      <c r="B11" s="5"/>
      <c r="C11" s="6">
        <v>0.9</v>
      </c>
      <c r="D11" s="6">
        <v>0.9</v>
      </c>
      <c r="E11" s="6">
        <v>0.2</v>
      </c>
      <c r="F11" s="6"/>
      <c r="G11" s="7"/>
      <c r="H11" s="117">
        <f>+ROUNDUP(G13/B12,2)</f>
        <v>0.64</v>
      </c>
      <c r="I11" s="80">
        <f>$I$2</f>
        <v>0.5</v>
      </c>
      <c r="J11" s="86">
        <v>111.1</v>
      </c>
      <c r="K11" s="89">
        <f>(H11-I11)*J11*B12/10000*10</f>
        <v>1.80224198</v>
      </c>
      <c r="L11" s="107">
        <v>2.85</v>
      </c>
      <c r="M11" s="130">
        <f>I11*J11*B12/10000/360</f>
        <v>0.0017879384722222222</v>
      </c>
      <c r="N11" s="140">
        <v>56</v>
      </c>
      <c r="O11" s="136">
        <f>M11/(0.59*(2*9.8*N11)^0.5)</f>
        <v>9.146996410359652E-05</v>
      </c>
      <c r="P11" s="138">
        <f>ROUNDDOWN((4*O11/3.14)^0.5*(100),4)</f>
        <v>1.0794</v>
      </c>
      <c r="Q11" s="27"/>
      <c r="R11" s="27"/>
      <c r="S11" s="4" t="s">
        <v>14</v>
      </c>
      <c r="T11" s="27"/>
      <c r="U11" s="27"/>
      <c r="V11" s="27"/>
      <c r="W11" s="27"/>
      <c r="X11" s="27"/>
      <c r="Y11" s="45"/>
      <c r="Z11" s="45"/>
      <c r="AA11" s="38"/>
      <c r="AB11" s="38"/>
    </row>
    <row r="12" spans="1:33" ht="19.5" customHeight="1">
      <c r="A12" s="115"/>
      <c r="B12" s="13">
        <v>115.87</v>
      </c>
      <c r="C12" s="8">
        <f>B12*$C$2</f>
        <v>57.935</v>
      </c>
      <c r="D12" s="14">
        <f>D9</f>
        <v>13.75</v>
      </c>
      <c r="E12" s="8">
        <f>B12-C12-D12</f>
        <v>44.185</v>
      </c>
      <c r="F12" s="8"/>
      <c r="G12" s="9"/>
      <c r="H12" s="142"/>
      <c r="I12" s="81"/>
      <c r="J12" s="87"/>
      <c r="K12" s="90"/>
      <c r="L12" s="108"/>
      <c r="M12" s="131"/>
      <c r="N12" s="141"/>
      <c r="O12" s="137"/>
      <c r="P12" s="139"/>
      <c r="Q12" s="27"/>
      <c r="R12" s="27"/>
      <c r="S12" s="29" t="s">
        <v>31</v>
      </c>
      <c r="V12" s="27"/>
      <c r="W12" s="27"/>
      <c r="X12" s="27"/>
      <c r="Y12" s="95">
        <f>B6</f>
        <v>200</v>
      </c>
      <c r="Z12" s="96"/>
      <c r="AA12" s="96"/>
      <c r="AB12" s="27" t="s">
        <v>15</v>
      </c>
      <c r="AD12" s="27"/>
      <c r="AE12" s="98"/>
      <c r="AF12" s="99"/>
      <c r="AG12" s="99"/>
    </row>
    <row r="13" spans="1:33" ht="19.5" customHeight="1">
      <c r="A13" s="116"/>
      <c r="B13" s="10"/>
      <c r="C13" s="11">
        <f>C12*C11</f>
        <v>52.1415</v>
      </c>
      <c r="D13" s="11">
        <f>D12*D11</f>
        <v>12.375</v>
      </c>
      <c r="E13" s="11">
        <f>E12*E11</f>
        <v>8.837000000000002</v>
      </c>
      <c r="F13" s="11"/>
      <c r="G13" s="12">
        <f>SUM(C13:F13)</f>
        <v>73.35350000000001</v>
      </c>
      <c r="H13" s="143"/>
      <c r="I13" s="82"/>
      <c r="J13" s="88"/>
      <c r="K13" s="91"/>
      <c r="L13" s="109"/>
      <c r="M13" s="132"/>
      <c r="N13" s="141"/>
      <c r="O13" s="137"/>
      <c r="P13" s="139"/>
      <c r="Q13" s="27"/>
      <c r="R13" s="27"/>
      <c r="S13" s="28" t="s">
        <v>17</v>
      </c>
      <c r="W13" s="27"/>
      <c r="X13" s="27"/>
      <c r="Y13" s="97">
        <f>C6</f>
        <v>100</v>
      </c>
      <c r="Z13" s="96"/>
      <c r="AA13" s="96"/>
      <c r="AB13" s="27" t="s">
        <v>15</v>
      </c>
      <c r="AD13" s="27" t="s">
        <v>32</v>
      </c>
      <c r="AE13" s="98">
        <f>ROUNDDOWN(Y13*0.9,3)</f>
        <v>90</v>
      </c>
      <c r="AF13" s="99"/>
      <c r="AG13" s="99"/>
    </row>
    <row r="14" spans="1:33" ht="19.5" customHeight="1">
      <c r="A14" s="114">
        <f>1+A11</f>
        <v>4</v>
      </c>
      <c r="B14" s="5"/>
      <c r="C14" s="6">
        <v>0.9</v>
      </c>
      <c r="D14" s="6">
        <v>0.9</v>
      </c>
      <c r="E14" s="6">
        <v>0.2</v>
      </c>
      <c r="F14" s="6"/>
      <c r="G14" s="7"/>
      <c r="H14" s="117">
        <f>+ROUNDUP(G16/B15,2)</f>
        <v>0.63</v>
      </c>
      <c r="I14" s="80">
        <f>$I$2</f>
        <v>0.5</v>
      </c>
      <c r="J14" s="86">
        <v>111.1</v>
      </c>
      <c r="K14" s="89">
        <f>(H14-I14)*J14*B15/10000*10</f>
        <v>1.78775454</v>
      </c>
      <c r="L14" s="107">
        <v>2.85</v>
      </c>
      <c r="M14" s="130">
        <f>I14*J14*B15/10000/360</f>
        <v>0.0019099941666666667</v>
      </c>
      <c r="N14" s="140">
        <v>5</v>
      </c>
      <c r="O14" s="136">
        <f>M14/(0.59*(2*9.8*N14)^0.5)</f>
        <v>0.0003270144860234259</v>
      </c>
      <c r="P14" s="138">
        <f>ROUNDDOWN((4*O14/3.14)^0.5*(100),4)</f>
        <v>2.041</v>
      </c>
      <c r="Q14" s="27"/>
      <c r="R14" s="27"/>
      <c r="S14" s="28" t="s">
        <v>41</v>
      </c>
      <c r="W14" s="27"/>
      <c r="X14" s="27"/>
      <c r="Y14" s="97">
        <f>D6</f>
        <v>13.75</v>
      </c>
      <c r="Z14" s="96"/>
      <c r="AA14" s="96"/>
      <c r="AB14" s="27" t="s">
        <v>15</v>
      </c>
      <c r="AD14" s="27" t="s">
        <v>32</v>
      </c>
      <c r="AE14" s="98">
        <f>ROUNDDOWN(Y14*0.9,3)</f>
        <v>12.375</v>
      </c>
      <c r="AF14" s="105"/>
      <c r="AG14" s="105"/>
    </row>
    <row r="15" spans="1:33" ht="19.5" customHeight="1">
      <c r="A15" s="115"/>
      <c r="B15" s="13">
        <v>123.78</v>
      </c>
      <c r="C15" s="8">
        <f>B15*$C$2</f>
        <v>61.89</v>
      </c>
      <c r="D15" s="14">
        <f>D12</f>
        <v>13.75</v>
      </c>
      <c r="E15" s="8">
        <f>B15-C15-D15</f>
        <v>48.14</v>
      </c>
      <c r="F15" s="8"/>
      <c r="G15" s="9"/>
      <c r="H15" s="142"/>
      <c r="I15" s="81"/>
      <c r="J15" s="87"/>
      <c r="K15" s="90"/>
      <c r="L15" s="108"/>
      <c r="M15" s="131"/>
      <c r="N15" s="141"/>
      <c r="O15" s="137"/>
      <c r="P15" s="139"/>
      <c r="Q15" s="27"/>
      <c r="R15" s="27"/>
      <c r="S15" s="28" t="s">
        <v>18</v>
      </c>
      <c r="W15" s="27"/>
      <c r="X15" s="27"/>
      <c r="Y15" s="97">
        <f>E6</f>
        <v>86.25</v>
      </c>
      <c r="Z15" s="96"/>
      <c r="AA15" s="96"/>
      <c r="AB15" s="27" t="s">
        <v>15</v>
      </c>
      <c r="AD15" s="27" t="s">
        <v>33</v>
      </c>
      <c r="AE15" s="98">
        <f>ROUNDDOWN(Y15*0.2,3)</f>
        <v>17.25</v>
      </c>
      <c r="AF15" s="105"/>
      <c r="AG15" s="105"/>
    </row>
    <row r="16" spans="1:33" ht="19.5" customHeight="1">
      <c r="A16" s="116"/>
      <c r="B16" s="10"/>
      <c r="C16" s="11">
        <f>C15*C14</f>
        <v>55.701</v>
      </c>
      <c r="D16" s="11">
        <f>D15*D14</f>
        <v>12.375</v>
      </c>
      <c r="E16" s="11">
        <f>E15*E14</f>
        <v>9.628</v>
      </c>
      <c r="F16" s="11"/>
      <c r="G16" s="12">
        <f>SUM(C16:F16)</f>
        <v>77.704</v>
      </c>
      <c r="H16" s="143"/>
      <c r="I16" s="82"/>
      <c r="J16" s="88"/>
      <c r="K16" s="91"/>
      <c r="L16" s="109"/>
      <c r="M16" s="132"/>
      <c r="N16" s="141"/>
      <c r="O16" s="137"/>
      <c r="P16" s="139"/>
      <c r="Q16" s="27"/>
      <c r="R16" s="27"/>
      <c r="S16" s="43" t="s">
        <v>19</v>
      </c>
      <c r="W16" s="27"/>
      <c r="X16" s="27"/>
      <c r="Y16" s="97">
        <f>Y9</f>
        <v>200</v>
      </c>
      <c r="Z16" s="96"/>
      <c r="AA16" s="96"/>
      <c r="AB16" s="27" t="s">
        <v>15</v>
      </c>
      <c r="AD16" s="27"/>
      <c r="AE16" s="98">
        <f>SUM(AE13:AE15)</f>
        <v>119.625</v>
      </c>
      <c r="AF16" s="105"/>
      <c r="AG16" s="105"/>
    </row>
    <row r="17" spans="1:30" ht="19.5" customHeight="1">
      <c r="A17" s="114">
        <f>1+A14</f>
        <v>5</v>
      </c>
      <c r="B17" s="5"/>
      <c r="C17" s="6">
        <v>0.9</v>
      </c>
      <c r="D17" s="6">
        <v>0.9</v>
      </c>
      <c r="E17" s="6">
        <v>0.2</v>
      </c>
      <c r="F17" s="6"/>
      <c r="G17" s="7"/>
      <c r="H17" s="117">
        <f>+ROUNDUP(G19/B18,2)</f>
        <v>0.63</v>
      </c>
      <c r="I17" s="80">
        <f>$I$2</f>
        <v>0.5</v>
      </c>
      <c r="J17" s="86">
        <v>111.1</v>
      </c>
      <c r="K17" s="89">
        <f>(H17-I17)*J17*B18/10000*10</f>
        <v>1.8962214699999995</v>
      </c>
      <c r="L17" s="107">
        <v>2.96</v>
      </c>
      <c r="M17" s="130">
        <f>I17*J17*B18/10000/360</f>
        <v>0.0020258776388888886</v>
      </c>
      <c r="N17" s="140">
        <v>5</v>
      </c>
      <c r="O17" s="136">
        <f>M17/(0.59*(2*9.8*N17)^0.5)</f>
        <v>0.0003468551613347518</v>
      </c>
      <c r="P17" s="138">
        <f>ROUNDDOWN((4*O17/3.14)^0.5*(100),4)</f>
        <v>2.102</v>
      </c>
      <c r="S17" s="27"/>
      <c r="T17" s="27"/>
      <c r="U17" s="27"/>
      <c r="V17" s="27"/>
      <c r="W17" s="27"/>
      <c r="X17" s="27"/>
      <c r="Y17" s="27"/>
      <c r="Z17" s="27"/>
      <c r="AD17" s="27"/>
    </row>
    <row r="18" spans="1:30" ht="19.5" customHeight="1">
      <c r="A18" s="115"/>
      <c r="B18" s="13">
        <v>131.29</v>
      </c>
      <c r="C18" s="8">
        <f>B18*$C$2</f>
        <v>65.645</v>
      </c>
      <c r="D18" s="14">
        <f>D15</f>
        <v>13.75</v>
      </c>
      <c r="E18" s="8">
        <f>B18-C18-D18</f>
        <v>51.894999999999996</v>
      </c>
      <c r="F18" s="8"/>
      <c r="G18" s="9"/>
      <c r="H18" s="142"/>
      <c r="I18" s="81"/>
      <c r="J18" s="87"/>
      <c r="K18" s="90"/>
      <c r="L18" s="108"/>
      <c r="M18" s="131"/>
      <c r="N18" s="141"/>
      <c r="O18" s="137"/>
      <c r="P18" s="139"/>
      <c r="S18" s="31" t="s">
        <v>38</v>
      </c>
      <c r="T18" s="100">
        <f>G7</f>
        <v>119.625</v>
      </c>
      <c r="U18" s="101"/>
      <c r="V18" s="102"/>
      <c r="W18" s="43" t="s">
        <v>20</v>
      </c>
      <c r="X18" s="103">
        <f>B6</f>
        <v>200</v>
      </c>
      <c r="Y18" s="101"/>
      <c r="Z18" s="102"/>
      <c r="AA18" s="27"/>
      <c r="AB18" s="43" t="s">
        <v>21</v>
      </c>
      <c r="AC18" s="104">
        <f>H5</f>
        <v>0.6</v>
      </c>
      <c r="AD18" s="105"/>
    </row>
    <row r="19" spans="1:26" ht="19.5" customHeight="1">
      <c r="A19" s="116"/>
      <c r="B19" s="10"/>
      <c r="C19" s="11">
        <f>C18*C17</f>
        <v>59.0805</v>
      </c>
      <c r="D19" s="11">
        <f>D18*D17</f>
        <v>12.375</v>
      </c>
      <c r="E19" s="11">
        <f>E18*E17</f>
        <v>10.379</v>
      </c>
      <c r="F19" s="11"/>
      <c r="G19" s="12">
        <f>SUM(C19:F19)</f>
        <v>81.8345</v>
      </c>
      <c r="H19" s="143"/>
      <c r="I19" s="82"/>
      <c r="J19" s="88"/>
      <c r="K19" s="91"/>
      <c r="L19" s="109"/>
      <c r="M19" s="132"/>
      <c r="N19" s="141"/>
      <c r="O19" s="137"/>
      <c r="P19" s="139"/>
      <c r="S19" s="27"/>
      <c r="T19" s="27"/>
      <c r="U19" s="27"/>
      <c r="V19" s="27"/>
      <c r="W19" s="27"/>
      <c r="X19" s="27"/>
      <c r="Y19" s="27"/>
      <c r="Z19" s="27"/>
    </row>
    <row r="20" spans="1:36" ht="19.5" customHeight="1">
      <c r="A20" s="114">
        <f>1+A17</f>
        <v>6</v>
      </c>
      <c r="B20" s="5"/>
      <c r="C20" s="6">
        <v>0.9</v>
      </c>
      <c r="D20" s="6">
        <v>0.9</v>
      </c>
      <c r="E20" s="6">
        <v>0.2</v>
      </c>
      <c r="F20" s="6"/>
      <c r="G20" s="7"/>
      <c r="H20" s="117">
        <f>+ROUNDUP(G22/B21,2)</f>
        <v>0.62</v>
      </c>
      <c r="I20" s="80">
        <f>$I$2</f>
        <v>0.5</v>
      </c>
      <c r="J20" s="86">
        <v>111.1</v>
      </c>
      <c r="K20" s="89">
        <f>(H20-I20)*J20*B21/10000*10</f>
        <v>1.8878112</v>
      </c>
      <c r="L20" s="107">
        <v>3.56</v>
      </c>
      <c r="M20" s="130">
        <f>I20*J20*B21/10000/360</f>
        <v>0.0021849666666666667</v>
      </c>
      <c r="N20" s="140">
        <v>5</v>
      </c>
      <c r="O20" s="136">
        <f>M20/(0.59*(2*9.8*N20)^0.5)</f>
        <v>0.00037409315899916874</v>
      </c>
      <c r="P20" s="138">
        <f>ROUNDDOWN((4*O20/3.14)^0.5*(100),4)</f>
        <v>2.183</v>
      </c>
      <c r="R20" s="83" t="s">
        <v>40</v>
      </c>
      <c r="S20" s="84"/>
      <c r="T20" s="4" t="s">
        <v>39</v>
      </c>
      <c r="U20" s="27"/>
      <c r="V20" s="27"/>
      <c r="W20" s="104">
        <f>H5</f>
        <v>0.6</v>
      </c>
      <c r="X20" s="104"/>
      <c r="Y20" s="43" t="s">
        <v>35</v>
      </c>
      <c r="Z20" s="104">
        <f>I5</f>
        <v>0.5</v>
      </c>
      <c r="AA20" s="104"/>
      <c r="AB20" s="27" t="s">
        <v>37</v>
      </c>
      <c r="AC20" s="27"/>
      <c r="AD20" s="27"/>
      <c r="AE20" s="94">
        <f>B6/1000</f>
        <v>0.2</v>
      </c>
      <c r="AF20" s="94"/>
      <c r="AG20" s="94"/>
      <c r="AH20" s="27" t="s">
        <v>36</v>
      </c>
      <c r="AI20" s="27"/>
      <c r="AJ20" s="27"/>
    </row>
    <row r="21" spans="1:36" ht="19.5" customHeight="1" thickBot="1">
      <c r="A21" s="115"/>
      <c r="B21" s="13">
        <v>141.6</v>
      </c>
      <c r="C21" s="8">
        <f>B21*$C$2</f>
        <v>70.8</v>
      </c>
      <c r="D21" s="14">
        <f>D18</f>
        <v>13.75</v>
      </c>
      <c r="E21" s="8">
        <f>B21-C21-D21</f>
        <v>57.05</v>
      </c>
      <c r="F21" s="8"/>
      <c r="G21" s="9"/>
      <c r="H21" s="142"/>
      <c r="I21" s="81"/>
      <c r="J21" s="87"/>
      <c r="K21" s="90"/>
      <c r="L21" s="108"/>
      <c r="M21" s="131"/>
      <c r="N21" s="141"/>
      <c r="O21" s="137"/>
      <c r="P21" s="139"/>
      <c r="R21" s="85" t="s">
        <v>40</v>
      </c>
      <c r="S21" s="84"/>
      <c r="T21" s="92">
        <f>K5</f>
        <v>2.2219999999999995</v>
      </c>
      <c r="U21" s="93"/>
      <c r="V21" s="93"/>
      <c r="W21" s="39" t="s">
        <v>34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19.5" customHeight="1" thickTop="1">
      <c r="A22" s="116"/>
      <c r="B22" s="10"/>
      <c r="C22" s="11">
        <f>C21*C20</f>
        <v>63.72</v>
      </c>
      <c r="D22" s="11">
        <f>D21*D20</f>
        <v>12.375</v>
      </c>
      <c r="E22" s="11">
        <f>E21*E20</f>
        <v>11.41</v>
      </c>
      <c r="F22" s="11"/>
      <c r="G22" s="12">
        <f>SUM(C22:F22)</f>
        <v>87.505</v>
      </c>
      <c r="H22" s="143"/>
      <c r="I22" s="82"/>
      <c r="J22" s="88"/>
      <c r="K22" s="91"/>
      <c r="L22" s="109"/>
      <c r="M22" s="132"/>
      <c r="N22" s="141"/>
      <c r="O22" s="137"/>
      <c r="P22" s="139"/>
      <c r="S22" s="26"/>
      <c r="T22" s="33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26" ht="19.5" customHeight="1">
      <c r="A23" s="114">
        <f>1+A20</f>
        <v>7</v>
      </c>
      <c r="B23" s="5"/>
      <c r="C23" s="6">
        <v>0.9</v>
      </c>
      <c r="D23" s="6">
        <v>0.9</v>
      </c>
      <c r="E23" s="6">
        <v>0.2</v>
      </c>
      <c r="F23" s="6"/>
      <c r="G23" s="7"/>
      <c r="H23" s="117">
        <f>+ROUNDUP(G25/B24,2)</f>
        <v>0.62</v>
      </c>
      <c r="I23" s="80">
        <f>$I$2</f>
        <v>0.5</v>
      </c>
      <c r="J23" s="86">
        <v>111.1</v>
      </c>
      <c r="K23" s="89">
        <f>(H23-I23)*J23*B24/10000*10</f>
        <v>1.9278071999999997</v>
      </c>
      <c r="L23" s="107">
        <v>3.56</v>
      </c>
      <c r="M23" s="130">
        <f>I23*J23*B24/10000/360</f>
        <v>0.002231258333333333</v>
      </c>
      <c r="N23" s="140">
        <v>5</v>
      </c>
      <c r="O23" s="136">
        <f>M23/(0.59*(2*9.8*N23)^0.5)</f>
        <v>0.0003820188615203375</v>
      </c>
      <c r="P23" s="138">
        <f>ROUNDDOWN((4*O23/3.14)^0.5*(100),4)</f>
        <v>2.206</v>
      </c>
      <c r="S23" s="26"/>
      <c r="T23" s="33"/>
      <c r="U23" s="27"/>
      <c r="V23" s="27"/>
      <c r="W23" s="27"/>
      <c r="X23" s="27"/>
      <c r="Y23" s="27"/>
      <c r="Z23" s="27"/>
    </row>
    <row r="24" spans="1:26" ht="19.5" customHeight="1">
      <c r="A24" s="115"/>
      <c r="B24" s="13">
        <v>144.6</v>
      </c>
      <c r="C24" s="8">
        <f>B24*$C$2</f>
        <v>72.3</v>
      </c>
      <c r="D24" s="14">
        <f>D21</f>
        <v>13.75</v>
      </c>
      <c r="E24" s="8">
        <f>B24-C24-D24</f>
        <v>58.55</v>
      </c>
      <c r="F24" s="8"/>
      <c r="G24" s="9"/>
      <c r="H24" s="142"/>
      <c r="I24" s="81"/>
      <c r="J24" s="87"/>
      <c r="K24" s="90"/>
      <c r="L24" s="108"/>
      <c r="M24" s="131"/>
      <c r="N24" s="141"/>
      <c r="O24" s="137"/>
      <c r="P24" s="139"/>
      <c r="S24" s="26"/>
      <c r="T24" s="33"/>
      <c r="U24" s="27"/>
      <c r="V24" s="27"/>
      <c r="W24" s="27"/>
      <c r="X24" s="27"/>
      <c r="Y24" s="27"/>
      <c r="Z24" s="27"/>
    </row>
    <row r="25" spans="1:26" ht="19.5" customHeight="1">
      <c r="A25" s="116"/>
      <c r="B25" s="10"/>
      <c r="C25" s="11">
        <f>C24*C23</f>
        <v>65.07</v>
      </c>
      <c r="D25" s="11">
        <f>D24*D23</f>
        <v>12.375</v>
      </c>
      <c r="E25" s="11">
        <f>E24*E23</f>
        <v>11.71</v>
      </c>
      <c r="F25" s="11"/>
      <c r="G25" s="12">
        <f>SUM(C25:F25)</f>
        <v>89.155</v>
      </c>
      <c r="H25" s="143"/>
      <c r="I25" s="82"/>
      <c r="J25" s="88"/>
      <c r="K25" s="91"/>
      <c r="L25" s="109"/>
      <c r="M25" s="132"/>
      <c r="N25" s="141"/>
      <c r="O25" s="137"/>
      <c r="P25" s="139"/>
      <c r="S25" s="26"/>
      <c r="T25" s="33"/>
      <c r="U25" s="27"/>
      <c r="V25" s="27"/>
      <c r="W25" s="27"/>
      <c r="X25" s="27"/>
      <c r="Y25" s="27"/>
      <c r="Z25" s="27"/>
    </row>
    <row r="26" spans="1:24" ht="19.5" customHeight="1">
      <c r="A26" s="114">
        <f>1+A23</f>
        <v>8</v>
      </c>
      <c r="B26" s="5"/>
      <c r="C26" s="6">
        <v>0.9</v>
      </c>
      <c r="D26" s="6">
        <v>0.9</v>
      </c>
      <c r="E26" s="6">
        <v>0.2</v>
      </c>
      <c r="F26" s="6"/>
      <c r="G26" s="7"/>
      <c r="H26" s="117">
        <f>+ROUNDUP(G28/B27,2)</f>
        <v>0.65</v>
      </c>
      <c r="I26" s="80">
        <f>$I$2</f>
        <v>0.5</v>
      </c>
      <c r="J26" s="86">
        <v>111.1</v>
      </c>
      <c r="K26" s="89">
        <f>(H26-I26)*J26*B27/10000*10</f>
        <v>2.583075</v>
      </c>
      <c r="L26" s="107">
        <v>5</v>
      </c>
      <c r="M26" s="130">
        <f>I26*J26*B27/10000/360</f>
        <v>0.0023917361111111114</v>
      </c>
      <c r="N26" s="140">
        <v>5</v>
      </c>
      <c r="O26" s="136">
        <f>M26/(0.59*(2*9.8*N26)^0.5)</f>
        <v>0.00040949463026038955</v>
      </c>
      <c r="P26" s="138">
        <f>ROUNDDOWN((4*O26/3.14)^0.5*(100),4)</f>
        <v>2.2839</v>
      </c>
      <c r="S26" s="26"/>
      <c r="T26" s="33"/>
      <c r="U26" s="27"/>
      <c r="V26" s="27"/>
      <c r="W26" s="27"/>
      <c r="X26" s="27"/>
    </row>
    <row r="27" spans="1:16" ht="19.5" customHeight="1">
      <c r="A27" s="115"/>
      <c r="B27" s="13">
        <v>155</v>
      </c>
      <c r="C27" s="8">
        <f>B27*$C$2</f>
        <v>77.5</v>
      </c>
      <c r="D27" s="14">
        <v>20</v>
      </c>
      <c r="E27" s="8">
        <f>B27-C27-D27</f>
        <v>57.5</v>
      </c>
      <c r="F27" s="8"/>
      <c r="G27" s="9"/>
      <c r="H27" s="142"/>
      <c r="I27" s="81"/>
      <c r="J27" s="87"/>
      <c r="K27" s="90"/>
      <c r="L27" s="108"/>
      <c r="M27" s="131"/>
      <c r="N27" s="141"/>
      <c r="O27" s="137"/>
      <c r="P27" s="139"/>
    </row>
    <row r="28" spans="1:16" ht="19.5" customHeight="1">
      <c r="A28" s="116"/>
      <c r="B28" s="10"/>
      <c r="C28" s="11">
        <f>C27*C26</f>
        <v>69.75</v>
      </c>
      <c r="D28" s="11">
        <f>D27*D26</f>
        <v>18</v>
      </c>
      <c r="E28" s="11">
        <f>E27*E26</f>
        <v>11.5</v>
      </c>
      <c r="F28" s="11"/>
      <c r="G28" s="12">
        <f>SUM(C28:F28)</f>
        <v>99.25</v>
      </c>
      <c r="H28" s="143"/>
      <c r="I28" s="82"/>
      <c r="J28" s="88"/>
      <c r="K28" s="91"/>
      <c r="L28" s="109"/>
      <c r="M28" s="132"/>
      <c r="N28" s="141"/>
      <c r="O28" s="137"/>
      <c r="P28" s="139"/>
    </row>
    <row r="29" spans="1:16" ht="19.5" customHeight="1">
      <c r="A29" s="114">
        <f>1+A26</f>
        <v>9</v>
      </c>
      <c r="B29" s="5"/>
      <c r="C29" s="6">
        <v>0.9</v>
      </c>
      <c r="D29" s="6">
        <v>0.9</v>
      </c>
      <c r="E29" s="6">
        <v>0.2</v>
      </c>
      <c r="F29" s="6"/>
      <c r="G29" s="7"/>
      <c r="H29" s="117">
        <f>+ROUNDUP(G31/B30,2)</f>
        <v>0.58</v>
      </c>
      <c r="I29" s="80">
        <f>$I$2</f>
        <v>0.5</v>
      </c>
      <c r="J29" s="86">
        <v>111.1</v>
      </c>
      <c r="K29" s="89">
        <f>(H29-I29)*J29*B30/10000*10</f>
        <v>4.443999999999997</v>
      </c>
      <c r="L29" s="107">
        <v>3</v>
      </c>
      <c r="M29" s="130">
        <f>I29*J29*B30/10000/360</f>
        <v>0.0077152777777777775</v>
      </c>
      <c r="N29" s="140">
        <v>5</v>
      </c>
      <c r="O29" s="136">
        <f>M29/(0.59*(2*9.8*N29)^0.5)</f>
        <v>0.0013209504201948047</v>
      </c>
      <c r="P29" s="138">
        <f>ROUNDDOWN((4*O29/3.14)^0.5*(100),4)</f>
        <v>4.1021</v>
      </c>
    </row>
    <row r="30" spans="1:16" ht="19.5" customHeight="1">
      <c r="A30" s="115"/>
      <c r="B30" s="13">
        <v>500</v>
      </c>
      <c r="C30" s="8">
        <f>B30*$C$2</f>
        <v>250</v>
      </c>
      <c r="D30" s="14">
        <f>D27</f>
        <v>20</v>
      </c>
      <c r="E30" s="8">
        <f>B30-C30-D30</f>
        <v>230</v>
      </c>
      <c r="F30" s="8"/>
      <c r="G30" s="9"/>
      <c r="H30" s="142"/>
      <c r="I30" s="81"/>
      <c r="J30" s="87"/>
      <c r="K30" s="90"/>
      <c r="L30" s="108"/>
      <c r="M30" s="131"/>
      <c r="N30" s="141"/>
      <c r="O30" s="137"/>
      <c r="P30" s="139"/>
    </row>
    <row r="31" spans="1:16" ht="19.5" customHeight="1">
      <c r="A31" s="116"/>
      <c r="B31" s="10"/>
      <c r="C31" s="11">
        <f>C30*C29</f>
        <v>225</v>
      </c>
      <c r="D31" s="11">
        <f>D30*D29</f>
        <v>18</v>
      </c>
      <c r="E31" s="11">
        <f>E30*E29</f>
        <v>46</v>
      </c>
      <c r="F31" s="11"/>
      <c r="G31" s="12">
        <f>SUM(C31:F31)</f>
        <v>289</v>
      </c>
      <c r="H31" s="143"/>
      <c r="I31" s="82"/>
      <c r="J31" s="88"/>
      <c r="K31" s="91"/>
      <c r="L31" s="109"/>
      <c r="M31" s="132"/>
      <c r="N31" s="141"/>
      <c r="O31" s="137"/>
      <c r="P31" s="139"/>
    </row>
    <row r="32" spans="1:16" ht="19.5" customHeight="1">
      <c r="A32" s="114">
        <f>1+A29</f>
        <v>10</v>
      </c>
      <c r="B32" s="5"/>
      <c r="C32" s="6">
        <v>0.9</v>
      </c>
      <c r="D32" s="6">
        <v>0.9</v>
      </c>
      <c r="E32" s="6">
        <v>0.2</v>
      </c>
      <c r="F32" s="6"/>
      <c r="G32" s="7"/>
      <c r="H32" s="117" t="e">
        <f>+ROUNDUP(G34/B33,2)</f>
        <v>#DIV/0!</v>
      </c>
      <c r="I32" s="80">
        <f>$I$2</f>
        <v>0.5</v>
      </c>
      <c r="J32" s="86">
        <v>111.1</v>
      </c>
      <c r="K32" s="89" t="e">
        <f>(H32-I32)*J32*B33/10000*10</f>
        <v>#DIV/0!</v>
      </c>
      <c r="L32" s="107"/>
      <c r="M32" s="130">
        <f>I32*J32*B33/10000/360</f>
        <v>0</v>
      </c>
      <c r="N32" s="140">
        <v>5</v>
      </c>
      <c r="O32" s="136">
        <f>M32/(0.59*(2*9.8*N32)^0.5)</f>
        <v>0</v>
      </c>
      <c r="P32" s="138">
        <f>ROUNDDOWN((4*O32/3.14)^0.5*(100),4)</f>
        <v>0</v>
      </c>
    </row>
    <row r="33" spans="1:16" ht="19.5" customHeight="1">
      <c r="A33" s="115"/>
      <c r="B33" s="13"/>
      <c r="C33" s="8">
        <f>B33*$C$2</f>
        <v>0</v>
      </c>
      <c r="D33" s="14">
        <f>D30</f>
        <v>20</v>
      </c>
      <c r="E33" s="8">
        <f>B33-C33-D33</f>
        <v>-20</v>
      </c>
      <c r="F33" s="8"/>
      <c r="G33" s="9"/>
      <c r="H33" s="142"/>
      <c r="I33" s="81"/>
      <c r="J33" s="87"/>
      <c r="K33" s="90"/>
      <c r="L33" s="108"/>
      <c r="M33" s="131"/>
      <c r="N33" s="141"/>
      <c r="O33" s="137"/>
      <c r="P33" s="139"/>
    </row>
    <row r="34" spans="1:16" ht="19.5" customHeight="1">
      <c r="A34" s="116"/>
      <c r="B34" s="10"/>
      <c r="C34" s="11">
        <f>C33*C32</f>
        <v>0</v>
      </c>
      <c r="D34" s="11">
        <f>D33*D32</f>
        <v>18</v>
      </c>
      <c r="E34" s="11">
        <f>E33*E32</f>
        <v>-4</v>
      </c>
      <c r="F34" s="11"/>
      <c r="G34" s="12">
        <f>SUM(C34:F34)</f>
        <v>14</v>
      </c>
      <c r="H34" s="143"/>
      <c r="I34" s="82"/>
      <c r="J34" s="88"/>
      <c r="K34" s="91"/>
      <c r="L34" s="109"/>
      <c r="M34" s="132"/>
      <c r="N34" s="141"/>
      <c r="O34" s="137"/>
      <c r="P34" s="139"/>
    </row>
    <row r="35" spans="1:16" ht="19.5" customHeight="1">
      <c r="A35" s="114">
        <f>1+A32</f>
        <v>11</v>
      </c>
      <c r="B35" s="5"/>
      <c r="C35" s="6">
        <v>0.9</v>
      </c>
      <c r="D35" s="6">
        <v>0.9</v>
      </c>
      <c r="E35" s="6">
        <v>0.2</v>
      </c>
      <c r="F35" s="6"/>
      <c r="G35" s="7"/>
      <c r="H35" s="117" t="e">
        <f>+ROUNDUP(G37/B36,2)</f>
        <v>#DIV/0!</v>
      </c>
      <c r="I35" s="80">
        <f>$I$2</f>
        <v>0.5</v>
      </c>
      <c r="J35" s="86">
        <v>111.1</v>
      </c>
      <c r="K35" s="89" t="e">
        <f>(H35-I35)*J35*B36/10000*10</f>
        <v>#DIV/0!</v>
      </c>
      <c r="L35" s="107"/>
      <c r="M35" s="130">
        <f>I35*J35*B36/10000/360</f>
        <v>0</v>
      </c>
      <c r="N35" s="140">
        <v>5</v>
      </c>
      <c r="O35" s="136">
        <f>M35/(0.59*(2*9.8*N35)^0.5)</f>
        <v>0</v>
      </c>
      <c r="P35" s="138">
        <f>ROUNDDOWN((4*O35/3.14)^0.5*(100),4)</f>
        <v>0</v>
      </c>
    </row>
    <row r="36" spans="1:16" ht="19.5" customHeight="1">
      <c r="A36" s="115"/>
      <c r="B36" s="13"/>
      <c r="C36" s="8">
        <f>B36*$C$2</f>
        <v>0</v>
      </c>
      <c r="D36" s="14"/>
      <c r="E36" s="8">
        <f>B36-C36-D36</f>
        <v>0</v>
      </c>
      <c r="F36" s="8"/>
      <c r="G36" s="9"/>
      <c r="H36" s="118"/>
      <c r="I36" s="81"/>
      <c r="J36" s="128"/>
      <c r="K36" s="144"/>
      <c r="L36" s="112"/>
      <c r="M36" s="131"/>
      <c r="N36" s="141"/>
      <c r="O36" s="137"/>
      <c r="P36" s="139"/>
    </row>
    <row r="37" spans="1:16" ht="19.5" customHeight="1">
      <c r="A37" s="116"/>
      <c r="B37" s="10"/>
      <c r="C37" s="11">
        <f>C36*C35</f>
        <v>0</v>
      </c>
      <c r="D37" s="11">
        <f>D36*D35</f>
        <v>0</v>
      </c>
      <c r="E37" s="11">
        <f>E36*E35</f>
        <v>0</v>
      </c>
      <c r="F37" s="11"/>
      <c r="G37" s="12">
        <f>SUM(C37:F37)</f>
        <v>0</v>
      </c>
      <c r="H37" s="119"/>
      <c r="I37" s="82"/>
      <c r="J37" s="129"/>
      <c r="K37" s="145"/>
      <c r="L37" s="113"/>
      <c r="M37" s="132"/>
      <c r="N37" s="141"/>
      <c r="O37" s="137"/>
      <c r="P37" s="139"/>
    </row>
    <row r="38" spans="1:16" ht="19.5" customHeight="1">
      <c r="A38" s="114">
        <f>1+A35</f>
        <v>12</v>
      </c>
      <c r="B38" s="5"/>
      <c r="C38" s="6">
        <v>0.9</v>
      </c>
      <c r="D38" s="6">
        <v>0.9</v>
      </c>
      <c r="E38" s="6">
        <v>0.2</v>
      </c>
      <c r="F38" s="6"/>
      <c r="G38" s="7"/>
      <c r="H38" s="117" t="e">
        <f>+ROUNDUP(G40/B39,2)</f>
        <v>#DIV/0!</v>
      </c>
      <c r="I38" s="80">
        <f>$I$2</f>
        <v>0.5</v>
      </c>
      <c r="J38" s="86">
        <v>111.1</v>
      </c>
      <c r="K38" s="89" t="e">
        <f>(H38-I38)*J38*B39/10000*10</f>
        <v>#DIV/0!</v>
      </c>
      <c r="L38" s="107"/>
      <c r="M38" s="130">
        <f>I38*J38*B39/10000/360</f>
        <v>0</v>
      </c>
      <c r="N38" s="140">
        <v>5</v>
      </c>
      <c r="O38" s="136">
        <f>M38/(0.59*(2*9.8*N38)^0.5)</f>
        <v>0</v>
      </c>
      <c r="P38" s="138">
        <f>ROUNDDOWN((4*O38/3.14)^0.5*(100),4)</f>
        <v>0</v>
      </c>
    </row>
    <row r="39" spans="1:16" ht="19.5" customHeight="1">
      <c r="A39" s="115"/>
      <c r="B39" s="13"/>
      <c r="C39" s="8">
        <f>B39*$C$2</f>
        <v>0</v>
      </c>
      <c r="D39" s="14">
        <f>D36</f>
        <v>0</v>
      </c>
      <c r="E39" s="8">
        <f>B39-C39-D39</f>
        <v>0</v>
      </c>
      <c r="F39" s="8"/>
      <c r="G39" s="9"/>
      <c r="H39" s="118"/>
      <c r="I39" s="81"/>
      <c r="J39" s="128"/>
      <c r="K39" s="144"/>
      <c r="L39" s="112"/>
      <c r="M39" s="131"/>
      <c r="N39" s="141"/>
      <c r="O39" s="137"/>
      <c r="P39" s="139"/>
    </row>
    <row r="40" spans="1:16" ht="19.5" customHeight="1">
      <c r="A40" s="116"/>
      <c r="B40" s="10"/>
      <c r="C40" s="11">
        <f>C39*C38</f>
        <v>0</v>
      </c>
      <c r="D40" s="11">
        <f>D39*D38</f>
        <v>0</v>
      </c>
      <c r="E40" s="11">
        <f>E39*E38</f>
        <v>0</v>
      </c>
      <c r="F40" s="11"/>
      <c r="G40" s="12">
        <f>SUM(C40:F40)</f>
        <v>0</v>
      </c>
      <c r="H40" s="119"/>
      <c r="I40" s="82"/>
      <c r="J40" s="129"/>
      <c r="K40" s="145"/>
      <c r="L40" s="113"/>
      <c r="M40" s="132"/>
      <c r="N40" s="141"/>
      <c r="O40" s="137"/>
      <c r="P40" s="139"/>
    </row>
    <row r="41" spans="1:16" ht="19.5" customHeight="1">
      <c r="A41" s="114">
        <f>1+A38</f>
        <v>13</v>
      </c>
      <c r="B41" s="5"/>
      <c r="C41" s="6">
        <v>0.9</v>
      </c>
      <c r="D41" s="6">
        <v>0.9</v>
      </c>
      <c r="E41" s="6">
        <v>0.2</v>
      </c>
      <c r="F41" s="6"/>
      <c r="G41" s="7"/>
      <c r="H41" s="117" t="e">
        <f>+ROUNDUP(G43/B42,2)</f>
        <v>#DIV/0!</v>
      </c>
      <c r="I41" s="80">
        <f>$I$2</f>
        <v>0.5</v>
      </c>
      <c r="J41" s="86">
        <v>111.1</v>
      </c>
      <c r="K41" s="89" t="e">
        <f>(H41-I41)*J41*B42/10000*10</f>
        <v>#DIV/0!</v>
      </c>
      <c r="L41" s="107"/>
      <c r="M41" s="130">
        <f>I41*J41*B42/10000/360</f>
        <v>0</v>
      </c>
      <c r="N41" s="140">
        <v>5</v>
      </c>
      <c r="O41" s="136">
        <f>M41/(0.59*(2*9.8*N41)^0.5)</f>
        <v>0</v>
      </c>
      <c r="P41" s="138">
        <f>ROUNDDOWN((4*O41/3.14)^0.5*(100),4)</f>
        <v>0</v>
      </c>
    </row>
    <row r="42" spans="1:16" ht="19.5" customHeight="1">
      <c r="A42" s="115"/>
      <c r="B42" s="13"/>
      <c r="C42" s="8">
        <f>B42*$C$2</f>
        <v>0</v>
      </c>
      <c r="D42" s="14">
        <f>D39</f>
        <v>0</v>
      </c>
      <c r="E42" s="8">
        <f>B42-C42-D42</f>
        <v>0</v>
      </c>
      <c r="F42" s="8"/>
      <c r="G42" s="9"/>
      <c r="H42" s="118"/>
      <c r="I42" s="81"/>
      <c r="J42" s="128"/>
      <c r="K42" s="144"/>
      <c r="L42" s="112"/>
      <c r="M42" s="131"/>
      <c r="N42" s="141"/>
      <c r="O42" s="137"/>
      <c r="P42" s="139"/>
    </row>
    <row r="43" spans="1:16" ht="19.5" customHeight="1">
      <c r="A43" s="116"/>
      <c r="B43" s="10"/>
      <c r="C43" s="11">
        <f>C42*C41</f>
        <v>0</v>
      </c>
      <c r="D43" s="11">
        <f>D42*D41</f>
        <v>0</v>
      </c>
      <c r="E43" s="11">
        <f>E42*E41</f>
        <v>0</v>
      </c>
      <c r="F43" s="11"/>
      <c r="G43" s="12">
        <f>SUM(C43:F43)</f>
        <v>0</v>
      </c>
      <c r="H43" s="119"/>
      <c r="I43" s="82"/>
      <c r="J43" s="129"/>
      <c r="K43" s="145"/>
      <c r="L43" s="113"/>
      <c r="M43" s="132"/>
      <c r="N43" s="141"/>
      <c r="O43" s="137"/>
      <c r="P43" s="139"/>
    </row>
    <row r="44" spans="1:16" ht="19.5" customHeight="1">
      <c r="A44" s="114">
        <f>1+A41</f>
        <v>14</v>
      </c>
      <c r="B44" s="5"/>
      <c r="C44" s="6">
        <v>0.9</v>
      </c>
      <c r="D44" s="6">
        <v>0.9</v>
      </c>
      <c r="E44" s="6">
        <v>0.2</v>
      </c>
      <c r="F44" s="6"/>
      <c r="G44" s="7"/>
      <c r="H44" s="117" t="e">
        <f>+ROUNDUP(G46/B45,2)</f>
        <v>#DIV/0!</v>
      </c>
      <c r="I44" s="80">
        <f>$I$2</f>
        <v>0.5</v>
      </c>
      <c r="J44" s="86">
        <v>111.1</v>
      </c>
      <c r="K44" s="89" t="e">
        <f>(H44-I44)*J44*B45/10000*10</f>
        <v>#DIV/0!</v>
      </c>
      <c r="L44" s="107"/>
      <c r="M44" s="130">
        <f>I44*J44*B45/10000/360</f>
        <v>0</v>
      </c>
      <c r="N44" s="140">
        <v>5</v>
      </c>
      <c r="O44" s="136">
        <f>M44/(0.59*(2*9.8*N44)^0.5)</f>
        <v>0</v>
      </c>
      <c r="P44" s="138">
        <f>ROUNDDOWN((4*O44/3.14)^0.5*(100),4)</f>
        <v>0</v>
      </c>
    </row>
    <row r="45" spans="1:16" ht="19.5" customHeight="1">
      <c r="A45" s="115"/>
      <c r="B45" s="13"/>
      <c r="C45" s="8">
        <f>B45*$C$2</f>
        <v>0</v>
      </c>
      <c r="D45" s="14">
        <f>D42</f>
        <v>0</v>
      </c>
      <c r="E45" s="8">
        <f>B45-C45-D45</f>
        <v>0</v>
      </c>
      <c r="F45" s="8"/>
      <c r="G45" s="9"/>
      <c r="H45" s="118"/>
      <c r="I45" s="81"/>
      <c r="J45" s="128"/>
      <c r="K45" s="144"/>
      <c r="L45" s="112"/>
      <c r="M45" s="131"/>
      <c r="N45" s="141"/>
      <c r="O45" s="137"/>
      <c r="P45" s="139"/>
    </row>
    <row r="46" spans="1:16" ht="19.5" customHeight="1">
      <c r="A46" s="116"/>
      <c r="B46" s="10"/>
      <c r="C46" s="11">
        <f>C45*C44</f>
        <v>0</v>
      </c>
      <c r="D46" s="11">
        <f>D45*D44</f>
        <v>0</v>
      </c>
      <c r="E46" s="11">
        <f>E45*E44</f>
        <v>0</v>
      </c>
      <c r="F46" s="11"/>
      <c r="G46" s="12">
        <f>SUM(C46:F46)</f>
        <v>0</v>
      </c>
      <c r="H46" s="119"/>
      <c r="I46" s="82"/>
      <c r="J46" s="129"/>
      <c r="K46" s="145"/>
      <c r="L46" s="113"/>
      <c r="M46" s="132"/>
      <c r="N46" s="141"/>
      <c r="O46" s="137"/>
      <c r="P46" s="139"/>
    </row>
    <row r="47" spans="1:16" ht="19.5" customHeight="1">
      <c r="A47" s="114">
        <f>1+A44</f>
        <v>15</v>
      </c>
      <c r="B47" s="5"/>
      <c r="C47" s="6">
        <v>0.9</v>
      </c>
      <c r="D47" s="6">
        <v>0.9</v>
      </c>
      <c r="E47" s="6">
        <v>0.2</v>
      </c>
      <c r="F47" s="6"/>
      <c r="G47" s="7"/>
      <c r="H47" s="117" t="e">
        <f>+ROUNDUP(G49/B48,2)</f>
        <v>#DIV/0!</v>
      </c>
      <c r="I47" s="80">
        <f>$I$2</f>
        <v>0.5</v>
      </c>
      <c r="J47" s="86">
        <v>111.1</v>
      </c>
      <c r="K47" s="89" t="e">
        <f>(H47-I47)*J47*B48/10000*10</f>
        <v>#DIV/0!</v>
      </c>
      <c r="L47" s="107"/>
      <c r="M47" s="130">
        <f>I47*J47*B48/10000/360</f>
        <v>0</v>
      </c>
      <c r="N47" s="140">
        <v>5</v>
      </c>
      <c r="O47" s="136">
        <f>M47/(0.59*(2*9.8*N47)^0.5)</f>
        <v>0</v>
      </c>
      <c r="P47" s="138">
        <f>ROUNDDOWN((4*O47/3.14)^0.5*(100),4)</f>
        <v>0</v>
      </c>
    </row>
    <row r="48" spans="1:16" ht="19.5" customHeight="1">
      <c r="A48" s="115"/>
      <c r="B48" s="13"/>
      <c r="C48" s="8">
        <f>B48*$C$2</f>
        <v>0</v>
      </c>
      <c r="D48" s="14">
        <f>D33</f>
        <v>20</v>
      </c>
      <c r="E48" s="8">
        <f>B48-C48-D48</f>
        <v>-20</v>
      </c>
      <c r="F48" s="8"/>
      <c r="G48" s="9"/>
      <c r="H48" s="118"/>
      <c r="I48" s="81"/>
      <c r="J48" s="128"/>
      <c r="K48" s="144"/>
      <c r="L48" s="112"/>
      <c r="M48" s="131"/>
      <c r="N48" s="141"/>
      <c r="O48" s="137"/>
      <c r="P48" s="139"/>
    </row>
    <row r="49" spans="1:16" ht="19.5" customHeight="1">
      <c r="A49" s="116"/>
      <c r="B49" s="10"/>
      <c r="C49" s="11">
        <f>C48*C47</f>
        <v>0</v>
      </c>
      <c r="D49" s="11">
        <f>D48*D47</f>
        <v>18</v>
      </c>
      <c r="E49" s="11">
        <f>E48*E47</f>
        <v>-4</v>
      </c>
      <c r="F49" s="11"/>
      <c r="G49" s="12">
        <f>SUM(C49:F49)</f>
        <v>14</v>
      </c>
      <c r="H49" s="119"/>
      <c r="I49" s="82"/>
      <c r="J49" s="129"/>
      <c r="K49" s="145"/>
      <c r="L49" s="113"/>
      <c r="M49" s="132"/>
      <c r="N49" s="141"/>
      <c r="O49" s="137"/>
      <c r="P49" s="139"/>
    </row>
    <row r="50" spans="1:16" ht="19.5" customHeight="1">
      <c r="A50" s="114">
        <f>1+A47</f>
        <v>16</v>
      </c>
      <c r="B50" s="5"/>
      <c r="C50" s="6">
        <v>0.9</v>
      </c>
      <c r="D50" s="6">
        <v>0.9</v>
      </c>
      <c r="E50" s="6">
        <v>0.2</v>
      </c>
      <c r="F50" s="6"/>
      <c r="G50" s="7"/>
      <c r="H50" s="117" t="e">
        <f>+ROUNDUP(G52/B51,2)</f>
        <v>#DIV/0!</v>
      </c>
      <c r="I50" s="80">
        <f>$I$2</f>
        <v>0.5</v>
      </c>
      <c r="J50" s="86">
        <v>111.1</v>
      </c>
      <c r="K50" s="89" t="e">
        <f>(H50-I50)*J50*B51/10000*10</f>
        <v>#DIV/0!</v>
      </c>
      <c r="L50" s="107"/>
      <c r="M50" s="130">
        <f>I50*J50*B51/10000/360</f>
        <v>0</v>
      </c>
      <c r="N50" s="140">
        <v>5</v>
      </c>
      <c r="O50" s="136">
        <f>M50/(0.59*(2*9.8*N50)^0.5)</f>
        <v>0</v>
      </c>
      <c r="P50" s="138">
        <f>ROUNDDOWN((4*O50/3.14)^0.5*(100),4)</f>
        <v>0</v>
      </c>
    </row>
    <row r="51" spans="1:16" ht="19.5" customHeight="1">
      <c r="A51" s="115"/>
      <c r="B51" s="13"/>
      <c r="C51" s="8">
        <f>B51*$C$2</f>
        <v>0</v>
      </c>
      <c r="D51" s="14">
        <f>D48</f>
        <v>20</v>
      </c>
      <c r="E51" s="8">
        <f>B51-C51-D51</f>
        <v>-20</v>
      </c>
      <c r="F51" s="8"/>
      <c r="G51" s="9"/>
      <c r="H51" s="118"/>
      <c r="I51" s="81"/>
      <c r="J51" s="128"/>
      <c r="K51" s="144"/>
      <c r="L51" s="112"/>
      <c r="M51" s="131"/>
      <c r="N51" s="141"/>
      <c r="O51" s="137"/>
      <c r="P51" s="139"/>
    </row>
    <row r="52" spans="1:16" ht="19.5" customHeight="1">
      <c r="A52" s="116"/>
      <c r="B52" s="10"/>
      <c r="C52" s="11">
        <f>C51*C50</f>
        <v>0</v>
      </c>
      <c r="D52" s="11">
        <f>D51*D50</f>
        <v>18</v>
      </c>
      <c r="E52" s="11">
        <f>E51*E50</f>
        <v>-4</v>
      </c>
      <c r="F52" s="11"/>
      <c r="G52" s="12">
        <f>SUM(C52:F52)</f>
        <v>14</v>
      </c>
      <c r="H52" s="119"/>
      <c r="I52" s="82"/>
      <c r="J52" s="129"/>
      <c r="K52" s="145"/>
      <c r="L52" s="113"/>
      <c r="M52" s="132"/>
      <c r="N52" s="141"/>
      <c r="O52" s="137"/>
      <c r="P52" s="139"/>
    </row>
    <row r="53" spans="1:16" ht="19.5" customHeight="1">
      <c r="A53" s="114">
        <f>1+A50</f>
        <v>17</v>
      </c>
      <c r="B53" s="5"/>
      <c r="C53" s="6">
        <v>0.9</v>
      </c>
      <c r="D53" s="6">
        <v>0.9</v>
      </c>
      <c r="E53" s="6">
        <v>0.2</v>
      </c>
      <c r="F53" s="6"/>
      <c r="G53" s="7"/>
      <c r="H53" s="117" t="e">
        <f>+ROUNDUP(G55/B54,2)</f>
        <v>#DIV/0!</v>
      </c>
      <c r="I53" s="80">
        <f>$I$2</f>
        <v>0.5</v>
      </c>
      <c r="J53" s="86">
        <v>111.1</v>
      </c>
      <c r="K53" s="89" t="e">
        <f>(H53-I53)*J53*B54/10000*10</f>
        <v>#DIV/0!</v>
      </c>
      <c r="L53" s="107"/>
      <c r="M53" s="130">
        <f>I53*J53*B54/10000/360</f>
        <v>0</v>
      </c>
      <c r="N53" s="140">
        <v>5</v>
      </c>
      <c r="O53" s="136">
        <f>M53/(0.59*(2*9.8*N53)^0.5)</f>
        <v>0</v>
      </c>
      <c r="P53" s="138">
        <f>ROUNDDOWN((4*O53/3.14)^0.5*(100),4)</f>
        <v>0</v>
      </c>
    </row>
    <row r="54" spans="1:16" ht="19.5" customHeight="1">
      <c r="A54" s="115"/>
      <c r="B54" s="18"/>
      <c r="C54" s="8">
        <f>B54*$C$2</f>
        <v>0</v>
      </c>
      <c r="D54" s="14">
        <f>D51</f>
        <v>20</v>
      </c>
      <c r="E54" s="8">
        <f>B54-C54-D54</f>
        <v>-20</v>
      </c>
      <c r="F54" s="8"/>
      <c r="G54" s="9"/>
      <c r="H54" s="118"/>
      <c r="I54" s="81"/>
      <c r="J54" s="128"/>
      <c r="K54" s="144"/>
      <c r="L54" s="112"/>
      <c r="M54" s="131"/>
      <c r="N54" s="141"/>
      <c r="O54" s="137"/>
      <c r="P54" s="139"/>
    </row>
    <row r="55" spans="1:16" ht="19.5" customHeight="1">
      <c r="A55" s="116"/>
      <c r="B55" s="10"/>
      <c r="C55" s="11">
        <f>C54*C53</f>
        <v>0</v>
      </c>
      <c r="D55" s="11">
        <f>D54*D53</f>
        <v>18</v>
      </c>
      <c r="E55" s="11">
        <f>E54*E53</f>
        <v>-4</v>
      </c>
      <c r="F55" s="11"/>
      <c r="G55" s="12">
        <f>SUM(C55:F55)</f>
        <v>14</v>
      </c>
      <c r="H55" s="119"/>
      <c r="I55" s="82"/>
      <c r="J55" s="129"/>
      <c r="K55" s="145"/>
      <c r="L55" s="113"/>
      <c r="M55" s="132"/>
      <c r="N55" s="141"/>
      <c r="O55" s="137"/>
      <c r="P55" s="139"/>
    </row>
    <row r="56" spans="1:16" ht="19.5" customHeight="1">
      <c r="A56" s="114">
        <f>1+A53</f>
        <v>18</v>
      </c>
      <c r="B56" s="5"/>
      <c r="C56" s="6">
        <v>0.9</v>
      </c>
      <c r="D56" s="6">
        <v>0.9</v>
      </c>
      <c r="E56" s="6">
        <v>0.2</v>
      </c>
      <c r="F56" s="6"/>
      <c r="G56" s="7"/>
      <c r="H56" s="117" t="e">
        <f>+ROUNDUP(G58/B57,2)</f>
        <v>#DIV/0!</v>
      </c>
      <c r="I56" s="80">
        <f>$I$2</f>
        <v>0.5</v>
      </c>
      <c r="J56" s="86">
        <v>111.1</v>
      </c>
      <c r="K56" s="89" t="e">
        <f>(H56-I56)*J56*B57/10000*10</f>
        <v>#DIV/0!</v>
      </c>
      <c r="L56" s="107"/>
      <c r="M56" s="130">
        <f>I56*J56*B57/10000/360</f>
        <v>0</v>
      </c>
      <c r="N56" s="140">
        <v>5</v>
      </c>
      <c r="O56" s="136">
        <f>M56/(0.59*(2*9.8*N56)^0.5)</f>
        <v>0</v>
      </c>
      <c r="P56" s="138">
        <f>ROUNDDOWN((4*O56/3.14)^0.5*(100),4)</f>
        <v>0</v>
      </c>
    </row>
    <row r="57" spans="1:16" ht="19.5" customHeight="1">
      <c r="A57" s="115"/>
      <c r="B57" s="13"/>
      <c r="C57" s="8">
        <f>B57*$C$2</f>
        <v>0</v>
      </c>
      <c r="D57" s="14">
        <f>D51</f>
        <v>20</v>
      </c>
      <c r="E57" s="8">
        <f>B57-C57-D57</f>
        <v>-20</v>
      </c>
      <c r="F57" s="8"/>
      <c r="G57" s="9"/>
      <c r="H57" s="118"/>
      <c r="I57" s="81"/>
      <c r="J57" s="128"/>
      <c r="K57" s="144"/>
      <c r="L57" s="112"/>
      <c r="M57" s="131"/>
      <c r="N57" s="141"/>
      <c r="O57" s="137"/>
      <c r="P57" s="139"/>
    </row>
    <row r="58" spans="1:16" ht="19.5" customHeight="1">
      <c r="A58" s="116"/>
      <c r="B58" s="10"/>
      <c r="C58" s="11">
        <f>C57*C56</f>
        <v>0</v>
      </c>
      <c r="D58" s="11">
        <f>D57*D56</f>
        <v>18</v>
      </c>
      <c r="E58" s="11">
        <f>E57*E56</f>
        <v>-4</v>
      </c>
      <c r="F58" s="11"/>
      <c r="G58" s="12">
        <f>SUM(C58:F58)</f>
        <v>14</v>
      </c>
      <c r="H58" s="119"/>
      <c r="I58" s="82"/>
      <c r="J58" s="129"/>
      <c r="K58" s="145"/>
      <c r="L58" s="113"/>
      <c r="M58" s="132"/>
      <c r="N58" s="141"/>
      <c r="O58" s="137"/>
      <c r="P58" s="139"/>
    </row>
    <row r="59" spans="1:16" ht="19.5" customHeight="1">
      <c r="A59" s="122" t="s">
        <v>23</v>
      </c>
      <c r="B59" s="5"/>
      <c r="C59" s="6">
        <v>0.9</v>
      </c>
      <c r="D59" s="6"/>
      <c r="E59" s="6"/>
      <c r="F59" s="6"/>
      <c r="G59" s="7"/>
      <c r="H59" s="117" t="e">
        <f>+ROUNDUP(G61/B60,2)</f>
        <v>#DIV/0!</v>
      </c>
      <c r="I59" s="80">
        <f>$I$2</f>
        <v>0.5</v>
      </c>
      <c r="J59" s="86">
        <v>111.1</v>
      </c>
      <c r="K59" s="89" t="e">
        <f>(H59-I59)*J59*B60/10000*10</f>
        <v>#DIV/0!</v>
      </c>
      <c r="L59" s="107"/>
      <c r="M59" s="130">
        <f>I59*J59*B60/10000/360</f>
        <v>0</v>
      </c>
      <c r="N59" s="140">
        <v>5</v>
      </c>
      <c r="O59" s="136">
        <f>M59/(0.59*(2*9.8*N59)^0.5)</f>
        <v>0</v>
      </c>
      <c r="P59" s="138">
        <f>ROUNDDOWN((4*O59/3.14)^0.5*(100),4)</f>
        <v>0</v>
      </c>
    </row>
    <row r="60" spans="1:16" ht="19.5" customHeight="1">
      <c r="A60" s="123"/>
      <c r="B60" s="13"/>
      <c r="C60" s="8">
        <v>6.77</v>
      </c>
      <c r="D60" s="14"/>
      <c r="E60" s="8"/>
      <c r="F60" s="8"/>
      <c r="G60" s="9"/>
      <c r="H60" s="118"/>
      <c r="I60" s="81"/>
      <c r="J60" s="128"/>
      <c r="K60" s="144"/>
      <c r="L60" s="112"/>
      <c r="M60" s="131"/>
      <c r="N60" s="141"/>
      <c r="O60" s="137"/>
      <c r="P60" s="139"/>
    </row>
    <row r="61" spans="1:16" ht="19.5" customHeight="1">
      <c r="A61" s="124"/>
      <c r="B61" s="10"/>
      <c r="C61" s="11">
        <f>C60*C59</f>
        <v>6.093</v>
      </c>
      <c r="D61" s="11"/>
      <c r="E61" s="11"/>
      <c r="F61" s="11"/>
      <c r="G61" s="12">
        <f>SUM(C61:F61)</f>
        <v>6.093</v>
      </c>
      <c r="H61" s="119"/>
      <c r="I61" s="82"/>
      <c r="J61" s="129"/>
      <c r="K61" s="145"/>
      <c r="L61" s="113"/>
      <c r="M61" s="132"/>
      <c r="N61" s="141"/>
      <c r="O61" s="137"/>
      <c r="P61" s="139"/>
    </row>
    <row r="62" ht="11.25" customHeight="1"/>
    <row r="63" spans="2:12" ht="19.5" customHeight="1">
      <c r="B63" s="19">
        <f>SUM(B5:B62)</f>
        <v>1628.04</v>
      </c>
      <c r="J63" s="1" t="s">
        <v>26</v>
      </c>
      <c r="K63" s="3">
        <f>SUM(K5:K25)</f>
        <v>13.326544989999999</v>
      </c>
      <c r="L63" s="3">
        <f>SUM(L5:L31)</f>
        <v>30.189999999999998</v>
      </c>
    </row>
  </sheetData>
  <sheetProtection/>
  <mergeCells count="215">
    <mergeCell ref="A59:A61"/>
    <mergeCell ref="H59:H61"/>
    <mergeCell ref="I59:I61"/>
    <mergeCell ref="J59:J61"/>
    <mergeCell ref="K59:K61"/>
    <mergeCell ref="L59:L61"/>
    <mergeCell ref="A56:A58"/>
    <mergeCell ref="H56:H58"/>
    <mergeCell ref="I56:I58"/>
    <mergeCell ref="J56:J58"/>
    <mergeCell ref="K56:K58"/>
    <mergeCell ref="L56:L58"/>
    <mergeCell ref="A53:A55"/>
    <mergeCell ref="H53:H55"/>
    <mergeCell ref="I53:I55"/>
    <mergeCell ref="J53:J55"/>
    <mergeCell ref="K53:K55"/>
    <mergeCell ref="L53:L55"/>
    <mergeCell ref="A50:A52"/>
    <mergeCell ref="H50:H52"/>
    <mergeCell ref="I50:I52"/>
    <mergeCell ref="J50:J52"/>
    <mergeCell ref="K50:K52"/>
    <mergeCell ref="L50:L52"/>
    <mergeCell ref="A47:A49"/>
    <mergeCell ref="H47:H49"/>
    <mergeCell ref="I47:I49"/>
    <mergeCell ref="J47:J49"/>
    <mergeCell ref="K47:K49"/>
    <mergeCell ref="L47:L49"/>
    <mergeCell ref="A44:A46"/>
    <mergeCell ref="H44:H46"/>
    <mergeCell ref="I44:I46"/>
    <mergeCell ref="J44:J46"/>
    <mergeCell ref="K44:K46"/>
    <mergeCell ref="L44:L46"/>
    <mergeCell ref="A41:A43"/>
    <mergeCell ref="H41:H43"/>
    <mergeCell ref="I41:I43"/>
    <mergeCell ref="J41:J43"/>
    <mergeCell ref="K41:K43"/>
    <mergeCell ref="L41:L43"/>
    <mergeCell ref="A38:A40"/>
    <mergeCell ref="H38:H40"/>
    <mergeCell ref="I38:I40"/>
    <mergeCell ref="J38:J40"/>
    <mergeCell ref="K38:K40"/>
    <mergeCell ref="L38:L40"/>
    <mergeCell ref="A35:A37"/>
    <mergeCell ref="H35:H37"/>
    <mergeCell ref="I35:I37"/>
    <mergeCell ref="J35:J37"/>
    <mergeCell ref="K35:K37"/>
    <mergeCell ref="L35:L37"/>
    <mergeCell ref="A32:A34"/>
    <mergeCell ref="H32:H34"/>
    <mergeCell ref="I32:I34"/>
    <mergeCell ref="J32:J34"/>
    <mergeCell ref="K32:K34"/>
    <mergeCell ref="L32:L34"/>
    <mergeCell ref="A29:A31"/>
    <mergeCell ref="H29:H31"/>
    <mergeCell ref="I29:I31"/>
    <mergeCell ref="J29:J31"/>
    <mergeCell ref="K29:K31"/>
    <mergeCell ref="L29:L31"/>
    <mergeCell ref="L23:L25"/>
    <mergeCell ref="A26:A28"/>
    <mergeCell ref="H26:H28"/>
    <mergeCell ref="I26:I28"/>
    <mergeCell ref="J26:J28"/>
    <mergeCell ref="K26:K28"/>
    <mergeCell ref="L26:L28"/>
    <mergeCell ref="W20:X20"/>
    <mergeCell ref="Z20:AA20"/>
    <mergeCell ref="AE20:AG20"/>
    <mergeCell ref="R21:S21"/>
    <mergeCell ref="T21:V21"/>
    <mergeCell ref="A23:A25"/>
    <mergeCell ref="H23:H25"/>
    <mergeCell ref="I23:I25"/>
    <mergeCell ref="J23:J25"/>
    <mergeCell ref="K23:K25"/>
    <mergeCell ref="T18:V18"/>
    <mergeCell ref="X18:Z18"/>
    <mergeCell ref="AC18:AD18"/>
    <mergeCell ref="A20:A22"/>
    <mergeCell ref="H20:H22"/>
    <mergeCell ref="I20:I22"/>
    <mergeCell ref="J20:J22"/>
    <mergeCell ref="K20:K22"/>
    <mergeCell ref="L20:L22"/>
    <mergeCell ref="R20:S20"/>
    <mergeCell ref="A17:A19"/>
    <mergeCell ref="H17:H19"/>
    <mergeCell ref="I17:I19"/>
    <mergeCell ref="J17:J19"/>
    <mergeCell ref="K17:K19"/>
    <mergeCell ref="L17:L19"/>
    <mergeCell ref="Y14:AA14"/>
    <mergeCell ref="AE14:AG14"/>
    <mergeCell ref="Y15:AA15"/>
    <mergeCell ref="AE15:AG15"/>
    <mergeCell ref="Y16:AA16"/>
    <mergeCell ref="AE16:AG16"/>
    <mergeCell ref="Y12:AA12"/>
    <mergeCell ref="AE12:AG12"/>
    <mergeCell ref="Y13:AA13"/>
    <mergeCell ref="AE13:AG13"/>
    <mergeCell ref="A14:A16"/>
    <mergeCell ref="H14:H16"/>
    <mergeCell ref="I14:I16"/>
    <mergeCell ref="J14:J16"/>
    <mergeCell ref="K14:K16"/>
    <mergeCell ref="L14:L16"/>
    <mergeCell ref="A11:A13"/>
    <mergeCell ref="H11:H13"/>
    <mergeCell ref="I11:I13"/>
    <mergeCell ref="J11:J13"/>
    <mergeCell ref="K11:K13"/>
    <mergeCell ref="L11:L13"/>
    <mergeCell ref="Y6:AB6"/>
    <mergeCell ref="Y7:AB7"/>
    <mergeCell ref="A8:A10"/>
    <mergeCell ref="H8:H10"/>
    <mergeCell ref="I8:I10"/>
    <mergeCell ref="J8:J10"/>
    <mergeCell ref="K8:K10"/>
    <mergeCell ref="L8:L10"/>
    <mergeCell ref="Y8:AB8"/>
    <mergeCell ref="Y9:AB9"/>
    <mergeCell ref="B3:G3"/>
    <mergeCell ref="H3:L3"/>
    <mergeCell ref="A5:A7"/>
    <mergeCell ref="H5:H7"/>
    <mergeCell ref="I5:I7"/>
    <mergeCell ref="J5:J7"/>
    <mergeCell ref="K5:K7"/>
    <mergeCell ref="L5:L7"/>
    <mergeCell ref="P14:P16"/>
    <mergeCell ref="N17:N19"/>
    <mergeCell ref="O17:O19"/>
    <mergeCell ref="P17:P19"/>
    <mergeCell ref="O5:O7"/>
    <mergeCell ref="P5:P7"/>
    <mergeCell ref="N8:N10"/>
    <mergeCell ref="O8:O10"/>
    <mergeCell ref="P8:P10"/>
    <mergeCell ref="N11:N13"/>
    <mergeCell ref="N20:N22"/>
    <mergeCell ref="O20:O22"/>
    <mergeCell ref="P20:P22"/>
    <mergeCell ref="N23:N25"/>
    <mergeCell ref="O23:O25"/>
    <mergeCell ref="P23:P25"/>
    <mergeCell ref="N26:N28"/>
    <mergeCell ref="O26:O28"/>
    <mergeCell ref="P26:P28"/>
    <mergeCell ref="N29:N31"/>
    <mergeCell ref="O29:O31"/>
    <mergeCell ref="P29:P31"/>
    <mergeCell ref="N32:N34"/>
    <mergeCell ref="O32:O34"/>
    <mergeCell ref="P32:P34"/>
    <mergeCell ref="N35:N37"/>
    <mergeCell ref="O35:O37"/>
    <mergeCell ref="P35:P37"/>
    <mergeCell ref="N38:N40"/>
    <mergeCell ref="O38:O40"/>
    <mergeCell ref="P38:P40"/>
    <mergeCell ref="N41:N43"/>
    <mergeCell ref="O41:O43"/>
    <mergeCell ref="P41:P43"/>
    <mergeCell ref="N44:N46"/>
    <mergeCell ref="O44:O46"/>
    <mergeCell ref="P44:P46"/>
    <mergeCell ref="N47:N49"/>
    <mergeCell ref="O47:O49"/>
    <mergeCell ref="P47:P49"/>
    <mergeCell ref="N50:N52"/>
    <mergeCell ref="O50:O52"/>
    <mergeCell ref="P50:P52"/>
    <mergeCell ref="N53:N55"/>
    <mergeCell ref="O53:O55"/>
    <mergeCell ref="P53:P55"/>
    <mergeCell ref="N56:N58"/>
    <mergeCell ref="O56:O58"/>
    <mergeCell ref="P56:P58"/>
    <mergeCell ref="N59:N61"/>
    <mergeCell ref="O59:O61"/>
    <mergeCell ref="P59:P61"/>
    <mergeCell ref="M3:P3"/>
    <mergeCell ref="M5:M7"/>
    <mergeCell ref="M8:M10"/>
    <mergeCell ref="M11:M13"/>
    <mergeCell ref="M14:M16"/>
    <mergeCell ref="M17:M19"/>
    <mergeCell ref="O11:O13"/>
    <mergeCell ref="P11:P13"/>
    <mergeCell ref="N14:N16"/>
    <mergeCell ref="O14:O16"/>
    <mergeCell ref="M20:M22"/>
    <mergeCell ref="M23:M25"/>
    <mergeCell ref="M26:M28"/>
    <mergeCell ref="M29:M31"/>
    <mergeCell ref="M32:M34"/>
    <mergeCell ref="M35:M37"/>
    <mergeCell ref="M56:M58"/>
    <mergeCell ref="M59:M61"/>
    <mergeCell ref="M38:M40"/>
    <mergeCell ref="M41:M43"/>
    <mergeCell ref="M44:M46"/>
    <mergeCell ref="M47:M49"/>
    <mergeCell ref="M50:M52"/>
    <mergeCell ref="M53:M55"/>
  </mergeCells>
  <printOptions/>
  <pageMargins left="0.86" right="0.51" top="0.51" bottom="0.5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60"/>
  <sheetViews>
    <sheetView view="pageBreakPreview" zoomScale="115" zoomScaleSheetLayoutView="115" zoomScalePageLayoutView="0" workbookViewId="0" topLeftCell="A10">
      <selection activeCell="G33" sqref="G33"/>
    </sheetView>
  </sheetViews>
  <sheetFormatPr defaultColWidth="9.140625" defaultRowHeight="15"/>
  <cols>
    <col min="1" max="1" width="3.140625" style="51" customWidth="1"/>
    <col min="2" max="2" width="4.7109375" style="51" customWidth="1"/>
    <col min="3" max="3" width="4.57421875" style="51" customWidth="1"/>
    <col min="4" max="4" width="9.57421875" style="51" customWidth="1"/>
    <col min="5" max="5" width="5.57421875" style="51" customWidth="1"/>
    <col min="6" max="6" width="6.57421875" style="51" customWidth="1"/>
    <col min="7" max="7" width="8.57421875" style="51" customWidth="1"/>
    <col min="8" max="8" width="7.57421875" style="51" customWidth="1"/>
    <col min="9" max="9" width="8.57421875" style="51" customWidth="1"/>
    <col min="10" max="10" width="4.00390625" style="51" customWidth="1"/>
    <col min="11" max="11" width="5.140625" style="51" customWidth="1"/>
    <col min="12" max="12" width="10.140625" style="51" customWidth="1"/>
    <col min="13" max="13" width="5.28125" style="51" customWidth="1"/>
    <col min="14" max="14" width="10.140625" style="51" customWidth="1"/>
    <col min="15" max="15" width="8.421875" style="51" customWidth="1"/>
    <col min="16" max="16" width="9.7109375" style="51" customWidth="1"/>
    <col min="17" max="17" width="6.00390625" style="51" customWidth="1"/>
    <col min="18" max="27" width="8.7109375" style="51" customWidth="1"/>
    <col min="28" max="16384" width="9.00390625" style="51" customWidth="1"/>
  </cols>
  <sheetData>
    <row r="1" spans="1:8" ht="50.25" customHeight="1">
      <c r="A1" s="48"/>
      <c r="B1" s="49" t="s">
        <v>49</v>
      </c>
      <c r="C1" s="50"/>
      <c r="D1" s="50"/>
      <c r="E1" s="50"/>
      <c r="F1" s="50"/>
      <c r="G1" s="50"/>
      <c r="H1" s="48"/>
    </row>
    <row r="2" spans="2:12" ht="16.5">
      <c r="B2" s="53" t="s">
        <v>50</v>
      </c>
      <c r="C2" s="51" t="s">
        <v>53</v>
      </c>
      <c r="L2" s="52"/>
    </row>
    <row r="3" spans="2:12" ht="13.5" customHeight="1">
      <c r="B3" s="53"/>
      <c r="L3" s="52"/>
    </row>
    <row r="4" spans="4:12" ht="13.5" customHeight="1">
      <c r="D4" s="186" t="s">
        <v>54</v>
      </c>
      <c r="E4" s="57">
        <v>1</v>
      </c>
      <c r="F4" s="191" t="s">
        <v>55</v>
      </c>
      <c r="G4" s="191"/>
      <c r="H4" s="191"/>
      <c r="I4" s="191"/>
      <c r="L4" s="52"/>
    </row>
    <row r="5" spans="4:12" ht="13.5" customHeight="1">
      <c r="D5" s="186"/>
      <c r="E5" s="56">
        <v>360</v>
      </c>
      <c r="F5" s="191"/>
      <c r="G5" s="191"/>
      <c r="H5" s="191"/>
      <c r="I5" s="191"/>
      <c r="L5" s="52"/>
    </row>
    <row r="6" spans="4:12" ht="13.5" customHeight="1">
      <c r="D6" s="60"/>
      <c r="E6" s="56"/>
      <c r="F6" s="58"/>
      <c r="G6" s="58"/>
      <c r="H6" s="58"/>
      <c r="I6" s="58"/>
      <c r="L6" s="52"/>
    </row>
    <row r="7" spans="7:12" ht="13.5" customHeight="1" thickBot="1">
      <c r="G7" s="56" t="s">
        <v>56</v>
      </c>
      <c r="H7" s="56"/>
      <c r="I7" s="59" t="s">
        <v>57</v>
      </c>
      <c r="K7" s="56"/>
      <c r="L7" s="56" t="s">
        <v>58</v>
      </c>
    </row>
    <row r="8" spans="4:12" ht="13.5" customHeight="1">
      <c r="D8" s="186" t="s">
        <v>54</v>
      </c>
      <c r="E8" s="57">
        <v>1</v>
      </c>
      <c r="F8" s="186" t="s">
        <v>59</v>
      </c>
      <c r="G8" s="204">
        <f>'抑制量計算（宅地分譲）オリフィスあり '!I2</f>
        <v>0.5</v>
      </c>
      <c r="H8" s="206" t="s">
        <v>59</v>
      </c>
      <c r="I8" s="207">
        <v>111.1</v>
      </c>
      <c r="J8" s="202" t="s">
        <v>59</v>
      </c>
      <c r="K8" s="203"/>
      <c r="L8" s="193">
        <f>'抑制量計算（宅地分譲）オリフィスあり '!B6/10000</f>
        <v>0.02</v>
      </c>
    </row>
    <row r="9" spans="4:12" ht="13.5" customHeight="1" thickBot="1">
      <c r="D9" s="186"/>
      <c r="E9" s="56">
        <v>360</v>
      </c>
      <c r="F9" s="186"/>
      <c r="G9" s="205"/>
      <c r="H9" s="206"/>
      <c r="I9" s="208"/>
      <c r="J9" s="202"/>
      <c r="K9" s="203"/>
      <c r="L9" s="194"/>
    </row>
    <row r="10" ht="13.5" customHeight="1" thickBot="1">
      <c r="L10" s="52"/>
    </row>
    <row r="11" spans="4:12" ht="12" customHeight="1" thickTop="1">
      <c r="D11" s="186" t="s">
        <v>60</v>
      </c>
      <c r="E11" s="195">
        <f>1/360*G8*I8*L8</f>
        <v>0.003086111111111111</v>
      </c>
      <c r="F11" s="196"/>
      <c r="G11" s="199" t="s">
        <v>61</v>
      </c>
      <c r="H11" s="199"/>
      <c r="I11" s="199"/>
      <c r="J11" s="199"/>
      <c r="K11" s="199"/>
      <c r="L11" s="52"/>
    </row>
    <row r="12" spans="4:12" ht="12" customHeight="1" thickBot="1">
      <c r="D12" s="186"/>
      <c r="E12" s="197"/>
      <c r="F12" s="198"/>
      <c r="G12" s="199"/>
      <c r="H12" s="199"/>
      <c r="I12" s="199"/>
      <c r="J12" s="199"/>
      <c r="K12" s="199"/>
      <c r="L12" s="52"/>
    </row>
    <row r="13" spans="5:12" ht="13.5" customHeight="1" thickTop="1">
      <c r="E13" s="200"/>
      <c r="F13" s="200"/>
      <c r="L13" s="52"/>
    </row>
    <row r="14" ht="13.5" customHeight="1">
      <c r="L14" s="52"/>
    </row>
    <row r="15" ht="13.5" customHeight="1">
      <c r="L15" s="52"/>
    </row>
    <row r="16" ht="13.5" customHeight="1">
      <c r="L16" s="52"/>
    </row>
    <row r="17" ht="13.5" customHeight="1">
      <c r="L17" s="52"/>
    </row>
    <row r="18" spans="2:12" ht="13.5" customHeight="1">
      <c r="B18" s="53" t="s">
        <v>51</v>
      </c>
      <c r="C18" s="51" t="s">
        <v>62</v>
      </c>
      <c r="L18" s="52"/>
    </row>
    <row r="19" ht="13.5" customHeight="1">
      <c r="L19" s="52"/>
    </row>
    <row r="20" ht="13.5" customHeight="1">
      <c r="L20" s="52"/>
    </row>
    <row r="21" spans="3:4" ht="13.5" customHeight="1">
      <c r="C21" s="61" t="s">
        <v>63</v>
      </c>
      <c r="D21" s="51" t="s">
        <v>64</v>
      </c>
    </row>
    <row r="22" ht="13.5" customHeight="1"/>
    <row r="23" spans="4:8" ht="13.5" customHeight="1">
      <c r="D23" s="186" t="s">
        <v>65</v>
      </c>
      <c r="E23" s="201" t="s">
        <v>66</v>
      </c>
      <c r="F23" s="201"/>
      <c r="G23" s="201"/>
      <c r="H23" s="201"/>
    </row>
    <row r="24" spans="4:8" ht="2.25" customHeight="1">
      <c r="D24" s="186"/>
      <c r="E24" s="59"/>
      <c r="F24" s="59"/>
      <c r="G24" s="59"/>
      <c r="H24" s="60"/>
    </row>
    <row r="25" spans="4:8" ht="13.5" customHeight="1">
      <c r="D25" s="186"/>
      <c r="E25" s="51">
        <v>0.59</v>
      </c>
      <c r="F25" s="51" t="s">
        <v>67</v>
      </c>
      <c r="H25" s="60"/>
    </row>
    <row r="26" ht="13.5" customHeight="1" thickBot="1"/>
    <row r="27" spans="4:8" ht="13.5" customHeight="1" thickBot="1">
      <c r="D27" s="186" t="s">
        <v>68</v>
      </c>
      <c r="E27" s="59"/>
      <c r="F27" s="187">
        <f>+E11</f>
        <v>0.003086111111111111</v>
      </c>
      <c r="G27" s="188"/>
      <c r="H27" s="59"/>
    </row>
    <row r="28" spans="4:9" ht="2.25" customHeight="1">
      <c r="D28" s="186"/>
      <c r="E28" s="57"/>
      <c r="F28" s="57"/>
      <c r="G28" s="57"/>
      <c r="H28" s="57"/>
      <c r="I28" s="55"/>
    </row>
    <row r="29" spans="4:8" ht="4.5" customHeight="1" thickBot="1">
      <c r="D29" s="186"/>
      <c r="E29" s="59"/>
      <c r="F29" s="59"/>
      <c r="G29" s="59"/>
      <c r="H29" s="60"/>
    </row>
    <row r="30" spans="4:9" ht="13.5" customHeight="1" thickBot="1">
      <c r="D30" s="186"/>
      <c r="E30" s="51">
        <v>0.59</v>
      </c>
      <c r="F30" s="51" t="s">
        <v>69</v>
      </c>
      <c r="H30" s="60"/>
      <c r="I30" s="75">
        <f>'抑制量計算（宅地分譲）オリフィスあり '!N6</f>
        <v>1.2</v>
      </c>
    </row>
    <row r="31" ht="13.5" customHeight="1" thickBot="1"/>
    <row r="32" spans="4:7" ht="16.5" thickBot="1">
      <c r="D32" s="56" t="s">
        <v>68</v>
      </c>
      <c r="E32" s="189">
        <f>ROUND(F27/(E30*(SQRT((2*9.8*I30)))),5)</f>
        <v>0.00108</v>
      </c>
      <c r="F32" s="190"/>
      <c r="G32" s="51" t="s">
        <v>70</v>
      </c>
    </row>
    <row r="33" ht="13.5" customHeight="1"/>
    <row r="34" spans="3:4" ht="13.5" customHeight="1">
      <c r="C34" s="61" t="s">
        <v>71</v>
      </c>
      <c r="D34" s="51" t="s">
        <v>72</v>
      </c>
    </row>
    <row r="35" ht="13.5" customHeight="1" thickBot="1"/>
    <row r="36" spans="4:10" ht="13.5" customHeight="1" thickBot="1">
      <c r="D36" s="191" t="s">
        <v>73</v>
      </c>
      <c r="E36" s="192" t="s">
        <v>74</v>
      </c>
      <c r="F36" s="192"/>
      <c r="G36" s="191" t="s">
        <v>75</v>
      </c>
      <c r="H36" s="59" t="s">
        <v>76</v>
      </c>
      <c r="I36" s="189">
        <f>+E32</f>
        <v>0.00108</v>
      </c>
      <c r="J36" s="190"/>
    </row>
    <row r="37" spans="4:9" ht="2.25" customHeight="1">
      <c r="D37" s="191"/>
      <c r="E37" s="59"/>
      <c r="F37" s="59"/>
      <c r="G37" s="191"/>
      <c r="H37" s="57"/>
      <c r="I37" s="57"/>
    </row>
    <row r="38" spans="4:9" ht="2.25" customHeight="1">
      <c r="D38" s="191"/>
      <c r="E38" s="62"/>
      <c r="F38" s="62"/>
      <c r="G38" s="191"/>
      <c r="H38" s="59"/>
      <c r="I38" s="59"/>
    </row>
    <row r="39" spans="4:9" ht="13.5" customHeight="1">
      <c r="D39" s="191"/>
      <c r="E39" s="181" t="s">
        <v>77</v>
      </c>
      <c r="F39" s="181"/>
      <c r="G39" s="191"/>
      <c r="H39" s="181" t="s">
        <v>77</v>
      </c>
      <c r="I39" s="181"/>
    </row>
    <row r="40" ht="13.5" customHeight="1" thickBot="1"/>
    <row r="41" spans="4:11" ht="13.5" customHeight="1" thickBot="1">
      <c r="D41" s="51" t="s">
        <v>68</v>
      </c>
      <c r="E41" s="182">
        <f>ROUNDDOWN(SQRT(I36/(PI()/4)),4)</f>
        <v>0.037</v>
      </c>
      <c r="F41" s="183"/>
      <c r="G41" s="51" t="s">
        <v>78</v>
      </c>
      <c r="H41" s="56" t="s">
        <v>79</v>
      </c>
      <c r="I41" s="184">
        <f>ROUND(E41*1000,0)</f>
        <v>37</v>
      </c>
      <c r="J41" s="185"/>
      <c r="K41" s="51" t="s">
        <v>80</v>
      </c>
    </row>
    <row r="42" ht="13.5" customHeight="1"/>
    <row r="43" ht="13.5" customHeight="1"/>
    <row r="45" spans="2:3" ht="13.5">
      <c r="B45" s="53" t="s">
        <v>52</v>
      </c>
      <c r="C45" s="51" t="s">
        <v>81</v>
      </c>
    </row>
    <row r="47" ht="13.5">
      <c r="D47" s="51" t="s">
        <v>82</v>
      </c>
    </row>
    <row r="50" spans="4:14" ht="13.5">
      <c r="D50" s="168" t="s">
        <v>83</v>
      </c>
      <c r="E50" s="170" t="s">
        <v>84</v>
      </c>
      <c r="F50" s="171"/>
      <c r="G50" s="168" t="s">
        <v>85</v>
      </c>
      <c r="H50" s="63" t="s">
        <v>86</v>
      </c>
      <c r="I50" s="64" t="s">
        <v>87</v>
      </c>
      <c r="J50" s="175" t="s">
        <v>88</v>
      </c>
      <c r="K50" s="176"/>
      <c r="L50" s="170" t="s">
        <v>89</v>
      </c>
      <c r="M50" s="177"/>
      <c r="N50" s="171"/>
    </row>
    <row r="51" spans="4:14" ht="13.5">
      <c r="D51" s="169"/>
      <c r="E51" s="172"/>
      <c r="F51" s="173"/>
      <c r="G51" s="174"/>
      <c r="H51" s="65" t="s">
        <v>90</v>
      </c>
      <c r="I51" s="66" t="s">
        <v>91</v>
      </c>
      <c r="J51" s="179" t="s">
        <v>92</v>
      </c>
      <c r="K51" s="180"/>
      <c r="L51" s="172"/>
      <c r="M51" s="178"/>
      <c r="N51" s="173"/>
    </row>
    <row r="52" spans="4:14" ht="13.5">
      <c r="D52" s="158" t="s">
        <v>93</v>
      </c>
      <c r="E52" s="160" t="s">
        <v>94</v>
      </c>
      <c r="F52" s="162">
        <v>150</v>
      </c>
      <c r="G52" s="163">
        <f>E59</f>
        <v>0.01</v>
      </c>
      <c r="H52" s="165">
        <v>15.5</v>
      </c>
      <c r="I52" s="166">
        <f>(23+1/G52+0.00155/(H52/1000))/(1+(23+0.00155/(H52/1000))*0.01/SQRT(((PI()*(F52/1000)^2)/4)/(PI()*F52/1000)))*SQRT(((PI()*(F52/1000)^2/4)/(PI()*F52/1000))*(H52/1000))</f>
        <v>1.3533960135428693</v>
      </c>
      <c r="J52" s="148">
        <f>ROUND(+I52*PI()*((F52/1000/2)^2),4)</f>
        <v>0.0239</v>
      </c>
      <c r="K52" s="149"/>
      <c r="L52" s="152">
        <f>+E11</f>
        <v>0.003086111111111111</v>
      </c>
      <c r="M52" s="153"/>
      <c r="N52" s="156" t="str">
        <f>IF(J52&gt;L52,"OK","NG")</f>
        <v>OK</v>
      </c>
    </row>
    <row r="53" spans="4:14" ht="13.5">
      <c r="D53" s="159"/>
      <c r="E53" s="161"/>
      <c r="F53" s="162"/>
      <c r="G53" s="164"/>
      <c r="H53" s="165"/>
      <c r="I53" s="167"/>
      <c r="J53" s="150"/>
      <c r="K53" s="151"/>
      <c r="L53" s="154"/>
      <c r="M53" s="155"/>
      <c r="N53" s="156"/>
    </row>
    <row r="54" spans="10:11" ht="13.5">
      <c r="J54" s="54"/>
      <c r="K54" s="54"/>
    </row>
    <row r="56" ht="13.5">
      <c r="D56" s="51" t="s">
        <v>95</v>
      </c>
    </row>
    <row r="57" spans="4:7" ht="13.5" customHeight="1">
      <c r="D57" s="67" t="s">
        <v>96</v>
      </c>
      <c r="E57" s="157" t="s">
        <v>85</v>
      </c>
      <c r="F57" s="157"/>
      <c r="G57" s="67" t="s">
        <v>97</v>
      </c>
    </row>
    <row r="58" spans="4:7" ht="18.75" customHeight="1">
      <c r="D58" s="68" t="s">
        <v>98</v>
      </c>
      <c r="E58" s="146">
        <v>0.015</v>
      </c>
      <c r="F58" s="147"/>
      <c r="G58" s="69"/>
    </row>
    <row r="59" spans="4:7" ht="18.75" customHeight="1">
      <c r="D59" s="68" t="s">
        <v>99</v>
      </c>
      <c r="E59" s="146">
        <v>0.01</v>
      </c>
      <c r="F59" s="147"/>
      <c r="G59" s="69" t="s">
        <v>100</v>
      </c>
    </row>
    <row r="60" spans="4:7" ht="18.75" customHeight="1">
      <c r="D60" s="68" t="s">
        <v>101</v>
      </c>
      <c r="E60" s="146">
        <v>0.013</v>
      </c>
      <c r="F60" s="147"/>
      <c r="G60" s="69"/>
    </row>
  </sheetData>
  <sheetProtection/>
  <mergeCells count="45">
    <mergeCell ref="I36:J36"/>
    <mergeCell ref="D4:D5"/>
    <mergeCell ref="F4:I5"/>
    <mergeCell ref="D8:D9"/>
    <mergeCell ref="F8:F9"/>
    <mergeCell ref="G8:G9"/>
    <mergeCell ref="H8:H9"/>
    <mergeCell ref="I8:I9"/>
    <mergeCell ref="L8:L9"/>
    <mergeCell ref="D11:D12"/>
    <mergeCell ref="E11:F12"/>
    <mergeCell ref="G11:K12"/>
    <mergeCell ref="E13:F13"/>
    <mergeCell ref="D23:D25"/>
    <mergeCell ref="E23:H23"/>
    <mergeCell ref="J8:K9"/>
    <mergeCell ref="E39:F39"/>
    <mergeCell ref="H39:I39"/>
    <mergeCell ref="E41:F41"/>
    <mergeCell ref="I41:J41"/>
    <mergeCell ref="D27:D30"/>
    <mergeCell ref="F27:G27"/>
    <mergeCell ref="E32:F32"/>
    <mergeCell ref="D36:D39"/>
    <mergeCell ref="E36:F36"/>
    <mergeCell ref="G36:G39"/>
    <mergeCell ref="D50:D51"/>
    <mergeCell ref="E50:F51"/>
    <mergeCell ref="G50:G51"/>
    <mergeCell ref="J50:K50"/>
    <mergeCell ref="L50:N51"/>
    <mergeCell ref="J51:K51"/>
    <mergeCell ref="D52:D53"/>
    <mergeCell ref="E52:E53"/>
    <mergeCell ref="F52:F53"/>
    <mergeCell ref="G52:G53"/>
    <mergeCell ref="H52:H53"/>
    <mergeCell ref="I52:I53"/>
    <mergeCell ref="E60:F60"/>
    <mergeCell ref="J52:K53"/>
    <mergeCell ref="L52:M53"/>
    <mergeCell ref="N52:N53"/>
    <mergeCell ref="E57:F57"/>
    <mergeCell ref="E58:F58"/>
    <mergeCell ref="E59:F59"/>
  </mergeCells>
  <printOptions/>
  <pageMargins left="0.66" right="0.47" top="0.74" bottom="1" header="0.512" footer="0.512"/>
  <pageSetup horizontalDpi="600" verticalDpi="600" orientation="portrait" paperSize="9" scale="82" r:id="rId2"/>
  <rowBreaks count="1" manualBreakCount="1">
    <brk id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2011-10-07T01:01:44Z</cp:lastPrinted>
  <dcterms:created xsi:type="dcterms:W3CDTF">2006-09-13T11:12:02Z</dcterms:created>
  <dcterms:modified xsi:type="dcterms:W3CDTF">2016-02-02T06:44:48Z</dcterms:modified>
  <cp:category/>
  <cp:version/>
  <cp:contentType/>
  <cp:contentStatus/>
</cp:coreProperties>
</file>