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3.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comments4.xml" ContentType="application/vnd.openxmlformats-officedocument.spreadsheetml.comments+xml"/>
  <Override PartName="/xl/drawings/drawing3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ch-p00n-fls01\F18202000_こども未来局幼児教育・保育部幼保運営課\09保育係\06 民間保育園補助金関係\01 保育士等配置基準改善事業補助金\★保育士配置基準補助金\R6\01  申請・ふりこみ資料\04  実績報告\01 園への依頼\01 民間保育園\"/>
    </mc:Choice>
  </mc:AlternateContent>
  <xr:revisionPtr revIDLastSave="0" documentId="13_ncr:1_{18AB0BFD-3186-40B2-AE99-DD72610806A7}" xr6:coauthVersionLast="47" xr6:coauthVersionMax="47" xr10:uidLastSave="{00000000-0000-0000-0000-000000000000}"/>
  <workbookProtection workbookAlgorithmName="SHA-512" workbookHashValue="RVHinpezY4Vfy4U970y20j+UTnkjYfWTeOXMnG0rtU8aC4rPv4OHm1bQBtoZwPzXuXZWLvAWrpRi07W+gW8p+w==" workbookSaltValue="GWrakhNRvH38ymNChj1AGA==" workbookSpinCount="100000" lockStructure="1"/>
  <bookViews>
    <workbookView xWindow="29370" yWindow="255" windowWidth="18075" windowHeight="15225" tabRatio="659" firstSheet="5" activeTab="5" xr2:uid="{4DFF945B-4F75-43A7-8E54-EF523294E1F5}"/>
  </bookViews>
  <sheets>
    <sheet name="リスト" sheetId="24" state="hidden" r:id="rId1"/>
    <sheet name="補助金用基本データ" sheetId="22" state="hidden" r:id="rId2"/>
    <sheet name="個別データ" sheetId="21" state="hidden" r:id="rId3"/>
    <sheet name="修正等箇所" sheetId="18" state="hidden" r:id="rId4"/>
    <sheet name="補助転記" sheetId="52" state="hidden" r:id="rId5"/>
    <sheet name="⓪ファイルの説明（実績）" sheetId="55" r:id="rId6"/>
    <sheet name="⓪ファイルの説明 （2回目分割請求用）" sheetId="54" state="hidden" r:id="rId7"/>
    <sheet name="⓪ファイルの説明（第二期分割請求）" sheetId="58" state="hidden" r:id="rId8"/>
    <sheet name="⓪ファイルの説明（当初）" sheetId="57" state="hidden" r:id="rId9"/>
    <sheet name="⓪ファイルの説明（第二期当初交付）" sheetId="59" state="hidden" r:id="rId10"/>
    <sheet name="①基本情報" sheetId="2" r:id="rId11"/>
    <sheet name="②-1職員名簿" sheetId="3" r:id="rId12"/>
    <sheet name="②-2勤務時間数入力" sheetId="4" r:id="rId13"/>
    <sheet name="③児童数及び保育士定数 (2)-(1)" sheetId="5" r:id="rId14"/>
    <sheet name="④-1月別配置内訳書(2)-(2)-(A)" sheetId="6" r:id="rId15"/>
    <sheet name="④-2月別配置内訳書(2)-(2)-(B)" sheetId="7" r:id="rId16"/>
    <sheet name="④-3月別配置内訳書(2)-(2)-(C)・(D)" sheetId="8" r:id="rId17"/>
    <sheet name="④-４月別配置内訳書(2)-(2)-(E)" sheetId="32" r:id="rId18"/>
    <sheet name="判定" sheetId="30" state="hidden" r:id="rId19"/>
    <sheet name="⑤基本加算１" sheetId="33" r:id="rId20"/>
    <sheet name="⑥基本加算２" sheetId="38" r:id="rId21"/>
    <sheet name="⑦基本加算３" sheetId="39" r:id="rId22"/>
    <sheet name="⑧一般加算１" sheetId="37" r:id="rId23"/>
    <sheet name="⑨一般加算２" sheetId="40" r:id="rId24"/>
    <sheet name="⑩特定加算１" sheetId="36" r:id="rId25"/>
    <sheet name="⑪特定加算２" sheetId="41" r:id="rId26"/>
    <sheet name="様式１（第二期当初交付）" sheetId="56" state="hidden" r:id="rId27"/>
    <sheet name="様式１" sheetId="34" state="hidden" r:id="rId28"/>
    <sheet name="様式３" sheetId="35" state="hidden" r:id="rId29"/>
    <sheet name="⑫公定価格加算分" sheetId="60" r:id="rId30"/>
    <sheet name="様式４" sheetId="47" r:id="rId31"/>
    <sheet name="様式６" sheetId="48" r:id="rId32"/>
    <sheet name="様式８" sheetId="49" r:id="rId33"/>
    <sheet name="精算書" sheetId="50" r:id="rId34"/>
    <sheet name="様式３(第二期)" sheetId="43" state="hidden" r:id="rId35"/>
    <sheet name="Sheet1" sheetId="44" state="hidden" r:id="rId36"/>
    <sheet name="Sheet2" sheetId="45" state="hidden" r:id="rId37"/>
  </sheets>
  <externalReferences>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s>
  <definedNames>
    <definedName name="__xlnm.Print_Area_1">"給付"</definedName>
    <definedName name="_xlnm._FilterDatabase" localSheetId="11" hidden="1">'②-1職員名簿'!$A$6:$BJ$6</definedName>
    <definedName name="_xlnm._FilterDatabase" localSheetId="2" hidden="1">個別データ!$A$4:$GT$179</definedName>
    <definedName name="_xlnm._FilterDatabase" localSheetId="1" hidden="1">補助金用基本データ!$A$4:$AP$180</definedName>
    <definedName name="_Order1" hidden="1">0</definedName>
    <definedName name="a" localSheetId="5">#REF!</definedName>
    <definedName name="a" localSheetId="9">#REF!</definedName>
    <definedName name="a" localSheetId="7">#REF!</definedName>
    <definedName name="a" localSheetId="8">#REF!</definedName>
    <definedName name="a" localSheetId="26">#REF!</definedName>
    <definedName name="a">#REF!</definedName>
    <definedName name="aa" localSheetId="5">#REF!</definedName>
    <definedName name="aa" localSheetId="9">#REF!</definedName>
    <definedName name="aa" localSheetId="7">#REF!</definedName>
    <definedName name="aa" localSheetId="8">#REF!</definedName>
    <definedName name="aa" localSheetId="26">#REF!</definedName>
    <definedName name="aa">#REF!</definedName>
    <definedName name="aaa" localSheetId="6"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a" localSheetId="5"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a" localSheetId="9"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a" localSheetId="7"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a" localSheetId="8"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a" localSheetId="34"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a"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aa" localSheetId="5">#REF!</definedName>
    <definedName name="aaaa" localSheetId="9">#REF!</definedName>
    <definedName name="aaaa" localSheetId="7">#REF!</definedName>
    <definedName name="aaaa" localSheetId="8">#REF!</definedName>
    <definedName name="aaaa" localSheetId="26">#REF!</definedName>
    <definedName name="aaaa">#REF!</definedName>
    <definedName name="aaaaa" localSheetId="5">#REF!</definedName>
    <definedName name="aaaaa" localSheetId="9">#REF!</definedName>
    <definedName name="aaaaa" localSheetId="7">#REF!</definedName>
    <definedName name="aaaaa" localSheetId="8">#REF!</definedName>
    <definedName name="aaaaa" localSheetId="26">#REF!</definedName>
    <definedName name="aaaaa">#REF!</definedName>
    <definedName name="b" localSheetId="6" hidden="1">{"'フローチャート'!$A$1:$AO$191"}</definedName>
    <definedName name="b" localSheetId="5" hidden="1">{"'フローチャート'!$A$1:$AO$191"}</definedName>
    <definedName name="b" localSheetId="9" hidden="1">{"'フローチャート'!$A$1:$AO$191"}</definedName>
    <definedName name="b" localSheetId="7" hidden="1">{"'フローチャート'!$A$1:$AO$191"}</definedName>
    <definedName name="b" localSheetId="8" hidden="1">{"'フローチャート'!$A$1:$AO$191"}</definedName>
    <definedName name="b" localSheetId="34" hidden="1">{"'フローチャート'!$A$1:$AO$191"}</definedName>
    <definedName name="b" hidden="1">{"'フローチャート'!$A$1:$AO$191"}</definedName>
    <definedName name="bb" localSheetId="6" hidden="1">{"'フローチャート'!$A$1:$AO$191"}</definedName>
    <definedName name="bb" localSheetId="5" hidden="1">{"'フローチャート'!$A$1:$AO$191"}</definedName>
    <definedName name="bb" localSheetId="9" hidden="1">{"'フローチャート'!$A$1:$AO$191"}</definedName>
    <definedName name="bb" localSheetId="7" hidden="1">{"'フローチャート'!$A$1:$AO$191"}</definedName>
    <definedName name="bb" localSheetId="8" hidden="1">{"'フローチャート'!$A$1:$AO$191"}</definedName>
    <definedName name="bb" localSheetId="34" hidden="1">{"'フローチャート'!$A$1:$AO$191"}</definedName>
    <definedName name="bb" hidden="1">{"'フローチャート'!$A$1:$AO$191"}</definedName>
    <definedName name="H" localSheetId="6" hidden="1">{"'フローチャート'!$A$1:$AO$191"}</definedName>
    <definedName name="H" localSheetId="5" hidden="1">{"'フローチャート'!$A$1:$AO$191"}</definedName>
    <definedName name="H" localSheetId="9" hidden="1">{"'フローチャート'!$A$1:$AO$191"}</definedName>
    <definedName name="H" localSheetId="7" hidden="1">{"'フローチャート'!$A$1:$AO$191"}</definedName>
    <definedName name="H" localSheetId="8" hidden="1">{"'フローチャート'!$A$1:$AO$191"}</definedName>
    <definedName name="H" localSheetId="34" hidden="1">{"'フローチャート'!$A$1:$AO$191"}</definedName>
    <definedName name="H" hidden="1">{"'フローチャート'!$A$1:$AO$191"}</definedName>
    <definedName name="HTML_CodePage" hidden="1">932</definedName>
    <definedName name="HTML_Control" localSheetId="6" hidden="1">{"'フローチャート'!$A$1:$AO$191"}</definedName>
    <definedName name="HTML_Control" localSheetId="5" hidden="1">{"'フローチャート'!$A$1:$AO$191"}</definedName>
    <definedName name="HTML_Control" localSheetId="9" hidden="1">{"'フローチャート'!$A$1:$AO$191"}</definedName>
    <definedName name="HTML_Control" localSheetId="7" hidden="1">{"'フローチャート'!$A$1:$AO$191"}</definedName>
    <definedName name="HTML_Control" localSheetId="8" hidden="1">{"'フローチャート'!$A$1:$AO$191"}</definedName>
    <definedName name="HTML_Control" localSheetId="34" hidden="1">{"'フローチャート'!$A$1:$AO$191"}</definedName>
    <definedName name="HTML_Control" hidden="1">{"'フローチャート'!$A$1:$AO$191"}</definedName>
    <definedName name="HTML_Description" hidden="1">""</definedName>
    <definedName name="HTML_Email" hidden="1">""</definedName>
    <definedName name="HTML_Header" hidden="1">"フローチャート"</definedName>
    <definedName name="HTML_LastUpdate" hidden="1">"00/07/22"</definedName>
    <definedName name="HTML_LineAfter" hidden="1">FALSE</definedName>
    <definedName name="HTML_LineBefore" hidden="1">FALSE</definedName>
    <definedName name="HTML_Name" hidden="1">"三井貴司"</definedName>
    <definedName name="HTML_OBDlg2" hidden="1">TRUE</definedName>
    <definedName name="HTML_OBDlg4" hidden="1">TRUE</definedName>
    <definedName name="HTML_OS" hidden="1">0</definedName>
    <definedName name="HTML_PathFile" hidden="1">"G:\PROJECT\BlueShark\システムデザインシート\三井作成中\ｈｔｍｌ\MyHTML.htm"</definedName>
    <definedName name="HTML_Title" hidden="1">"フローチャート"</definedName>
    <definedName name="HTML1_1" hidden="1">"[問題点一覧.xls]HTML!$A$1:$I$7"</definedName>
    <definedName name="HTML1_10" hidden="1">""</definedName>
    <definedName name="HTML1_11" hidden="1">1</definedName>
    <definedName name="HTML1_12" hidden="1">"C:\WORK\MyHTML.htm"</definedName>
    <definedName name="HTML1_2" hidden="1">1</definedName>
    <definedName name="HTML1_3" hidden="1">"問題点一覧.xls"</definedName>
    <definedName name="HTML1_4" hidden="1">"HTML"</definedName>
    <definedName name="HTML1_5" hidden="1">""</definedName>
    <definedName name="HTML1_6" hidden="1">-4146</definedName>
    <definedName name="HTML1_7" hidden="1">-4146</definedName>
    <definedName name="HTML1_8" hidden="1">"97/06/06"</definedName>
    <definedName name="HTML1_9" hidden="1">"東営本）公共システム部"</definedName>
    <definedName name="HTML2_1" hidden="1">"[問題点一覧.xls]HTML!$A$1:$I$5"</definedName>
    <definedName name="HTML2_10" hidden="1">"kazuyosi@yokohama.se.fujitsu.co.jp"</definedName>
    <definedName name="HTML2_11" hidden="1">1</definedName>
    <definedName name="HTML2_12" hidden="1">"C:\WORK\MyHTML.htm"</definedName>
    <definedName name="HTML2_2" hidden="1">1</definedName>
    <definedName name="HTML2_3" hidden="1">"問題点一覧.xls"</definedName>
    <definedName name="HTML2_4" hidden="1">"横浜市交通局システム更新"</definedName>
    <definedName name="HTML2_5" hidden="1">""</definedName>
    <definedName name="HTML2_6" hidden="1">1</definedName>
    <definedName name="HTML2_7" hidden="1">1</definedName>
    <definedName name="HTML2_8" hidden="1">"97/06/06"</definedName>
    <definedName name="HTML2_9" hidden="1">"松本一善"</definedName>
    <definedName name="HTML3_1" hidden="1">"[問題点一覧.xls]HTML!$A$1:$I$4"</definedName>
    <definedName name="HTML3_10" hidden="1">""</definedName>
    <definedName name="HTML3_11" hidden="1">1</definedName>
    <definedName name="HTML3_12" hidden="1">"G:\部内窓口\iso-wg\www\koutsu.htm"</definedName>
    <definedName name="HTML3_2" hidden="1">1</definedName>
    <definedName name="HTML3_3" hidden="1">"問題点一覧.xls"</definedName>
    <definedName name="HTML3_4" hidden="1">"横浜市交通局プロジェクト"</definedName>
    <definedName name="HTML3_5" hidden="1">""</definedName>
    <definedName name="HTML3_6" hidden="1">-4146</definedName>
    <definedName name="HTML3_7" hidden="1">-4146</definedName>
    <definedName name="HTML3_8" hidden="1">"97/06/13"</definedName>
    <definedName name="HTML3_9" hidden="1">"東営本）公共システム部"</definedName>
    <definedName name="HTML4_1" hidden="1">"[問題点一覧.xls]横浜市交通局プロジェクト!$A$1:$I$4"</definedName>
    <definedName name="HTML4_10" hidden="1">""</definedName>
    <definedName name="HTML4_11" hidden="1">1</definedName>
    <definedName name="HTML4_12" hidden="1">"G:\部内窓口\iso-wg\www\koutsu.htm"</definedName>
    <definedName name="HTML4_2" hidden="1">1</definedName>
    <definedName name="HTML4_3" hidden="1">"問題点一覧"</definedName>
    <definedName name="HTML4_4" hidden="1">"横浜市交通局プロジェクト"</definedName>
    <definedName name="HTML4_5" hidden="1">""</definedName>
    <definedName name="HTML4_6" hidden="1">-4146</definedName>
    <definedName name="HTML4_7" hidden="1">-4146</definedName>
    <definedName name="HTML4_8" hidden="1">"97/06/13"</definedName>
    <definedName name="HTML4_9" hidden="1">"東営本）公共システム部"</definedName>
    <definedName name="HTMLCount" hidden="1">4</definedName>
    <definedName name="I" localSheetId="6" hidden="1">{"'フローチャート'!$A$1:$AO$191"}</definedName>
    <definedName name="I" localSheetId="5" hidden="1">{"'フローチャート'!$A$1:$AO$191"}</definedName>
    <definedName name="I" localSheetId="9" hidden="1">{"'フローチャート'!$A$1:$AO$191"}</definedName>
    <definedName name="I" localSheetId="7" hidden="1">{"'フローチャート'!$A$1:$AO$191"}</definedName>
    <definedName name="I" localSheetId="8" hidden="1">{"'フローチャート'!$A$1:$AO$191"}</definedName>
    <definedName name="I" localSheetId="34" hidden="1">{"'フローチャート'!$A$1:$AO$191"}</definedName>
    <definedName name="I" hidden="1">{"'フローチャート'!$A$1:$AO$191"}</definedName>
    <definedName name="nn" localSheetId="6" hidden="1">{"'フローチャート'!$A$1:$AO$191"}</definedName>
    <definedName name="nn" localSheetId="5" hidden="1">{"'フローチャート'!$A$1:$AO$191"}</definedName>
    <definedName name="nn" localSheetId="9" hidden="1">{"'フローチャート'!$A$1:$AO$191"}</definedName>
    <definedName name="nn" localSheetId="7" hidden="1">{"'フローチャート'!$A$1:$AO$191"}</definedName>
    <definedName name="nn" localSheetId="8" hidden="1">{"'フローチャート'!$A$1:$AO$191"}</definedName>
    <definedName name="nn" localSheetId="34" hidden="1">{"'フローチャート'!$A$1:$AO$191"}</definedName>
    <definedName name="nn" hidden="1">{"'フローチャート'!$A$1:$AO$191"}</definedName>
    <definedName name="_xlnm.Print_Area" localSheetId="6">'⓪ファイルの説明 （2回目分割請求用）'!$A$1:$K$28</definedName>
    <definedName name="_xlnm.Print_Area" localSheetId="5">'⓪ファイルの説明（実績）'!$A$1:$K$22</definedName>
    <definedName name="_xlnm.Print_Area" localSheetId="9">'⓪ファイルの説明（第二期当初交付）'!$A$1:$K$28</definedName>
    <definedName name="_xlnm.Print_Area" localSheetId="7">'⓪ファイルの説明（第二期分割請求）'!$A$1:$K$30</definedName>
    <definedName name="_xlnm.Print_Area" localSheetId="8">'⓪ファイルの説明（当初）'!$A$1:$K$39</definedName>
    <definedName name="_xlnm.Print_Area" localSheetId="10">①基本情報!$A$1:$Q$47</definedName>
    <definedName name="_xlnm.Print_Area" localSheetId="11">'②-1職員名簿'!$A$1:$X$115</definedName>
    <definedName name="_xlnm.Print_Area" localSheetId="12">'②-2勤務時間数入力'!$A$1:$Q$111</definedName>
    <definedName name="_xlnm.Print_Area" localSheetId="13">'③児童数及び保育士定数 (2)-(1)'!$A$1:$S$21</definedName>
    <definedName name="_xlnm.Print_Area" localSheetId="14">'④-1月別配置内訳書(2)-(2)-(A)'!$A$1:$AK$24</definedName>
    <definedName name="_xlnm.Print_Area" localSheetId="15">'④-2月別配置内訳書(2)-(2)-(B)'!$A$1:$AH$21</definedName>
    <definedName name="_xlnm.Print_Area" localSheetId="16">'④-3月別配置内訳書(2)-(2)-(C)・(D)'!$A$1:$AT$20</definedName>
    <definedName name="_xlnm.Print_Area" localSheetId="17">'④-４月別配置内訳書(2)-(2)-(E)'!$A$1:$V$20</definedName>
    <definedName name="_xlnm.Print_Area" localSheetId="19">⑤基本加算１!$A$1:$L$30</definedName>
    <definedName name="_xlnm.Print_Area" localSheetId="20">⑥基本加算２!$A$1:$J$30</definedName>
    <definedName name="_xlnm.Print_Area" localSheetId="21">⑦基本加算３!$A$1:$J$30</definedName>
    <definedName name="_xlnm.Print_Area" localSheetId="22">⑧一般加算１!$A$1:$N$78</definedName>
    <definedName name="_xlnm.Print_Area" localSheetId="23">⑨一般加算２!$A$1:$N$78</definedName>
    <definedName name="_xlnm.Print_Area" localSheetId="24">⑩特定加算１!$A$1:$J$138</definedName>
    <definedName name="_xlnm.Print_Area" localSheetId="25">⑪特定加算２!$A$1:$J$66</definedName>
    <definedName name="_xlnm.Print_Area" localSheetId="29">⑫公定価格加算分!$A$1:$F$21</definedName>
    <definedName name="_xlnm.Print_Area" localSheetId="3">修正等箇所!$A$1:$P$39</definedName>
    <definedName name="_xlnm.Print_Area" localSheetId="33">精算書!$A$1:$D$23</definedName>
    <definedName name="_xlnm.Print_Area" localSheetId="1">補助金用基本データ!$C$2:$S$179</definedName>
    <definedName name="_xlnm.Print_Area" localSheetId="4">補助転記!$A$1:$AD$21</definedName>
    <definedName name="_xlnm.Print_Area" localSheetId="27">様式１!$A$1:$L$34</definedName>
    <definedName name="_xlnm.Print_Area" localSheetId="26">'様式１（第二期当初交付）'!$A$1:$L$34</definedName>
    <definedName name="_xlnm.Print_Area" localSheetId="28">様式３!$A$1:$H$36</definedName>
    <definedName name="_xlnm.Print_Area" localSheetId="34">'様式３(第二期)'!$A$1:$U$36</definedName>
    <definedName name="_xlnm.Print_Area" localSheetId="30">様式４!$A$1:$H$45</definedName>
    <definedName name="_xlnm.Print_Area" localSheetId="31">様式６!$A$1:$H$38</definedName>
    <definedName name="_xlnm.Print_Area" localSheetId="32">様式８!$A$1:$H$57</definedName>
    <definedName name="_xlnm.Print_Titles" localSheetId="11">'②-1職員名簿'!$1:$6</definedName>
    <definedName name="_xlnm.Print_Titles" localSheetId="12">'②-2勤務時間数入力'!$A:$B,'②-2勤務時間数入力'!$1:$6</definedName>
    <definedName name="_xlnm.Print_Titles" localSheetId="13">'③児童数及び保育士定数 (2)-(1)'!$1:$9</definedName>
    <definedName name="q" localSheetId="6" hidden="1">{"'フローチャート'!$A$1:$AO$191"}</definedName>
    <definedName name="q" localSheetId="5" hidden="1">{"'フローチャート'!$A$1:$AO$191"}</definedName>
    <definedName name="q" localSheetId="9" hidden="1">{"'フローチャート'!$A$1:$AO$191"}</definedName>
    <definedName name="q" localSheetId="7" hidden="1">{"'フローチャート'!$A$1:$AO$191"}</definedName>
    <definedName name="q" localSheetId="8" hidden="1">{"'フローチャート'!$A$1:$AO$191"}</definedName>
    <definedName name="q" localSheetId="34" hidden="1">{"'フローチャート'!$A$1:$AO$191"}</definedName>
    <definedName name="q" hidden="1">{"'フローチャート'!$A$1:$AO$191"}</definedName>
    <definedName name="t" localSheetId="6" hidden="1">{"'フローチャート'!$A$1:$AO$191"}</definedName>
    <definedName name="t" localSheetId="5" hidden="1">{"'フローチャート'!$A$1:$AO$191"}</definedName>
    <definedName name="t" localSheetId="9" hidden="1">{"'フローチャート'!$A$1:$AO$191"}</definedName>
    <definedName name="t" localSheetId="7" hidden="1">{"'フローチャート'!$A$1:$AO$191"}</definedName>
    <definedName name="t" localSheetId="8" hidden="1">{"'フローチャート'!$A$1:$AO$191"}</definedName>
    <definedName name="t" localSheetId="34" hidden="1">{"'フローチャート'!$A$1:$AO$191"}</definedName>
    <definedName name="t" hidden="1">{"'フローチャート'!$A$1:$AO$191"}</definedName>
    <definedName name="wrn.世田谷ＤＢ設計書." localSheetId="6"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世田谷ＤＢ設計書." localSheetId="5"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世田谷ＤＢ設計書." localSheetId="9"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世田谷ＤＢ設計書." localSheetId="7"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世田谷ＤＢ設計書." localSheetId="8"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世田谷ＤＢ設計書." localSheetId="34"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世田谷ＤＢ設計書." hidden="1">{#N/A,#N/A,TRUE,"表紙";#N/A,#N/A,TRUE,"ﾌｧｲﾙ一覧";#N/A,#N/A,TRUE,"補足説明";#N/A,#N/A,TRUE,"顧客ﾏｽﾀ";#N/A,#N/A,TRUE,"団体ﾏｽﾀ";#N/A,#N/A,TRUE,"事業実施";#N/A,#N/A,TRUE,"測定受診状況";#N/A,#N/A,TRUE,"操作者ﾏｽﾀ";#N/A,#N/A,TRUE,"翻訳ﾏｽﾀ";#N/A,#N/A,TRUE,"翻訳ﾏｽﾀ(ﾃﾞｰﾀ一覧)"}</definedName>
    <definedName name="Z_0855E9E5_5778_4DA3_8566_1EDF1D49F0DC_.wvu.FilterData" localSheetId="1" hidden="1">補助金用基本データ!$B$4:$C$4</definedName>
    <definedName name="Z_0855E9E5_5778_4DA3_8566_1EDF1D49F0DC_.wvu.PrintArea" localSheetId="1" hidden="1">補助金用基本データ!$C$2:$C$179</definedName>
    <definedName name="Z_1AC469FC_9911_4D59_8A70_26B86DEBD0C8_.wvu.FilterData" localSheetId="1" hidden="1">補助金用基本データ!$B$4:$C$4</definedName>
    <definedName name="Z_1AC469FC_9911_4D59_8A70_26B86DEBD0C8_.wvu.PrintArea" localSheetId="1" hidden="1">補助金用基本データ!$C$2:$C$179</definedName>
    <definedName name="Z_20A5C208_2D77_47AC_9276_2908DF1B4BC3_.wvu.PrintArea" localSheetId="34" hidden="1">'様式３(第二期)'!$A$1:$U$36</definedName>
    <definedName name="Z_2CD430B6_E22E_4837_A532_DC027AC8837B_.wvu.PrintArea" localSheetId="34" hidden="1">'様式３(第二期)'!$A$1:$U$36</definedName>
    <definedName name="Z_43EEB976_53CC_4F7E_88D7_7B815759E49E_.wvu.FilterData" localSheetId="1" hidden="1">補助金用基本データ!$B$4:$C$4</definedName>
    <definedName name="Z_43EEB976_53CC_4F7E_88D7_7B815759E49E_.wvu.PrintArea" localSheetId="1" hidden="1">補助金用基本データ!$C$2:$C$179</definedName>
    <definedName name="Z_58C72277_C7C4_4202_8712_90341B53DFB6_.wvu.PrintArea" localSheetId="34" hidden="1">'様式３(第二期)'!$A$1:$U$36</definedName>
    <definedName name="Z_81DDB82F_42B8_430D_91D8_AC37557CDF48_.wvu.FilterData" localSheetId="1" hidden="1">補助金用基本データ!$B$4:$C$4</definedName>
    <definedName name="Z_81DDB82F_42B8_430D_91D8_AC37557CDF48_.wvu.PrintArea" localSheetId="1" hidden="1">補助金用基本データ!$C$2:$C$179</definedName>
    <definedName name="Z_825A9524_861D_4AB1_9F7E_61473484221F_.wvu.PrintArea" localSheetId="34" hidden="1">'様式３(第二期)'!$A$1:$U$36</definedName>
    <definedName name="Z_907E403C_CDB0_408C_B470_42BC5E5AFE95_.wvu.PrintArea" localSheetId="34" hidden="1">'様式３(第二期)'!$A$1:$U$36</definedName>
    <definedName name="Z_96158F24_E9CE_4918_A803_4B267D7B4D8A_.wvu.PrintArea" localSheetId="34" hidden="1">'様式３(第二期)'!$A$1:$U$36</definedName>
    <definedName name="Z_A0AAABD4_331B_40F3_BE8F_DCC38A21B5C3_.wvu.PrintArea" localSheetId="34" hidden="1">'様式３(第二期)'!$A$1:$U$36</definedName>
    <definedName name="Z_A8DC9BAF_BC94_472C_8562_FBE78806F0B8_.wvu.PrintArea" localSheetId="34" hidden="1">'様式３(第二期)'!$A$1:$U$36</definedName>
    <definedName name="Z_B09833BA_020A_4C8A_8D09_409E35D68285_.wvu.PrintArea" localSheetId="34" hidden="1">'様式３(第二期)'!$A$1:$U$36</definedName>
    <definedName name="Z_D2DE1783_6368_46E1_8460_C58C18F78F35_.wvu.PrintArea" localSheetId="34" hidden="1">'様式３(第二期)'!$A$1:$U$36</definedName>
    <definedName name="Z_D408A1D9_F3F4_4258_B04E_542B89053B8F_.wvu.PrintArea" localSheetId="34" hidden="1">'様式３(第二期)'!$A$1:$U$36</definedName>
    <definedName name="Z_F10740C2_9C68_4E0A_BFCA_380B4455C684_.wvu.PrintArea" localSheetId="34" hidden="1">'様式３(第二期)'!$A$1:$U$36</definedName>
    <definedName name="Z_FA3D7650_7D67_4568_BB02_AD662D732217_.wvu.PrintArea" localSheetId="34" hidden="1">'様式３(第二期)'!$A$1:$U$36</definedName>
    <definedName name="ｚｚ" localSheetId="6" hidden="1">{"'Sheet1'!$A$1:$I$163"}</definedName>
    <definedName name="ｚｚ" localSheetId="5" hidden="1">{"'Sheet1'!$A$1:$I$163"}</definedName>
    <definedName name="ｚｚ" localSheetId="9" hidden="1">{"'Sheet1'!$A$1:$I$163"}</definedName>
    <definedName name="ｚｚ" localSheetId="7" hidden="1">{"'Sheet1'!$A$1:$I$163"}</definedName>
    <definedName name="ｚｚ" localSheetId="8" hidden="1">{"'Sheet1'!$A$1:$I$163"}</definedName>
    <definedName name="ｚｚ" localSheetId="34" hidden="1">{"'Sheet1'!$A$1:$I$163"}</definedName>
    <definedName name="ｚｚ" hidden="1">{"'Sheet1'!$A$1:$I$163"}</definedName>
    <definedName name="あ" localSheetId="5">#REF!</definedName>
    <definedName name="あ" localSheetId="9">#REF!</definedName>
    <definedName name="あ" localSheetId="7">#REF!</definedName>
    <definedName name="あ" localSheetId="8">#REF!</definedName>
    <definedName name="あ" localSheetId="26">#REF!</definedName>
    <definedName name="あ">#REF!</definedName>
    <definedName name="あああ" localSheetId="6"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ああ" localSheetId="5"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ああ" localSheetId="9"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ああ" localSheetId="7"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ああ" localSheetId="8"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ああ" localSheetId="34"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ああ"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り" localSheetId="5">#REF!</definedName>
    <definedName name="あり" localSheetId="9">#REF!</definedName>
    <definedName name="あり" localSheetId="7">#REF!</definedName>
    <definedName name="あり" localSheetId="8">#REF!</definedName>
    <definedName name="あり" localSheetId="26">#REF!</definedName>
    <definedName name="あり">#REF!</definedName>
    <definedName name="あり・なし">'[1]１～３号・対応表'!$I$3:$I$4</definedName>
    <definedName name="う" localSheetId="6">#REF!</definedName>
    <definedName name="う" localSheetId="5">#REF!</definedName>
    <definedName name="う" localSheetId="9">#REF!</definedName>
    <definedName name="う" localSheetId="7">#REF!</definedName>
    <definedName name="う" localSheetId="8">#REF!</definedName>
    <definedName name="う" localSheetId="26">#REF!</definedName>
    <definedName name="う">#REF!</definedName>
    <definedName name="うち" localSheetId="6">#REF!</definedName>
    <definedName name="うち" localSheetId="5">#REF!</definedName>
    <definedName name="うち" localSheetId="9">#REF!</definedName>
    <definedName name="うち" localSheetId="7">#REF!</definedName>
    <definedName name="うち" localSheetId="8">#REF!</definedName>
    <definedName name="うち" localSheetId="26">#REF!</definedName>
    <definedName name="うち">#REF!</definedName>
    <definedName name="え" localSheetId="6" hidden="1">{"'フローチャート'!$A$1:$AO$191"}</definedName>
    <definedName name="え" localSheetId="5" hidden="1">{"'フローチャート'!$A$1:$AO$191"}</definedName>
    <definedName name="え" localSheetId="9" hidden="1">{"'フローチャート'!$A$1:$AO$191"}</definedName>
    <definedName name="え" localSheetId="7" hidden="1">{"'フローチャート'!$A$1:$AO$191"}</definedName>
    <definedName name="え" localSheetId="8" hidden="1">{"'フローチャート'!$A$1:$AO$191"}</definedName>
    <definedName name="え" localSheetId="34" hidden="1">{"'フローチャート'!$A$1:$AO$191"}</definedName>
    <definedName name="え" hidden="1">{"'フローチャート'!$A$1:$AO$191"}</definedName>
    <definedName name="えっｄ" localSheetId="6" hidden="1">{"'Sheet1'!$A$1:$I$163"}</definedName>
    <definedName name="えっｄ" localSheetId="5" hidden="1">{"'Sheet1'!$A$1:$I$163"}</definedName>
    <definedName name="えっｄ" localSheetId="9" hidden="1">{"'Sheet1'!$A$1:$I$163"}</definedName>
    <definedName name="えっｄ" localSheetId="7" hidden="1">{"'Sheet1'!$A$1:$I$163"}</definedName>
    <definedName name="えっｄ" localSheetId="8" hidden="1">{"'Sheet1'!$A$1:$I$163"}</definedName>
    <definedName name="えっｄ" localSheetId="34" hidden="1">{"'Sheet1'!$A$1:$I$163"}</definedName>
    <definedName name="えっｄ" hidden="1">{"'Sheet1'!$A$1:$I$163"}</definedName>
    <definedName name="カテゴリ">[2]リスト!$C$4:$C$15</definedName>
    <definedName name="チーム保育人数">'[3]１～３号・対応表'!$N$3:$N$7</definedName>
    <definedName name="なし" localSheetId="6">#REF!</definedName>
    <definedName name="なし" localSheetId="5">#REF!</definedName>
    <definedName name="なし" localSheetId="9">#REF!</definedName>
    <definedName name="なし" localSheetId="7">#REF!</definedName>
    <definedName name="なし" localSheetId="8">#REF!</definedName>
    <definedName name="なし" localSheetId="26">#REF!</definedName>
    <definedName name="なし">#REF!</definedName>
    <definedName name="一般" localSheetId="6">#REF!</definedName>
    <definedName name="一般" localSheetId="5">#REF!</definedName>
    <definedName name="一般" localSheetId="9">#REF!</definedName>
    <definedName name="一般" localSheetId="7">#REF!</definedName>
    <definedName name="一般" localSheetId="8">#REF!</definedName>
    <definedName name="一般" localSheetId="26">#REF!</definedName>
    <definedName name="一般">#REF!</definedName>
    <definedName name="一般1" localSheetId="6">#REF!</definedName>
    <definedName name="一般1" localSheetId="5">#REF!</definedName>
    <definedName name="一般1" localSheetId="9">#REF!</definedName>
    <definedName name="一般1" localSheetId="7">#REF!</definedName>
    <definedName name="一般1" localSheetId="8">#REF!</definedName>
    <definedName name="一般1" localSheetId="26">#REF!</definedName>
    <definedName name="一般1">#REF!</definedName>
    <definedName name="一般10" localSheetId="26">#REF!</definedName>
    <definedName name="一般10">#REF!</definedName>
    <definedName name="一般11" localSheetId="26">#REF!</definedName>
    <definedName name="一般11">#REF!</definedName>
    <definedName name="一般12" localSheetId="26">#REF!</definedName>
    <definedName name="一般12">#REF!</definedName>
    <definedName name="一般2" localSheetId="26">#REF!</definedName>
    <definedName name="一般2">#REF!</definedName>
    <definedName name="一般3" localSheetId="26">#REF!</definedName>
    <definedName name="一般3">#REF!</definedName>
    <definedName name="一般4" localSheetId="26">#REF!</definedName>
    <definedName name="一般4">#REF!</definedName>
    <definedName name="一般5" localSheetId="26">#REF!</definedName>
    <definedName name="一般5">#REF!</definedName>
    <definedName name="一般6" localSheetId="26">#REF!</definedName>
    <definedName name="一般6">#REF!</definedName>
    <definedName name="一般7" localSheetId="26">#REF!</definedName>
    <definedName name="一般7">#REF!</definedName>
    <definedName name="一般8" localSheetId="26">#REF!</definedName>
    <definedName name="一般8">#REF!</definedName>
    <definedName name="一般9" localSheetId="26">#REF!</definedName>
    <definedName name="一般9">#REF!</definedName>
    <definedName name="稲毛区">リスト!$M$5:$Q$5</definedName>
    <definedName name="稲毛区企業主導型" localSheetId="5">[4]リスト!#REF!</definedName>
    <definedName name="稲毛区企業主導型" localSheetId="9">[5]リスト!#REF!</definedName>
    <definedName name="稲毛区企業主導型" localSheetId="7">[5]リスト!#REF!</definedName>
    <definedName name="稲毛区企業主導型" localSheetId="8">[5]リスト!#REF!</definedName>
    <definedName name="稲毛区企業主導型" localSheetId="26">[5]リスト!#REF!</definedName>
    <definedName name="稲毛区企業主導型">[5]リスト!#REF!</definedName>
    <definedName name="稲毛区事業所内保育事業" localSheetId="5">[4]リスト!#REF!</definedName>
    <definedName name="稲毛区事業所内保育事業" localSheetId="9">[5]リスト!#REF!</definedName>
    <definedName name="稲毛区事業所内保育事業" localSheetId="7">[5]リスト!#REF!</definedName>
    <definedName name="稲毛区事業所内保育事業" localSheetId="8">[5]リスト!#REF!</definedName>
    <definedName name="稲毛区事業所内保育事業" localSheetId="26">[5]リスト!#REF!</definedName>
    <definedName name="稲毛区事業所内保育事業">[5]リスト!#REF!</definedName>
    <definedName name="稲毛区小規模保育事業" localSheetId="5">[4]リスト!#REF!</definedName>
    <definedName name="稲毛区小規模保育事業" localSheetId="9">[5]リスト!#REF!</definedName>
    <definedName name="稲毛区小規模保育事業" localSheetId="7">[5]リスト!#REF!</definedName>
    <definedName name="稲毛区小規模保育事業" localSheetId="8">[5]リスト!#REF!</definedName>
    <definedName name="稲毛区小規模保育事業" localSheetId="26">[5]リスト!#REF!</definedName>
    <definedName name="稲毛区小規模保育事業">[5]リスト!#REF!</definedName>
    <definedName name="稲毛区保育ルーム" localSheetId="5">[4]リスト!#REF!</definedName>
    <definedName name="稲毛区保育ルーム" localSheetId="9">[5]リスト!#REF!</definedName>
    <definedName name="稲毛区保育ルーム" localSheetId="7">[5]リスト!#REF!</definedName>
    <definedName name="稲毛区保育ルーム" localSheetId="8">[5]リスト!#REF!</definedName>
    <definedName name="稲毛区保育ルーム" localSheetId="26">[5]リスト!#REF!</definedName>
    <definedName name="稲毛区保育ルーム">[5]リスト!#REF!</definedName>
    <definedName name="稲毛区保育園">リスト!$M$6:$M$33</definedName>
    <definedName name="稲毛区役所" localSheetId="6" hidden="1">{"'Sheet1'!$A$1:$I$163"}</definedName>
    <definedName name="稲毛区役所" localSheetId="5" hidden="1">{"'Sheet1'!$A$1:$I$163"}</definedName>
    <definedName name="稲毛区役所" localSheetId="9" hidden="1">{"'Sheet1'!$A$1:$I$163"}</definedName>
    <definedName name="稲毛区役所" localSheetId="7" hidden="1">{"'Sheet1'!$A$1:$I$163"}</definedName>
    <definedName name="稲毛区役所" localSheetId="8" hidden="1">{"'Sheet1'!$A$1:$I$163"}</definedName>
    <definedName name="稲毛区役所" localSheetId="34" hidden="1">{"'Sheet1'!$A$1:$I$163"}</definedName>
    <definedName name="稲毛区役所" hidden="1">{"'Sheet1'!$A$1:$I$163"}</definedName>
    <definedName name="稲毛区幼稚園型認定こども園">リスト!$O$6:$O$9</definedName>
    <definedName name="稲毛区幼保連携型認定こども園">リスト!$N$6</definedName>
    <definedName name="引上率">[6]単価引上率!$B$2</definedName>
    <definedName name="花見川区">リスト!$G$5:$K$5</definedName>
    <definedName name="花見川区企業主導型" localSheetId="5">[4]リスト!#REF!</definedName>
    <definedName name="花見川区企業主導型" localSheetId="9">[5]リスト!#REF!</definedName>
    <definedName name="花見川区企業主導型" localSheetId="7">[5]リスト!#REF!</definedName>
    <definedName name="花見川区企業主導型" localSheetId="8">[5]リスト!#REF!</definedName>
    <definedName name="花見川区企業主導型" localSheetId="26">[5]リスト!#REF!</definedName>
    <definedName name="花見川区企業主導型">[5]リスト!#REF!</definedName>
    <definedName name="花見川区給付型幼稚園" localSheetId="5">[4]リスト!#REF!</definedName>
    <definedName name="花見川区給付型幼稚園" localSheetId="9">[5]リスト!#REF!</definedName>
    <definedName name="花見川区給付型幼稚園" localSheetId="7">[5]リスト!#REF!</definedName>
    <definedName name="花見川区給付型幼稚園" localSheetId="8">[5]リスト!#REF!</definedName>
    <definedName name="花見川区給付型幼稚園" localSheetId="26">[5]リスト!#REF!</definedName>
    <definedName name="花見川区給付型幼稚園">[5]リスト!#REF!</definedName>
    <definedName name="花見川区小規模保育事業" localSheetId="5">[4]リスト!#REF!</definedName>
    <definedName name="花見川区小規模保育事業" localSheetId="9">[5]リスト!#REF!</definedName>
    <definedName name="花見川区小規模保育事業" localSheetId="7">[5]リスト!#REF!</definedName>
    <definedName name="花見川区小規模保育事業" localSheetId="8">[5]リスト!#REF!</definedName>
    <definedName name="花見川区小規模保育事業" localSheetId="26">[5]リスト!#REF!</definedName>
    <definedName name="花見川区小規模保育事業">[5]リスト!#REF!</definedName>
    <definedName name="花見川区保育ルーム" localSheetId="5">[4]リスト!#REF!</definedName>
    <definedName name="花見川区保育ルーム" localSheetId="9">[5]リスト!#REF!</definedName>
    <definedName name="花見川区保育ルーム" localSheetId="7">[5]リスト!#REF!</definedName>
    <definedName name="花見川区保育ルーム" localSheetId="8">[5]リスト!#REF!</definedName>
    <definedName name="花見川区保育ルーム" localSheetId="26">[5]リスト!#REF!</definedName>
    <definedName name="花見川区保育ルーム">[5]リスト!#REF!</definedName>
    <definedName name="花見川区保育園">リスト!$G$6:$G$34</definedName>
    <definedName name="花見川区幼稚園型認定こども園">リスト!$I$6:$I$10</definedName>
    <definedName name="管外" localSheetId="6">#REF!</definedName>
    <definedName name="管外" localSheetId="5">#REF!</definedName>
    <definedName name="管外" localSheetId="9">#REF!</definedName>
    <definedName name="管外" localSheetId="7">#REF!</definedName>
    <definedName name="管外" localSheetId="8">#REF!</definedName>
    <definedName name="管外" localSheetId="26">#REF!</definedName>
    <definedName name="管外">#REF!</definedName>
    <definedName name="管外5" localSheetId="6">#REF!</definedName>
    <definedName name="管外5" localSheetId="5">#REF!</definedName>
    <definedName name="管外5" localSheetId="9">#REF!</definedName>
    <definedName name="管外5" localSheetId="7">#REF!</definedName>
    <definedName name="管外5" localSheetId="8">#REF!</definedName>
    <definedName name="管外5" localSheetId="26">#REF!</definedName>
    <definedName name="管外5">#REF!</definedName>
    <definedName name="基本データ">[7]最新基本データ!$A$5:$AM$60</definedName>
    <definedName name="既交付額・精算額" localSheetId="6">[8]支払い一覧!$A$166:$P$220</definedName>
    <definedName name="既交付額・精算額" localSheetId="5">[8]支払い一覧!$A$166:$P$220</definedName>
    <definedName name="既交付額・精算額" localSheetId="9">[8]支払い一覧!$A$166:$P$220</definedName>
    <definedName name="既交付額・精算額" localSheetId="7">[8]支払い一覧!$A$166:$P$220</definedName>
    <definedName name="既交付額・精算額" localSheetId="34">[8]支払い一覧!$A$166:$P$220</definedName>
    <definedName name="既交付額・精算額">[8]支払い一覧!$A$166:$P$220</definedName>
    <definedName name="技">[2]リスト!$F$4:$F$8</definedName>
    <definedName name="技用途">[2]リスト!$G$4:$G$8</definedName>
    <definedName name="給食週当たり実施日数">'[1]１～３号・対応表'!$L$3:$L$8</definedName>
    <definedName name="給食日数">'[3]１～３号・対応表'!$L$3:$L$8</definedName>
    <definedName name="業務">[2]リスト!$B$4:$B$31</definedName>
    <definedName name="区">[9]編集!$F$160:$F$165</definedName>
    <definedName name="区リスト">[2]リスト!$F$15:$F$20</definedName>
    <definedName name="月" localSheetId="6">#REF!</definedName>
    <definedName name="月" localSheetId="5">#REF!</definedName>
    <definedName name="月" localSheetId="9">#REF!</definedName>
    <definedName name="月" localSheetId="7">#REF!</definedName>
    <definedName name="月" localSheetId="8">#REF!</definedName>
    <definedName name="月" localSheetId="26">#REF!</definedName>
    <definedName name="月">#REF!</definedName>
    <definedName name="研修サーバ" localSheetId="6" hidden="1">{"'フローチャート'!$A$1:$AO$191"}</definedName>
    <definedName name="研修サーバ" localSheetId="5" hidden="1">{"'フローチャート'!$A$1:$AO$191"}</definedName>
    <definedName name="研修サーバ" localSheetId="9" hidden="1">{"'フローチャート'!$A$1:$AO$191"}</definedName>
    <definedName name="研修サーバ" localSheetId="7" hidden="1">{"'フローチャート'!$A$1:$AO$191"}</definedName>
    <definedName name="研修サーバ" localSheetId="8" hidden="1">{"'フローチャート'!$A$1:$AO$191"}</definedName>
    <definedName name="研修サーバ" localSheetId="34" hidden="1">{"'フローチャート'!$A$1:$AO$191"}</definedName>
    <definedName name="研修サーバ" hidden="1">{"'フローチャート'!$A$1:$AO$191"}</definedName>
    <definedName name="減価償却費地域区分">[10]対応表!$P$3:$P$6</definedName>
    <definedName name="交付" localSheetId="6">[8]交付決定内訳一覧!$A$4:$I$35+[8]交付決定内訳一覧!$A$4:$I$42</definedName>
    <definedName name="交付" localSheetId="5">[8]交付決定内訳一覧!$A$4:$I$35+[8]交付決定内訳一覧!$A$4:$I$42</definedName>
    <definedName name="交付" localSheetId="9">[8]交付決定内訳一覧!$A$4:$I$35+[8]交付決定内訳一覧!$A$4:$I$42</definedName>
    <definedName name="交付" localSheetId="7">[8]交付決定内訳一覧!$A$4:$I$35+[8]交付決定内訳一覧!$A$4:$I$42</definedName>
    <definedName name="交付" localSheetId="34">[8]交付決定内訳一覧!$A$4:$I$35+[8]交付決定内訳一覧!$A$4:$I$42</definedName>
    <definedName name="交付">[8]交付決定内訳一覧!$A$4:$I$35+[8]交付決定内訳一覧!$A$4:$I$42</definedName>
    <definedName name="交付決定額" localSheetId="6">[8]交付決定内訳一覧!$A$4:$I$55</definedName>
    <definedName name="交付決定額" localSheetId="5">[8]交付決定内訳一覧!$A$4:$I$55</definedName>
    <definedName name="交付決定額" localSheetId="9">[8]交付決定内訳一覧!$A$4:$I$55</definedName>
    <definedName name="交付決定額" localSheetId="7">[8]交付決定内訳一覧!$A$4:$I$55</definedName>
    <definedName name="交付決定額" localSheetId="34">[8]交付決定内訳一覧!$A$4:$I$55</definedName>
    <definedName name="交付決定額">[8]交付決定内訳一覧!$A$4:$I$55</definedName>
    <definedName name="高齢者者等の年間総雇用時間数">[11]対応表!$S$3:$S$6</definedName>
    <definedName name="合計4" localSheetId="6">#REF!</definedName>
    <definedName name="合計4" localSheetId="5">#REF!</definedName>
    <definedName name="合計4" localSheetId="9">#REF!</definedName>
    <definedName name="合計4" localSheetId="7">#REF!</definedName>
    <definedName name="合計4" localSheetId="8">#REF!</definedName>
    <definedName name="合計4" localSheetId="26">#REF!</definedName>
    <definedName name="合計4" localSheetId="34">#REF!</definedName>
    <definedName name="合計4">#REF!</definedName>
    <definedName name="合計5" localSheetId="26">#REF!</definedName>
    <definedName name="合計5" localSheetId="34">#REF!</definedName>
    <definedName name="合計5">#REF!</definedName>
    <definedName name="合計6" localSheetId="26">#REF!</definedName>
    <definedName name="合計6" localSheetId="34">#REF!</definedName>
    <definedName name="合計6">#REF!</definedName>
    <definedName name="合番" localSheetId="26">#REF!</definedName>
    <definedName name="合番">#REF!</definedName>
    <definedName name="合番5" localSheetId="26">#REF!</definedName>
    <definedName name="合番5">#REF!</definedName>
    <definedName name="質改善">[11]対応表!$J$3:$J$4</definedName>
    <definedName name="質改善前後">[10]対応表!$J$3:$J$4</definedName>
    <definedName name="若葉区">リスト!$S$5:$W$5</definedName>
    <definedName name="若葉区家庭的保育事業" localSheetId="5">[4]リスト!#REF!</definedName>
    <definedName name="若葉区家庭的保育事業" localSheetId="9">[5]リスト!#REF!</definedName>
    <definedName name="若葉区家庭的保育事業" localSheetId="7">[5]リスト!#REF!</definedName>
    <definedName name="若葉区家庭的保育事業" localSheetId="8">[5]リスト!#REF!</definedName>
    <definedName name="若葉区家庭的保育事業" localSheetId="26">[5]リスト!#REF!</definedName>
    <definedName name="若葉区家庭的保育事業">[5]リスト!#REF!</definedName>
    <definedName name="若葉区小規模保育事業" localSheetId="5">[4]リスト!#REF!</definedName>
    <definedName name="若葉区小規模保育事業" localSheetId="9">[5]リスト!#REF!</definedName>
    <definedName name="若葉区小規模保育事業" localSheetId="7">[5]リスト!#REF!</definedName>
    <definedName name="若葉区小規模保育事業" localSheetId="8">[5]リスト!#REF!</definedName>
    <definedName name="若葉区小規模保育事業" localSheetId="26">[5]リスト!#REF!</definedName>
    <definedName name="若葉区小規模保育事業">[5]リスト!#REF!</definedName>
    <definedName name="若葉区保育園">リスト!$S$6:$S$25</definedName>
    <definedName name="若葉区幼稚園型認定こども園">リスト!$U$6:$U$8</definedName>
    <definedName name="第１四半期" localSheetId="6">[8]支払い一覧!$A$4:$P$55</definedName>
    <definedName name="第１四半期" localSheetId="5">[8]支払い一覧!$A$4:$P$55</definedName>
    <definedName name="第１四半期" localSheetId="9">[8]支払い一覧!$A$4:$P$55</definedName>
    <definedName name="第１四半期" localSheetId="7">[8]支払い一覧!$A$4:$P$55</definedName>
    <definedName name="第１四半期" localSheetId="34">[8]支払い一覧!$A$4:$P$55</definedName>
    <definedName name="第１四半期">[8]支払い一覧!$A$4:$P$55</definedName>
    <definedName name="第２四半期" localSheetId="6">[8]支払い一覧!$A$59:$P$110</definedName>
    <definedName name="第２四半期" localSheetId="5">[8]支払い一覧!$A$59:$P$110</definedName>
    <definedName name="第２四半期" localSheetId="9">[8]支払い一覧!$A$59:$P$110</definedName>
    <definedName name="第２四半期" localSheetId="7">[8]支払い一覧!$A$59:$P$110</definedName>
    <definedName name="第２四半期" localSheetId="34">[8]支払い一覧!$A$59:$P$110</definedName>
    <definedName name="第２四半期">[8]支払い一覧!$A$59:$P$110</definedName>
    <definedName name="第３四半期" localSheetId="6">[8]支払い一覧!$A$114:$P$165</definedName>
    <definedName name="第３四半期" localSheetId="5">[8]支払い一覧!$A$114:$P$165</definedName>
    <definedName name="第３四半期" localSheetId="9">[8]支払い一覧!$A$114:$P$165</definedName>
    <definedName name="第３四半期" localSheetId="7">[8]支払い一覧!$A$114:$P$165</definedName>
    <definedName name="第３四半期" localSheetId="34">[8]支払い一覧!$A$114:$P$165</definedName>
    <definedName name="第３四半期">[8]支払い一覧!$A$114:$P$165</definedName>
    <definedName name="単131" localSheetId="6">#REF!</definedName>
    <definedName name="単131" localSheetId="5">#REF!</definedName>
    <definedName name="単131" localSheetId="9">#REF!</definedName>
    <definedName name="単131" localSheetId="7">#REF!</definedName>
    <definedName name="単131" localSheetId="8">#REF!</definedName>
    <definedName name="単131" localSheetId="26">#REF!</definedName>
    <definedName name="単131" localSheetId="34">#REF!</definedName>
    <definedName name="単131">#REF!</definedName>
    <definedName name="単132" localSheetId="26">#REF!</definedName>
    <definedName name="単132" localSheetId="34">#REF!</definedName>
    <definedName name="単132">#REF!</definedName>
    <definedName name="単133" localSheetId="26">#REF!</definedName>
    <definedName name="単133" localSheetId="34">#REF!</definedName>
    <definedName name="単133">#REF!</definedName>
    <definedName name="単134" localSheetId="26">#REF!</definedName>
    <definedName name="単134">#REF!</definedName>
    <definedName name="単135" localSheetId="26">#REF!</definedName>
    <definedName name="単135">#REF!</definedName>
    <definedName name="地域区分">[11]対応表!$C$3:$C$9</definedName>
    <definedName name="地域区分_減価償却費加算">[11]対応表!$P$3:$P$6</definedName>
    <definedName name="地域区分_賃借料加算">[11]対応表!$Q$3:$Q$6</definedName>
    <definedName name="中央区">リスト!$A$5:$E$5</definedName>
    <definedName name="中央区家庭的保育事業" localSheetId="5">[4]リスト!#REF!</definedName>
    <definedName name="中央区家庭的保育事業" localSheetId="9">[5]リスト!#REF!</definedName>
    <definedName name="中央区家庭的保育事業" localSheetId="7">[5]リスト!#REF!</definedName>
    <definedName name="中央区家庭的保育事業" localSheetId="8">[5]リスト!#REF!</definedName>
    <definedName name="中央区家庭的保育事業" localSheetId="26">[5]リスト!#REF!</definedName>
    <definedName name="中央区家庭的保育事業">[5]リスト!#REF!</definedName>
    <definedName name="中央区企業主導型" localSheetId="5">[4]リスト!#REF!</definedName>
    <definedName name="中央区企業主導型" localSheetId="9">[5]リスト!#REF!</definedName>
    <definedName name="中央区企業主導型" localSheetId="7">[5]リスト!#REF!</definedName>
    <definedName name="中央区企業主導型" localSheetId="8">[5]リスト!#REF!</definedName>
    <definedName name="中央区企業主導型" localSheetId="26">[5]リスト!#REF!</definedName>
    <definedName name="中央区企業主導型">[5]リスト!#REF!</definedName>
    <definedName name="中央区給付型幼稚園" localSheetId="5">[4]リスト!#REF!</definedName>
    <definedName name="中央区給付型幼稚園" localSheetId="9">[5]リスト!#REF!</definedName>
    <definedName name="中央区給付型幼稚園" localSheetId="7">[5]リスト!#REF!</definedName>
    <definedName name="中央区給付型幼稚園" localSheetId="8">[5]リスト!#REF!</definedName>
    <definedName name="中央区給付型幼稚園" localSheetId="26">[5]リスト!#REF!</definedName>
    <definedName name="中央区給付型幼稚園">[5]リスト!#REF!</definedName>
    <definedName name="中央区事業所内保育事業" localSheetId="5">[4]リスト!#REF!</definedName>
    <definedName name="中央区事業所内保育事業" localSheetId="9">[5]リスト!#REF!</definedName>
    <definedName name="中央区事業所内保育事業" localSheetId="7">[5]リスト!#REF!</definedName>
    <definedName name="中央区事業所内保育事業" localSheetId="8">[5]リスト!#REF!</definedName>
    <definedName name="中央区事業所内保育事業" localSheetId="26">[5]リスト!#REF!</definedName>
    <definedName name="中央区事業所内保育事業">[5]リスト!#REF!</definedName>
    <definedName name="中央区小規模保育事業" localSheetId="5">[4]リスト!#REF!</definedName>
    <definedName name="中央区小規模保育事業" localSheetId="26">[5]リスト!#REF!</definedName>
    <definedName name="中央区小規模保育事業">[5]リスト!#REF!</definedName>
    <definedName name="中央区保育ルーム" localSheetId="5">[4]リスト!#REF!</definedName>
    <definedName name="中央区保育ルーム" localSheetId="26">[5]リスト!#REF!</definedName>
    <definedName name="中央区保育ルーム">[5]リスト!#REF!</definedName>
    <definedName name="中央区保育園">リスト!$A$6:$A$44</definedName>
    <definedName name="中央区幼稚園型認定こども園">リスト!$C$6:$C$13</definedName>
    <definedName name="中央区幼保連携型認定こども園">リスト!$B$6:$B$7</definedName>
    <definedName name="賃借料地域区分">[10]対応表!$Q$3:$Q$6</definedName>
    <definedName name="当初" localSheetId="6">[8]交付決定内訳一覧!$A$4:$I$55</definedName>
    <definedName name="当初" localSheetId="5">[8]交付決定内訳一覧!$A$4:$I$55</definedName>
    <definedName name="当初" localSheetId="9">[8]交付決定内訳一覧!$A$4:$I$55</definedName>
    <definedName name="当初" localSheetId="7">[8]交付決定内訳一覧!$A$4:$I$55</definedName>
    <definedName name="当初" localSheetId="34">[8]交付決定内訳一覧!$A$4:$I$55</definedName>
    <definedName name="当初">[8]交付決定内訳一覧!$A$4:$I$55</definedName>
    <definedName name="当単">[12]保育単価!$A$4:$T$51</definedName>
    <definedName name="内番１" localSheetId="6">#REF!</definedName>
    <definedName name="内番１" localSheetId="5">#REF!</definedName>
    <definedName name="内番１" localSheetId="9">#REF!</definedName>
    <definedName name="内番１" localSheetId="7">#REF!</definedName>
    <definedName name="内番１" localSheetId="8">#REF!</definedName>
    <definedName name="内番１" localSheetId="26">#REF!</definedName>
    <definedName name="内番１" localSheetId="34">#REF!</definedName>
    <definedName name="内番１">#REF!</definedName>
    <definedName name="内番2" localSheetId="26">#REF!</definedName>
    <definedName name="内番2" localSheetId="34">#REF!</definedName>
    <definedName name="内番2">#REF!</definedName>
    <definedName name="入所児童処遇特別時間数">[10]対応表!$S$3:$S$6</definedName>
    <definedName name="認可機能">'[3]１～３号・対応表'!$O$3:$O$4</definedName>
    <definedName name="認可施設_機能部分">'[1]１～３号・対応表'!$P$3:$P$4</definedName>
    <definedName name="美浜区">リスト!$AE$5:$AI$5</definedName>
    <definedName name="美浜区家庭的保育事業" localSheetId="5">[4]リスト!#REF!</definedName>
    <definedName name="美浜区家庭的保育事業" localSheetId="9">[5]リスト!#REF!</definedName>
    <definedName name="美浜区家庭的保育事業" localSheetId="7">[5]リスト!#REF!</definedName>
    <definedName name="美浜区家庭的保育事業" localSheetId="8">[5]リスト!#REF!</definedName>
    <definedName name="美浜区家庭的保育事業" localSheetId="26">[5]リスト!#REF!</definedName>
    <definedName name="美浜区家庭的保育事業">[5]リスト!#REF!</definedName>
    <definedName name="美浜区企業主導型" localSheetId="5">[4]リスト!#REF!</definedName>
    <definedName name="美浜区企業主導型" localSheetId="9">[5]リスト!#REF!</definedName>
    <definedName name="美浜区企業主導型" localSheetId="7">[5]リスト!#REF!</definedName>
    <definedName name="美浜区企業主導型" localSheetId="8">[5]リスト!#REF!</definedName>
    <definedName name="美浜区企業主導型" localSheetId="26">[5]リスト!#REF!</definedName>
    <definedName name="美浜区企業主導型">[5]リスト!#REF!</definedName>
    <definedName name="美浜区事業所内保育事業" localSheetId="5">[4]リスト!#REF!</definedName>
    <definedName name="美浜区事業所内保育事業" localSheetId="9">[5]リスト!#REF!</definedName>
    <definedName name="美浜区事業所内保育事業" localSheetId="7">[5]リスト!#REF!</definedName>
    <definedName name="美浜区事業所内保育事業" localSheetId="8">[5]リスト!#REF!</definedName>
    <definedName name="美浜区事業所内保育事業" localSheetId="26">[5]リスト!#REF!</definedName>
    <definedName name="美浜区事業所内保育事業">[5]リスト!#REF!</definedName>
    <definedName name="美浜区小規模保育事業" localSheetId="5">[4]リスト!#REF!</definedName>
    <definedName name="美浜区小規模保育事業" localSheetId="9">[5]リスト!#REF!</definedName>
    <definedName name="美浜区小規模保育事業" localSheetId="7">[5]リスト!#REF!</definedName>
    <definedName name="美浜区小規模保育事業" localSheetId="8">[5]リスト!#REF!</definedName>
    <definedName name="美浜区小規模保育事業" localSheetId="26">[5]リスト!#REF!</definedName>
    <definedName name="美浜区小規模保育事業">[5]リスト!#REF!</definedName>
    <definedName name="美浜区保育ルーム" localSheetId="5">[4]リスト!#REF!</definedName>
    <definedName name="美浜区保育ルーム" localSheetId="26">[5]リスト!#REF!</definedName>
    <definedName name="美浜区保育ルーム">[5]リスト!#REF!</definedName>
    <definedName name="美浜区保育園">リスト!$AE$6:$AE$32</definedName>
    <definedName name="美浜区幼稚園型認定こども園">リスト!$AG$6:$AG$12</definedName>
    <definedName name="美浜区幼保連携型認定こども園">リスト!$AF$6:$AF$8</definedName>
    <definedName name="標準_都市部">[11]対応表!$R$3:$R$4</definedName>
    <definedName name="標準都市部">[10]対応表!$R$3:$R$4</definedName>
    <definedName name="変更決" localSheetId="6">[8]変更決定一覧!$A$4:$L$54</definedName>
    <definedName name="変更決" localSheetId="5">[8]変更決定一覧!$A$4:$L$54</definedName>
    <definedName name="変更決" localSheetId="9">[8]変更決定一覧!$A$4:$L$54</definedName>
    <definedName name="変更決" localSheetId="7">[8]変更決定一覧!$A$4:$L$54</definedName>
    <definedName name="変更決" localSheetId="34">[8]変更決定一覧!$A$4:$L$54</definedName>
    <definedName name="変更決">[8]変更決定一覧!$A$4:$L$54</definedName>
    <definedName name="保育単価表４月" localSheetId="6">#REF!</definedName>
    <definedName name="保育単価表４月" localSheetId="5">#REF!</definedName>
    <definedName name="保育単価表４月" localSheetId="9">#REF!</definedName>
    <definedName name="保育単価表４月" localSheetId="7">#REF!</definedName>
    <definedName name="保育単価表４月" localSheetId="8">#REF!</definedName>
    <definedName name="保育単価表４月" localSheetId="26">#REF!</definedName>
    <definedName name="保育単価表４月" localSheetId="34">#REF!</definedName>
    <definedName name="保育単価表４月">#REF!</definedName>
    <definedName name="民単">[12]単価民改!$A$4:$T$51</definedName>
    <definedName name="有無">[11]対応表!$I$3:$I$4</definedName>
    <definedName name="緑区">リスト!$Y$5:$AC$5</definedName>
    <definedName name="緑区家庭的保育事業" localSheetId="5">[4]リスト!#REF!</definedName>
    <definedName name="緑区家庭的保育事業" localSheetId="9">[5]リスト!#REF!</definedName>
    <definedName name="緑区家庭的保育事業" localSheetId="7">[5]リスト!#REF!</definedName>
    <definedName name="緑区家庭的保育事業" localSheetId="8">[5]リスト!#REF!</definedName>
    <definedName name="緑区家庭的保育事業" localSheetId="26">[5]リスト!#REF!</definedName>
    <definedName name="緑区家庭的保育事業">[5]リスト!#REF!</definedName>
    <definedName name="緑区企業主導型" localSheetId="5">[4]リスト!#REF!</definedName>
    <definedName name="緑区企業主導型" localSheetId="9">[5]リスト!#REF!</definedName>
    <definedName name="緑区企業主導型" localSheetId="7">[5]リスト!#REF!</definedName>
    <definedName name="緑区企業主導型" localSheetId="8">[5]リスト!#REF!</definedName>
    <definedName name="緑区企業主導型" localSheetId="26">[5]リスト!#REF!</definedName>
    <definedName name="緑区企業主導型">[5]リスト!#REF!</definedName>
    <definedName name="緑区事業所内保育事業" localSheetId="5">[4]リスト!#REF!</definedName>
    <definedName name="緑区事業所内保育事業" localSheetId="9">[5]リスト!#REF!</definedName>
    <definedName name="緑区事業所内保育事業" localSheetId="7">[5]リスト!#REF!</definedName>
    <definedName name="緑区事業所内保育事業" localSheetId="8">[5]リスト!#REF!</definedName>
    <definedName name="緑区事業所内保育事業" localSheetId="26">[5]リスト!#REF!</definedName>
    <definedName name="緑区事業所内保育事業">[5]リスト!#REF!</definedName>
    <definedName name="緑区小規模保育事業" localSheetId="5">[4]リスト!#REF!</definedName>
    <definedName name="緑区小規模保育事業" localSheetId="9">[5]リスト!#REF!</definedName>
    <definedName name="緑区小規模保育事業" localSheetId="7">[5]リスト!#REF!</definedName>
    <definedName name="緑区小規模保育事業" localSheetId="8">[5]リスト!#REF!</definedName>
    <definedName name="緑区小規模保育事業" localSheetId="26">[5]リスト!#REF!</definedName>
    <definedName name="緑区小規模保育事業">[5]リスト!#REF!</definedName>
    <definedName name="緑区地方裁量型認定こども園">リスト!$AC$6</definedName>
    <definedName name="緑区保育ルーム" localSheetId="5">[4]リスト!#REF!</definedName>
    <definedName name="緑区保育ルーム" localSheetId="9">[5]リスト!#REF!</definedName>
    <definedName name="緑区保育ルーム" localSheetId="7">[5]リスト!#REF!</definedName>
    <definedName name="緑区保育ルーム" localSheetId="8">[5]リスト!#REF!</definedName>
    <definedName name="緑区保育ルーム" localSheetId="26">[5]リスト!#REF!</definedName>
    <definedName name="緑区保育ルーム">[5]リスト!#REF!</definedName>
    <definedName name="緑区保育園">リスト!$Y$6:$Y$37</definedName>
    <definedName name="緑区保育所型認定こども園">リスト!$AB$6</definedName>
    <definedName name="緑区幼稚園型認定こども園">リスト!$AA$6:$AA$9</definedName>
    <definedName name="緑区幼保連携型認定こども園">リスト!$Z$6:$Z$9</definedName>
    <definedName name="冷暖房費加算用地域区分">[11]対応表!$M$3:$M$7</definedName>
    <definedName name="冷暖房費地域区分">[10]対応表!$M$3:$M$7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52" l="1"/>
  <c r="AU6" i="4"/>
  <c r="U10" i="60" l="1"/>
  <c r="U11" i="60"/>
  <c r="U12" i="60"/>
  <c r="U13" i="60"/>
  <c r="U14" i="60"/>
  <c r="U15" i="60"/>
  <c r="U16" i="60"/>
  <c r="U17" i="60"/>
  <c r="U18" i="60"/>
  <c r="U19" i="60"/>
  <c r="U20" i="60"/>
  <c r="U9" i="60"/>
  <c r="D2" i="60"/>
  <c r="AO20" i="8" l="1"/>
  <c r="AO19" i="8"/>
  <c r="AO18" i="8"/>
  <c r="AO17" i="8"/>
  <c r="AO16" i="8"/>
  <c r="AO15" i="8"/>
  <c r="AO14" i="8"/>
  <c r="AO13" i="8"/>
  <c r="AO12" i="8"/>
  <c r="AO11" i="8"/>
  <c r="AO10" i="8"/>
  <c r="AO9" i="8"/>
  <c r="AJ20" i="8"/>
  <c r="AJ19" i="8"/>
  <c r="AJ18" i="8"/>
  <c r="AJ17" i="8"/>
  <c r="AJ16" i="8"/>
  <c r="AJ15" i="8"/>
  <c r="AJ14" i="8"/>
  <c r="AJ13" i="8"/>
  <c r="AJ12" i="8"/>
  <c r="AJ11" i="8"/>
  <c r="AJ10" i="8"/>
  <c r="AJ9" i="8"/>
  <c r="AE19" i="8"/>
  <c r="AE18" i="8"/>
  <c r="AE17" i="8"/>
  <c r="AE16" i="8"/>
  <c r="AE15" i="8"/>
  <c r="AE14" i="8"/>
  <c r="AE13" i="8"/>
  <c r="AE12" i="8"/>
  <c r="AE11" i="8"/>
  <c r="AE10" i="8"/>
  <c r="AE9" i="8"/>
  <c r="Z19" i="52"/>
  <c r="R19" i="52"/>
  <c r="S19" i="52"/>
  <c r="T19" i="52"/>
  <c r="U19" i="52"/>
  <c r="V19" i="52"/>
  <c r="W19" i="52"/>
  <c r="X19" i="52"/>
  <c r="Q19" i="52"/>
  <c r="U6" i="52"/>
  <c r="T6" i="52"/>
  <c r="Q6" i="52"/>
  <c r="GD6" i="21"/>
  <c r="GE6" i="21"/>
  <c r="GF6" i="21"/>
  <c r="GG6" i="21"/>
  <c r="GH6" i="21"/>
  <c r="GI6" i="21"/>
  <c r="GJ6" i="21"/>
  <c r="GK6" i="21"/>
  <c r="GL6" i="21"/>
  <c r="GM6" i="21"/>
  <c r="GN6" i="21"/>
  <c r="GO6" i="21"/>
  <c r="GD7" i="21"/>
  <c r="GE7" i="21"/>
  <c r="GF7" i="21"/>
  <c r="GG7" i="21"/>
  <c r="GH7" i="21"/>
  <c r="GI7" i="21"/>
  <c r="GJ7" i="21"/>
  <c r="GK7" i="21"/>
  <c r="GL7" i="21"/>
  <c r="GM7" i="21"/>
  <c r="GN7" i="21"/>
  <c r="GO7" i="21"/>
  <c r="GD8" i="21"/>
  <c r="GE8" i="21"/>
  <c r="GF8" i="21"/>
  <c r="GG8" i="21"/>
  <c r="GH8" i="21"/>
  <c r="GI8" i="21"/>
  <c r="GJ8" i="21"/>
  <c r="GK8" i="21"/>
  <c r="GL8" i="21"/>
  <c r="GM8" i="21"/>
  <c r="GN8" i="21"/>
  <c r="GO8" i="21"/>
  <c r="GD9" i="21"/>
  <c r="GE9" i="21"/>
  <c r="GF9" i="21"/>
  <c r="GG9" i="21"/>
  <c r="GH9" i="21"/>
  <c r="GI9" i="21"/>
  <c r="GJ9" i="21"/>
  <c r="GK9" i="21"/>
  <c r="GL9" i="21"/>
  <c r="GM9" i="21"/>
  <c r="GN9" i="21"/>
  <c r="GO9" i="21"/>
  <c r="GD10" i="21"/>
  <c r="GE10" i="21"/>
  <c r="GF10" i="21"/>
  <c r="GG10" i="21"/>
  <c r="GH10" i="21"/>
  <c r="GI10" i="21"/>
  <c r="GJ10" i="21"/>
  <c r="GK10" i="21"/>
  <c r="GL10" i="21"/>
  <c r="GM10" i="21"/>
  <c r="GN10" i="21"/>
  <c r="GO10" i="21"/>
  <c r="GD11" i="21"/>
  <c r="GE11" i="21"/>
  <c r="GF11" i="21"/>
  <c r="GG11" i="21"/>
  <c r="GH11" i="21"/>
  <c r="GI11" i="21"/>
  <c r="GJ11" i="21"/>
  <c r="GK11" i="21"/>
  <c r="GL11" i="21"/>
  <c r="GM11" i="21"/>
  <c r="GN11" i="21"/>
  <c r="GO11" i="21"/>
  <c r="GD12" i="21"/>
  <c r="GE12" i="21"/>
  <c r="GF12" i="21"/>
  <c r="GG12" i="21"/>
  <c r="GH12" i="21"/>
  <c r="GI12" i="21"/>
  <c r="GJ12" i="21"/>
  <c r="GK12" i="21"/>
  <c r="GL12" i="21"/>
  <c r="GM12" i="21"/>
  <c r="GN12" i="21"/>
  <c r="GO12" i="21"/>
  <c r="GD13" i="21"/>
  <c r="GE13" i="21"/>
  <c r="GF13" i="21"/>
  <c r="GG13" i="21"/>
  <c r="GH13" i="21"/>
  <c r="GI13" i="21"/>
  <c r="GJ13" i="21"/>
  <c r="GK13" i="21"/>
  <c r="GL13" i="21"/>
  <c r="GM13" i="21"/>
  <c r="GN13" i="21"/>
  <c r="GO13" i="21"/>
  <c r="GD14" i="21"/>
  <c r="GE14" i="21"/>
  <c r="GF14" i="21"/>
  <c r="GG14" i="21"/>
  <c r="GH14" i="21"/>
  <c r="GI14" i="21"/>
  <c r="GJ14" i="21"/>
  <c r="GK14" i="21"/>
  <c r="GL14" i="21"/>
  <c r="GM14" i="21"/>
  <c r="GN14" i="21"/>
  <c r="GO14" i="21"/>
  <c r="GD15" i="21"/>
  <c r="GE15" i="21"/>
  <c r="GF15" i="21"/>
  <c r="GG15" i="21"/>
  <c r="GH15" i="21"/>
  <c r="GI15" i="21"/>
  <c r="GJ15" i="21"/>
  <c r="GK15" i="21"/>
  <c r="GL15" i="21"/>
  <c r="GM15" i="21"/>
  <c r="GN15" i="21"/>
  <c r="GO15" i="21"/>
  <c r="GD16" i="21"/>
  <c r="GE16" i="21"/>
  <c r="GF16" i="21"/>
  <c r="GG16" i="21"/>
  <c r="GH16" i="21"/>
  <c r="GI16" i="21"/>
  <c r="GJ16" i="21"/>
  <c r="GK16" i="21"/>
  <c r="GL16" i="21"/>
  <c r="GM16" i="21"/>
  <c r="GN16" i="21"/>
  <c r="GO16" i="21"/>
  <c r="GD17" i="21"/>
  <c r="GE17" i="21"/>
  <c r="GF17" i="21"/>
  <c r="GG17" i="21"/>
  <c r="GH17" i="21"/>
  <c r="GI17" i="21"/>
  <c r="GJ17" i="21"/>
  <c r="GK17" i="21"/>
  <c r="GL17" i="21"/>
  <c r="GM17" i="21"/>
  <c r="GN17" i="21"/>
  <c r="GO17" i="21"/>
  <c r="GD18" i="21"/>
  <c r="GE18" i="21"/>
  <c r="GF18" i="21"/>
  <c r="GG18" i="21"/>
  <c r="GH18" i="21"/>
  <c r="GI18" i="21"/>
  <c r="GJ18" i="21"/>
  <c r="GK18" i="21"/>
  <c r="GL18" i="21"/>
  <c r="GM18" i="21"/>
  <c r="GN18" i="21"/>
  <c r="GO18" i="21"/>
  <c r="GD19" i="21"/>
  <c r="GE19" i="21"/>
  <c r="GF19" i="21"/>
  <c r="GG19" i="21"/>
  <c r="GH19" i="21"/>
  <c r="GI19" i="21"/>
  <c r="GJ19" i="21"/>
  <c r="GK19" i="21"/>
  <c r="GL19" i="21"/>
  <c r="GM19" i="21"/>
  <c r="GN19" i="21"/>
  <c r="GO19" i="21"/>
  <c r="GD20" i="21"/>
  <c r="GE20" i="21"/>
  <c r="GF20" i="21"/>
  <c r="GG20" i="21"/>
  <c r="GH20" i="21"/>
  <c r="GI20" i="21"/>
  <c r="GJ20" i="21"/>
  <c r="GK20" i="21"/>
  <c r="GL20" i="21"/>
  <c r="GM20" i="21"/>
  <c r="GN20" i="21"/>
  <c r="GO20" i="21"/>
  <c r="GD21" i="21"/>
  <c r="GE21" i="21"/>
  <c r="GF21" i="21"/>
  <c r="GG21" i="21"/>
  <c r="GH21" i="21"/>
  <c r="GI21" i="21"/>
  <c r="GJ21" i="21"/>
  <c r="GK21" i="21"/>
  <c r="GL21" i="21"/>
  <c r="GM21" i="21"/>
  <c r="GN21" i="21"/>
  <c r="GO21" i="21"/>
  <c r="GD22" i="21"/>
  <c r="GE22" i="21"/>
  <c r="GF22" i="21"/>
  <c r="GG22" i="21"/>
  <c r="GH22" i="21"/>
  <c r="GI22" i="21"/>
  <c r="GJ22" i="21"/>
  <c r="GK22" i="21"/>
  <c r="GL22" i="21"/>
  <c r="GM22" i="21"/>
  <c r="GN22" i="21"/>
  <c r="GO22" i="21"/>
  <c r="GD23" i="21"/>
  <c r="GE23" i="21"/>
  <c r="GF23" i="21"/>
  <c r="GG23" i="21"/>
  <c r="GH23" i="21"/>
  <c r="GI23" i="21"/>
  <c r="GJ23" i="21"/>
  <c r="GK23" i="21"/>
  <c r="GL23" i="21"/>
  <c r="GM23" i="21"/>
  <c r="GN23" i="21"/>
  <c r="GO23" i="21"/>
  <c r="GD24" i="21"/>
  <c r="GE24" i="21"/>
  <c r="GF24" i="21"/>
  <c r="GG24" i="21"/>
  <c r="GH24" i="21"/>
  <c r="GI24" i="21"/>
  <c r="GJ24" i="21"/>
  <c r="GK24" i="21"/>
  <c r="GL24" i="21"/>
  <c r="GM24" i="21"/>
  <c r="GN24" i="21"/>
  <c r="GO24" i="21"/>
  <c r="GD25" i="21"/>
  <c r="GE25" i="21"/>
  <c r="GF25" i="21"/>
  <c r="GG25" i="21"/>
  <c r="GH25" i="21"/>
  <c r="GI25" i="21"/>
  <c r="GJ25" i="21"/>
  <c r="GK25" i="21"/>
  <c r="GL25" i="21"/>
  <c r="GM25" i="21"/>
  <c r="GN25" i="21"/>
  <c r="GO25" i="21"/>
  <c r="GD26" i="21"/>
  <c r="GE26" i="21"/>
  <c r="GF26" i="21"/>
  <c r="GG26" i="21"/>
  <c r="GH26" i="21"/>
  <c r="GI26" i="21"/>
  <c r="GJ26" i="21"/>
  <c r="GK26" i="21"/>
  <c r="GL26" i="21"/>
  <c r="GM26" i="21"/>
  <c r="GN26" i="21"/>
  <c r="GO26" i="21"/>
  <c r="GD27" i="21"/>
  <c r="GE27" i="21"/>
  <c r="GF27" i="21"/>
  <c r="GG27" i="21"/>
  <c r="GH27" i="21"/>
  <c r="GI27" i="21"/>
  <c r="GJ27" i="21"/>
  <c r="GK27" i="21"/>
  <c r="GL27" i="21"/>
  <c r="GM27" i="21"/>
  <c r="GN27" i="21"/>
  <c r="GO27" i="21"/>
  <c r="GD28" i="21"/>
  <c r="GE28" i="21"/>
  <c r="GF28" i="21"/>
  <c r="GG28" i="21"/>
  <c r="GH28" i="21"/>
  <c r="GI28" i="21"/>
  <c r="GJ28" i="21"/>
  <c r="GK28" i="21"/>
  <c r="GL28" i="21"/>
  <c r="GM28" i="21"/>
  <c r="GN28" i="21"/>
  <c r="GO28" i="21"/>
  <c r="GD29" i="21"/>
  <c r="GE29" i="21"/>
  <c r="GF29" i="21"/>
  <c r="GG29" i="21"/>
  <c r="GH29" i="21"/>
  <c r="GI29" i="21"/>
  <c r="GJ29" i="21"/>
  <c r="GK29" i="21"/>
  <c r="GL29" i="21"/>
  <c r="GM29" i="21"/>
  <c r="GN29" i="21"/>
  <c r="GO29" i="21"/>
  <c r="GD30" i="21"/>
  <c r="GE30" i="21"/>
  <c r="GF30" i="21"/>
  <c r="GG30" i="21"/>
  <c r="GH30" i="21"/>
  <c r="GI30" i="21"/>
  <c r="GJ30" i="21"/>
  <c r="GK30" i="21"/>
  <c r="GL30" i="21"/>
  <c r="GM30" i="21"/>
  <c r="GN30" i="21"/>
  <c r="GO30" i="21"/>
  <c r="GD31" i="21"/>
  <c r="GE31" i="21"/>
  <c r="GF31" i="21"/>
  <c r="GG31" i="21"/>
  <c r="GH31" i="21"/>
  <c r="GI31" i="21"/>
  <c r="GJ31" i="21"/>
  <c r="GK31" i="21"/>
  <c r="GL31" i="21"/>
  <c r="GM31" i="21"/>
  <c r="GN31" i="21"/>
  <c r="GO31" i="21"/>
  <c r="GD32" i="21"/>
  <c r="GE32" i="21"/>
  <c r="GF32" i="21"/>
  <c r="GG32" i="21"/>
  <c r="GH32" i="21"/>
  <c r="GI32" i="21"/>
  <c r="GJ32" i="21"/>
  <c r="GK32" i="21"/>
  <c r="GL32" i="21"/>
  <c r="GM32" i="21"/>
  <c r="GN32" i="21"/>
  <c r="GO32" i="21"/>
  <c r="GD33" i="21"/>
  <c r="GE33" i="21"/>
  <c r="GF33" i="21"/>
  <c r="GG33" i="21"/>
  <c r="GH33" i="21"/>
  <c r="GI33" i="21"/>
  <c r="GJ33" i="21"/>
  <c r="GK33" i="21"/>
  <c r="GL33" i="21"/>
  <c r="GM33" i="21"/>
  <c r="GN33" i="21"/>
  <c r="GO33" i="21"/>
  <c r="GD34" i="21"/>
  <c r="GE34" i="21"/>
  <c r="GF34" i="21"/>
  <c r="GG34" i="21"/>
  <c r="GH34" i="21"/>
  <c r="GI34" i="21"/>
  <c r="GJ34" i="21"/>
  <c r="GK34" i="21"/>
  <c r="GL34" i="21"/>
  <c r="GM34" i="21"/>
  <c r="GN34" i="21"/>
  <c r="GO34" i="21"/>
  <c r="GD35" i="21"/>
  <c r="GE35" i="21"/>
  <c r="GF35" i="21"/>
  <c r="GG35" i="21"/>
  <c r="GH35" i="21"/>
  <c r="GI35" i="21"/>
  <c r="GJ35" i="21"/>
  <c r="GK35" i="21"/>
  <c r="GL35" i="21"/>
  <c r="GM35" i="21"/>
  <c r="GN35" i="21"/>
  <c r="GO35" i="21"/>
  <c r="GD36" i="21"/>
  <c r="GE36" i="21"/>
  <c r="GF36" i="21"/>
  <c r="GG36" i="21"/>
  <c r="GH36" i="21"/>
  <c r="GI36" i="21"/>
  <c r="GJ36" i="21"/>
  <c r="GK36" i="21"/>
  <c r="GL36" i="21"/>
  <c r="GM36" i="21"/>
  <c r="GN36" i="21"/>
  <c r="GO36" i="21"/>
  <c r="GD37" i="21"/>
  <c r="GE37" i="21"/>
  <c r="GF37" i="21"/>
  <c r="GG37" i="21"/>
  <c r="GH37" i="21"/>
  <c r="GI37" i="21"/>
  <c r="GJ37" i="21"/>
  <c r="GK37" i="21"/>
  <c r="GL37" i="21"/>
  <c r="GM37" i="21"/>
  <c r="GN37" i="21"/>
  <c r="GO37" i="21"/>
  <c r="GD38" i="21"/>
  <c r="GE38" i="21"/>
  <c r="GF38" i="21"/>
  <c r="GG38" i="21"/>
  <c r="GH38" i="21"/>
  <c r="GI38" i="21"/>
  <c r="GJ38" i="21"/>
  <c r="GK38" i="21"/>
  <c r="GL38" i="21"/>
  <c r="GM38" i="21"/>
  <c r="GN38" i="21"/>
  <c r="GO38" i="21"/>
  <c r="GD39" i="21"/>
  <c r="GE39" i="21"/>
  <c r="GF39" i="21"/>
  <c r="GG39" i="21"/>
  <c r="GH39" i="21"/>
  <c r="GI39" i="21"/>
  <c r="GJ39" i="21"/>
  <c r="GK39" i="21"/>
  <c r="GL39" i="21"/>
  <c r="GM39" i="21"/>
  <c r="GN39" i="21"/>
  <c r="GO39" i="21"/>
  <c r="GD40" i="21"/>
  <c r="GE40" i="21"/>
  <c r="GF40" i="21"/>
  <c r="GG40" i="21"/>
  <c r="GH40" i="21"/>
  <c r="GI40" i="21"/>
  <c r="GJ40" i="21"/>
  <c r="GK40" i="21"/>
  <c r="GL40" i="21"/>
  <c r="GM40" i="21"/>
  <c r="GN40" i="21"/>
  <c r="GO40" i="21"/>
  <c r="GD41" i="21"/>
  <c r="GE41" i="21"/>
  <c r="GF41" i="21"/>
  <c r="GG41" i="21"/>
  <c r="GH41" i="21"/>
  <c r="GI41" i="21"/>
  <c r="GJ41" i="21"/>
  <c r="GK41" i="21"/>
  <c r="GL41" i="21"/>
  <c r="GM41" i="21"/>
  <c r="GN41" i="21"/>
  <c r="GO41" i="21"/>
  <c r="GD42" i="21"/>
  <c r="GE42" i="21"/>
  <c r="GF42" i="21"/>
  <c r="GG42" i="21"/>
  <c r="GH42" i="21"/>
  <c r="GI42" i="21"/>
  <c r="GJ42" i="21"/>
  <c r="GK42" i="21"/>
  <c r="GL42" i="21"/>
  <c r="GM42" i="21"/>
  <c r="GN42" i="21"/>
  <c r="GO42" i="21"/>
  <c r="GD43" i="21"/>
  <c r="GE43" i="21"/>
  <c r="GF43" i="21"/>
  <c r="GG43" i="21"/>
  <c r="GH43" i="21"/>
  <c r="GI43" i="21"/>
  <c r="GJ43" i="21"/>
  <c r="GK43" i="21"/>
  <c r="GL43" i="21"/>
  <c r="GM43" i="21"/>
  <c r="GN43" i="21"/>
  <c r="GO43" i="21"/>
  <c r="GD44" i="21"/>
  <c r="GE44" i="21"/>
  <c r="GF44" i="21"/>
  <c r="GG44" i="21"/>
  <c r="GH44" i="21"/>
  <c r="GI44" i="21"/>
  <c r="GJ44" i="21"/>
  <c r="GK44" i="21"/>
  <c r="GL44" i="21"/>
  <c r="GM44" i="21"/>
  <c r="GN44" i="21"/>
  <c r="GO44" i="21"/>
  <c r="GD45" i="21"/>
  <c r="GE45" i="21"/>
  <c r="GF45" i="21"/>
  <c r="GG45" i="21"/>
  <c r="GH45" i="21"/>
  <c r="GI45" i="21"/>
  <c r="GJ45" i="21"/>
  <c r="GK45" i="21"/>
  <c r="GL45" i="21"/>
  <c r="GM45" i="21"/>
  <c r="GN45" i="21"/>
  <c r="GO45" i="21"/>
  <c r="GD46" i="21"/>
  <c r="GE46" i="21"/>
  <c r="GF46" i="21"/>
  <c r="GG46" i="21"/>
  <c r="GH46" i="21"/>
  <c r="GI46" i="21"/>
  <c r="GJ46" i="21"/>
  <c r="GK46" i="21"/>
  <c r="GL46" i="21"/>
  <c r="GM46" i="21"/>
  <c r="GN46" i="21"/>
  <c r="GO46" i="21"/>
  <c r="GD47" i="21"/>
  <c r="GE47" i="21"/>
  <c r="GF47" i="21"/>
  <c r="GG47" i="21"/>
  <c r="GH47" i="21"/>
  <c r="GI47" i="21"/>
  <c r="GJ47" i="21"/>
  <c r="GK47" i="21"/>
  <c r="GL47" i="21"/>
  <c r="GM47" i="21"/>
  <c r="GN47" i="21"/>
  <c r="GO47" i="21"/>
  <c r="GD48" i="21"/>
  <c r="GE48" i="21"/>
  <c r="GF48" i="21"/>
  <c r="GG48" i="21"/>
  <c r="GH48" i="21"/>
  <c r="GI48" i="21"/>
  <c r="GJ48" i="21"/>
  <c r="GK48" i="21"/>
  <c r="GL48" i="21"/>
  <c r="GM48" i="21"/>
  <c r="GN48" i="21"/>
  <c r="GO48" i="21"/>
  <c r="GD49" i="21"/>
  <c r="GE49" i="21"/>
  <c r="GF49" i="21"/>
  <c r="GG49" i="21"/>
  <c r="GH49" i="21"/>
  <c r="GI49" i="21"/>
  <c r="GJ49" i="21"/>
  <c r="GK49" i="21"/>
  <c r="GL49" i="21"/>
  <c r="GM49" i="21"/>
  <c r="GN49" i="21"/>
  <c r="GO49" i="21"/>
  <c r="GD50" i="21"/>
  <c r="GE50" i="21"/>
  <c r="GF50" i="21"/>
  <c r="GG50" i="21"/>
  <c r="GH50" i="21"/>
  <c r="GI50" i="21"/>
  <c r="GJ50" i="21"/>
  <c r="GK50" i="21"/>
  <c r="GL50" i="21"/>
  <c r="GM50" i="21"/>
  <c r="GN50" i="21"/>
  <c r="GO50" i="21"/>
  <c r="GD51" i="21"/>
  <c r="GE51" i="21"/>
  <c r="GF51" i="21"/>
  <c r="GG51" i="21"/>
  <c r="GH51" i="21"/>
  <c r="GI51" i="21"/>
  <c r="GJ51" i="21"/>
  <c r="GK51" i="21"/>
  <c r="GL51" i="21"/>
  <c r="GM51" i="21"/>
  <c r="GN51" i="21"/>
  <c r="GO51" i="21"/>
  <c r="GD52" i="21"/>
  <c r="GE52" i="21"/>
  <c r="GF52" i="21"/>
  <c r="GG52" i="21"/>
  <c r="GH52" i="21"/>
  <c r="GI52" i="21"/>
  <c r="GJ52" i="21"/>
  <c r="GK52" i="21"/>
  <c r="GL52" i="21"/>
  <c r="GM52" i="21"/>
  <c r="GN52" i="21"/>
  <c r="GO52" i="21"/>
  <c r="GD53" i="21"/>
  <c r="GE53" i="21"/>
  <c r="GF53" i="21"/>
  <c r="GG53" i="21"/>
  <c r="GH53" i="21"/>
  <c r="GI53" i="21"/>
  <c r="GJ53" i="21"/>
  <c r="GK53" i="21"/>
  <c r="GL53" i="21"/>
  <c r="GM53" i="21"/>
  <c r="GN53" i="21"/>
  <c r="GO53" i="21"/>
  <c r="GD54" i="21"/>
  <c r="GE54" i="21"/>
  <c r="GF54" i="21"/>
  <c r="GG54" i="21"/>
  <c r="GH54" i="21"/>
  <c r="GI54" i="21"/>
  <c r="GJ54" i="21"/>
  <c r="GK54" i="21"/>
  <c r="GL54" i="21"/>
  <c r="GM54" i="21"/>
  <c r="GN54" i="21"/>
  <c r="GO54" i="21"/>
  <c r="GD55" i="21"/>
  <c r="GE55" i="21"/>
  <c r="GF55" i="21"/>
  <c r="GG55" i="21"/>
  <c r="GH55" i="21"/>
  <c r="GI55" i="21"/>
  <c r="GJ55" i="21"/>
  <c r="GK55" i="21"/>
  <c r="GL55" i="21"/>
  <c r="GM55" i="21"/>
  <c r="GN55" i="21"/>
  <c r="GO55" i="21"/>
  <c r="GD56" i="21"/>
  <c r="GE56" i="21"/>
  <c r="GF56" i="21"/>
  <c r="GG56" i="21"/>
  <c r="GH56" i="21"/>
  <c r="GI56" i="21"/>
  <c r="GJ56" i="21"/>
  <c r="GK56" i="21"/>
  <c r="GL56" i="21"/>
  <c r="GM56" i="21"/>
  <c r="GN56" i="21"/>
  <c r="GO56" i="21"/>
  <c r="GD57" i="21"/>
  <c r="GE57" i="21"/>
  <c r="GF57" i="21"/>
  <c r="GG57" i="21"/>
  <c r="GH57" i="21"/>
  <c r="GI57" i="21"/>
  <c r="GJ57" i="21"/>
  <c r="GK57" i="21"/>
  <c r="GL57" i="21"/>
  <c r="GM57" i="21"/>
  <c r="GN57" i="21"/>
  <c r="GO57" i="21"/>
  <c r="GD58" i="21"/>
  <c r="GE58" i="21"/>
  <c r="GF58" i="21"/>
  <c r="GG58" i="21"/>
  <c r="GH58" i="21"/>
  <c r="GI58" i="21"/>
  <c r="GJ58" i="21"/>
  <c r="GK58" i="21"/>
  <c r="GL58" i="21"/>
  <c r="GM58" i="21"/>
  <c r="GN58" i="21"/>
  <c r="GO58" i="21"/>
  <c r="GD59" i="21"/>
  <c r="GE59" i="21"/>
  <c r="GF59" i="21"/>
  <c r="GG59" i="21"/>
  <c r="GH59" i="21"/>
  <c r="GI59" i="21"/>
  <c r="GJ59" i="21"/>
  <c r="GK59" i="21"/>
  <c r="GL59" i="21"/>
  <c r="GM59" i="21"/>
  <c r="GN59" i="21"/>
  <c r="GO59" i="21"/>
  <c r="GD60" i="21"/>
  <c r="GE60" i="21"/>
  <c r="GF60" i="21"/>
  <c r="GG60" i="21"/>
  <c r="GH60" i="21"/>
  <c r="GI60" i="21"/>
  <c r="GJ60" i="21"/>
  <c r="GK60" i="21"/>
  <c r="GL60" i="21"/>
  <c r="GM60" i="21"/>
  <c r="GN60" i="21"/>
  <c r="GO60" i="21"/>
  <c r="GD61" i="21"/>
  <c r="GE61" i="21"/>
  <c r="GF61" i="21"/>
  <c r="GG61" i="21"/>
  <c r="GH61" i="21"/>
  <c r="GI61" i="21"/>
  <c r="GJ61" i="21"/>
  <c r="GK61" i="21"/>
  <c r="GL61" i="21"/>
  <c r="GM61" i="21"/>
  <c r="GN61" i="21"/>
  <c r="GO61" i="21"/>
  <c r="GD62" i="21"/>
  <c r="GE62" i="21"/>
  <c r="GF62" i="21"/>
  <c r="GG62" i="21"/>
  <c r="GH62" i="21"/>
  <c r="GI62" i="21"/>
  <c r="GJ62" i="21"/>
  <c r="GK62" i="21"/>
  <c r="GL62" i="21"/>
  <c r="GM62" i="21"/>
  <c r="GN62" i="21"/>
  <c r="GO62" i="21"/>
  <c r="GD63" i="21"/>
  <c r="GE63" i="21"/>
  <c r="GF63" i="21"/>
  <c r="GG63" i="21"/>
  <c r="GH63" i="21"/>
  <c r="GI63" i="21"/>
  <c r="GJ63" i="21"/>
  <c r="GK63" i="21"/>
  <c r="GL63" i="21"/>
  <c r="GM63" i="21"/>
  <c r="GN63" i="21"/>
  <c r="GO63" i="21"/>
  <c r="GD64" i="21"/>
  <c r="GE64" i="21"/>
  <c r="GF64" i="21"/>
  <c r="GG64" i="21"/>
  <c r="GH64" i="21"/>
  <c r="GI64" i="21"/>
  <c r="GJ64" i="21"/>
  <c r="GK64" i="21"/>
  <c r="GL64" i="21"/>
  <c r="GM64" i="21"/>
  <c r="GN64" i="21"/>
  <c r="GO64" i="21"/>
  <c r="GD65" i="21"/>
  <c r="GE65" i="21"/>
  <c r="GF65" i="21"/>
  <c r="GG65" i="21"/>
  <c r="GH65" i="21"/>
  <c r="GI65" i="21"/>
  <c r="GJ65" i="21"/>
  <c r="GK65" i="21"/>
  <c r="GL65" i="21"/>
  <c r="GM65" i="21"/>
  <c r="GN65" i="21"/>
  <c r="GO65" i="21"/>
  <c r="GD66" i="21"/>
  <c r="GE66" i="21"/>
  <c r="GF66" i="21"/>
  <c r="GG66" i="21"/>
  <c r="GH66" i="21"/>
  <c r="GI66" i="21"/>
  <c r="GJ66" i="21"/>
  <c r="GK66" i="21"/>
  <c r="GL66" i="21"/>
  <c r="GM66" i="21"/>
  <c r="GN66" i="21"/>
  <c r="GO66" i="21"/>
  <c r="GD67" i="21"/>
  <c r="GE67" i="21"/>
  <c r="GF67" i="21"/>
  <c r="GG67" i="21"/>
  <c r="GH67" i="21"/>
  <c r="GI67" i="21"/>
  <c r="GJ67" i="21"/>
  <c r="GK67" i="21"/>
  <c r="GL67" i="21"/>
  <c r="GM67" i="21"/>
  <c r="GN67" i="21"/>
  <c r="GO67" i="21"/>
  <c r="GD68" i="21"/>
  <c r="GE68" i="21"/>
  <c r="GF68" i="21"/>
  <c r="GG68" i="21"/>
  <c r="GH68" i="21"/>
  <c r="GI68" i="21"/>
  <c r="GJ68" i="21"/>
  <c r="GK68" i="21"/>
  <c r="GL68" i="21"/>
  <c r="GM68" i="21"/>
  <c r="GN68" i="21"/>
  <c r="GO68" i="21"/>
  <c r="GD69" i="21"/>
  <c r="GE69" i="21"/>
  <c r="GF69" i="21"/>
  <c r="GG69" i="21"/>
  <c r="GH69" i="21"/>
  <c r="GI69" i="21"/>
  <c r="GJ69" i="21"/>
  <c r="GK69" i="21"/>
  <c r="GL69" i="21"/>
  <c r="GM69" i="21"/>
  <c r="GN69" i="21"/>
  <c r="GO69" i="21"/>
  <c r="GD70" i="21"/>
  <c r="GE70" i="21"/>
  <c r="GF70" i="21"/>
  <c r="GG70" i="21"/>
  <c r="GH70" i="21"/>
  <c r="GI70" i="21"/>
  <c r="GJ70" i="21"/>
  <c r="GK70" i="21"/>
  <c r="GL70" i="21"/>
  <c r="GM70" i="21"/>
  <c r="GN70" i="21"/>
  <c r="GO70" i="21"/>
  <c r="GD71" i="21"/>
  <c r="GE71" i="21"/>
  <c r="GF71" i="21"/>
  <c r="GG71" i="21"/>
  <c r="GH71" i="21"/>
  <c r="GI71" i="21"/>
  <c r="GJ71" i="21"/>
  <c r="GK71" i="21"/>
  <c r="GL71" i="21"/>
  <c r="GM71" i="21"/>
  <c r="GN71" i="21"/>
  <c r="GO71" i="21"/>
  <c r="GD72" i="21"/>
  <c r="GE72" i="21"/>
  <c r="GF72" i="21"/>
  <c r="GG72" i="21"/>
  <c r="GH72" i="21"/>
  <c r="GI72" i="21"/>
  <c r="GJ72" i="21"/>
  <c r="GK72" i="21"/>
  <c r="GL72" i="21"/>
  <c r="GM72" i="21"/>
  <c r="GN72" i="21"/>
  <c r="GO72" i="21"/>
  <c r="GD73" i="21"/>
  <c r="GE73" i="21"/>
  <c r="GF73" i="21"/>
  <c r="GG73" i="21"/>
  <c r="GH73" i="21"/>
  <c r="GI73" i="21"/>
  <c r="GJ73" i="21"/>
  <c r="GK73" i="21"/>
  <c r="GL73" i="21"/>
  <c r="GM73" i="21"/>
  <c r="GN73" i="21"/>
  <c r="GO73" i="21"/>
  <c r="GD74" i="21"/>
  <c r="GE74" i="21"/>
  <c r="GF74" i="21"/>
  <c r="GG74" i="21"/>
  <c r="GH74" i="21"/>
  <c r="GI74" i="21"/>
  <c r="GJ74" i="21"/>
  <c r="GK74" i="21"/>
  <c r="GL74" i="21"/>
  <c r="GM74" i="21"/>
  <c r="GN74" i="21"/>
  <c r="GO74" i="21"/>
  <c r="GD75" i="21"/>
  <c r="GE75" i="21"/>
  <c r="GF75" i="21"/>
  <c r="GG75" i="21"/>
  <c r="GH75" i="21"/>
  <c r="GI75" i="21"/>
  <c r="GJ75" i="21"/>
  <c r="GK75" i="21"/>
  <c r="GL75" i="21"/>
  <c r="GM75" i="21"/>
  <c r="GN75" i="21"/>
  <c r="GO75" i="21"/>
  <c r="GD76" i="21"/>
  <c r="GE76" i="21"/>
  <c r="GF76" i="21"/>
  <c r="GG76" i="21"/>
  <c r="GH76" i="21"/>
  <c r="GI76" i="21"/>
  <c r="GJ76" i="21"/>
  <c r="GK76" i="21"/>
  <c r="GL76" i="21"/>
  <c r="GM76" i="21"/>
  <c r="GN76" i="21"/>
  <c r="GO76" i="21"/>
  <c r="GD77" i="21"/>
  <c r="GE77" i="21"/>
  <c r="GF77" i="21"/>
  <c r="GG77" i="21"/>
  <c r="GH77" i="21"/>
  <c r="GI77" i="21"/>
  <c r="GJ77" i="21"/>
  <c r="GK77" i="21"/>
  <c r="GL77" i="21"/>
  <c r="GM77" i="21"/>
  <c r="GN77" i="21"/>
  <c r="GO77" i="21"/>
  <c r="GD78" i="21"/>
  <c r="GE78" i="21"/>
  <c r="GF78" i="21"/>
  <c r="GG78" i="21"/>
  <c r="GH78" i="21"/>
  <c r="GI78" i="21"/>
  <c r="GJ78" i="21"/>
  <c r="GK78" i="21"/>
  <c r="GL78" i="21"/>
  <c r="GM78" i="21"/>
  <c r="GN78" i="21"/>
  <c r="GO78" i="21"/>
  <c r="GD79" i="21"/>
  <c r="GE79" i="21"/>
  <c r="GF79" i="21"/>
  <c r="GG79" i="21"/>
  <c r="GH79" i="21"/>
  <c r="GI79" i="21"/>
  <c r="GJ79" i="21"/>
  <c r="GK79" i="21"/>
  <c r="GL79" i="21"/>
  <c r="GM79" i="21"/>
  <c r="GN79" i="21"/>
  <c r="GO79" i="21"/>
  <c r="GD80" i="21"/>
  <c r="GE80" i="21"/>
  <c r="GF80" i="21"/>
  <c r="GG80" i="21"/>
  <c r="GH80" i="21"/>
  <c r="GI80" i="21"/>
  <c r="GJ80" i="21"/>
  <c r="GK80" i="21"/>
  <c r="GL80" i="21"/>
  <c r="GM80" i="21"/>
  <c r="GN80" i="21"/>
  <c r="GO80" i="21"/>
  <c r="GD81" i="21"/>
  <c r="GE81" i="21"/>
  <c r="GF81" i="21"/>
  <c r="GG81" i="21"/>
  <c r="GH81" i="21"/>
  <c r="GI81" i="21"/>
  <c r="GJ81" i="21"/>
  <c r="GK81" i="21"/>
  <c r="GL81" i="21"/>
  <c r="GM81" i="21"/>
  <c r="GN81" i="21"/>
  <c r="GO81" i="21"/>
  <c r="GD82" i="21"/>
  <c r="GE82" i="21"/>
  <c r="GF82" i="21"/>
  <c r="GG82" i="21"/>
  <c r="GH82" i="21"/>
  <c r="GI82" i="21"/>
  <c r="GJ82" i="21"/>
  <c r="GK82" i="21"/>
  <c r="GL82" i="21"/>
  <c r="GM82" i="21"/>
  <c r="GN82" i="21"/>
  <c r="GO82" i="21"/>
  <c r="GD83" i="21"/>
  <c r="GE83" i="21"/>
  <c r="GF83" i="21"/>
  <c r="GG83" i="21"/>
  <c r="GH83" i="21"/>
  <c r="GI83" i="21"/>
  <c r="GJ83" i="21"/>
  <c r="GK83" i="21"/>
  <c r="GL83" i="21"/>
  <c r="GM83" i="21"/>
  <c r="GN83" i="21"/>
  <c r="GO83" i="21"/>
  <c r="GD84" i="21"/>
  <c r="GE84" i="21"/>
  <c r="GF84" i="21"/>
  <c r="GG84" i="21"/>
  <c r="GH84" i="21"/>
  <c r="GI84" i="21"/>
  <c r="GJ84" i="21"/>
  <c r="GK84" i="21"/>
  <c r="GL84" i="21"/>
  <c r="GM84" i="21"/>
  <c r="GN84" i="21"/>
  <c r="GO84" i="21"/>
  <c r="GD85" i="21"/>
  <c r="GE85" i="21"/>
  <c r="GF85" i="21"/>
  <c r="GG85" i="21"/>
  <c r="GH85" i="21"/>
  <c r="GI85" i="21"/>
  <c r="GJ85" i="21"/>
  <c r="GK85" i="21"/>
  <c r="GL85" i="21"/>
  <c r="GM85" i="21"/>
  <c r="GN85" i="21"/>
  <c r="GO85" i="21"/>
  <c r="GD86" i="21"/>
  <c r="GE86" i="21"/>
  <c r="GF86" i="21"/>
  <c r="GG86" i="21"/>
  <c r="GH86" i="21"/>
  <c r="GI86" i="21"/>
  <c r="GJ86" i="21"/>
  <c r="GK86" i="21"/>
  <c r="GL86" i="21"/>
  <c r="GM86" i="21"/>
  <c r="GN86" i="21"/>
  <c r="GO86" i="21"/>
  <c r="GD87" i="21"/>
  <c r="GE87" i="21"/>
  <c r="GF87" i="21"/>
  <c r="GG87" i="21"/>
  <c r="GH87" i="21"/>
  <c r="GI87" i="21"/>
  <c r="GJ87" i="21"/>
  <c r="GK87" i="21"/>
  <c r="GL87" i="21"/>
  <c r="GM87" i="21"/>
  <c r="GN87" i="21"/>
  <c r="GO87" i="21"/>
  <c r="GD88" i="21"/>
  <c r="GE88" i="21"/>
  <c r="GF88" i="21"/>
  <c r="GG88" i="21"/>
  <c r="GH88" i="21"/>
  <c r="GI88" i="21"/>
  <c r="GJ88" i="21"/>
  <c r="GK88" i="21"/>
  <c r="GL88" i="21"/>
  <c r="GM88" i="21"/>
  <c r="GN88" i="21"/>
  <c r="GO88" i="21"/>
  <c r="GD89" i="21"/>
  <c r="GE89" i="21"/>
  <c r="GF89" i="21"/>
  <c r="GG89" i="21"/>
  <c r="GH89" i="21"/>
  <c r="GI89" i="21"/>
  <c r="GJ89" i="21"/>
  <c r="GK89" i="21"/>
  <c r="GL89" i="21"/>
  <c r="GM89" i="21"/>
  <c r="GN89" i="21"/>
  <c r="GO89" i="21"/>
  <c r="GD90" i="21"/>
  <c r="GE90" i="21"/>
  <c r="GF90" i="21"/>
  <c r="GG90" i="21"/>
  <c r="GH90" i="21"/>
  <c r="GI90" i="21"/>
  <c r="GJ90" i="21"/>
  <c r="GK90" i="21"/>
  <c r="GL90" i="21"/>
  <c r="GM90" i="21"/>
  <c r="GN90" i="21"/>
  <c r="GO90" i="21"/>
  <c r="GD91" i="21"/>
  <c r="GE91" i="21"/>
  <c r="GF91" i="21"/>
  <c r="GG91" i="21"/>
  <c r="GH91" i="21"/>
  <c r="GI91" i="21"/>
  <c r="GJ91" i="21"/>
  <c r="GK91" i="21"/>
  <c r="GL91" i="21"/>
  <c r="GM91" i="21"/>
  <c r="GN91" i="21"/>
  <c r="GO91" i="21"/>
  <c r="GD92" i="21"/>
  <c r="GE92" i="21"/>
  <c r="GF92" i="21"/>
  <c r="GG92" i="21"/>
  <c r="GH92" i="21"/>
  <c r="GI92" i="21"/>
  <c r="GJ92" i="21"/>
  <c r="GK92" i="21"/>
  <c r="GL92" i="21"/>
  <c r="GM92" i="21"/>
  <c r="GN92" i="21"/>
  <c r="GO92" i="21"/>
  <c r="GD93" i="21"/>
  <c r="GE93" i="21"/>
  <c r="GF93" i="21"/>
  <c r="GG93" i="21"/>
  <c r="GH93" i="21"/>
  <c r="GI93" i="21"/>
  <c r="GJ93" i="21"/>
  <c r="GK93" i="21"/>
  <c r="GL93" i="21"/>
  <c r="GM93" i="21"/>
  <c r="GN93" i="21"/>
  <c r="GO93" i="21"/>
  <c r="GD94" i="21"/>
  <c r="GE94" i="21"/>
  <c r="GF94" i="21"/>
  <c r="GG94" i="21"/>
  <c r="GH94" i="21"/>
  <c r="GI94" i="21"/>
  <c r="GJ94" i="21"/>
  <c r="GK94" i="21"/>
  <c r="GL94" i="21"/>
  <c r="GM94" i="21"/>
  <c r="GN94" i="21"/>
  <c r="GO94" i="21"/>
  <c r="GD95" i="21"/>
  <c r="GE95" i="21"/>
  <c r="GF95" i="21"/>
  <c r="GG95" i="21"/>
  <c r="GH95" i="21"/>
  <c r="GI95" i="21"/>
  <c r="GJ95" i="21"/>
  <c r="GK95" i="21"/>
  <c r="GL95" i="21"/>
  <c r="GM95" i="21"/>
  <c r="GN95" i="21"/>
  <c r="GO95" i="21"/>
  <c r="GD96" i="21"/>
  <c r="GE96" i="21"/>
  <c r="GF96" i="21"/>
  <c r="GG96" i="21"/>
  <c r="GH96" i="21"/>
  <c r="GI96" i="21"/>
  <c r="GJ96" i="21"/>
  <c r="GK96" i="21"/>
  <c r="GL96" i="21"/>
  <c r="GM96" i="21"/>
  <c r="GN96" i="21"/>
  <c r="GO96" i="21"/>
  <c r="GD97" i="21"/>
  <c r="GE97" i="21"/>
  <c r="GF97" i="21"/>
  <c r="GG97" i="21"/>
  <c r="GH97" i="21"/>
  <c r="GI97" i="21"/>
  <c r="GJ97" i="21"/>
  <c r="GK97" i="21"/>
  <c r="GL97" i="21"/>
  <c r="GM97" i="21"/>
  <c r="GN97" i="21"/>
  <c r="GO97" i="21"/>
  <c r="GD98" i="21"/>
  <c r="GE98" i="21"/>
  <c r="GF98" i="21"/>
  <c r="GG98" i="21"/>
  <c r="GH98" i="21"/>
  <c r="GI98" i="21"/>
  <c r="GJ98" i="21"/>
  <c r="GK98" i="21"/>
  <c r="GL98" i="21"/>
  <c r="GM98" i="21"/>
  <c r="GN98" i="21"/>
  <c r="GO98" i="21"/>
  <c r="GD99" i="21"/>
  <c r="GE99" i="21"/>
  <c r="GF99" i="21"/>
  <c r="GG99" i="21"/>
  <c r="GH99" i="21"/>
  <c r="GI99" i="21"/>
  <c r="GJ99" i="21"/>
  <c r="GK99" i="21"/>
  <c r="GL99" i="21"/>
  <c r="GM99" i="21"/>
  <c r="GN99" i="21"/>
  <c r="GO99" i="21"/>
  <c r="GD100" i="21"/>
  <c r="GE100" i="21"/>
  <c r="GF100" i="21"/>
  <c r="GG100" i="21"/>
  <c r="GH100" i="21"/>
  <c r="GI100" i="21"/>
  <c r="GJ100" i="21"/>
  <c r="GK100" i="21"/>
  <c r="GL100" i="21"/>
  <c r="GM100" i="21"/>
  <c r="GN100" i="21"/>
  <c r="GO100" i="21"/>
  <c r="GD101" i="21"/>
  <c r="GE101" i="21"/>
  <c r="GF101" i="21"/>
  <c r="GG101" i="21"/>
  <c r="GH101" i="21"/>
  <c r="GI101" i="21"/>
  <c r="GJ101" i="21"/>
  <c r="GK101" i="21"/>
  <c r="GL101" i="21"/>
  <c r="GM101" i="21"/>
  <c r="GN101" i="21"/>
  <c r="GO101" i="21"/>
  <c r="GD102" i="21"/>
  <c r="GE102" i="21"/>
  <c r="GF102" i="21"/>
  <c r="GG102" i="21"/>
  <c r="GH102" i="21"/>
  <c r="GI102" i="21"/>
  <c r="GJ102" i="21"/>
  <c r="GK102" i="21"/>
  <c r="GL102" i="21"/>
  <c r="GM102" i="21"/>
  <c r="GN102" i="21"/>
  <c r="GO102" i="21"/>
  <c r="GD103" i="21"/>
  <c r="GE103" i="21"/>
  <c r="GF103" i="21"/>
  <c r="GG103" i="21"/>
  <c r="GH103" i="21"/>
  <c r="GI103" i="21"/>
  <c r="GJ103" i="21"/>
  <c r="GK103" i="21"/>
  <c r="GL103" i="21"/>
  <c r="GM103" i="21"/>
  <c r="GN103" i="21"/>
  <c r="GO103" i="21"/>
  <c r="GD104" i="21"/>
  <c r="GE104" i="21"/>
  <c r="GF104" i="21"/>
  <c r="GG104" i="21"/>
  <c r="GH104" i="21"/>
  <c r="GI104" i="21"/>
  <c r="GJ104" i="21"/>
  <c r="GK104" i="21"/>
  <c r="GL104" i="21"/>
  <c r="GM104" i="21"/>
  <c r="GN104" i="21"/>
  <c r="GO104" i="21"/>
  <c r="GD105" i="21"/>
  <c r="GE105" i="21"/>
  <c r="GF105" i="21"/>
  <c r="GG105" i="21"/>
  <c r="GH105" i="21"/>
  <c r="GI105" i="21"/>
  <c r="GJ105" i="21"/>
  <c r="GK105" i="21"/>
  <c r="GL105" i="21"/>
  <c r="GM105" i="21"/>
  <c r="GN105" i="21"/>
  <c r="GO105" i="21"/>
  <c r="GD106" i="21"/>
  <c r="GE106" i="21"/>
  <c r="GF106" i="21"/>
  <c r="GG106" i="21"/>
  <c r="GH106" i="21"/>
  <c r="GI106" i="21"/>
  <c r="GJ106" i="21"/>
  <c r="GK106" i="21"/>
  <c r="GL106" i="21"/>
  <c r="GM106" i="21"/>
  <c r="GN106" i="21"/>
  <c r="GO106" i="21"/>
  <c r="GD107" i="21"/>
  <c r="GE107" i="21"/>
  <c r="GF107" i="21"/>
  <c r="GG107" i="21"/>
  <c r="GH107" i="21"/>
  <c r="GI107" i="21"/>
  <c r="GJ107" i="21"/>
  <c r="GK107" i="21"/>
  <c r="GL107" i="21"/>
  <c r="GM107" i="21"/>
  <c r="GN107" i="21"/>
  <c r="GO107" i="21"/>
  <c r="GD108" i="21"/>
  <c r="GE108" i="21"/>
  <c r="GF108" i="21"/>
  <c r="GG108" i="21"/>
  <c r="GH108" i="21"/>
  <c r="GI108" i="21"/>
  <c r="GJ108" i="21"/>
  <c r="GK108" i="21"/>
  <c r="GL108" i="21"/>
  <c r="GM108" i="21"/>
  <c r="GN108" i="21"/>
  <c r="GO108" i="21"/>
  <c r="GD109" i="21"/>
  <c r="GE109" i="21"/>
  <c r="GF109" i="21"/>
  <c r="GG109" i="21"/>
  <c r="GH109" i="21"/>
  <c r="GI109" i="21"/>
  <c r="GJ109" i="21"/>
  <c r="GK109" i="21"/>
  <c r="GL109" i="21"/>
  <c r="GM109" i="21"/>
  <c r="GN109" i="21"/>
  <c r="GO109" i="21"/>
  <c r="GD110" i="21"/>
  <c r="GE110" i="21"/>
  <c r="GF110" i="21"/>
  <c r="GG110" i="21"/>
  <c r="GH110" i="21"/>
  <c r="GI110" i="21"/>
  <c r="GJ110" i="21"/>
  <c r="GK110" i="21"/>
  <c r="GL110" i="21"/>
  <c r="GM110" i="21"/>
  <c r="GN110" i="21"/>
  <c r="GO110" i="21"/>
  <c r="GD111" i="21"/>
  <c r="GE111" i="21"/>
  <c r="GF111" i="21"/>
  <c r="GG111" i="21"/>
  <c r="GH111" i="21"/>
  <c r="GI111" i="21"/>
  <c r="GJ111" i="21"/>
  <c r="GK111" i="21"/>
  <c r="GL111" i="21"/>
  <c r="GM111" i="21"/>
  <c r="GN111" i="21"/>
  <c r="GO111" i="21"/>
  <c r="GD112" i="21"/>
  <c r="GE112" i="21"/>
  <c r="GF112" i="21"/>
  <c r="GG112" i="21"/>
  <c r="GH112" i="21"/>
  <c r="GI112" i="21"/>
  <c r="GJ112" i="21"/>
  <c r="GK112" i="21"/>
  <c r="GL112" i="21"/>
  <c r="GM112" i="21"/>
  <c r="GN112" i="21"/>
  <c r="GO112" i="21"/>
  <c r="GD113" i="21"/>
  <c r="GE113" i="21"/>
  <c r="GF113" i="21"/>
  <c r="GG113" i="21"/>
  <c r="GH113" i="21"/>
  <c r="GI113" i="21"/>
  <c r="GJ113" i="21"/>
  <c r="GK113" i="21"/>
  <c r="GL113" i="21"/>
  <c r="GM113" i="21"/>
  <c r="GN113" i="21"/>
  <c r="GO113" i="21"/>
  <c r="GD114" i="21"/>
  <c r="GE114" i="21"/>
  <c r="GF114" i="21"/>
  <c r="GG114" i="21"/>
  <c r="GH114" i="21"/>
  <c r="GI114" i="21"/>
  <c r="GJ114" i="21"/>
  <c r="GK114" i="21"/>
  <c r="GL114" i="21"/>
  <c r="GM114" i="21"/>
  <c r="GN114" i="21"/>
  <c r="GO114" i="21"/>
  <c r="GD115" i="21"/>
  <c r="GE115" i="21"/>
  <c r="GF115" i="21"/>
  <c r="GG115" i="21"/>
  <c r="GH115" i="21"/>
  <c r="GI115" i="21"/>
  <c r="GJ115" i="21"/>
  <c r="GK115" i="21"/>
  <c r="GL115" i="21"/>
  <c r="GM115" i="21"/>
  <c r="GN115" i="21"/>
  <c r="GO115" i="21"/>
  <c r="GD116" i="21"/>
  <c r="GE116" i="21"/>
  <c r="GF116" i="21"/>
  <c r="GG116" i="21"/>
  <c r="GH116" i="21"/>
  <c r="GI116" i="21"/>
  <c r="GJ116" i="21"/>
  <c r="GK116" i="21"/>
  <c r="GL116" i="21"/>
  <c r="GM116" i="21"/>
  <c r="GN116" i="21"/>
  <c r="GO116" i="21"/>
  <c r="GD117" i="21"/>
  <c r="GE117" i="21"/>
  <c r="GF117" i="21"/>
  <c r="GG117" i="21"/>
  <c r="GH117" i="21"/>
  <c r="GI117" i="21"/>
  <c r="GJ117" i="21"/>
  <c r="GK117" i="21"/>
  <c r="GL117" i="21"/>
  <c r="GM117" i="21"/>
  <c r="GN117" i="21"/>
  <c r="GO117" i="21"/>
  <c r="GD118" i="21"/>
  <c r="GE118" i="21"/>
  <c r="GF118" i="21"/>
  <c r="GG118" i="21"/>
  <c r="GH118" i="21"/>
  <c r="GI118" i="21"/>
  <c r="GJ118" i="21"/>
  <c r="GK118" i="21"/>
  <c r="GL118" i="21"/>
  <c r="GM118" i="21"/>
  <c r="GN118" i="21"/>
  <c r="GO118" i="21"/>
  <c r="GD119" i="21"/>
  <c r="GE119" i="21"/>
  <c r="GF119" i="21"/>
  <c r="GG119" i="21"/>
  <c r="GH119" i="21"/>
  <c r="GI119" i="21"/>
  <c r="GJ119" i="21"/>
  <c r="GK119" i="21"/>
  <c r="GL119" i="21"/>
  <c r="GM119" i="21"/>
  <c r="GN119" i="21"/>
  <c r="GO119" i="21"/>
  <c r="GD120" i="21"/>
  <c r="GE120" i="21"/>
  <c r="GF120" i="21"/>
  <c r="GG120" i="21"/>
  <c r="GH120" i="21"/>
  <c r="GI120" i="21"/>
  <c r="GJ120" i="21"/>
  <c r="GK120" i="21"/>
  <c r="GL120" i="21"/>
  <c r="GM120" i="21"/>
  <c r="GN120" i="21"/>
  <c r="GO120" i="21"/>
  <c r="GD121" i="21"/>
  <c r="GE121" i="21"/>
  <c r="GF121" i="21"/>
  <c r="GG121" i="21"/>
  <c r="GH121" i="21"/>
  <c r="GI121" i="21"/>
  <c r="GJ121" i="21"/>
  <c r="GK121" i="21"/>
  <c r="GL121" i="21"/>
  <c r="GM121" i="21"/>
  <c r="GN121" i="21"/>
  <c r="GO121" i="21"/>
  <c r="GD122" i="21"/>
  <c r="GE122" i="21"/>
  <c r="GF122" i="21"/>
  <c r="GG122" i="21"/>
  <c r="GH122" i="21"/>
  <c r="GI122" i="21"/>
  <c r="GJ122" i="21"/>
  <c r="GK122" i="21"/>
  <c r="GL122" i="21"/>
  <c r="GM122" i="21"/>
  <c r="GN122" i="21"/>
  <c r="GO122" i="21"/>
  <c r="GD123" i="21"/>
  <c r="GE123" i="21"/>
  <c r="GF123" i="21"/>
  <c r="GG123" i="21"/>
  <c r="GH123" i="21"/>
  <c r="GI123" i="21"/>
  <c r="GJ123" i="21"/>
  <c r="GK123" i="21"/>
  <c r="GL123" i="21"/>
  <c r="GM123" i="21"/>
  <c r="GN123" i="21"/>
  <c r="GO123" i="21"/>
  <c r="GD124" i="21"/>
  <c r="GE124" i="21"/>
  <c r="GF124" i="21"/>
  <c r="GG124" i="21"/>
  <c r="GH124" i="21"/>
  <c r="GI124" i="21"/>
  <c r="GJ124" i="21"/>
  <c r="GK124" i="21"/>
  <c r="GL124" i="21"/>
  <c r="GM124" i="21"/>
  <c r="GN124" i="21"/>
  <c r="GO124" i="21"/>
  <c r="GD125" i="21"/>
  <c r="GE125" i="21"/>
  <c r="GF125" i="21"/>
  <c r="GG125" i="21"/>
  <c r="GH125" i="21"/>
  <c r="GI125" i="21"/>
  <c r="GJ125" i="21"/>
  <c r="GK125" i="21"/>
  <c r="GL125" i="21"/>
  <c r="GM125" i="21"/>
  <c r="GN125" i="21"/>
  <c r="GO125" i="21"/>
  <c r="GD126" i="21"/>
  <c r="GE126" i="21"/>
  <c r="GF126" i="21"/>
  <c r="GG126" i="21"/>
  <c r="GH126" i="21"/>
  <c r="GI126" i="21"/>
  <c r="GJ126" i="21"/>
  <c r="GK126" i="21"/>
  <c r="GL126" i="21"/>
  <c r="GM126" i="21"/>
  <c r="GN126" i="21"/>
  <c r="GO126" i="21"/>
  <c r="GD127" i="21"/>
  <c r="GE127" i="21"/>
  <c r="GF127" i="21"/>
  <c r="GG127" i="21"/>
  <c r="GH127" i="21"/>
  <c r="GI127" i="21"/>
  <c r="GJ127" i="21"/>
  <c r="GK127" i="21"/>
  <c r="GL127" i="21"/>
  <c r="GM127" i="21"/>
  <c r="GN127" i="21"/>
  <c r="GO127" i="21"/>
  <c r="GD128" i="21"/>
  <c r="GE128" i="21"/>
  <c r="GF128" i="21"/>
  <c r="GG128" i="21"/>
  <c r="GH128" i="21"/>
  <c r="GI128" i="21"/>
  <c r="GJ128" i="21"/>
  <c r="GK128" i="21"/>
  <c r="GL128" i="21"/>
  <c r="GM128" i="21"/>
  <c r="GN128" i="21"/>
  <c r="GO128" i="21"/>
  <c r="GD129" i="21"/>
  <c r="GE129" i="21"/>
  <c r="GF129" i="21"/>
  <c r="GG129" i="21"/>
  <c r="GH129" i="21"/>
  <c r="GI129" i="21"/>
  <c r="GJ129" i="21"/>
  <c r="GK129" i="21"/>
  <c r="GL129" i="21"/>
  <c r="GM129" i="21"/>
  <c r="GN129" i="21"/>
  <c r="GO129" i="21"/>
  <c r="GD130" i="21"/>
  <c r="GE130" i="21"/>
  <c r="GF130" i="21"/>
  <c r="GG130" i="21"/>
  <c r="GH130" i="21"/>
  <c r="GI130" i="21"/>
  <c r="GJ130" i="21"/>
  <c r="GK130" i="21"/>
  <c r="GL130" i="21"/>
  <c r="GM130" i="21"/>
  <c r="GN130" i="21"/>
  <c r="GO130" i="21"/>
  <c r="GD131" i="21"/>
  <c r="GE131" i="21"/>
  <c r="GF131" i="21"/>
  <c r="GG131" i="21"/>
  <c r="GH131" i="21"/>
  <c r="GI131" i="21"/>
  <c r="GJ131" i="21"/>
  <c r="GK131" i="21"/>
  <c r="GL131" i="21"/>
  <c r="GM131" i="21"/>
  <c r="GN131" i="21"/>
  <c r="GO131" i="21"/>
  <c r="GD132" i="21"/>
  <c r="GE132" i="21"/>
  <c r="GF132" i="21"/>
  <c r="GG132" i="21"/>
  <c r="GH132" i="21"/>
  <c r="GI132" i="21"/>
  <c r="GJ132" i="21"/>
  <c r="GK132" i="21"/>
  <c r="GL132" i="21"/>
  <c r="GM132" i="21"/>
  <c r="GN132" i="21"/>
  <c r="GO132" i="21"/>
  <c r="GD133" i="21"/>
  <c r="GE133" i="21"/>
  <c r="GF133" i="21"/>
  <c r="GG133" i="21"/>
  <c r="GH133" i="21"/>
  <c r="GI133" i="21"/>
  <c r="GJ133" i="21"/>
  <c r="GK133" i="21"/>
  <c r="GL133" i="21"/>
  <c r="GM133" i="21"/>
  <c r="GN133" i="21"/>
  <c r="GO133" i="21"/>
  <c r="GD134" i="21"/>
  <c r="GE134" i="21"/>
  <c r="GF134" i="21"/>
  <c r="GG134" i="21"/>
  <c r="GH134" i="21"/>
  <c r="GI134" i="21"/>
  <c r="GJ134" i="21"/>
  <c r="GK134" i="21"/>
  <c r="GL134" i="21"/>
  <c r="GM134" i="21"/>
  <c r="GN134" i="21"/>
  <c r="GO134" i="21"/>
  <c r="GD135" i="21"/>
  <c r="GE135" i="21"/>
  <c r="GF135" i="21"/>
  <c r="GG135" i="21"/>
  <c r="GH135" i="21"/>
  <c r="GI135" i="21"/>
  <c r="GJ135" i="21"/>
  <c r="GK135" i="21"/>
  <c r="GL135" i="21"/>
  <c r="GM135" i="21"/>
  <c r="GN135" i="21"/>
  <c r="GO135" i="21"/>
  <c r="GD136" i="21"/>
  <c r="GE136" i="21"/>
  <c r="GF136" i="21"/>
  <c r="GG136" i="21"/>
  <c r="GH136" i="21"/>
  <c r="GI136" i="21"/>
  <c r="GJ136" i="21"/>
  <c r="GK136" i="21"/>
  <c r="GL136" i="21"/>
  <c r="GM136" i="21"/>
  <c r="GN136" i="21"/>
  <c r="GO136" i="21"/>
  <c r="GD137" i="21"/>
  <c r="GE137" i="21"/>
  <c r="GF137" i="21"/>
  <c r="GG137" i="21"/>
  <c r="GH137" i="21"/>
  <c r="GI137" i="21"/>
  <c r="GJ137" i="21"/>
  <c r="GK137" i="21"/>
  <c r="GL137" i="21"/>
  <c r="GM137" i="21"/>
  <c r="GN137" i="21"/>
  <c r="GO137" i="21"/>
  <c r="GD138" i="21"/>
  <c r="GE138" i="21"/>
  <c r="GF138" i="21"/>
  <c r="GG138" i="21"/>
  <c r="GH138" i="21"/>
  <c r="GI138" i="21"/>
  <c r="GJ138" i="21"/>
  <c r="GK138" i="21"/>
  <c r="GL138" i="21"/>
  <c r="GM138" i="21"/>
  <c r="GN138" i="21"/>
  <c r="GO138" i="21"/>
  <c r="GD139" i="21"/>
  <c r="GE139" i="21"/>
  <c r="GF139" i="21"/>
  <c r="GG139" i="21"/>
  <c r="GH139" i="21"/>
  <c r="GI139" i="21"/>
  <c r="GJ139" i="21"/>
  <c r="GK139" i="21"/>
  <c r="GL139" i="21"/>
  <c r="GM139" i="21"/>
  <c r="GN139" i="21"/>
  <c r="GO139" i="21"/>
  <c r="GD140" i="21"/>
  <c r="GE140" i="21"/>
  <c r="GF140" i="21"/>
  <c r="GG140" i="21"/>
  <c r="GH140" i="21"/>
  <c r="GI140" i="21"/>
  <c r="GJ140" i="21"/>
  <c r="GK140" i="21"/>
  <c r="GL140" i="21"/>
  <c r="GM140" i="21"/>
  <c r="GN140" i="21"/>
  <c r="GO140" i="21"/>
  <c r="GD141" i="21"/>
  <c r="GE141" i="21"/>
  <c r="GF141" i="21"/>
  <c r="GG141" i="21"/>
  <c r="GH141" i="21"/>
  <c r="GI141" i="21"/>
  <c r="GJ141" i="21"/>
  <c r="GK141" i="21"/>
  <c r="GL141" i="21"/>
  <c r="GM141" i="21"/>
  <c r="GN141" i="21"/>
  <c r="GO141" i="21"/>
  <c r="GD142" i="21"/>
  <c r="GE142" i="21"/>
  <c r="GF142" i="21"/>
  <c r="GG142" i="21"/>
  <c r="GH142" i="21"/>
  <c r="GI142" i="21"/>
  <c r="GJ142" i="21"/>
  <c r="GK142" i="21"/>
  <c r="GL142" i="21"/>
  <c r="GM142" i="21"/>
  <c r="GN142" i="21"/>
  <c r="GO142" i="21"/>
  <c r="GD143" i="21"/>
  <c r="GE143" i="21"/>
  <c r="GF143" i="21"/>
  <c r="GG143" i="21"/>
  <c r="GH143" i="21"/>
  <c r="GI143" i="21"/>
  <c r="GJ143" i="21"/>
  <c r="GK143" i="21"/>
  <c r="GL143" i="21"/>
  <c r="GM143" i="21"/>
  <c r="GN143" i="21"/>
  <c r="GO143" i="21"/>
  <c r="GD144" i="21"/>
  <c r="GE144" i="21"/>
  <c r="GF144" i="21"/>
  <c r="GG144" i="21"/>
  <c r="GH144" i="21"/>
  <c r="GI144" i="21"/>
  <c r="GJ144" i="21"/>
  <c r="GK144" i="21"/>
  <c r="GL144" i="21"/>
  <c r="GM144" i="21"/>
  <c r="GN144" i="21"/>
  <c r="GO144" i="21"/>
  <c r="GD145" i="21"/>
  <c r="GE145" i="21"/>
  <c r="GF145" i="21"/>
  <c r="GG145" i="21"/>
  <c r="GH145" i="21"/>
  <c r="GI145" i="21"/>
  <c r="GJ145" i="21"/>
  <c r="GK145" i="21"/>
  <c r="GL145" i="21"/>
  <c r="GM145" i="21"/>
  <c r="GN145" i="21"/>
  <c r="GO145" i="21"/>
  <c r="GD146" i="21"/>
  <c r="GE146" i="21"/>
  <c r="GF146" i="21"/>
  <c r="GG146" i="21"/>
  <c r="GH146" i="21"/>
  <c r="GI146" i="21"/>
  <c r="GJ146" i="21"/>
  <c r="GK146" i="21"/>
  <c r="GL146" i="21"/>
  <c r="GM146" i="21"/>
  <c r="GN146" i="21"/>
  <c r="GO146" i="21"/>
  <c r="GD147" i="21"/>
  <c r="GE147" i="21"/>
  <c r="GF147" i="21"/>
  <c r="GG147" i="21"/>
  <c r="GH147" i="21"/>
  <c r="GI147" i="21"/>
  <c r="GJ147" i="21"/>
  <c r="GK147" i="21"/>
  <c r="GL147" i="21"/>
  <c r="GM147" i="21"/>
  <c r="GN147" i="21"/>
  <c r="GO147" i="21"/>
  <c r="GD148" i="21"/>
  <c r="GE148" i="21"/>
  <c r="GF148" i="21"/>
  <c r="GG148" i="21"/>
  <c r="GH148" i="21"/>
  <c r="GI148" i="21"/>
  <c r="GJ148" i="21"/>
  <c r="GK148" i="21"/>
  <c r="GL148" i="21"/>
  <c r="GM148" i="21"/>
  <c r="GN148" i="21"/>
  <c r="GO148" i="21"/>
  <c r="GD149" i="21"/>
  <c r="GE149" i="21"/>
  <c r="GF149" i="21"/>
  <c r="GG149" i="21"/>
  <c r="GH149" i="21"/>
  <c r="GI149" i="21"/>
  <c r="GJ149" i="21"/>
  <c r="GK149" i="21"/>
  <c r="GL149" i="21"/>
  <c r="GM149" i="21"/>
  <c r="GN149" i="21"/>
  <c r="GO149" i="21"/>
  <c r="GD150" i="21"/>
  <c r="GE150" i="21"/>
  <c r="GF150" i="21"/>
  <c r="GG150" i="21"/>
  <c r="GH150" i="21"/>
  <c r="GI150" i="21"/>
  <c r="GJ150" i="21"/>
  <c r="GK150" i="21"/>
  <c r="GL150" i="21"/>
  <c r="GM150" i="21"/>
  <c r="GN150" i="21"/>
  <c r="GO150" i="21"/>
  <c r="GD151" i="21"/>
  <c r="GE151" i="21"/>
  <c r="GF151" i="21"/>
  <c r="GG151" i="21"/>
  <c r="GH151" i="21"/>
  <c r="GI151" i="21"/>
  <c r="GJ151" i="21"/>
  <c r="GK151" i="21"/>
  <c r="GL151" i="21"/>
  <c r="GM151" i="21"/>
  <c r="GN151" i="21"/>
  <c r="GO151" i="21"/>
  <c r="GD152" i="21"/>
  <c r="GE152" i="21"/>
  <c r="GF152" i="21"/>
  <c r="GG152" i="21"/>
  <c r="GH152" i="21"/>
  <c r="GI152" i="21"/>
  <c r="GJ152" i="21"/>
  <c r="GK152" i="21"/>
  <c r="GL152" i="21"/>
  <c r="GM152" i="21"/>
  <c r="GN152" i="21"/>
  <c r="GO152" i="21"/>
  <c r="GD153" i="21"/>
  <c r="GE153" i="21"/>
  <c r="GF153" i="21"/>
  <c r="GG153" i="21"/>
  <c r="GH153" i="21"/>
  <c r="GI153" i="21"/>
  <c r="GJ153" i="21"/>
  <c r="GK153" i="21"/>
  <c r="GL153" i="21"/>
  <c r="GM153" i="21"/>
  <c r="GN153" i="21"/>
  <c r="GO153" i="21"/>
  <c r="GD154" i="21"/>
  <c r="GE154" i="21"/>
  <c r="GF154" i="21"/>
  <c r="GG154" i="21"/>
  <c r="GH154" i="21"/>
  <c r="GI154" i="21"/>
  <c r="GJ154" i="21"/>
  <c r="GK154" i="21"/>
  <c r="GL154" i="21"/>
  <c r="GM154" i="21"/>
  <c r="GN154" i="21"/>
  <c r="GO154" i="21"/>
  <c r="GD155" i="21"/>
  <c r="GE155" i="21"/>
  <c r="GF155" i="21"/>
  <c r="GG155" i="21"/>
  <c r="GH155" i="21"/>
  <c r="GI155" i="21"/>
  <c r="GJ155" i="21"/>
  <c r="GK155" i="21"/>
  <c r="GL155" i="21"/>
  <c r="GM155" i="21"/>
  <c r="GN155" i="21"/>
  <c r="GO155" i="21"/>
  <c r="GD156" i="21"/>
  <c r="GE156" i="21"/>
  <c r="GF156" i="21"/>
  <c r="GG156" i="21"/>
  <c r="GH156" i="21"/>
  <c r="GI156" i="21"/>
  <c r="GJ156" i="21"/>
  <c r="GK156" i="21"/>
  <c r="GL156" i="21"/>
  <c r="GM156" i="21"/>
  <c r="GN156" i="21"/>
  <c r="GO156" i="21"/>
  <c r="GD157" i="21"/>
  <c r="GE157" i="21"/>
  <c r="GF157" i="21"/>
  <c r="GG157" i="21"/>
  <c r="GH157" i="21"/>
  <c r="GI157" i="21"/>
  <c r="GJ157" i="21"/>
  <c r="GK157" i="21"/>
  <c r="GL157" i="21"/>
  <c r="GM157" i="21"/>
  <c r="GN157" i="21"/>
  <c r="GO157" i="21"/>
  <c r="GD158" i="21"/>
  <c r="GE158" i="21"/>
  <c r="GF158" i="21"/>
  <c r="GG158" i="21"/>
  <c r="GH158" i="21"/>
  <c r="GI158" i="21"/>
  <c r="GJ158" i="21"/>
  <c r="GK158" i="21"/>
  <c r="GL158" i="21"/>
  <c r="GM158" i="21"/>
  <c r="GN158" i="21"/>
  <c r="GO158" i="21"/>
  <c r="GD159" i="21"/>
  <c r="GE159" i="21"/>
  <c r="GF159" i="21"/>
  <c r="GG159" i="21"/>
  <c r="GH159" i="21"/>
  <c r="GI159" i="21"/>
  <c r="GJ159" i="21"/>
  <c r="GK159" i="21"/>
  <c r="GL159" i="21"/>
  <c r="GM159" i="21"/>
  <c r="GN159" i="21"/>
  <c r="GO159" i="21"/>
  <c r="GD160" i="21"/>
  <c r="GE160" i="21"/>
  <c r="GF160" i="21"/>
  <c r="GG160" i="21"/>
  <c r="GH160" i="21"/>
  <c r="GI160" i="21"/>
  <c r="GJ160" i="21"/>
  <c r="GK160" i="21"/>
  <c r="GL160" i="21"/>
  <c r="GM160" i="21"/>
  <c r="GN160" i="21"/>
  <c r="GO160" i="21"/>
  <c r="GD161" i="21"/>
  <c r="GE161" i="21"/>
  <c r="GF161" i="21"/>
  <c r="GG161" i="21"/>
  <c r="GH161" i="21"/>
  <c r="GI161" i="21"/>
  <c r="GJ161" i="21"/>
  <c r="GK161" i="21"/>
  <c r="GL161" i="21"/>
  <c r="GM161" i="21"/>
  <c r="GN161" i="21"/>
  <c r="GO161" i="21"/>
  <c r="GD162" i="21"/>
  <c r="GE162" i="21"/>
  <c r="GF162" i="21"/>
  <c r="GG162" i="21"/>
  <c r="GH162" i="21"/>
  <c r="GI162" i="21"/>
  <c r="GJ162" i="21"/>
  <c r="GK162" i="21"/>
  <c r="GL162" i="21"/>
  <c r="GM162" i="21"/>
  <c r="GN162" i="21"/>
  <c r="GO162" i="21"/>
  <c r="GD163" i="21"/>
  <c r="GE163" i="21"/>
  <c r="GF163" i="21"/>
  <c r="GG163" i="21"/>
  <c r="GH163" i="21"/>
  <c r="GI163" i="21"/>
  <c r="GJ163" i="21"/>
  <c r="GK163" i="21"/>
  <c r="GL163" i="21"/>
  <c r="GM163" i="21"/>
  <c r="GN163" i="21"/>
  <c r="GO163" i="21"/>
  <c r="GD164" i="21"/>
  <c r="GE164" i="21"/>
  <c r="GF164" i="21"/>
  <c r="GG164" i="21"/>
  <c r="GH164" i="21"/>
  <c r="GI164" i="21"/>
  <c r="GJ164" i="21"/>
  <c r="GK164" i="21"/>
  <c r="GL164" i="21"/>
  <c r="GM164" i="21"/>
  <c r="GN164" i="21"/>
  <c r="GO164" i="21"/>
  <c r="GD165" i="21"/>
  <c r="GE165" i="21"/>
  <c r="GF165" i="21"/>
  <c r="GG165" i="21"/>
  <c r="GH165" i="21"/>
  <c r="GI165" i="21"/>
  <c r="GJ165" i="21"/>
  <c r="GK165" i="21"/>
  <c r="GL165" i="21"/>
  <c r="GM165" i="21"/>
  <c r="GN165" i="21"/>
  <c r="GO165" i="21"/>
  <c r="GD166" i="21"/>
  <c r="GE166" i="21"/>
  <c r="GF166" i="21"/>
  <c r="GG166" i="21"/>
  <c r="GH166" i="21"/>
  <c r="GI166" i="21"/>
  <c r="GJ166" i="21"/>
  <c r="GK166" i="21"/>
  <c r="GL166" i="21"/>
  <c r="GM166" i="21"/>
  <c r="GN166" i="21"/>
  <c r="GO166" i="21"/>
  <c r="GD167" i="21"/>
  <c r="GE167" i="21"/>
  <c r="GF167" i="21"/>
  <c r="GG167" i="21"/>
  <c r="GH167" i="21"/>
  <c r="GI167" i="21"/>
  <c r="GJ167" i="21"/>
  <c r="GK167" i="21"/>
  <c r="GL167" i="21"/>
  <c r="GM167" i="21"/>
  <c r="GN167" i="21"/>
  <c r="GO167" i="21"/>
  <c r="GD168" i="21"/>
  <c r="GE168" i="21"/>
  <c r="GF168" i="21"/>
  <c r="GG168" i="21"/>
  <c r="GH168" i="21"/>
  <c r="GI168" i="21"/>
  <c r="GJ168" i="21"/>
  <c r="GK168" i="21"/>
  <c r="GL168" i="21"/>
  <c r="GM168" i="21"/>
  <c r="GN168" i="21"/>
  <c r="GO168" i="21"/>
  <c r="GD169" i="21"/>
  <c r="GE169" i="21"/>
  <c r="GF169" i="21"/>
  <c r="GG169" i="21"/>
  <c r="GH169" i="21"/>
  <c r="GI169" i="21"/>
  <c r="GJ169" i="21"/>
  <c r="GK169" i="21"/>
  <c r="GL169" i="21"/>
  <c r="GM169" i="21"/>
  <c r="GN169" i="21"/>
  <c r="GO169" i="21"/>
  <c r="GD170" i="21"/>
  <c r="GE170" i="21"/>
  <c r="GF170" i="21"/>
  <c r="GG170" i="21"/>
  <c r="GH170" i="21"/>
  <c r="GI170" i="21"/>
  <c r="GJ170" i="21"/>
  <c r="GK170" i="21"/>
  <c r="GL170" i="21"/>
  <c r="GM170" i="21"/>
  <c r="GN170" i="21"/>
  <c r="GO170" i="21"/>
  <c r="GD171" i="21"/>
  <c r="GE171" i="21"/>
  <c r="GF171" i="21"/>
  <c r="GG171" i="21"/>
  <c r="GH171" i="21"/>
  <c r="GI171" i="21"/>
  <c r="GJ171" i="21"/>
  <c r="GK171" i="21"/>
  <c r="GL171" i="21"/>
  <c r="GM171" i="21"/>
  <c r="GN171" i="21"/>
  <c r="GO171" i="21"/>
  <c r="GD172" i="21"/>
  <c r="GE172" i="21"/>
  <c r="GF172" i="21"/>
  <c r="GG172" i="21"/>
  <c r="GH172" i="21"/>
  <c r="GI172" i="21"/>
  <c r="GJ172" i="21"/>
  <c r="GK172" i="21"/>
  <c r="GL172" i="21"/>
  <c r="GM172" i="21"/>
  <c r="GN172" i="21"/>
  <c r="GO172" i="21"/>
  <c r="GD173" i="21"/>
  <c r="GE173" i="21"/>
  <c r="GF173" i="21"/>
  <c r="GG173" i="21"/>
  <c r="GH173" i="21"/>
  <c r="GI173" i="21"/>
  <c r="GJ173" i="21"/>
  <c r="GK173" i="21"/>
  <c r="GL173" i="21"/>
  <c r="GM173" i="21"/>
  <c r="GN173" i="21"/>
  <c r="GO173" i="21"/>
  <c r="GD174" i="21"/>
  <c r="GE174" i="21"/>
  <c r="GF174" i="21"/>
  <c r="GG174" i="21"/>
  <c r="GH174" i="21"/>
  <c r="GI174" i="21"/>
  <c r="GJ174" i="21"/>
  <c r="GK174" i="21"/>
  <c r="GL174" i="21"/>
  <c r="GM174" i="21"/>
  <c r="GN174" i="21"/>
  <c r="GO174" i="21"/>
  <c r="GD175" i="21"/>
  <c r="GE175" i="21"/>
  <c r="GF175" i="21"/>
  <c r="GG175" i="21"/>
  <c r="GH175" i="21"/>
  <c r="GI175" i="21"/>
  <c r="GJ175" i="21"/>
  <c r="GK175" i="21"/>
  <c r="GL175" i="21"/>
  <c r="GM175" i="21"/>
  <c r="GN175" i="21"/>
  <c r="GO175" i="21"/>
  <c r="GD176" i="21"/>
  <c r="GE176" i="21"/>
  <c r="GF176" i="21"/>
  <c r="GG176" i="21"/>
  <c r="GH176" i="21"/>
  <c r="GI176" i="21"/>
  <c r="GJ176" i="21"/>
  <c r="GK176" i="21"/>
  <c r="GL176" i="21"/>
  <c r="GM176" i="21"/>
  <c r="GN176" i="21"/>
  <c r="GO176" i="21"/>
  <c r="GD177" i="21"/>
  <c r="GE177" i="21"/>
  <c r="GF177" i="21"/>
  <c r="GG177" i="21"/>
  <c r="GH177" i="21"/>
  <c r="GI177" i="21"/>
  <c r="GJ177" i="21"/>
  <c r="GK177" i="21"/>
  <c r="GL177" i="21"/>
  <c r="GM177" i="21"/>
  <c r="GN177" i="21"/>
  <c r="GO177" i="21"/>
  <c r="GD178" i="21"/>
  <c r="GE178" i="21"/>
  <c r="GF178" i="21"/>
  <c r="GG178" i="21"/>
  <c r="GH178" i="21"/>
  <c r="GI178" i="21"/>
  <c r="GJ178" i="21"/>
  <c r="GK178" i="21"/>
  <c r="GL178" i="21"/>
  <c r="GM178" i="21"/>
  <c r="GN178" i="21"/>
  <c r="GO178" i="21"/>
  <c r="GD179" i="21"/>
  <c r="GE179" i="21"/>
  <c r="GF179" i="21"/>
  <c r="GG179" i="21"/>
  <c r="GH179" i="21"/>
  <c r="GI179" i="21"/>
  <c r="GJ179" i="21"/>
  <c r="GK179" i="21"/>
  <c r="GL179" i="21"/>
  <c r="GM179" i="21"/>
  <c r="GN179" i="21"/>
  <c r="GO179" i="21"/>
  <c r="GE5" i="21"/>
  <c r="GF5" i="21"/>
  <c r="GG5" i="21"/>
  <c r="GH5" i="21"/>
  <c r="GI5" i="21"/>
  <c r="GJ5" i="21"/>
  <c r="GK5" i="21"/>
  <c r="GL5" i="21"/>
  <c r="GM5" i="21"/>
  <c r="GN5" i="21"/>
  <c r="GO5" i="21"/>
  <c r="GD5" i="21"/>
  <c r="J18" i="60"/>
  <c r="J17" i="60"/>
  <c r="J16" i="60"/>
  <c r="J15" i="60"/>
  <c r="J14" i="60"/>
  <c r="J13" i="60"/>
  <c r="J12" i="60"/>
  <c r="J11" i="60"/>
  <c r="J10" i="60"/>
  <c r="J9" i="60"/>
  <c r="J8" i="60"/>
  <c r="T40" i="2"/>
  <c r="U40" i="2"/>
  <c r="V40" i="2"/>
  <c r="W40" i="2"/>
  <c r="X40" i="2"/>
  <c r="Y40" i="2"/>
  <c r="Z40" i="2"/>
  <c r="AA40" i="2"/>
  <c r="AB40" i="2"/>
  <c r="AC40" i="2"/>
  <c r="AD40" i="2"/>
  <c r="S40" i="2"/>
  <c r="E53" i="49" l="1"/>
  <c r="F13" i="47"/>
  <c r="F13" i="48" s="1"/>
  <c r="F13" i="49" l="1"/>
  <c r="C16" i="50" s="1"/>
  <c r="Q1" i="43"/>
  <c r="Y7" i="22" l="1"/>
  <c r="Y8" i="22"/>
  <c r="Y9" i="22"/>
  <c r="Y10" i="22"/>
  <c r="Y11" i="22"/>
  <c r="Y12" i="22"/>
  <c r="Y13" i="22"/>
  <c r="Y14" i="22"/>
  <c r="Y15" i="22"/>
  <c r="Y16" i="22"/>
  <c r="Y17" i="22"/>
  <c r="Y18" i="22"/>
  <c r="Y19" i="22"/>
  <c r="Y20" i="22"/>
  <c r="Y21" i="22"/>
  <c r="Y22" i="22"/>
  <c r="Y23" i="22"/>
  <c r="Y24" i="22"/>
  <c r="Y25" i="22"/>
  <c r="Y26" i="22"/>
  <c r="Y27" i="22"/>
  <c r="Y28" i="22"/>
  <c r="Y29" i="22"/>
  <c r="Y30" i="22"/>
  <c r="Y31" i="22"/>
  <c r="Y32" i="22"/>
  <c r="Y33" i="22"/>
  <c r="Y34" i="22"/>
  <c r="Y35" i="22"/>
  <c r="Y36" i="22"/>
  <c r="Y37" i="22"/>
  <c r="Y38" i="22"/>
  <c r="Y39" i="22"/>
  <c r="Y40" i="22"/>
  <c r="Y41" i="22"/>
  <c r="Y42" i="22"/>
  <c r="Y43" i="22"/>
  <c r="Y44" i="22"/>
  <c r="Y45" i="22"/>
  <c r="Y46" i="22"/>
  <c r="Y47" i="22"/>
  <c r="Y48" i="22"/>
  <c r="Y49" i="22"/>
  <c r="Y50" i="22"/>
  <c r="Y51" i="22"/>
  <c r="Y52" i="22"/>
  <c r="Y53" i="22"/>
  <c r="Y54" i="22"/>
  <c r="Y55" i="22"/>
  <c r="Y56" i="22"/>
  <c r="Y57" i="22"/>
  <c r="Y58" i="22"/>
  <c r="Y59" i="22"/>
  <c r="Y60" i="22"/>
  <c r="Y61" i="22"/>
  <c r="Y62" i="22"/>
  <c r="Y63" i="22"/>
  <c r="Y64" i="22"/>
  <c r="Y65" i="22"/>
  <c r="Y66" i="22"/>
  <c r="Y67" i="22"/>
  <c r="Y68" i="22"/>
  <c r="Y69" i="22"/>
  <c r="Y70" i="22"/>
  <c r="Y71" i="22"/>
  <c r="Y72" i="22"/>
  <c r="Y73" i="22"/>
  <c r="Y74" i="22"/>
  <c r="Y75" i="22"/>
  <c r="Y76" i="22"/>
  <c r="Y77" i="22"/>
  <c r="Y78" i="22"/>
  <c r="Y79" i="22"/>
  <c r="Y80" i="22"/>
  <c r="Y81" i="22"/>
  <c r="Y82" i="22"/>
  <c r="Y83" i="22"/>
  <c r="Y84" i="22"/>
  <c r="Y85" i="22"/>
  <c r="Y86" i="22"/>
  <c r="Y87" i="22"/>
  <c r="Y88" i="22"/>
  <c r="Y89" i="22"/>
  <c r="Y90" i="22"/>
  <c r="Y91" i="22"/>
  <c r="Y92" i="22"/>
  <c r="Y93" i="22"/>
  <c r="Y94" i="22"/>
  <c r="Y95" i="22"/>
  <c r="Y96" i="22"/>
  <c r="Y97" i="22"/>
  <c r="Y98" i="22"/>
  <c r="Y99" i="22"/>
  <c r="Y100" i="22"/>
  <c r="Y101" i="22"/>
  <c r="Y102" i="22"/>
  <c r="Y103" i="22"/>
  <c r="Y104" i="22"/>
  <c r="Y105" i="22"/>
  <c r="Y106" i="22"/>
  <c r="Y107" i="22"/>
  <c r="Y108" i="22"/>
  <c r="Y109" i="22"/>
  <c r="Y110" i="22"/>
  <c r="Y111" i="22"/>
  <c r="Y112" i="22"/>
  <c r="Y113" i="22"/>
  <c r="Y114" i="22"/>
  <c r="Y115" i="22"/>
  <c r="Y116" i="22"/>
  <c r="Y117" i="22"/>
  <c r="Y118" i="22"/>
  <c r="Y119" i="22"/>
  <c r="Y120" i="22"/>
  <c r="Y121" i="22"/>
  <c r="Y122" i="22"/>
  <c r="Y123" i="22"/>
  <c r="Y124" i="22"/>
  <c r="Y125" i="22"/>
  <c r="Y126" i="22"/>
  <c r="Y127" i="22"/>
  <c r="Y128" i="22"/>
  <c r="Y129" i="22"/>
  <c r="Y130" i="22"/>
  <c r="Y131" i="22"/>
  <c r="Y132" i="22"/>
  <c r="Y133" i="22"/>
  <c r="Y134" i="22"/>
  <c r="Y135" i="22"/>
  <c r="Y136" i="22"/>
  <c r="Y137" i="22"/>
  <c r="Y138" i="22"/>
  <c r="Y139" i="22"/>
  <c r="Y140" i="22"/>
  <c r="Y141" i="22"/>
  <c r="Y142" i="22"/>
  <c r="Y143" i="22"/>
  <c r="Y144" i="22"/>
  <c r="Y145" i="22"/>
  <c r="Y146" i="22"/>
  <c r="Y147" i="22"/>
  <c r="Y148" i="22"/>
  <c r="Y149" i="22"/>
  <c r="Y150" i="22"/>
  <c r="Y151" i="22"/>
  <c r="Y152" i="22"/>
  <c r="Y153" i="22"/>
  <c r="Y154" i="22"/>
  <c r="Y155" i="22"/>
  <c r="Y156" i="22"/>
  <c r="Y157" i="22"/>
  <c r="Y158" i="22"/>
  <c r="Y159" i="22"/>
  <c r="Y160" i="22"/>
  <c r="Y161" i="22"/>
  <c r="Y162" i="22"/>
  <c r="Y163" i="22"/>
  <c r="Y164" i="22"/>
  <c r="Y165" i="22"/>
  <c r="Y166" i="22"/>
  <c r="Y167" i="22"/>
  <c r="Y168" i="22"/>
  <c r="Y169" i="22"/>
  <c r="Y170" i="22"/>
  <c r="Y171" i="22"/>
  <c r="Y172" i="22"/>
  <c r="Y173" i="22"/>
  <c r="Y174" i="22"/>
  <c r="Y175" i="22"/>
  <c r="Y176" i="22"/>
  <c r="Y177" i="22"/>
  <c r="Y178" i="22"/>
  <c r="Y179" i="22"/>
  <c r="F12" i="21" l="1"/>
  <c r="D20" i="60" l="1"/>
  <c r="T20" i="60" s="1"/>
  <c r="D19" i="60"/>
  <c r="T19" i="60" s="1"/>
  <c r="F174" i="21"/>
  <c r="F175" i="21"/>
  <c r="F176" i="21"/>
  <c r="F177" i="21"/>
  <c r="F178" i="21"/>
  <c r="F179" i="21"/>
  <c r="F173" i="21"/>
  <c r="F172" i="21"/>
  <c r="F171" i="21"/>
  <c r="F170" i="21"/>
  <c r="F169" i="21"/>
  <c r="F168" i="21"/>
  <c r="F167" i="21"/>
  <c r="F166" i="21"/>
  <c r="F165" i="21"/>
  <c r="J164" i="21"/>
  <c r="F164" i="21"/>
  <c r="J163" i="21"/>
  <c r="F163" i="21"/>
  <c r="J162" i="21"/>
  <c r="F162" i="21"/>
  <c r="J161" i="21"/>
  <c r="F161" i="21"/>
  <c r="J160" i="21"/>
  <c r="F160" i="21"/>
  <c r="F159" i="21"/>
  <c r="F158" i="21"/>
  <c r="F157" i="21"/>
  <c r="F156" i="21"/>
  <c r="F155" i="21"/>
  <c r="F154" i="21"/>
  <c r="F153" i="21"/>
  <c r="F152" i="21"/>
  <c r="F151" i="21"/>
  <c r="F150" i="21"/>
  <c r="F149" i="21"/>
  <c r="F148" i="21"/>
  <c r="F147" i="21"/>
  <c r="F146" i="21"/>
  <c r="F145" i="21"/>
  <c r="F144" i="21"/>
  <c r="F143" i="21"/>
  <c r="F142" i="21"/>
  <c r="F141" i="21"/>
  <c r="F140" i="21"/>
  <c r="F139" i="21"/>
  <c r="F138" i="21"/>
  <c r="F137" i="21"/>
  <c r="F136" i="21"/>
  <c r="A3" i="24" l="1"/>
  <c r="B3" i="24"/>
  <c r="C3" i="24"/>
  <c r="D3" i="24"/>
  <c r="E3" i="24"/>
  <c r="G3" i="24"/>
  <c r="H3" i="24"/>
  <c r="I3" i="24"/>
  <c r="J3" i="24"/>
  <c r="K3" i="24"/>
  <c r="L3" i="24"/>
  <c r="F3" i="24"/>
  <c r="M3" i="24"/>
  <c r="N3" i="24"/>
  <c r="O3" i="24"/>
  <c r="P3" i="24"/>
  <c r="Q3" i="24"/>
  <c r="R3" i="24"/>
  <c r="S3" i="24"/>
  <c r="T3" i="24"/>
  <c r="U3" i="24"/>
  <c r="V3" i="24"/>
  <c r="W3" i="24"/>
  <c r="X3" i="24"/>
  <c r="Y3" i="24"/>
  <c r="Z3" i="24"/>
  <c r="AA3" i="24"/>
  <c r="AB3" i="24"/>
  <c r="AC3" i="24"/>
  <c r="AD3" i="24"/>
  <c r="AE3" i="24"/>
  <c r="AF3" i="24"/>
  <c r="AG3" i="24"/>
  <c r="AH3" i="24"/>
  <c r="AI3" i="24"/>
  <c r="P1" i="24" l="1"/>
  <c r="J1" i="24"/>
  <c r="N1" i="24"/>
  <c r="L1" i="24"/>
  <c r="R1" i="24"/>
  <c r="F1" i="24" l="1"/>
  <c r="D1" i="24" s="1"/>
  <c r="S38" i="2" l="1"/>
  <c r="S37" i="2" l="1"/>
  <c r="AA9" i="52" l="1"/>
  <c r="AA13" i="52"/>
  <c r="AA8" i="52"/>
  <c r="AA7" i="52"/>
  <c r="AA11" i="52"/>
  <c r="AQ8" i="52"/>
  <c r="AD8" i="52" s="1"/>
  <c r="AQ9" i="52"/>
  <c r="AD9" i="52" s="1"/>
  <c r="AQ10" i="52"/>
  <c r="AD10" i="52" s="1"/>
  <c r="AQ11" i="52"/>
  <c r="AD11" i="52" s="1"/>
  <c r="AQ12" i="52"/>
  <c r="AD12" i="52" s="1"/>
  <c r="AQ13" i="52"/>
  <c r="AD13" i="52" s="1"/>
  <c r="AQ14" i="52"/>
  <c r="AD14" i="52" s="1"/>
  <c r="AQ15" i="52"/>
  <c r="AD15" i="52" s="1"/>
  <c r="AQ16" i="52"/>
  <c r="AD16" i="52" s="1"/>
  <c r="AQ17" i="52"/>
  <c r="AD17" i="52" s="1"/>
  <c r="AQ18" i="52"/>
  <c r="AD18" i="52" s="1"/>
  <c r="AQ7" i="52"/>
  <c r="AD7" i="52" s="1"/>
  <c r="F6" i="21" l="1"/>
  <c r="F7" i="21"/>
  <c r="F8" i="21"/>
  <c r="F9" i="21"/>
  <c r="F10" i="21"/>
  <c r="F11" i="21"/>
  <c r="F13" i="21"/>
  <c r="F14" i="21"/>
  <c r="F15" i="21"/>
  <c r="F16" i="21"/>
  <c r="F17" i="21"/>
  <c r="F18" i="21"/>
  <c r="F19" i="21"/>
  <c r="F20" i="21"/>
  <c r="F21" i="21"/>
  <c r="F22" i="21"/>
  <c r="F23" i="21"/>
  <c r="F24" i="21"/>
  <c r="F25" i="21"/>
  <c r="F26" i="21"/>
  <c r="F27" i="21"/>
  <c r="F28" i="21"/>
  <c r="F29" i="21"/>
  <c r="F30" i="21"/>
  <c r="F31" i="21"/>
  <c r="F32" i="21"/>
  <c r="F33" i="21"/>
  <c r="F34" i="21"/>
  <c r="F35" i="21"/>
  <c r="F36" i="21"/>
  <c r="F37" i="21"/>
  <c r="F38" i="21"/>
  <c r="F39" i="21"/>
  <c r="F40" i="21"/>
  <c r="F41" i="21"/>
  <c r="F42" i="21"/>
  <c r="F43" i="21"/>
  <c r="F44" i="21"/>
  <c r="F45" i="21"/>
  <c r="F46" i="21"/>
  <c r="F47" i="21"/>
  <c r="F48" i="21"/>
  <c r="F49" i="21"/>
  <c r="F50" i="21"/>
  <c r="F51" i="21"/>
  <c r="F52" i="21"/>
  <c r="F53" i="21"/>
  <c r="F54" i="21"/>
  <c r="F55" i="21"/>
  <c r="F56" i="21"/>
  <c r="F57" i="21"/>
  <c r="F58" i="21"/>
  <c r="F59" i="21"/>
  <c r="F60" i="21"/>
  <c r="F61" i="21"/>
  <c r="F62" i="21"/>
  <c r="F63" i="21"/>
  <c r="F64" i="21"/>
  <c r="F65" i="21"/>
  <c r="F66" i="21"/>
  <c r="F67" i="21"/>
  <c r="F68" i="21"/>
  <c r="F69" i="21"/>
  <c r="F70" i="21"/>
  <c r="F71" i="21"/>
  <c r="F72" i="21"/>
  <c r="F73" i="21"/>
  <c r="F74" i="21"/>
  <c r="F75" i="21"/>
  <c r="F76" i="21"/>
  <c r="F77" i="21"/>
  <c r="F78" i="21"/>
  <c r="F79" i="21"/>
  <c r="F80" i="21"/>
  <c r="F81" i="21"/>
  <c r="F82" i="21"/>
  <c r="F83" i="21"/>
  <c r="F84" i="21"/>
  <c r="F85" i="21"/>
  <c r="F86" i="21"/>
  <c r="F87" i="21"/>
  <c r="F88" i="21"/>
  <c r="F89" i="21"/>
  <c r="F90" i="21"/>
  <c r="F91" i="21"/>
  <c r="F92" i="21"/>
  <c r="F93" i="21"/>
  <c r="F94" i="21"/>
  <c r="F95" i="21"/>
  <c r="F96" i="21"/>
  <c r="F97" i="21"/>
  <c r="F98" i="21"/>
  <c r="F99" i="21"/>
  <c r="F100" i="21"/>
  <c r="F101" i="21"/>
  <c r="F102" i="21"/>
  <c r="F103" i="21"/>
  <c r="F104" i="21"/>
  <c r="F105" i="21"/>
  <c r="F106" i="21"/>
  <c r="F107" i="21"/>
  <c r="F108" i="21"/>
  <c r="F109" i="21"/>
  <c r="F110" i="21"/>
  <c r="F111" i="21"/>
  <c r="F112" i="21"/>
  <c r="F113" i="21"/>
  <c r="F114" i="21"/>
  <c r="F115" i="21"/>
  <c r="F116" i="21"/>
  <c r="F117" i="21"/>
  <c r="F118" i="21"/>
  <c r="F119" i="21"/>
  <c r="F120" i="21"/>
  <c r="F121" i="21"/>
  <c r="F122" i="21"/>
  <c r="F123" i="21"/>
  <c r="F124" i="21"/>
  <c r="F125" i="21"/>
  <c r="F126" i="21"/>
  <c r="F127" i="21"/>
  <c r="F128" i="21"/>
  <c r="F129" i="21"/>
  <c r="F130" i="21"/>
  <c r="F131" i="21"/>
  <c r="F132" i="21"/>
  <c r="F133" i="21"/>
  <c r="F134" i="21"/>
  <c r="F135" i="21"/>
  <c r="F5" i="21"/>
  <c r="GT161" i="21" l="1"/>
  <c r="GT162" i="21"/>
  <c r="GT163" i="21"/>
  <c r="GT164" i="21"/>
  <c r="GT165" i="21"/>
  <c r="GT166" i="21"/>
  <c r="GT167" i="21"/>
  <c r="GT168" i="21"/>
  <c r="GT169" i="21"/>
  <c r="GT170" i="21"/>
  <c r="GT171" i="21"/>
  <c r="GT172" i="21"/>
  <c r="GT173" i="21"/>
  <c r="GT174" i="21"/>
  <c r="AC6" i="22" l="1"/>
  <c r="AD6" i="22"/>
  <c r="AE6" i="22"/>
  <c r="AC7" i="22"/>
  <c r="AD7" i="22"/>
  <c r="AE7" i="22"/>
  <c r="AC8" i="22"/>
  <c r="AD8" i="22"/>
  <c r="AE8" i="22"/>
  <c r="AC9" i="22"/>
  <c r="AD9" i="22"/>
  <c r="AE9" i="22"/>
  <c r="AC10" i="22"/>
  <c r="AD10" i="22"/>
  <c r="AE10" i="22"/>
  <c r="AC11" i="22"/>
  <c r="AD11" i="22"/>
  <c r="AE11" i="22"/>
  <c r="AC12" i="22"/>
  <c r="AD12" i="22"/>
  <c r="AE12" i="22"/>
  <c r="AC13" i="22"/>
  <c r="AD13" i="22"/>
  <c r="AE13" i="22"/>
  <c r="AC14" i="22"/>
  <c r="AD14" i="22"/>
  <c r="AE14" i="22"/>
  <c r="AC15" i="22"/>
  <c r="AD15" i="22"/>
  <c r="AE15" i="22"/>
  <c r="AC16" i="22"/>
  <c r="AD16" i="22"/>
  <c r="AE16" i="22"/>
  <c r="AC17" i="22"/>
  <c r="AD17" i="22"/>
  <c r="AE17" i="22"/>
  <c r="AC18" i="22"/>
  <c r="AD18" i="22"/>
  <c r="AE18" i="22"/>
  <c r="AC19" i="22"/>
  <c r="AD19" i="22"/>
  <c r="AE19" i="22"/>
  <c r="AC20" i="22"/>
  <c r="AD20" i="22"/>
  <c r="AE20" i="22"/>
  <c r="AC21" i="22"/>
  <c r="AD21" i="22"/>
  <c r="AE21" i="22"/>
  <c r="AC22" i="22"/>
  <c r="AD22" i="22"/>
  <c r="AE22" i="22"/>
  <c r="AC23" i="22"/>
  <c r="AD23" i="22"/>
  <c r="AE23" i="22"/>
  <c r="AC24" i="22"/>
  <c r="AD24" i="22"/>
  <c r="AE24" i="22"/>
  <c r="AC25" i="22"/>
  <c r="AD25" i="22"/>
  <c r="AE25" i="22"/>
  <c r="AC26" i="22"/>
  <c r="AD26" i="22"/>
  <c r="AE26" i="22"/>
  <c r="AC27" i="22"/>
  <c r="AD27" i="22"/>
  <c r="AE27" i="22"/>
  <c r="AC28" i="22"/>
  <c r="AD28" i="22"/>
  <c r="AE28" i="22"/>
  <c r="AC29" i="22"/>
  <c r="AD29" i="22"/>
  <c r="AE29" i="22"/>
  <c r="AC30" i="22"/>
  <c r="AD30" i="22"/>
  <c r="AE30" i="22"/>
  <c r="AC31" i="22"/>
  <c r="AD31" i="22"/>
  <c r="AE31" i="22"/>
  <c r="AC32" i="22"/>
  <c r="AD32" i="22"/>
  <c r="AE32" i="22"/>
  <c r="AC33" i="22"/>
  <c r="AD33" i="22"/>
  <c r="AE33" i="22"/>
  <c r="AC34" i="22"/>
  <c r="AD34" i="22"/>
  <c r="AE34" i="22"/>
  <c r="AC35" i="22"/>
  <c r="AD35" i="22"/>
  <c r="AE35" i="22"/>
  <c r="AC36" i="22"/>
  <c r="AD36" i="22"/>
  <c r="AE36" i="22"/>
  <c r="AC37" i="22"/>
  <c r="AD37" i="22"/>
  <c r="AE37" i="22"/>
  <c r="AC38" i="22"/>
  <c r="AD38" i="22"/>
  <c r="AE38" i="22"/>
  <c r="AC39" i="22"/>
  <c r="AD39" i="22"/>
  <c r="AE39" i="22"/>
  <c r="AC40" i="22"/>
  <c r="AD40" i="22"/>
  <c r="AE40" i="22"/>
  <c r="AC41" i="22"/>
  <c r="AD41" i="22"/>
  <c r="AE41" i="22"/>
  <c r="AC42" i="22"/>
  <c r="AD42" i="22"/>
  <c r="AE42" i="22"/>
  <c r="AC43" i="22"/>
  <c r="AD43" i="22"/>
  <c r="AE43" i="22"/>
  <c r="AC44" i="22"/>
  <c r="AD44" i="22"/>
  <c r="AE44" i="22"/>
  <c r="AC45" i="22"/>
  <c r="AD45" i="22"/>
  <c r="AE45" i="22"/>
  <c r="AC46" i="22"/>
  <c r="AD46" i="22"/>
  <c r="AE46" i="22"/>
  <c r="AC47" i="22"/>
  <c r="AD47" i="22"/>
  <c r="AE47" i="22"/>
  <c r="AC48" i="22"/>
  <c r="AD48" i="22"/>
  <c r="AE48" i="22"/>
  <c r="AC49" i="22"/>
  <c r="AD49" i="22"/>
  <c r="AE49" i="22"/>
  <c r="AC50" i="22"/>
  <c r="AD50" i="22"/>
  <c r="AE50" i="22"/>
  <c r="AC51" i="22"/>
  <c r="AD51" i="22"/>
  <c r="AE51" i="22"/>
  <c r="AC52" i="22"/>
  <c r="AD52" i="22"/>
  <c r="AE52" i="22"/>
  <c r="AC53" i="22"/>
  <c r="AD53" i="22"/>
  <c r="AE53" i="22"/>
  <c r="AC54" i="22"/>
  <c r="AD54" i="22"/>
  <c r="AE54" i="22"/>
  <c r="AC55" i="22"/>
  <c r="AD55" i="22"/>
  <c r="AE55" i="22"/>
  <c r="AC56" i="22"/>
  <c r="AD56" i="22"/>
  <c r="AE56" i="22"/>
  <c r="AC57" i="22"/>
  <c r="AD57" i="22"/>
  <c r="AE57" i="22"/>
  <c r="AC58" i="22"/>
  <c r="AD58" i="22"/>
  <c r="AE58" i="22"/>
  <c r="AC59" i="22"/>
  <c r="AD59" i="22"/>
  <c r="AE59" i="22"/>
  <c r="AC60" i="22"/>
  <c r="AD60" i="22"/>
  <c r="AE60" i="22"/>
  <c r="AC61" i="22"/>
  <c r="AD61" i="22"/>
  <c r="AE61" i="22"/>
  <c r="AC62" i="22"/>
  <c r="AD62" i="22"/>
  <c r="AE62" i="22"/>
  <c r="AC63" i="22"/>
  <c r="AD63" i="22"/>
  <c r="AE63" i="22"/>
  <c r="AC64" i="22"/>
  <c r="AD64" i="22"/>
  <c r="AE64" i="22"/>
  <c r="AC65" i="22"/>
  <c r="AD65" i="22"/>
  <c r="AE65" i="22"/>
  <c r="AC66" i="22"/>
  <c r="AD66" i="22"/>
  <c r="AE66" i="22"/>
  <c r="AC67" i="22"/>
  <c r="AD67" i="22"/>
  <c r="AE67" i="22"/>
  <c r="AC68" i="22"/>
  <c r="AD68" i="22"/>
  <c r="AE68" i="22"/>
  <c r="AC69" i="22"/>
  <c r="AD69" i="22"/>
  <c r="AE69" i="22"/>
  <c r="AC70" i="22"/>
  <c r="AD70" i="22"/>
  <c r="AE70" i="22"/>
  <c r="AC71" i="22"/>
  <c r="AD71" i="22"/>
  <c r="AE71" i="22"/>
  <c r="AC72" i="22"/>
  <c r="AD72" i="22"/>
  <c r="AE72" i="22"/>
  <c r="AC73" i="22"/>
  <c r="AD73" i="22"/>
  <c r="AE73" i="22"/>
  <c r="AC74" i="22"/>
  <c r="AD74" i="22"/>
  <c r="AE74" i="22"/>
  <c r="AC75" i="22"/>
  <c r="AD75" i="22"/>
  <c r="AE75" i="22"/>
  <c r="AC76" i="22"/>
  <c r="AD76" i="22"/>
  <c r="AE76" i="22"/>
  <c r="AC77" i="22"/>
  <c r="AD77" i="22"/>
  <c r="AE77" i="22"/>
  <c r="AC78" i="22"/>
  <c r="AD78" i="22"/>
  <c r="AE78" i="22"/>
  <c r="AC79" i="22"/>
  <c r="AD79" i="22"/>
  <c r="AE79" i="22"/>
  <c r="AC80" i="22"/>
  <c r="AD80" i="22"/>
  <c r="AE80" i="22"/>
  <c r="AC81" i="22"/>
  <c r="AD81" i="22"/>
  <c r="AE81" i="22"/>
  <c r="AC82" i="22"/>
  <c r="AD82" i="22"/>
  <c r="AE82" i="22"/>
  <c r="AC83" i="22"/>
  <c r="AD83" i="22"/>
  <c r="AE83" i="22"/>
  <c r="AC84" i="22"/>
  <c r="AD84" i="22"/>
  <c r="AE84" i="22"/>
  <c r="AC85" i="22"/>
  <c r="AD85" i="22"/>
  <c r="AE85" i="22"/>
  <c r="AC86" i="22"/>
  <c r="AD86" i="22"/>
  <c r="AE86" i="22"/>
  <c r="AC87" i="22"/>
  <c r="AD87" i="22"/>
  <c r="AE87" i="22"/>
  <c r="AC88" i="22"/>
  <c r="AD88" i="22"/>
  <c r="AE88" i="22"/>
  <c r="AC89" i="22"/>
  <c r="AD89" i="22"/>
  <c r="AE89" i="22"/>
  <c r="AC90" i="22"/>
  <c r="AD90" i="22"/>
  <c r="AE90" i="22"/>
  <c r="AC91" i="22"/>
  <c r="AD91" i="22"/>
  <c r="AE91" i="22"/>
  <c r="AC92" i="22"/>
  <c r="AD92" i="22"/>
  <c r="AE92" i="22"/>
  <c r="AC93" i="22"/>
  <c r="AD93" i="22"/>
  <c r="AE93" i="22"/>
  <c r="AC94" i="22"/>
  <c r="AD94" i="22"/>
  <c r="AE94" i="22"/>
  <c r="AC95" i="22"/>
  <c r="AD95" i="22"/>
  <c r="AE95" i="22"/>
  <c r="AC96" i="22"/>
  <c r="AD96" i="22"/>
  <c r="AE96" i="22"/>
  <c r="AC97" i="22"/>
  <c r="AD97" i="22"/>
  <c r="AE97" i="22"/>
  <c r="AC98" i="22"/>
  <c r="AD98" i="22"/>
  <c r="AE98" i="22"/>
  <c r="AC99" i="22"/>
  <c r="AD99" i="22"/>
  <c r="AE99" i="22"/>
  <c r="AC100" i="22"/>
  <c r="AD100" i="22"/>
  <c r="AE100" i="22"/>
  <c r="AC101" i="22"/>
  <c r="AD101" i="22"/>
  <c r="AE101" i="22"/>
  <c r="AC102" i="22"/>
  <c r="AD102" i="22"/>
  <c r="AE102" i="22"/>
  <c r="AC103" i="22"/>
  <c r="AD103" i="22"/>
  <c r="AE103" i="22"/>
  <c r="AC104" i="22"/>
  <c r="AD104" i="22"/>
  <c r="AE104" i="22"/>
  <c r="AC105" i="22"/>
  <c r="AD105" i="22"/>
  <c r="AE105" i="22"/>
  <c r="AC106" i="22"/>
  <c r="AD106" i="22"/>
  <c r="AE106" i="22"/>
  <c r="AC107" i="22"/>
  <c r="AD107" i="22"/>
  <c r="AE107" i="22"/>
  <c r="AC108" i="22"/>
  <c r="AD108" i="22"/>
  <c r="AE108" i="22"/>
  <c r="AC109" i="22"/>
  <c r="AD109" i="22"/>
  <c r="AE109" i="22"/>
  <c r="AC110" i="22"/>
  <c r="AD110" i="22"/>
  <c r="AE110" i="22"/>
  <c r="AC111" i="22"/>
  <c r="AD111" i="22"/>
  <c r="AE111" i="22"/>
  <c r="AC112" i="22"/>
  <c r="AD112" i="22"/>
  <c r="AE112" i="22"/>
  <c r="AC113" i="22"/>
  <c r="AD113" i="22"/>
  <c r="AE113" i="22"/>
  <c r="AC114" i="22"/>
  <c r="AD114" i="22"/>
  <c r="AE114" i="22"/>
  <c r="AC115" i="22"/>
  <c r="AD115" i="22"/>
  <c r="AE115" i="22"/>
  <c r="AC116" i="22"/>
  <c r="AD116" i="22"/>
  <c r="AE116" i="22"/>
  <c r="AC117" i="22"/>
  <c r="AD117" i="22"/>
  <c r="AE117" i="22"/>
  <c r="AC118" i="22"/>
  <c r="AD118" i="22"/>
  <c r="AE118" i="22"/>
  <c r="AC119" i="22"/>
  <c r="AD119" i="22"/>
  <c r="AE119" i="22"/>
  <c r="AC120" i="22"/>
  <c r="AD120" i="22"/>
  <c r="AE120" i="22"/>
  <c r="AC121" i="22"/>
  <c r="AD121" i="22"/>
  <c r="AE121" i="22"/>
  <c r="AC122" i="22"/>
  <c r="AD122" i="22"/>
  <c r="AE122" i="22"/>
  <c r="AC123" i="22"/>
  <c r="AD123" i="22"/>
  <c r="AE123" i="22"/>
  <c r="AC124" i="22"/>
  <c r="AD124" i="22"/>
  <c r="AE124" i="22"/>
  <c r="AC125" i="22"/>
  <c r="AD125" i="22"/>
  <c r="AE125" i="22"/>
  <c r="AC126" i="22"/>
  <c r="AD126" i="22"/>
  <c r="AE126" i="22"/>
  <c r="AC127" i="22"/>
  <c r="AD127" i="22"/>
  <c r="AE127" i="22"/>
  <c r="AC128" i="22"/>
  <c r="AD128" i="22"/>
  <c r="AE128" i="22"/>
  <c r="AC129" i="22"/>
  <c r="AD129" i="22"/>
  <c r="AE129" i="22"/>
  <c r="AC130" i="22"/>
  <c r="AD130" i="22"/>
  <c r="AE130" i="22"/>
  <c r="AC131" i="22"/>
  <c r="AD131" i="22"/>
  <c r="AE131" i="22"/>
  <c r="AC132" i="22"/>
  <c r="AD132" i="22"/>
  <c r="AE132" i="22"/>
  <c r="AC133" i="22"/>
  <c r="AD133" i="22"/>
  <c r="AE133" i="22"/>
  <c r="AC134" i="22"/>
  <c r="AD134" i="22"/>
  <c r="AE134" i="22"/>
  <c r="AC135" i="22"/>
  <c r="AD135" i="22"/>
  <c r="AE135" i="22"/>
  <c r="AC136" i="22"/>
  <c r="AD136" i="22"/>
  <c r="AE136" i="22"/>
  <c r="AC137" i="22"/>
  <c r="AD137" i="22"/>
  <c r="AE137" i="22"/>
  <c r="AC138" i="22"/>
  <c r="AD138" i="22"/>
  <c r="AE138" i="22"/>
  <c r="AC139" i="22"/>
  <c r="AD139" i="22"/>
  <c r="AE139" i="22"/>
  <c r="AC140" i="22"/>
  <c r="AD140" i="22"/>
  <c r="AE140" i="22"/>
  <c r="AC141" i="22"/>
  <c r="AD141" i="22"/>
  <c r="AE141" i="22"/>
  <c r="AC142" i="22"/>
  <c r="AD142" i="22"/>
  <c r="AE142" i="22"/>
  <c r="AC143" i="22"/>
  <c r="AD143" i="22"/>
  <c r="AE143" i="22"/>
  <c r="AC144" i="22"/>
  <c r="AD144" i="22"/>
  <c r="AE144" i="22"/>
  <c r="AC145" i="22"/>
  <c r="AD145" i="22"/>
  <c r="AE145" i="22"/>
  <c r="AC146" i="22"/>
  <c r="AD146" i="22"/>
  <c r="AE146" i="22"/>
  <c r="AC147" i="22"/>
  <c r="AD147" i="22"/>
  <c r="AE147" i="22"/>
  <c r="AC148" i="22"/>
  <c r="AD148" i="22"/>
  <c r="AE148" i="22"/>
  <c r="AC149" i="22"/>
  <c r="AD149" i="22"/>
  <c r="AE149" i="22"/>
  <c r="AC150" i="22"/>
  <c r="AD150" i="22"/>
  <c r="AE150" i="22"/>
  <c r="AC151" i="22"/>
  <c r="AD151" i="22"/>
  <c r="AE151" i="22"/>
  <c r="AC152" i="22"/>
  <c r="AD152" i="22"/>
  <c r="AE152" i="22"/>
  <c r="AC153" i="22"/>
  <c r="AD153" i="22"/>
  <c r="AE153" i="22"/>
  <c r="AC154" i="22"/>
  <c r="AD154" i="22"/>
  <c r="AE154" i="22"/>
  <c r="AC155" i="22"/>
  <c r="AD155" i="22"/>
  <c r="AE155" i="22"/>
  <c r="AC156" i="22"/>
  <c r="AD156" i="22"/>
  <c r="AE156" i="22"/>
  <c r="AC157" i="22"/>
  <c r="AD157" i="22"/>
  <c r="AE157" i="22"/>
  <c r="AC158" i="22"/>
  <c r="AD158" i="22"/>
  <c r="AE158" i="22"/>
  <c r="AC159" i="22"/>
  <c r="AD159" i="22"/>
  <c r="AE159" i="22"/>
  <c r="AC160" i="22"/>
  <c r="AD160" i="22"/>
  <c r="AE160" i="22"/>
  <c r="AC161" i="22"/>
  <c r="AD161" i="22"/>
  <c r="AE161" i="22"/>
  <c r="AC162" i="22"/>
  <c r="AD162" i="22"/>
  <c r="AE162" i="22"/>
  <c r="AC163" i="22"/>
  <c r="AD163" i="22"/>
  <c r="AE163" i="22"/>
  <c r="AC164" i="22"/>
  <c r="AD164" i="22"/>
  <c r="AE164" i="22"/>
  <c r="AC165" i="22"/>
  <c r="AD165" i="22"/>
  <c r="AE165" i="22"/>
  <c r="AC166" i="22"/>
  <c r="AD166" i="22"/>
  <c r="AE166" i="22"/>
  <c r="AC167" i="22"/>
  <c r="AD167" i="22"/>
  <c r="AE167" i="22"/>
  <c r="AC168" i="22"/>
  <c r="AD168" i="22"/>
  <c r="AE168" i="22"/>
  <c r="AC169" i="22"/>
  <c r="AD169" i="22"/>
  <c r="AE169" i="22"/>
  <c r="AC175" i="22"/>
  <c r="AD175" i="22"/>
  <c r="AE175" i="22"/>
  <c r="AC176" i="22"/>
  <c r="AD176" i="22"/>
  <c r="AE176" i="22"/>
  <c r="AC177" i="22"/>
  <c r="AD177" i="22"/>
  <c r="AE177" i="22"/>
  <c r="AC178" i="22"/>
  <c r="AD178" i="22"/>
  <c r="AE178" i="22"/>
  <c r="AE5" i="22"/>
  <c r="AD5" i="22"/>
  <c r="AC5" i="22"/>
  <c r="Y6" i="22"/>
  <c r="Y5" i="22"/>
  <c r="W5" i="22"/>
  <c r="U5" i="22"/>
  <c r="R29" i="52" l="1"/>
  <c r="S29" i="52"/>
  <c r="T29" i="52"/>
  <c r="U29" i="52"/>
  <c r="V29" i="52"/>
  <c r="W29" i="52"/>
  <c r="X29" i="52"/>
  <c r="Z29" i="52"/>
  <c r="R30" i="52"/>
  <c r="S30" i="52"/>
  <c r="T30" i="52"/>
  <c r="U30" i="52"/>
  <c r="V30" i="52"/>
  <c r="W30" i="52"/>
  <c r="X30" i="52"/>
  <c r="Z30" i="52"/>
  <c r="Q30" i="52"/>
  <c r="Q29" i="52"/>
  <c r="AN8" i="52"/>
  <c r="AN9" i="52"/>
  <c r="AN10" i="52"/>
  <c r="AN11" i="52"/>
  <c r="AN12" i="52"/>
  <c r="AN13" i="52"/>
  <c r="AN14" i="52"/>
  <c r="AN15" i="52"/>
  <c r="AN16" i="52"/>
  <c r="AN17" i="52"/>
  <c r="AN18" i="52"/>
  <c r="AN7" i="52"/>
  <c r="AK8" i="52"/>
  <c r="AK9" i="52"/>
  <c r="AK10" i="52"/>
  <c r="AK11" i="52"/>
  <c r="AK12" i="52"/>
  <c r="AK13" i="52"/>
  <c r="AK14" i="52"/>
  <c r="AK15" i="52"/>
  <c r="AK16" i="52"/>
  <c r="AK17" i="52"/>
  <c r="AK18" i="52"/>
  <c r="AK7" i="52"/>
  <c r="AJ8" i="52"/>
  <c r="AJ9" i="52"/>
  <c r="AJ10" i="52"/>
  <c r="AJ11" i="52"/>
  <c r="AJ12" i="52"/>
  <c r="AJ13" i="52"/>
  <c r="AJ14" i="52"/>
  <c r="AJ15" i="52"/>
  <c r="AJ16" i="52"/>
  <c r="AJ17" i="52"/>
  <c r="AJ18" i="52"/>
  <c r="AJ7" i="52"/>
  <c r="V5" i="52"/>
  <c r="T5" i="52"/>
  <c r="R5" i="52"/>
  <c r="Q5" i="52"/>
  <c r="S5" i="52" l="1"/>
  <c r="X5" i="52"/>
  <c r="U5" i="52"/>
  <c r="W5" i="52"/>
  <c r="Z5" i="52" l="1"/>
  <c r="T37" i="2"/>
  <c r="M5" i="2"/>
  <c r="Q5" i="2" s="1"/>
  <c r="I42" i="2" l="1"/>
  <c r="I43" i="2" s="1"/>
  <c r="J40" i="2"/>
  <c r="C13" i="60" s="1"/>
  <c r="K39" i="2"/>
  <c r="I38" i="2"/>
  <c r="I37" i="2"/>
  <c r="I36" i="2" s="1"/>
  <c r="I35" i="2"/>
  <c r="I34" i="2"/>
  <c r="I33" i="2"/>
  <c r="I32" i="2"/>
  <c r="I31" i="2"/>
  <c r="I30" i="2"/>
  <c r="H39" i="2"/>
  <c r="F31" i="2"/>
  <c r="G37" i="2"/>
  <c r="G36" i="2" s="1"/>
  <c r="J42" i="2"/>
  <c r="J43" i="2" s="1"/>
  <c r="K40" i="2"/>
  <c r="C14" i="60" s="1"/>
  <c r="L39" i="2"/>
  <c r="J38" i="2"/>
  <c r="J37" i="2"/>
  <c r="J36" i="2" s="1"/>
  <c r="J35" i="2"/>
  <c r="J34" i="2"/>
  <c r="J33" i="2"/>
  <c r="J32" i="2"/>
  <c r="J31" i="2"/>
  <c r="J30" i="2"/>
  <c r="F33" i="2"/>
  <c r="G32" i="2"/>
  <c r="K42" i="2"/>
  <c r="K43" i="2" s="1"/>
  <c r="L40" i="2"/>
  <c r="C15" i="60" s="1"/>
  <c r="M39" i="2"/>
  <c r="K38" i="2"/>
  <c r="K37" i="2"/>
  <c r="K36" i="2" s="1"/>
  <c r="K35" i="2"/>
  <c r="K34" i="2"/>
  <c r="K33" i="2"/>
  <c r="K32" i="2"/>
  <c r="K31" i="2"/>
  <c r="K30" i="2"/>
  <c r="F42" i="2"/>
  <c r="F43" i="2" s="1"/>
  <c r="G42" i="2"/>
  <c r="G43" i="2" s="1"/>
  <c r="G30" i="2"/>
  <c r="L42" i="2"/>
  <c r="L43" i="2" s="1"/>
  <c r="M40" i="2"/>
  <c r="C16" i="60" s="1"/>
  <c r="N39" i="2"/>
  <c r="L38" i="2"/>
  <c r="L37" i="2"/>
  <c r="L36" i="2" s="1"/>
  <c r="L35" i="2"/>
  <c r="L34" i="2"/>
  <c r="L33" i="2"/>
  <c r="L32" i="2"/>
  <c r="L31" i="2"/>
  <c r="L30" i="2"/>
  <c r="G40" i="2"/>
  <c r="C10" i="60" s="1"/>
  <c r="E10" i="60" s="1"/>
  <c r="F30" i="2"/>
  <c r="G35" i="2"/>
  <c r="M42" i="2"/>
  <c r="M43" i="2" s="1"/>
  <c r="N40" i="2"/>
  <c r="C17" i="60" s="1"/>
  <c r="O39" i="2"/>
  <c r="M38" i="2"/>
  <c r="M37" i="2"/>
  <c r="M36" i="2" s="1"/>
  <c r="M35" i="2"/>
  <c r="M34" i="2"/>
  <c r="M33" i="2"/>
  <c r="M32" i="2"/>
  <c r="M31" i="2"/>
  <c r="M30" i="2"/>
  <c r="F35" i="2"/>
  <c r="G33" i="2"/>
  <c r="N42" i="2"/>
  <c r="N43" i="2" s="1"/>
  <c r="O40" i="2"/>
  <c r="C18" i="60" s="1"/>
  <c r="P39" i="2"/>
  <c r="N38" i="2"/>
  <c r="N37" i="2"/>
  <c r="N36" i="2" s="1"/>
  <c r="N35" i="2"/>
  <c r="N34" i="2"/>
  <c r="N33" i="2"/>
  <c r="N32" i="2"/>
  <c r="N31" i="2"/>
  <c r="N30" i="2"/>
  <c r="F38" i="2"/>
  <c r="G38" i="2"/>
  <c r="O42" i="2"/>
  <c r="O43" i="2" s="1"/>
  <c r="P40" i="2"/>
  <c r="C19" i="60" s="1"/>
  <c r="E19" i="60" s="1"/>
  <c r="Q39" i="2"/>
  <c r="O38" i="2"/>
  <c r="O37" i="2"/>
  <c r="O36" i="2" s="1"/>
  <c r="O35" i="2"/>
  <c r="O34" i="2"/>
  <c r="O33" i="2"/>
  <c r="O32" i="2"/>
  <c r="O31" i="2"/>
  <c r="O30" i="2"/>
  <c r="G31" i="2"/>
  <c r="P42" i="2"/>
  <c r="P43" i="2" s="1"/>
  <c r="Q40" i="2"/>
  <c r="C20" i="60" s="1"/>
  <c r="E20" i="60" s="1"/>
  <c r="F40" i="2"/>
  <c r="P38" i="2"/>
  <c r="P37" i="2"/>
  <c r="P36" i="2" s="1"/>
  <c r="P35" i="2"/>
  <c r="P34" i="2"/>
  <c r="P33" i="2"/>
  <c r="P32" i="2"/>
  <c r="P31" i="2"/>
  <c r="P30" i="2"/>
  <c r="F34" i="2"/>
  <c r="G34" i="2"/>
  <c r="Q42" i="2"/>
  <c r="Q43" i="2" s="1"/>
  <c r="G39" i="2"/>
  <c r="F39" i="2"/>
  <c r="Q38" i="2"/>
  <c r="Q37" i="2"/>
  <c r="Q36" i="2" s="1"/>
  <c r="Q35" i="2"/>
  <c r="Q34" i="2"/>
  <c r="Q33" i="2"/>
  <c r="Q32" i="2"/>
  <c r="Q31" i="2"/>
  <c r="Q30" i="2"/>
  <c r="F37" i="2"/>
  <c r="F36" i="2" s="1"/>
  <c r="H40" i="2"/>
  <c r="C11" i="60" s="1"/>
  <c r="E11" i="60" s="1"/>
  <c r="H42" i="2"/>
  <c r="H43" i="2" s="1"/>
  <c r="I40" i="2"/>
  <c r="C12" i="60" s="1"/>
  <c r="E12" i="60" s="1"/>
  <c r="J39" i="2"/>
  <c r="H38" i="2"/>
  <c r="H37" i="2"/>
  <c r="H36" i="2" s="1"/>
  <c r="H35" i="2"/>
  <c r="H34" i="2"/>
  <c r="H33" i="2"/>
  <c r="H32" i="2"/>
  <c r="H31" i="2"/>
  <c r="H30" i="2"/>
  <c r="F32" i="2"/>
  <c r="I39" i="2"/>
  <c r="E22" i="47"/>
  <c r="E24" i="47" s="1"/>
  <c r="E26" i="47" s="1"/>
  <c r="E28" i="47" s="1"/>
  <c r="E30" i="47" s="1"/>
  <c r="E32" i="47" s="1"/>
  <c r="E34" i="47" s="1"/>
  <c r="F9" i="2"/>
  <c r="H7" i="60"/>
  <c r="U37" i="2"/>
  <c r="I7" i="37"/>
  <c r="J7" i="37"/>
  <c r="K7" i="37"/>
  <c r="I8" i="37"/>
  <c r="J8" i="37"/>
  <c r="K8" i="37"/>
  <c r="I9" i="37"/>
  <c r="J9" i="37"/>
  <c r="K9" i="37"/>
  <c r="C31" i="60" l="1"/>
  <c r="A4" i="60" s="1"/>
  <c r="C9" i="60"/>
  <c r="E9" i="60" s="1"/>
  <c r="E15" i="60"/>
  <c r="E14" i="60"/>
  <c r="E18" i="60"/>
  <c r="E17" i="60"/>
  <c r="E16" i="60"/>
  <c r="E13" i="60"/>
  <c r="L41" i="2"/>
  <c r="I41" i="2"/>
  <c r="J41" i="2"/>
  <c r="F41" i="2"/>
  <c r="P41" i="2"/>
  <c r="M41" i="2"/>
  <c r="O41" i="2"/>
  <c r="G41" i="2"/>
  <c r="Q41" i="2"/>
  <c r="N41" i="2"/>
  <c r="K41" i="2"/>
  <c r="H41" i="2"/>
  <c r="D10" i="60"/>
  <c r="T10" i="60" s="1"/>
  <c r="D11" i="60"/>
  <c r="T11" i="60" s="1"/>
  <c r="D12" i="60"/>
  <c r="T12" i="60" s="1"/>
  <c r="D13" i="60"/>
  <c r="T13" i="60" s="1"/>
  <c r="D14" i="60"/>
  <c r="T14" i="60" s="1"/>
  <c r="D15" i="60"/>
  <c r="T15" i="60" s="1"/>
  <c r="D16" i="60"/>
  <c r="T16" i="60" s="1"/>
  <c r="D17" i="60"/>
  <c r="T17" i="60" s="1"/>
  <c r="D18" i="60"/>
  <c r="T18" i="60" s="1"/>
  <c r="D9" i="60"/>
  <c r="T9" i="60" s="1"/>
  <c r="E38" i="47"/>
  <c r="E36" i="47"/>
  <c r="F19" i="60"/>
  <c r="F20" i="60"/>
  <c r="V37" i="2"/>
  <c r="AC23" i="3"/>
  <c r="AD23" i="3"/>
  <c r="AE23" i="3"/>
  <c r="AF23" i="3"/>
  <c r="AG23" i="3"/>
  <c r="AH23" i="3"/>
  <c r="AI23" i="3"/>
  <c r="AJ23" i="3"/>
  <c r="AK23" i="3"/>
  <c r="AL23" i="3"/>
  <c r="AM23" i="3"/>
  <c r="AN23" i="3"/>
  <c r="AC24" i="3"/>
  <c r="AD24" i="3"/>
  <c r="AE24" i="3"/>
  <c r="AF24" i="3"/>
  <c r="AG24" i="3"/>
  <c r="AH24" i="3"/>
  <c r="AI24" i="3"/>
  <c r="AJ24" i="3"/>
  <c r="AK24" i="3"/>
  <c r="AL24" i="3"/>
  <c r="AM24" i="3"/>
  <c r="AN24" i="3"/>
  <c r="AC25" i="3"/>
  <c r="AD25" i="3"/>
  <c r="AE25" i="3"/>
  <c r="AF25" i="3"/>
  <c r="AG25" i="3"/>
  <c r="AH25" i="3"/>
  <c r="AI25" i="3"/>
  <c r="AJ25" i="3"/>
  <c r="AK25" i="3"/>
  <c r="AL25" i="3"/>
  <c r="AM25" i="3"/>
  <c r="AN25" i="3"/>
  <c r="AC26" i="3"/>
  <c r="AD26" i="3"/>
  <c r="AE26" i="3"/>
  <c r="AF26" i="3"/>
  <c r="AG26" i="3"/>
  <c r="AH26" i="3"/>
  <c r="AI26" i="3"/>
  <c r="AJ26" i="3"/>
  <c r="AK26" i="3"/>
  <c r="AL26" i="3"/>
  <c r="AM26" i="3"/>
  <c r="AN26" i="3"/>
  <c r="AC27" i="3"/>
  <c r="AD27" i="3"/>
  <c r="AE27" i="3"/>
  <c r="AF27" i="3"/>
  <c r="AG27" i="3"/>
  <c r="AH27" i="3"/>
  <c r="AI27" i="3"/>
  <c r="AJ27" i="3"/>
  <c r="AK27" i="3"/>
  <c r="AL27" i="3"/>
  <c r="AM27" i="3"/>
  <c r="AN27" i="3"/>
  <c r="AC28" i="3"/>
  <c r="AD28" i="3"/>
  <c r="AE28" i="3"/>
  <c r="AF28" i="3"/>
  <c r="AG28" i="3"/>
  <c r="AH28" i="3"/>
  <c r="AI28" i="3"/>
  <c r="AJ28" i="3"/>
  <c r="AK28" i="3"/>
  <c r="AL28" i="3"/>
  <c r="AM28" i="3"/>
  <c r="AN28" i="3"/>
  <c r="AC29" i="3"/>
  <c r="AD29" i="3"/>
  <c r="AE29" i="3"/>
  <c r="AF29" i="3"/>
  <c r="AG29" i="3"/>
  <c r="AH29" i="3"/>
  <c r="AI29" i="3"/>
  <c r="AJ29" i="3"/>
  <c r="AK29" i="3"/>
  <c r="AL29" i="3"/>
  <c r="AM29" i="3"/>
  <c r="AN29" i="3"/>
  <c r="AC30" i="3"/>
  <c r="AD30" i="3"/>
  <c r="AE30" i="3"/>
  <c r="AF30" i="3"/>
  <c r="AG30" i="3"/>
  <c r="AH30" i="3"/>
  <c r="AI30" i="3"/>
  <c r="AJ30" i="3"/>
  <c r="AK30" i="3"/>
  <c r="AL30" i="3"/>
  <c r="AM30" i="3"/>
  <c r="AN30" i="3"/>
  <c r="AC31" i="3"/>
  <c r="AD31" i="3"/>
  <c r="AE31" i="3"/>
  <c r="AF31" i="3"/>
  <c r="AG31" i="3"/>
  <c r="AH31" i="3"/>
  <c r="AI31" i="3"/>
  <c r="AJ31" i="3"/>
  <c r="AK31" i="3"/>
  <c r="AL31" i="3"/>
  <c r="AM31" i="3"/>
  <c r="AN31" i="3"/>
  <c r="AC32" i="3"/>
  <c r="AD32" i="3"/>
  <c r="AE32" i="3"/>
  <c r="AF32" i="3"/>
  <c r="AG32" i="3"/>
  <c r="AH32" i="3"/>
  <c r="AI32" i="3"/>
  <c r="AJ32" i="3"/>
  <c r="AK32" i="3"/>
  <c r="AL32" i="3"/>
  <c r="AM32" i="3"/>
  <c r="AN32" i="3"/>
  <c r="AC33" i="3"/>
  <c r="AD33" i="3"/>
  <c r="AE33" i="3"/>
  <c r="AF33" i="3"/>
  <c r="AG33" i="3"/>
  <c r="AH33" i="3"/>
  <c r="AI33" i="3"/>
  <c r="AJ33" i="3"/>
  <c r="AK33" i="3"/>
  <c r="AL33" i="3"/>
  <c r="AM33" i="3"/>
  <c r="AN33" i="3"/>
  <c r="AC34" i="3"/>
  <c r="AD34" i="3"/>
  <c r="AE34" i="3"/>
  <c r="AF34" i="3"/>
  <c r="AG34" i="3"/>
  <c r="AH34" i="3"/>
  <c r="AI34" i="3"/>
  <c r="AJ34" i="3"/>
  <c r="AK34" i="3"/>
  <c r="AL34" i="3"/>
  <c r="AM34" i="3"/>
  <c r="AN34" i="3"/>
  <c r="AC35" i="3"/>
  <c r="AD35" i="3"/>
  <c r="AE35" i="3"/>
  <c r="AF35" i="3"/>
  <c r="AG35" i="3"/>
  <c r="AH35" i="3"/>
  <c r="AI35" i="3"/>
  <c r="AJ35" i="3"/>
  <c r="AK35" i="3"/>
  <c r="AL35" i="3"/>
  <c r="AM35" i="3"/>
  <c r="AN35" i="3"/>
  <c r="AC36" i="3"/>
  <c r="AD36" i="3"/>
  <c r="AE36" i="3"/>
  <c r="AF36" i="3"/>
  <c r="AG36" i="3"/>
  <c r="AH36" i="3"/>
  <c r="AI36" i="3"/>
  <c r="AJ36" i="3"/>
  <c r="AK36" i="3"/>
  <c r="AL36" i="3"/>
  <c r="AM36" i="3"/>
  <c r="AN36" i="3"/>
  <c r="AC37" i="3"/>
  <c r="AD37" i="3"/>
  <c r="AE37" i="3"/>
  <c r="AF37" i="3"/>
  <c r="AG37" i="3"/>
  <c r="AH37" i="3"/>
  <c r="AI37" i="3"/>
  <c r="AJ37" i="3"/>
  <c r="AK37" i="3"/>
  <c r="AL37" i="3"/>
  <c r="AM37" i="3"/>
  <c r="AN37" i="3"/>
  <c r="AC38" i="3"/>
  <c r="AD38" i="3"/>
  <c r="AE38" i="3"/>
  <c r="AF38" i="3"/>
  <c r="AG38" i="3"/>
  <c r="AH38" i="3"/>
  <c r="AI38" i="3"/>
  <c r="AJ38" i="3"/>
  <c r="AK38" i="3"/>
  <c r="AL38" i="3"/>
  <c r="AM38" i="3"/>
  <c r="AN38" i="3"/>
  <c r="AC39" i="3"/>
  <c r="AD39" i="3"/>
  <c r="AE39" i="3"/>
  <c r="AF39" i="3"/>
  <c r="AG39" i="3"/>
  <c r="AH39" i="3"/>
  <c r="AI39" i="3"/>
  <c r="AJ39" i="3"/>
  <c r="AK39" i="3"/>
  <c r="AL39" i="3"/>
  <c r="AM39" i="3"/>
  <c r="AN39" i="3"/>
  <c r="AC40" i="3"/>
  <c r="AD40" i="3"/>
  <c r="AE40" i="3"/>
  <c r="AF40" i="3"/>
  <c r="AG40" i="3"/>
  <c r="AH40" i="3"/>
  <c r="AI40" i="3"/>
  <c r="AJ40" i="3"/>
  <c r="AK40" i="3"/>
  <c r="AL40" i="3"/>
  <c r="AM40" i="3"/>
  <c r="AN40" i="3"/>
  <c r="AC41" i="3"/>
  <c r="AD41" i="3"/>
  <c r="AE41" i="3"/>
  <c r="AF41" i="3"/>
  <c r="AG41" i="3"/>
  <c r="AH41" i="3"/>
  <c r="AI41" i="3"/>
  <c r="AJ41" i="3"/>
  <c r="AK41" i="3"/>
  <c r="AL41" i="3"/>
  <c r="AM41" i="3"/>
  <c r="AN41" i="3"/>
  <c r="AC42" i="3"/>
  <c r="AD42" i="3"/>
  <c r="AE42" i="3"/>
  <c r="AF42" i="3"/>
  <c r="AG42" i="3"/>
  <c r="AH42" i="3"/>
  <c r="AI42" i="3"/>
  <c r="AJ42" i="3"/>
  <c r="AK42" i="3"/>
  <c r="AL42" i="3"/>
  <c r="AM42" i="3"/>
  <c r="AN42" i="3"/>
  <c r="AC43" i="3"/>
  <c r="AD43" i="3"/>
  <c r="AE43" i="3"/>
  <c r="AF43" i="3"/>
  <c r="AG43" i="3"/>
  <c r="AH43" i="3"/>
  <c r="AI43" i="3"/>
  <c r="AJ43" i="3"/>
  <c r="AK43" i="3"/>
  <c r="AL43" i="3"/>
  <c r="AM43" i="3"/>
  <c r="AN43" i="3"/>
  <c r="AC44" i="3"/>
  <c r="AD44" i="3"/>
  <c r="AE44" i="3"/>
  <c r="AF44" i="3"/>
  <c r="AG44" i="3"/>
  <c r="AH44" i="3"/>
  <c r="AI44" i="3"/>
  <c r="AJ44" i="3"/>
  <c r="AK44" i="3"/>
  <c r="AL44" i="3"/>
  <c r="AM44" i="3"/>
  <c r="AN44" i="3"/>
  <c r="AC45" i="3"/>
  <c r="AD45" i="3"/>
  <c r="AE45" i="3"/>
  <c r="AF45" i="3"/>
  <c r="AG45" i="3"/>
  <c r="AH45" i="3"/>
  <c r="AI45" i="3"/>
  <c r="AJ45" i="3"/>
  <c r="AK45" i="3"/>
  <c r="AL45" i="3"/>
  <c r="AM45" i="3"/>
  <c r="AN45" i="3"/>
  <c r="AC46" i="3"/>
  <c r="AD46" i="3"/>
  <c r="AE46" i="3"/>
  <c r="AF46" i="3"/>
  <c r="AG46" i="3"/>
  <c r="AH46" i="3"/>
  <c r="AI46" i="3"/>
  <c r="AJ46" i="3"/>
  <c r="AK46" i="3"/>
  <c r="AL46" i="3"/>
  <c r="AM46" i="3"/>
  <c r="AN46" i="3"/>
  <c r="AC47" i="3"/>
  <c r="AD47" i="3"/>
  <c r="AE47" i="3"/>
  <c r="AF47" i="3"/>
  <c r="AG47" i="3"/>
  <c r="AH47" i="3"/>
  <c r="AI47" i="3"/>
  <c r="AJ47" i="3"/>
  <c r="AK47" i="3"/>
  <c r="AL47" i="3"/>
  <c r="AM47" i="3"/>
  <c r="AN47" i="3"/>
  <c r="AC48" i="3"/>
  <c r="AD48" i="3"/>
  <c r="AE48" i="3"/>
  <c r="AF48" i="3"/>
  <c r="AG48" i="3"/>
  <c r="AH48" i="3"/>
  <c r="AI48" i="3"/>
  <c r="AJ48" i="3"/>
  <c r="AK48" i="3"/>
  <c r="AL48" i="3"/>
  <c r="AM48" i="3"/>
  <c r="AN48" i="3"/>
  <c r="AC49" i="3"/>
  <c r="AD49" i="3"/>
  <c r="AE49" i="3"/>
  <c r="AF49" i="3"/>
  <c r="AG49" i="3"/>
  <c r="AH49" i="3"/>
  <c r="AI49" i="3"/>
  <c r="AJ49" i="3"/>
  <c r="AK49" i="3"/>
  <c r="AL49" i="3"/>
  <c r="AM49" i="3"/>
  <c r="AN49" i="3"/>
  <c r="AC50" i="3"/>
  <c r="AD50" i="3"/>
  <c r="AE50" i="3"/>
  <c r="AF50" i="3"/>
  <c r="AG50" i="3"/>
  <c r="AH50" i="3"/>
  <c r="AI50" i="3"/>
  <c r="AJ50" i="3"/>
  <c r="AK50" i="3"/>
  <c r="AL50" i="3"/>
  <c r="AM50" i="3"/>
  <c r="AN50" i="3"/>
  <c r="AC51" i="3"/>
  <c r="AD51" i="3"/>
  <c r="AE51" i="3"/>
  <c r="AF51" i="3"/>
  <c r="AG51" i="3"/>
  <c r="AH51" i="3"/>
  <c r="AI51" i="3"/>
  <c r="AJ51" i="3"/>
  <c r="AK51" i="3"/>
  <c r="AL51" i="3"/>
  <c r="AM51" i="3"/>
  <c r="AN51" i="3"/>
  <c r="AC52" i="3"/>
  <c r="AD52" i="3"/>
  <c r="AE52" i="3"/>
  <c r="AF52" i="3"/>
  <c r="AG52" i="3"/>
  <c r="AH52" i="3"/>
  <c r="AI52" i="3"/>
  <c r="AJ52" i="3"/>
  <c r="AK52" i="3"/>
  <c r="AL52" i="3"/>
  <c r="AM52" i="3"/>
  <c r="AN52" i="3"/>
  <c r="AC53" i="3"/>
  <c r="AD53" i="3"/>
  <c r="AE53" i="3"/>
  <c r="AF53" i="3"/>
  <c r="AG53" i="3"/>
  <c r="AH53" i="3"/>
  <c r="AI53" i="3"/>
  <c r="AJ53" i="3"/>
  <c r="AK53" i="3"/>
  <c r="AL53" i="3"/>
  <c r="AM53" i="3"/>
  <c r="AN53" i="3"/>
  <c r="AC54" i="3"/>
  <c r="AD54" i="3"/>
  <c r="AE54" i="3"/>
  <c r="AF54" i="3"/>
  <c r="AG54" i="3"/>
  <c r="AH54" i="3"/>
  <c r="AI54" i="3"/>
  <c r="AJ54" i="3"/>
  <c r="AK54" i="3"/>
  <c r="AL54" i="3"/>
  <c r="AM54" i="3"/>
  <c r="AN54" i="3"/>
  <c r="AC55" i="3"/>
  <c r="AD55" i="3"/>
  <c r="AE55" i="3"/>
  <c r="AF55" i="3"/>
  <c r="AG55" i="3"/>
  <c r="AH55" i="3"/>
  <c r="AI55" i="3"/>
  <c r="AJ55" i="3"/>
  <c r="AK55" i="3"/>
  <c r="AL55" i="3"/>
  <c r="AM55" i="3"/>
  <c r="AN55" i="3"/>
  <c r="AC56" i="3"/>
  <c r="AD56" i="3"/>
  <c r="AE56" i="3"/>
  <c r="AF56" i="3"/>
  <c r="AG56" i="3"/>
  <c r="AH56" i="3"/>
  <c r="AI56" i="3"/>
  <c r="AJ56" i="3"/>
  <c r="AK56" i="3"/>
  <c r="AL56" i="3"/>
  <c r="AM56" i="3"/>
  <c r="AN56" i="3"/>
  <c r="AC57" i="3"/>
  <c r="AD57" i="3"/>
  <c r="AE57" i="3"/>
  <c r="AF57" i="3"/>
  <c r="AG57" i="3"/>
  <c r="AH57" i="3"/>
  <c r="AI57" i="3"/>
  <c r="AJ57" i="3"/>
  <c r="AK57" i="3"/>
  <c r="AL57" i="3"/>
  <c r="AM57" i="3"/>
  <c r="AN57" i="3"/>
  <c r="AC58" i="3"/>
  <c r="AD58" i="3"/>
  <c r="AE58" i="3"/>
  <c r="AF58" i="3"/>
  <c r="AG58" i="3"/>
  <c r="AH58" i="3"/>
  <c r="AI58" i="3"/>
  <c r="AJ58" i="3"/>
  <c r="AK58" i="3"/>
  <c r="AL58" i="3"/>
  <c r="AM58" i="3"/>
  <c r="AN58" i="3"/>
  <c r="AC59" i="3"/>
  <c r="AD59" i="3"/>
  <c r="AE59" i="3"/>
  <c r="AF59" i="3"/>
  <c r="AG59" i="3"/>
  <c r="AH59" i="3"/>
  <c r="AI59" i="3"/>
  <c r="AJ59" i="3"/>
  <c r="AK59" i="3"/>
  <c r="AL59" i="3"/>
  <c r="AM59" i="3"/>
  <c r="AN59" i="3"/>
  <c r="AC60" i="3"/>
  <c r="AD60" i="3"/>
  <c r="AE60" i="3"/>
  <c r="AF60" i="3"/>
  <c r="AG60" i="3"/>
  <c r="AH60" i="3"/>
  <c r="AI60" i="3"/>
  <c r="AJ60" i="3"/>
  <c r="AK60" i="3"/>
  <c r="AL60" i="3"/>
  <c r="AM60" i="3"/>
  <c r="AN60" i="3"/>
  <c r="AC61" i="3"/>
  <c r="AD61" i="3"/>
  <c r="AE61" i="3"/>
  <c r="AF61" i="3"/>
  <c r="AG61" i="3"/>
  <c r="AH61" i="3"/>
  <c r="AI61" i="3"/>
  <c r="AJ61" i="3"/>
  <c r="AK61" i="3"/>
  <c r="AL61" i="3"/>
  <c r="AM61" i="3"/>
  <c r="AN61" i="3"/>
  <c r="AC62" i="3"/>
  <c r="AD62" i="3"/>
  <c r="AE62" i="3"/>
  <c r="AF62" i="3"/>
  <c r="AG62" i="3"/>
  <c r="AH62" i="3"/>
  <c r="AI62" i="3"/>
  <c r="AJ62" i="3"/>
  <c r="AK62" i="3"/>
  <c r="AL62" i="3"/>
  <c r="AM62" i="3"/>
  <c r="AN62" i="3"/>
  <c r="AC63" i="3"/>
  <c r="AD63" i="3"/>
  <c r="AE63" i="3"/>
  <c r="AF63" i="3"/>
  <c r="AG63" i="3"/>
  <c r="AH63" i="3"/>
  <c r="AI63" i="3"/>
  <c r="AJ63" i="3"/>
  <c r="AK63" i="3"/>
  <c r="AL63" i="3"/>
  <c r="AM63" i="3"/>
  <c r="AN63" i="3"/>
  <c r="AC64" i="3"/>
  <c r="AD64" i="3"/>
  <c r="AE64" i="3"/>
  <c r="AF64" i="3"/>
  <c r="AG64" i="3"/>
  <c r="AH64" i="3"/>
  <c r="AI64" i="3"/>
  <c r="AJ64" i="3"/>
  <c r="AK64" i="3"/>
  <c r="AL64" i="3"/>
  <c r="AM64" i="3"/>
  <c r="AN64" i="3"/>
  <c r="AC65" i="3"/>
  <c r="AD65" i="3"/>
  <c r="AE65" i="3"/>
  <c r="AF65" i="3"/>
  <c r="AG65" i="3"/>
  <c r="AH65" i="3"/>
  <c r="AI65" i="3"/>
  <c r="AJ65" i="3"/>
  <c r="AK65" i="3"/>
  <c r="AL65" i="3"/>
  <c r="AM65" i="3"/>
  <c r="AN65" i="3"/>
  <c r="AC66" i="3"/>
  <c r="AD66" i="3"/>
  <c r="AE66" i="3"/>
  <c r="AF66" i="3"/>
  <c r="AG66" i="3"/>
  <c r="AH66" i="3"/>
  <c r="AI66" i="3"/>
  <c r="AJ66" i="3"/>
  <c r="AK66" i="3"/>
  <c r="AL66" i="3"/>
  <c r="AM66" i="3"/>
  <c r="AN66" i="3"/>
  <c r="AC67" i="3"/>
  <c r="AD67" i="3"/>
  <c r="AE67" i="3"/>
  <c r="AF67" i="3"/>
  <c r="AG67" i="3"/>
  <c r="AH67" i="3"/>
  <c r="AI67" i="3"/>
  <c r="AJ67" i="3"/>
  <c r="AK67" i="3"/>
  <c r="AL67" i="3"/>
  <c r="AM67" i="3"/>
  <c r="AN67" i="3"/>
  <c r="AC68" i="3"/>
  <c r="AD68" i="3"/>
  <c r="AE68" i="3"/>
  <c r="AF68" i="3"/>
  <c r="AG68" i="3"/>
  <c r="AH68" i="3"/>
  <c r="AI68" i="3"/>
  <c r="AJ68" i="3"/>
  <c r="AK68" i="3"/>
  <c r="AL68" i="3"/>
  <c r="AM68" i="3"/>
  <c r="AN68" i="3"/>
  <c r="AC69" i="3"/>
  <c r="AD69" i="3"/>
  <c r="AE69" i="3"/>
  <c r="AF69" i="3"/>
  <c r="AG69" i="3"/>
  <c r="AH69" i="3"/>
  <c r="AI69" i="3"/>
  <c r="AJ69" i="3"/>
  <c r="AK69" i="3"/>
  <c r="AL69" i="3"/>
  <c r="AM69" i="3"/>
  <c r="AN69" i="3"/>
  <c r="AC70" i="3"/>
  <c r="AD70" i="3"/>
  <c r="AE70" i="3"/>
  <c r="AF70" i="3"/>
  <c r="AG70" i="3"/>
  <c r="AH70" i="3"/>
  <c r="AI70" i="3"/>
  <c r="AJ70" i="3"/>
  <c r="AK70" i="3"/>
  <c r="AL70" i="3"/>
  <c r="AM70" i="3"/>
  <c r="AN70" i="3"/>
  <c r="AC71" i="3"/>
  <c r="AD71" i="3"/>
  <c r="AE71" i="3"/>
  <c r="AF71" i="3"/>
  <c r="AG71" i="3"/>
  <c r="AH71" i="3"/>
  <c r="AI71" i="3"/>
  <c r="AJ71" i="3"/>
  <c r="AK71" i="3"/>
  <c r="AL71" i="3"/>
  <c r="AM71" i="3"/>
  <c r="AN71" i="3"/>
  <c r="AC72" i="3"/>
  <c r="AD72" i="3"/>
  <c r="AE72" i="3"/>
  <c r="AF72" i="3"/>
  <c r="AG72" i="3"/>
  <c r="AH72" i="3"/>
  <c r="AI72" i="3"/>
  <c r="AJ72" i="3"/>
  <c r="AK72" i="3"/>
  <c r="AL72" i="3"/>
  <c r="AM72" i="3"/>
  <c r="AN72" i="3"/>
  <c r="AC73" i="3"/>
  <c r="AD73" i="3"/>
  <c r="AE73" i="3"/>
  <c r="AF73" i="3"/>
  <c r="AG73" i="3"/>
  <c r="AH73" i="3"/>
  <c r="AI73" i="3"/>
  <c r="AJ73" i="3"/>
  <c r="AK73" i="3"/>
  <c r="AL73" i="3"/>
  <c r="AM73" i="3"/>
  <c r="AN73" i="3"/>
  <c r="AC74" i="3"/>
  <c r="AD74" i="3"/>
  <c r="AE74" i="3"/>
  <c r="AF74" i="3"/>
  <c r="AG74" i="3"/>
  <c r="AH74" i="3"/>
  <c r="AI74" i="3"/>
  <c r="AJ74" i="3"/>
  <c r="AK74" i="3"/>
  <c r="AL74" i="3"/>
  <c r="AM74" i="3"/>
  <c r="AN74" i="3"/>
  <c r="AC75" i="3"/>
  <c r="AD75" i="3"/>
  <c r="AE75" i="3"/>
  <c r="AF75" i="3"/>
  <c r="AG75" i="3"/>
  <c r="AH75" i="3"/>
  <c r="AI75" i="3"/>
  <c r="AJ75" i="3"/>
  <c r="AK75" i="3"/>
  <c r="AL75" i="3"/>
  <c r="AM75" i="3"/>
  <c r="AN75" i="3"/>
  <c r="AC76" i="3"/>
  <c r="AD76" i="3"/>
  <c r="AE76" i="3"/>
  <c r="AF76" i="3"/>
  <c r="AG76" i="3"/>
  <c r="AH76" i="3"/>
  <c r="AI76" i="3"/>
  <c r="AJ76" i="3"/>
  <c r="AK76" i="3"/>
  <c r="AL76" i="3"/>
  <c r="AM76" i="3"/>
  <c r="AN76" i="3"/>
  <c r="AC77" i="3"/>
  <c r="AD77" i="3"/>
  <c r="AE77" i="3"/>
  <c r="AF77" i="3"/>
  <c r="AG77" i="3"/>
  <c r="AH77" i="3"/>
  <c r="AI77" i="3"/>
  <c r="AJ77" i="3"/>
  <c r="AK77" i="3"/>
  <c r="AL77" i="3"/>
  <c r="AM77" i="3"/>
  <c r="AN77" i="3"/>
  <c r="AC78" i="3"/>
  <c r="AD78" i="3"/>
  <c r="AE78" i="3"/>
  <c r="AF78" i="3"/>
  <c r="AG78" i="3"/>
  <c r="AH78" i="3"/>
  <c r="AI78" i="3"/>
  <c r="AJ78" i="3"/>
  <c r="AK78" i="3"/>
  <c r="AL78" i="3"/>
  <c r="AM78" i="3"/>
  <c r="AN78" i="3"/>
  <c r="AC79" i="3"/>
  <c r="AD79" i="3"/>
  <c r="AE79" i="3"/>
  <c r="AF79" i="3"/>
  <c r="AG79" i="3"/>
  <c r="AH79" i="3"/>
  <c r="AI79" i="3"/>
  <c r="AJ79" i="3"/>
  <c r="AK79" i="3"/>
  <c r="AL79" i="3"/>
  <c r="AM79" i="3"/>
  <c r="AN79" i="3"/>
  <c r="AC80" i="3"/>
  <c r="AD80" i="3"/>
  <c r="AE80" i="3"/>
  <c r="AF80" i="3"/>
  <c r="AG80" i="3"/>
  <c r="AH80" i="3"/>
  <c r="AI80" i="3"/>
  <c r="AJ80" i="3"/>
  <c r="AK80" i="3"/>
  <c r="AL80" i="3"/>
  <c r="AM80" i="3"/>
  <c r="AN80" i="3"/>
  <c r="AC81" i="3"/>
  <c r="AD81" i="3"/>
  <c r="AE81" i="3"/>
  <c r="AF81" i="3"/>
  <c r="AG81" i="3"/>
  <c r="AH81" i="3"/>
  <c r="AI81" i="3"/>
  <c r="AJ81" i="3"/>
  <c r="AK81" i="3"/>
  <c r="AL81" i="3"/>
  <c r="AM81" i="3"/>
  <c r="AN81" i="3"/>
  <c r="AC82" i="3"/>
  <c r="AD82" i="3"/>
  <c r="AE82" i="3"/>
  <c r="AF82" i="3"/>
  <c r="AG82" i="3"/>
  <c r="AH82" i="3"/>
  <c r="AI82" i="3"/>
  <c r="AJ82" i="3"/>
  <c r="AK82" i="3"/>
  <c r="AL82" i="3"/>
  <c r="AM82" i="3"/>
  <c r="AN82" i="3"/>
  <c r="AC83" i="3"/>
  <c r="AD83" i="3"/>
  <c r="AE83" i="3"/>
  <c r="AF83" i="3"/>
  <c r="AG83" i="3"/>
  <c r="AH83" i="3"/>
  <c r="AI83" i="3"/>
  <c r="AJ83" i="3"/>
  <c r="AK83" i="3"/>
  <c r="AL83" i="3"/>
  <c r="AM83" i="3"/>
  <c r="AN83" i="3"/>
  <c r="AC84" i="3"/>
  <c r="AD84" i="3"/>
  <c r="AE84" i="3"/>
  <c r="AF84" i="3"/>
  <c r="AG84" i="3"/>
  <c r="AH84" i="3"/>
  <c r="AI84" i="3"/>
  <c r="AJ84" i="3"/>
  <c r="AK84" i="3"/>
  <c r="AL84" i="3"/>
  <c r="AM84" i="3"/>
  <c r="AN84" i="3"/>
  <c r="AC85" i="3"/>
  <c r="AD85" i="3"/>
  <c r="AE85" i="3"/>
  <c r="AF85" i="3"/>
  <c r="AG85" i="3"/>
  <c r="AH85" i="3"/>
  <c r="AI85" i="3"/>
  <c r="AJ85" i="3"/>
  <c r="AK85" i="3"/>
  <c r="AL85" i="3"/>
  <c r="AM85" i="3"/>
  <c r="AN85" i="3"/>
  <c r="AC86" i="3"/>
  <c r="AD86" i="3"/>
  <c r="AE86" i="3"/>
  <c r="AF86" i="3"/>
  <c r="AG86" i="3"/>
  <c r="AH86" i="3"/>
  <c r="AI86" i="3"/>
  <c r="AJ86" i="3"/>
  <c r="AK86" i="3"/>
  <c r="AL86" i="3"/>
  <c r="AM86" i="3"/>
  <c r="AN86" i="3"/>
  <c r="AC87" i="3"/>
  <c r="AD87" i="3"/>
  <c r="AE87" i="3"/>
  <c r="AF87" i="3"/>
  <c r="AG87" i="3"/>
  <c r="AH87" i="3"/>
  <c r="AI87" i="3"/>
  <c r="AJ87" i="3"/>
  <c r="AK87" i="3"/>
  <c r="AL87" i="3"/>
  <c r="AM87" i="3"/>
  <c r="AN87" i="3"/>
  <c r="AC88" i="3"/>
  <c r="AD88" i="3"/>
  <c r="AE88" i="3"/>
  <c r="AF88" i="3"/>
  <c r="AG88" i="3"/>
  <c r="AH88" i="3"/>
  <c r="AI88" i="3"/>
  <c r="AJ88" i="3"/>
  <c r="AK88" i="3"/>
  <c r="AL88" i="3"/>
  <c r="AM88" i="3"/>
  <c r="AN88" i="3"/>
  <c r="AC89" i="3"/>
  <c r="AD89" i="3"/>
  <c r="AE89" i="3"/>
  <c r="AF89" i="3"/>
  <c r="AG89" i="3"/>
  <c r="AH89" i="3"/>
  <c r="AI89" i="3"/>
  <c r="AJ89" i="3"/>
  <c r="AK89" i="3"/>
  <c r="AL89" i="3"/>
  <c r="AM89" i="3"/>
  <c r="AN89" i="3"/>
  <c r="AC90" i="3"/>
  <c r="AD90" i="3"/>
  <c r="AE90" i="3"/>
  <c r="AF90" i="3"/>
  <c r="AG90" i="3"/>
  <c r="AH90" i="3"/>
  <c r="AI90" i="3"/>
  <c r="AJ90" i="3"/>
  <c r="AK90" i="3"/>
  <c r="AL90" i="3"/>
  <c r="AM90" i="3"/>
  <c r="AN90" i="3"/>
  <c r="AC91" i="3"/>
  <c r="AD91" i="3"/>
  <c r="AE91" i="3"/>
  <c r="AF91" i="3"/>
  <c r="AG91" i="3"/>
  <c r="AH91" i="3"/>
  <c r="AI91" i="3"/>
  <c r="AJ91" i="3"/>
  <c r="AK91" i="3"/>
  <c r="AL91" i="3"/>
  <c r="AM91" i="3"/>
  <c r="AN91" i="3"/>
  <c r="AC92" i="3"/>
  <c r="AD92" i="3"/>
  <c r="AE92" i="3"/>
  <c r="AF92" i="3"/>
  <c r="AG92" i="3"/>
  <c r="AH92" i="3"/>
  <c r="AI92" i="3"/>
  <c r="AJ92" i="3"/>
  <c r="AK92" i="3"/>
  <c r="AL92" i="3"/>
  <c r="AM92" i="3"/>
  <c r="AN92" i="3"/>
  <c r="AC93" i="3"/>
  <c r="AD93" i="3"/>
  <c r="AE93" i="3"/>
  <c r="AF93" i="3"/>
  <c r="AG93" i="3"/>
  <c r="AH93" i="3"/>
  <c r="AI93" i="3"/>
  <c r="AJ93" i="3"/>
  <c r="AK93" i="3"/>
  <c r="AL93" i="3"/>
  <c r="AM93" i="3"/>
  <c r="AN93" i="3"/>
  <c r="AC94" i="3"/>
  <c r="AD94" i="3"/>
  <c r="AE94" i="3"/>
  <c r="AF94" i="3"/>
  <c r="AG94" i="3"/>
  <c r="AH94" i="3"/>
  <c r="AI94" i="3"/>
  <c r="AJ94" i="3"/>
  <c r="AK94" i="3"/>
  <c r="AL94" i="3"/>
  <c r="AM94" i="3"/>
  <c r="AN94" i="3"/>
  <c r="AC95" i="3"/>
  <c r="AD95" i="3"/>
  <c r="AE95" i="3"/>
  <c r="AF95" i="3"/>
  <c r="AG95" i="3"/>
  <c r="AH95" i="3"/>
  <c r="AI95" i="3"/>
  <c r="AJ95" i="3"/>
  <c r="AK95" i="3"/>
  <c r="AL95" i="3"/>
  <c r="AM95" i="3"/>
  <c r="AN95" i="3"/>
  <c r="AC96" i="3"/>
  <c r="AD96" i="3"/>
  <c r="AE96" i="3"/>
  <c r="AF96" i="3"/>
  <c r="AG96" i="3"/>
  <c r="AH96" i="3"/>
  <c r="AI96" i="3"/>
  <c r="AJ96" i="3"/>
  <c r="AK96" i="3"/>
  <c r="AL96" i="3"/>
  <c r="AM96" i="3"/>
  <c r="AN96" i="3"/>
  <c r="AC97" i="3"/>
  <c r="AD97" i="3"/>
  <c r="AE97" i="3"/>
  <c r="AF97" i="3"/>
  <c r="AG97" i="3"/>
  <c r="AH97" i="3"/>
  <c r="AI97" i="3"/>
  <c r="AJ97" i="3"/>
  <c r="AK97" i="3"/>
  <c r="AL97" i="3"/>
  <c r="AM97" i="3"/>
  <c r="AN97" i="3"/>
  <c r="AC98" i="3"/>
  <c r="AD98" i="3"/>
  <c r="AE98" i="3"/>
  <c r="AF98" i="3"/>
  <c r="AG98" i="3"/>
  <c r="AH98" i="3"/>
  <c r="AI98" i="3"/>
  <c r="AJ98" i="3"/>
  <c r="AK98" i="3"/>
  <c r="AL98" i="3"/>
  <c r="AM98" i="3"/>
  <c r="AN98" i="3"/>
  <c r="AC99" i="3"/>
  <c r="AD99" i="3"/>
  <c r="AE99" i="3"/>
  <c r="AF99" i="3"/>
  <c r="AG99" i="3"/>
  <c r="AH99" i="3"/>
  <c r="AI99" i="3"/>
  <c r="AJ99" i="3"/>
  <c r="AK99" i="3"/>
  <c r="AL99" i="3"/>
  <c r="AM99" i="3"/>
  <c r="AN99" i="3"/>
  <c r="AC100" i="3"/>
  <c r="AD100" i="3"/>
  <c r="AE100" i="3"/>
  <c r="AF100" i="3"/>
  <c r="AG100" i="3"/>
  <c r="AH100" i="3"/>
  <c r="AI100" i="3"/>
  <c r="AJ100" i="3"/>
  <c r="AK100" i="3"/>
  <c r="AL100" i="3"/>
  <c r="AM100" i="3"/>
  <c r="AN100" i="3"/>
  <c r="AC101" i="3"/>
  <c r="AD101" i="3"/>
  <c r="AE101" i="3"/>
  <c r="AF101" i="3"/>
  <c r="AG101" i="3"/>
  <c r="AH101" i="3"/>
  <c r="AI101" i="3"/>
  <c r="AJ101" i="3"/>
  <c r="AK101" i="3"/>
  <c r="AL101" i="3"/>
  <c r="AM101" i="3"/>
  <c r="AN101" i="3"/>
  <c r="AC102" i="3"/>
  <c r="AD102" i="3"/>
  <c r="AE102" i="3"/>
  <c r="AF102" i="3"/>
  <c r="AG102" i="3"/>
  <c r="AH102" i="3"/>
  <c r="AI102" i="3"/>
  <c r="AJ102" i="3"/>
  <c r="AK102" i="3"/>
  <c r="AL102" i="3"/>
  <c r="AM102" i="3"/>
  <c r="AN102" i="3"/>
  <c r="AC103" i="3"/>
  <c r="AD103" i="3"/>
  <c r="AE103" i="3"/>
  <c r="AF103" i="3"/>
  <c r="AG103" i="3"/>
  <c r="AH103" i="3"/>
  <c r="AI103" i="3"/>
  <c r="AJ103" i="3"/>
  <c r="AK103" i="3"/>
  <c r="AL103" i="3"/>
  <c r="AM103" i="3"/>
  <c r="AN103" i="3"/>
  <c r="AC104" i="3"/>
  <c r="AD104" i="3"/>
  <c r="AE104" i="3"/>
  <c r="AF104" i="3"/>
  <c r="AG104" i="3"/>
  <c r="AH104" i="3"/>
  <c r="AI104" i="3"/>
  <c r="AJ104" i="3"/>
  <c r="AK104" i="3"/>
  <c r="AL104" i="3"/>
  <c r="AM104" i="3"/>
  <c r="AN104" i="3"/>
  <c r="AC105" i="3"/>
  <c r="AD105" i="3"/>
  <c r="AE105" i="3"/>
  <c r="AF105" i="3"/>
  <c r="AG105" i="3"/>
  <c r="AH105" i="3"/>
  <c r="AI105" i="3"/>
  <c r="AJ105" i="3"/>
  <c r="AK105" i="3"/>
  <c r="AL105" i="3"/>
  <c r="AM105" i="3"/>
  <c r="AN105" i="3"/>
  <c r="AC106" i="3"/>
  <c r="AD106" i="3"/>
  <c r="AE106" i="3"/>
  <c r="AF106" i="3"/>
  <c r="AG106" i="3"/>
  <c r="AH106" i="3"/>
  <c r="AI106" i="3"/>
  <c r="AJ106" i="3"/>
  <c r="AK106" i="3"/>
  <c r="AL106" i="3"/>
  <c r="AM106" i="3"/>
  <c r="AN106" i="3"/>
  <c r="F17" i="60" l="1"/>
  <c r="F13" i="60"/>
  <c r="F12" i="60"/>
  <c r="F18" i="60"/>
  <c r="F10" i="60"/>
  <c r="F11" i="60"/>
  <c r="F15" i="60"/>
  <c r="F14" i="60"/>
  <c r="F16" i="60"/>
  <c r="D21" i="60"/>
  <c r="F9" i="60"/>
  <c r="E21" i="60"/>
  <c r="W37" i="2"/>
  <c r="AB8" i="52"/>
  <c r="AB9" i="52"/>
  <c r="AB10" i="52"/>
  <c r="AB11" i="52"/>
  <c r="AB12" i="52"/>
  <c r="AB13" i="52"/>
  <c r="AB14" i="52"/>
  <c r="AB15" i="52"/>
  <c r="AB16" i="52"/>
  <c r="AB17" i="52"/>
  <c r="AB18" i="52"/>
  <c r="AB7" i="52"/>
  <c r="AG8" i="52"/>
  <c r="AG9" i="52"/>
  <c r="AA10" i="52"/>
  <c r="AG10" i="52" s="1"/>
  <c r="AG11" i="52"/>
  <c r="AA12" i="52"/>
  <c r="AG12" i="52" s="1"/>
  <c r="AG13" i="52"/>
  <c r="AA14" i="52"/>
  <c r="AG14" i="52" s="1"/>
  <c r="AA15" i="52"/>
  <c r="AG15" i="52" s="1"/>
  <c r="AA16" i="52"/>
  <c r="AG16" i="52" s="1"/>
  <c r="AA17" i="52"/>
  <c r="AG17" i="52" s="1"/>
  <c r="AA18" i="52"/>
  <c r="AG18" i="52" s="1"/>
  <c r="F21" i="60" l="1"/>
  <c r="C37" i="47" s="1"/>
  <c r="X37" i="2"/>
  <c r="AG7" i="52"/>
  <c r="AA30" i="52"/>
  <c r="AA29" i="52"/>
  <c r="S30" i="2"/>
  <c r="T30" i="2" s="1"/>
  <c r="W38" i="43" l="1"/>
  <c r="G37" i="47"/>
  <c r="C35" i="48"/>
  <c r="G36" i="48"/>
  <c r="C52" i="49" s="1"/>
  <c r="G53" i="49" s="1"/>
  <c r="Y37" i="2"/>
  <c r="U30" i="2"/>
  <c r="V30" i="2" s="1"/>
  <c r="W30" i="2" s="1"/>
  <c r="X30" i="2" s="1"/>
  <c r="Y30" i="2" s="1"/>
  <c r="Z30" i="2" s="1"/>
  <c r="AA30" i="2" s="1"/>
  <c r="AB30" i="2" s="1"/>
  <c r="AC30" i="2" s="1"/>
  <c r="AD30" i="2" s="1"/>
  <c r="Z37" i="2" l="1"/>
  <c r="AA37" i="2" l="1"/>
  <c r="V5" i="22"/>
  <c r="U6" i="22"/>
  <c r="V6" i="22"/>
  <c r="W6" i="22"/>
  <c r="U7" i="22"/>
  <c r="V7" i="22"/>
  <c r="W7" i="22"/>
  <c r="U8" i="22"/>
  <c r="V8" i="22"/>
  <c r="W8" i="22"/>
  <c r="U9" i="22"/>
  <c r="V9" i="22"/>
  <c r="W9" i="22"/>
  <c r="U10" i="22"/>
  <c r="V10" i="22"/>
  <c r="W10" i="22"/>
  <c r="U11" i="22"/>
  <c r="V11" i="22"/>
  <c r="W11" i="22"/>
  <c r="U12" i="22"/>
  <c r="V12" i="22"/>
  <c r="W12" i="22"/>
  <c r="U13" i="22"/>
  <c r="V13" i="22"/>
  <c r="W13" i="22"/>
  <c r="U14" i="22"/>
  <c r="V14" i="22"/>
  <c r="W14" i="22"/>
  <c r="U15" i="22"/>
  <c r="V15" i="22"/>
  <c r="W15" i="22"/>
  <c r="U16" i="22"/>
  <c r="V16" i="22"/>
  <c r="W16" i="22"/>
  <c r="U17" i="22"/>
  <c r="V17" i="22"/>
  <c r="W17" i="22"/>
  <c r="U18" i="22"/>
  <c r="V18" i="22"/>
  <c r="W18" i="22"/>
  <c r="U19" i="22"/>
  <c r="V19" i="22"/>
  <c r="W19" i="22"/>
  <c r="U20" i="22"/>
  <c r="V20" i="22"/>
  <c r="W20" i="22"/>
  <c r="U21" i="22"/>
  <c r="V21" i="22"/>
  <c r="W21" i="22"/>
  <c r="U22" i="22"/>
  <c r="V22" i="22"/>
  <c r="W22" i="22"/>
  <c r="U23" i="22"/>
  <c r="V23" i="22"/>
  <c r="W23" i="22"/>
  <c r="U24" i="22"/>
  <c r="V24" i="22"/>
  <c r="W24" i="22"/>
  <c r="U25" i="22"/>
  <c r="V25" i="22"/>
  <c r="W25" i="22"/>
  <c r="U26" i="22"/>
  <c r="V26" i="22"/>
  <c r="W26" i="22"/>
  <c r="U27" i="22"/>
  <c r="V27" i="22"/>
  <c r="W27" i="22"/>
  <c r="U28" i="22"/>
  <c r="V28" i="22"/>
  <c r="W28" i="22"/>
  <c r="U29" i="22"/>
  <c r="V29" i="22"/>
  <c r="W29" i="22"/>
  <c r="U30" i="22"/>
  <c r="V30" i="22"/>
  <c r="W30" i="22"/>
  <c r="U31" i="22"/>
  <c r="V31" i="22"/>
  <c r="W31" i="22"/>
  <c r="U32" i="22"/>
  <c r="V32" i="22"/>
  <c r="W32" i="22"/>
  <c r="U33" i="22"/>
  <c r="V33" i="22"/>
  <c r="W33" i="22"/>
  <c r="U34" i="22"/>
  <c r="V34" i="22"/>
  <c r="W34" i="22"/>
  <c r="U35" i="22"/>
  <c r="V35" i="22"/>
  <c r="W35" i="22"/>
  <c r="U36" i="22"/>
  <c r="V36" i="22"/>
  <c r="W36" i="22"/>
  <c r="U37" i="22"/>
  <c r="V37" i="22"/>
  <c r="W37" i="22"/>
  <c r="U38" i="22"/>
  <c r="V38" i="22"/>
  <c r="W38" i="22"/>
  <c r="U39" i="22"/>
  <c r="V39" i="22"/>
  <c r="W39" i="22"/>
  <c r="U40" i="22"/>
  <c r="V40" i="22"/>
  <c r="W40" i="22"/>
  <c r="U41" i="22"/>
  <c r="V41" i="22"/>
  <c r="W41" i="22"/>
  <c r="U42" i="22"/>
  <c r="V42" i="22"/>
  <c r="W42" i="22"/>
  <c r="U43" i="22"/>
  <c r="V43" i="22"/>
  <c r="W43" i="22"/>
  <c r="U44" i="22"/>
  <c r="V44" i="22"/>
  <c r="W44" i="22"/>
  <c r="U45" i="22"/>
  <c r="V45" i="22"/>
  <c r="W45" i="22"/>
  <c r="U46" i="22"/>
  <c r="V46" i="22"/>
  <c r="W46" i="22"/>
  <c r="U47" i="22"/>
  <c r="V47" i="22"/>
  <c r="W47" i="22"/>
  <c r="U48" i="22"/>
  <c r="V48" i="22"/>
  <c r="W48" i="22"/>
  <c r="U49" i="22"/>
  <c r="V49" i="22"/>
  <c r="W49" i="22"/>
  <c r="U50" i="22"/>
  <c r="V50" i="22"/>
  <c r="W50" i="22"/>
  <c r="U51" i="22"/>
  <c r="V51" i="22"/>
  <c r="W51" i="22"/>
  <c r="U52" i="22"/>
  <c r="V52" i="22"/>
  <c r="W52" i="22"/>
  <c r="U53" i="22"/>
  <c r="V53" i="22"/>
  <c r="W53" i="22"/>
  <c r="U54" i="22"/>
  <c r="V54" i="22"/>
  <c r="W54" i="22"/>
  <c r="U55" i="22"/>
  <c r="V55" i="22"/>
  <c r="W55" i="22"/>
  <c r="U56" i="22"/>
  <c r="V56" i="22"/>
  <c r="W56" i="22"/>
  <c r="U57" i="22"/>
  <c r="V57" i="22"/>
  <c r="W57" i="22"/>
  <c r="U58" i="22"/>
  <c r="V58" i="22"/>
  <c r="W58" i="22"/>
  <c r="U59" i="22"/>
  <c r="V59" i="22"/>
  <c r="W59" i="22"/>
  <c r="U60" i="22"/>
  <c r="V60" i="22"/>
  <c r="W60" i="22"/>
  <c r="U61" i="22"/>
  <c r="V61" i="22"/>
  <c r="W61" i="22"/>
  <c r="U62" i="22"/>
  <c r="V62" i="22"/>
  <c r="W62" i="22"/>
  <c r="U63" i="22"/>
  <c r="V63" i="22"/>
  <c r="W63" i="22"/>
  <c r="U64" i="22"/>
  <c r="V64" i="22"/>
  <c r="W64" i="22"/>
  <c r="U65" i="22"/>
  <c r="V65" i="22"/>
  <c r="W65" i="22"/>
  <c r="U66" i="22"/>
  <c r="V66" i="22"/>
  <c r="W66" i="22"/>
  <c r="U67" i="22"/>
  <c r="V67" i="22"/>
  <c r="W67" i="22"/>
  <c r="U68" i="22"/>
  <c r="V68" i="22"/>
  <c r="W68" i="22"/>
  <c r="U69" i="22"/>
  <c r="V69" i="22"/>
  <c r="W69" i="22"/>
  <c r="U70" i="22"/>
  <c r="V70" i="22"/>
  <c r="W70" i="22"/>
  <c r="U71" i="22"/>
  <c r="V71" i="22"/>
  <c r="W71" i="22"/>
  <c r="U72" i="22"/>
  <c r="V72" i="22"/>
  <c r="W72" i="22"/>
  <c r="U73" i="22"/>
  <c r="V73" i="22"/>
  <c r="W73" i="22"/>
  <c r="U74" i="22"/>
  <c r="V74" i="22"/>
  <c r="W74" i="22"/>
  <c r="U75" i="22"/>
  <c r="V75" i="22"/>
  <c r="W75" i="22"/>
  <c r="U76" i="22"/>
  <c r="V76" i="22"/>
  <c r="W76" i="22"/>
  <c r="U77" i="22"/>
  <c r="V77" i="22"/>
  <c r="W77" i="22"/>
  <c r="U78" i="22"/>
  <c r="V78" i="22"/>
  <c r="W78" i="22"/>
  <c r="U79" i="22"/>
  <c r="V79" i="22"/>
  <c r="W79" i="22"/>
  <c r="U80" i="22"/>
  <c r="V80" i="22"/>
  <c r="W80" i="22"/>
  <c r="U81" i="22"/>
  <c r="V81" i="22"/>
  <c r="W81" i="22"/>
  <c r="U82" i="22"/>
  <c r="V82" i="22"/>
  <c r="W82" i="22"/>
  <c r="U83" i="22"/>
  <c r="V83" i="22"/>
  <c r="W83" i="22"/>
  <c r="U84" i="22"/>
  <c r="V84" i="22"/>
  <c r="W84" i="22"/>
  <c r="U85" i="22"/>
  <c r="V85" i="22"/>
  <c r="W85" i="22"/>
  <c r="U86" i="22"/>
  <c r="V86" i="22"/>
  <c r="W86" i="22"/>
  <c r="U87" i="22"/>
  <c r="V87" i="22"/>
  <c r="W87" i="22"/>
  <c r="U88" i="22"/>
  <c r="V88" i="22"/>
  <c r="W88" i="22"/>
  <c r="U89" i="22"/>
  <c r="V89" i="22"/>
  <c r="W89" i="22"/>
  <c r="U90" i="22"/>
  <c r="V90" i="22"/>
  <c r="W90" i="22"/>
  <c r="U91" i="22"/>
  <c r="V91" i="22"/>
  <c r="W91" i="22"/>
  <c r="U92" i="22"/>
  <c r="V92" i="22"/>
  <c r="W92" i="22"/>
  <c r="U93" i="22"/>
  <c r="V93" i="22"/>
  <c r="W93" i="22"/>
  <c r="U94" i="22"/>
  <c r="V94" i="22"/>
  <c r="W94" i="22"/>
  <c r="U95" i="22"/>
  <c r="V95" i="22"/>
  <c r="W95" i="22"/>
  <c r="U96" i="22"/>
  <c r="V96" i="22"/>
  <c r="W96" i="22"/>
  <c r="U97" i="22"/>
  <c r="V97" i="22"/>
  <c r="W97" i="22"/>
  <c r="U98" i="22"/>
  <c r="V98" i="22"/>
  <c r="W98" i="22"/>
  <c r="U99" i="22"/>
  <c r="V99" i="22"/>
  <c r="W99" i="22"/>
  <c r="U100" i="22"/>
  <c r="V100" i="22"/>
  <c r="W100" i="22"/>
  <c r="U101" i="22"/>
  <c r="V101" i="22"/>
  <c r="W101" i="22"/>
  <c r="U102" i="22"/>
  <c r="V102" i="22"/>
  <c r="W102" i="22"/>
  <c r="U103" i="22"/>
  <c r="V103" i="22"/>
  <c r="W103" i="22"/>
  <c r="U104" i="22"/>
  <c r="V104" i="22"/>
  <c r="W104" i="22"/>
  <c r="U105" i="22"/>
  <c r="V105" i="22"/>
  <c r="W105" i="22"/>
  <c r="U106" i="22"/>
  <c r="V106" i="22"/>
  <c r="W106" i="22"/>
  <c r="U107" i="22"/>
  <c r="V107" i="22"/>
  <c r="W107" i="22"/>
  <c r="U108" i="22"/>
  <c r="V108" i="22"/>
  <c r="W108" i="22"/>
  <c r="U109" i="22"/>
  <c r="V109" i="22"/>
  <c r="W109" i="22"/>
  <c r="U110" i="22"/>
  <c r="V110" i="22"/>
  <c r="W110" i="22"/>
  <c r="U111" i="22"/>
  <c r="V111" i="22"/>
  <c r="W111" i="22"/>
  <c r="U112" i="22"/>
  <c r="V112" i="22"/>
  <c r="W112" i="22"/>
  <c r="U113" i="22"/>
  <c r="V113" i="22"/>
  <c r="W113" i="22"/>
  <c r="U114" i="22"/>
  <c r="V114" i="22"/>
  <c r="W114" i="22"/>
  <c r="U115" i="22"/>
  <c r="V115" i="22"/>
  <c r="W115" i="22"/>
  <c r="U116" i="22"/>
  <c r="V116" i="22"/>
  <c r="W116" i="22"/>
  <c r="U117" i="22"/>
  <c r="V117" i="22"/>
  <c r="W117" i="22"/>
  <c r="U118" i="22"/>
  <c r="V118" i="22"/>
  <c r="W118" i="22"/>
  <c r="U119" i="22"/>
  <c r="V119" i="22"/>
  <c r="W119" i="22"/>
  <c r="U120" i="22"/>
  <c r="V120" i="22"/>
  <c r="W120" i="22"/>
  <c r="U121" i="22"/>
  <c r="V121" i="22"/>
  <c r="W121" i="22"/>
  <c r="U122" i="22"/>
  <c r="V122" i="22"/>
  <c r="W122" i="22"/>
  <c r="U123" i="22"/>
  <c r="V123" i="22"/>
  <c r="W123" i="22"/>
  <c r="U124" i="22"/>
  <c r="V124" i="22"/>
  <c r="W124" i="22"/>
  <c r="U125" i="22"/>
  <c r="V125" i="22"/>
  <c r="W125" i="22"/>
  <c r="U126" i="22"/>
  <c r="V126" i="22"/>
  <c r="W126" i="22"/>
  <c r="U127" i="22"/>
  <c r="V127" i="22"/>
  <c r="W127" i="22"/>
  <c r="U128" i="22"/>
  <c r="V128" i="22"/>
  <c r="W128" i="22"/>
  <c r="U129" i="22"/>
  <c r="V129" i="22"/>
  <c r="W129" i="22"/>
  <c r="U130" i="22"/>
  <c r="V130" i="22"/>
  <c r="W130" i="22"/>
  <c r="U131" i="22"/>
  <c r="V131" i="22"/>
  <c r="W131" i="22"/>
  <c r="U132" i="22"/>
  <c r="V132" i="22"/>
  <c r="W132" i="22"/>
  <c r="U133" i="22"/>
  <c r="V133" i="22"/>
  <c r="W133" i="22"/>
  <c r="U134" i="22"/>
  <c r="V134" i="22"/>
  <c r="W134" i="22"/>
  <c r="U135" i="22"/>
  <c r="V135" i="22"/>
  <c r="W135" i="22"/>
  <c r="U136" i="22"/>
  <c r="V136" i="22"/>
  <c r="W136" i="22"/>
  <c r="U137" i="22"/>
  <c r="V137" i="22"/>
  <c r="W137" i="22"/>
  <c r="U138" i="22"/>
  <c r="V138" i="22"/>
  <c r="W138" i="22"/>
  <c r="U139" i="22"/>
  <c r="V139" i="22"/>
  <c r="W139" i="22"/>
  <c r="U140" i="22"/>
  <c r="V140" i="22"/>
  <c r="W140" i="22"/>
  <c r="U141" i="22"/>
  <c r="V141" i="22"/>
  <c r="W141" i="22"/>
  <c r="U142" i="22"/>
  <c r="V142" i="22"/>
  <c r="W142" i="22"/>
  <c r="U143" i="22"/>
  <c r="V143" i="22"/>
  <c r="W143" i="22"/>
  <c r="U144" i="22"/>
  <c r="V144" i="22"/>
  <c r="W144" i="22"/>
  <c r="U145" i="22"/>
  <c r="V145" i="22"/>
  <c r="W145" i="22"/>
  <c r="U146" i="22"/>
  <c r="V146" i="22"/>
  <c r="W146" i="22"/>
  <c r="U147" i="22"/>
  <c r="V147" i="22"/>
  <c r="W147" i="22"/>
  <c r="U148" i="22"/>
  <c r="V148" i="22"/>
  <c r="W148" i="22"/>
  <c r="U149" i="22"/>
  <c r="V149" i="22"/>
  <c r="W149" i="22"/>
  <c r="U150" i="22"/>
  <c r="V150" i="22"/>
  <c r="W150" i="22"/>
  <c r="U151" i="22"/>
  <c r="V151" i="22"/>
  <c r="W151" i="22"/>
  <c r="U152" i="22"/>
  <c r="V152" i="22"/>
  <c r="W152" i="22"/>
  <c r="U153" i="22"/>
  <c r="V153" i="22"/>
  <c r="W153" i="22"/>
  <c r="U154" i="22"/>
  <c r="V154" i="22"/>
  <c r="W154" i="22"/>
  <c r="U155" i="22"/>
  <c r="V155" i="22"/>
  <c r="W155" i="22"/>
  <c r="U156" i="22"/>
  <c r="V156" i="22"/>
  <c r="W156" i="22"/>
  <c r="U157" i="22"/>
  <c r="V157" i="22"/>
  <c r="W157" i="22"/>
  <c r="U158" i="22"/>
  <c r="V158" i="22"/>
  <c r="W158" i="22"/>
  <c r="U159" i="22"/>
  <c r="V159" i="22"/>
  <c r="W159" i="22"/>
  <c r="U160" i="22"/>
  <c r="V160" i="22"/>
  <c r="W160" i="22"/>
  <c r="U161" i="22"/>
  <c r="V161" i="22"/>
  <c r="W161" i="22"/>
  <c r="U162" i="22"/>
  <c r="V162" i="22"/>
  <c r="W162" i="22"/>
  <c r="U163" i="22"/>
  <c r="V163" i="22"/>
  <c r="W163" i="22"/>
  <c r="U164" i="22"/>
  <c r="V164" i="22"/>
  <c r="W164" i="22"/>
  <c r="U165" i="22"/>
  <c r="V165" i="22"/>
  <c r="W165" i="22"/>
  <c r="U166" i="22"/>
  <c r="V166" i="22"/>
  <c r="W166" i="22"/>
  <c r="AB37" i="2" l="1"/>
  <c r="AK6" i="22"/>
  <c r="AK7" i="22"/>
  <c r="AK8" i="22"/>
  <c r="AK9" i="22"/>
  <c r="AK10" i="22"/>
  <c r="AK11" i="22"/>
  <c r="AK12" i="22"/>
  <c r="AK13" i="22"/>
  <c r="AK14" i="22"/>
  <c r="AK15" i="22"/>
  <c r="AK16" i="22"/>
  <c r="AK17" i="22"/>
  <c r="AK18" i="22"/>
  <c r="AK19" i="22"/>
  <c r="AK20" i="22"/>
  <c r="AK21" i="22"/>
  <c r="AK22" i="22"/>
  <c r="AK23" i="22"/>
  <c r="AK24" i="22"/>
  <c r="AK25" i="22"/>
  <c r="AK26" i="22"/>
  <c r="AK27" i="22"/>
  <c r="AK28" i="22"/>
  <c r="AK29" i="22"/>
  <c r="AK30" i="22"/>
  <c r="AK31" i="22"/>
  <c r="AK32" i="22"/>
  <c r="AK33" i="22"/>
  <c r="AK34" i="22"/>
  <c r="AK35" i="22"/>
  <c r="AK36" i="22"/>
  <c r="AK37" i="22"/>
  <c r="AK38" i="22"/>
  <c r="AK39" i="22"/>
  <c r="AK40" i="22"/>
  <c r="AK41" i="22"/>
  <c r="AK42" i="22"/>
  <c r="AK43" i="22"/>
  <c r="AK44" i="22"/>
  <c r="AK45" i="22"/>
  <c r="AK46" i="22"/>
  <c r="AK47" i="22"/>
  <c r="AK48" i="22"/>
  <c r="AK49" i="22"/>
  <c r="AK50" i="22"/>
  <c r="AK51" i="22"/>
  <c r="AK52" i="22"/>
  <c r="AK53" i="22"/>
  <c r="AK54" i="22"/>
  <c r="AK55" i="22"/>
  <c r="AK56" i="22"/>
  <c r="AK57" i="22"/>
  <c r="AK58" i="22"/>
  <c r="AK59" i="22"/>
  <c r="AK60" i="22"/>
  <c r="AK61" i="22"/>
  <c r="AK62" i="22"/>
  <c r="AK63" i="22"/>
  <c r="AK64" i="22"/>
  <c r="AK65" i="22"/>
  <c r="AK66" i="22"/>
  <c r="AK67" i="22"/>
  <c r="AK68" i="22"/>
  <c r="AK69" i="22"/>
  <c r="AK70" i="22"/>
  <c r="AK71" i="22"/>
  <c r="AK72" i="22"/>
  <c r="AK73" i="22"/>
  <c r="AK74" i="22"/>
  <c r="AK75" i="22"/>
  <c r="AK76" i="22"/>
  <c r="AK77" i="22"/>
  <c r="AK78" i="22"/>
  <c r="AK79" i="22"/>
  <c r="AK80" i="22"/>
  <c r="AK81" i="22"/>
  <c r="AK82" i="22"/>
  <c r="AK83" i="22"/>
  <c r="AK84" i="22"/>
  <c r="AK85" i="22"/>
  <c r="AK86" i="22"/>
  <c r="AK87" i="22"/>
  <c r="AK88" i="22"/>
  <c r="AK89" i="22"/>
  <c r="AK90" i="22"/>
  <c r="AK91" i="22"/>
  <c r="AK92" i="22"/>
  <c r="AK93" i="22"/>
  <c r="AK94" i="22"/>
  <c r="AK95" i="22"/>
  <c r="AK96" i="22"/>
  <c r="AK97" i="22"/>
  <c r="AK98" i="22"/>
  <c r="AK99" i="22"/>
  <c r="AK100" i="22"/>
  <c r="AK101" i="22"/>
  <c r="AK102" i="22"/>
  <c r="AK103" i="22"/>
  <c r="AK104" i="22"/>
  <c r="AK105" i="22"/>
  <c r="AK106" i="22"/>
  <c r="AK107" i="22"/>
  <c r="AK108" i="22"/>
  <c r="AK109" i="22"/>
  <c r="AK110" i="22"/>
  <c r="AK111" i="22"/>
  <c r="AK112" i="22"/>
  <c r="AK113" i="22"/>
  <c r="AK114" i="22"/>
  <c r="AK115" i="22"/>
  <c r="AK116" i="22"/>
  <c r="AK117" i="22"/>
  <c r="AK118" i="22"/>
  <c r="AK119" i="22"/>
  <c r="AK120" i="22"/>
  <c r="AK121" i="22"/>
  <c r="AK122" i="22"/>
  <c r="AK123" i="22"/>
  <c r="AK124" i="22"/>
  <c r="AK125" i="22"/>
  <c r="AK126" i="22"/>
  <c r="AK127" i="22"/>
  <c r="AK128" i="22"/>
  <c r="AK129" i="22"/>
  <c r="AK130" i="22"/>
  <c r="AK131" i="22"/>
  <c r="AK132" i="22"/>
  <c r="AK133" i="22"/>
  <c r="AK134" i="22"/>
  <c r="AK135" i="22"/>
  <c r="AK136" i="22"/>
  <c r="AK137" i="22"/>
  <c r="AK138" i="22"/>
  <c r="AK139" i="22"/>
  <c r="AK140" i="22"/>
  <c r="AK141" i="22"/>
  <c r="AK142" i="22"/>
  <c r="AK143" i="22"/>
  <c r="AK144" i="22"/>
  <c r="AK145" i="22"/>
  <c r="AK146" i="22"/>
  <c r="AK147" i="22"/>
  <c r="AK148" i="22"/>
  <c r="AK149" i="22"/>
  <c r="AK150" i="22"/>
  <c r="AK151" i="22"/>
  <c r="AK152" i="22"/>
  <c r="AK153" i="22"/>
  <c r="AK154" i="22"/>
  <c r="AK155" i="22"/>
  <c r="AK156" i="22"/>
  <c r="AK157" i="22"/>
  <c r="AK158" i="22"/>
  <c r="AK159" i="22"/>
  <c r="AK160" i="22"/>
  <c r="AK161" i="22"/>
  <c r="AK162" i="22"/>
  <c r="AK163" i="22"/>
  <c r="AK164" i="22"/>
  <c r="AK165" i="22"/>
  <c r="AK166" i="22"/>
  <c r="AK5" i="22"/>
  <c r="AI5" i="22"/>
  <c r="AC37" i="2" l="1"/>
  <c r="AI6" i="22"/>
  <c r="AI7" i="22"/>
  <c r="AI8" i="22"/>
  <c r="AI9" i="22"/>
  <c r="AI10" i="22"/>
  <c r="AI11" i="22"/>
  <c r="AI12" i="22"/>
  <c r="AI13" i="22"/>
  <c r="AI14" i="22"/>
  <c r="AI15" i="22"/>
  <c r="AI16" i="22"/>
  <c r="AI17" i="22"/>
  <c r="AI18" i="22"/>
  <c r="AI19" i="22"/>
  <c r="AI20" i="22"/>
  <c r="AI21" i="22"/>
  <c r="AI22" i="22"/>
  <c r="AI23" i="22"/>
  <c r="AI24" i="22"/>
  <c r="AI25" i="22"/>
  <c r="AI26" i="22"/>
  <c r="AI27" i="22"/>
  <c r="AI28" i="22"/>
  <c r="AI29" i="22"/>
  <c r="AI30" i="22"/>
  <c r="AI31" i="22"/>
  <c r="AI32" i="22"/>
  <c r="AI33" i="22"/>
  <c r="AI34" i="22"/>
  <c r="AI35" i="22"/>
  <c r="AI36" i="22"/>
  <c r="AI37" i="22"/>
  <c r="AI38" i="22"/>
  <c r="AI39" i="22"/>
  <c r="AI40" i="22"/>
  <c r="AI41" i="22"/>
  <c r="AI42" i="22"/>
  <c r="AI43" i="22"/>
  <c r="AI44" i="22"/>
  <c r="AI45" i="22"/>
  <c r="AI46" i="22"/>
  <c r="AI47" i="22"/>
  <c r="AI48" i="22"/>
  <c r="AI49" i="22"/>
  <c r="AI50" i="22"/>
  <c r="AI51" i="22"/>
  <c r="AI52" i="22"/>
  <c r="AI53" i="22"/>
  <c r="AI54" i="22"/>
  <c r="AI55" i="22"/>
  <c r="AI56" i="22"/>
  <c r="AI57" i="22"/>
  <c r="AI58" i="22"/>
  <c r="AI59" i="22"/>
  <c r="AI60" i="22"/>
  <c r="AI61" i="22"/>
  <c r="AI62" i="22"/>
  <c r="AI63" i="22"/>
  <c r="AI64" i="22"/>
  <c r="AI65" i="22"/>
  <c r="AI66" i="22"/>
  <c r="AI67" i="22"/>
  <c r="AI68" i="22"/>
  <c r="AI69" i="22"/>
  <c r="AI70" i="22"/>
  <c r="AI71" i="22"/>
  <c r="AI72" i="22"/>
  <c r="AI73" i="22"/>
  <c r="AI74" i="22"/>
  <c r="AI75" i="22"/>
  <c r="AI76" i="22"/>
  <c r="AI77" i="22"/>
  <c r="AI78" i="22"/>
  <c r="AI79" i="22"/>
  <c r="AI80" i="22"/>
  <c r="AI81" i="22"/>
  <c r="AI82" i="22"/>
  <c r="AI83" i="22"/>
  <c r="AI84" i="22"/>
  <c r="AI85" i="22"/>
  <c r="AI86" i="22"/>
  <c r="AI87" i="22"/>
  <c r="AI88" i="22"/>
  <c r="AI89" i="22"/>
  <c r="AI90" i="22"/>
  <c r="AI91" i="22"/>
  <c r="AI92" i="22"/>
  <c r="AI93" i="22"/>
  <c r="AI94" i="22"/>
  <c r="AI95" i="22"/>
  <c r="AI96" i="22"/>
  <c r="AI97" i="22"/>
  <c r="AI98" i="22"/>
  <c r="AI99" i="22"/>
  <c r="AI100" i="22"/>
  <c r="AI101" i="22"/>
  <c r="AI102" i="22"/>
  <c r="AI103" i="22"/>
  <c r="AI104" i="22"/>
  <c r="AI105" i="22"/>
  <c r="AI106" i="22"/>
  <c r="AI107" i="22"/>
  <c r="AI108" i="22"/>
  <c r="AI109" i="22"/>
  <c r="AI110" i="22"/>
  <c r="AI111" i="22"/>
  <c r="AI112" i="22"/>
  <c r="AI113" i="22"/>
  <c r="AI114" i="22"/>
  <c r="AI115" i="22"/>
  <c r="AI116" i="22"/>
  <c r="AI117" i="22"/>
  <c r="AI118" i="22"/>
  <c r="AI119" i="22"/>
  <c r="AI120" i="22"/>
  <c r="AI121" i="22"/>
  <c r="AI122" i="22"/>
  <c r="AI123" i="22"/>
  <c r="AI124" i="22"/>
  <c r="AI125" i="22"/>
  <c r="AI126" i="22"/>
  <c r="AI127" i="22"/>
  <c r="AI128" i="22"/>
  <c r="AI129" i="22"/>
  <c r="AI130" i="22"/>
  <c r="AI131" i="22"/>
  <c r="AI132" i="22"/>
  <c r="AI133" i="22"/>
  <c r="AI134" i="22"/>
  <c r="AI135" i="22"/>
  <c r="AI136" i="22"/>
  <c r="AI137" i="22"/>
  <c r="AI138" i="22"/>
  <c r="AI139" i="22"/>
  <c r="AI140" i="22"/>
  <c r="AI141" i="22"/>
  <c r="AI142" i="22"/>
  <c r="AI143" i="22"/>
  <c r="AI144" i="22"/>
  <c r="AI145" i="22"/>
  <c r="AI146" i="22"/>
  <c r="AI147" i="22"/>
  <c r="AI148" i="22"/>
  <c r="AI149" i="22"/>
  <c r="AI150" i="22"/>
  <c r="AI151" i="22"/>
  <c r="AI152" i="22"/>
  <c r="AI153" i="22"/>
  <c r="AI154" i="22"/>
  <c r="AI155" i="22"/>
  <c r="AI156" i="22"/>
  <c r="AI157" i="22"/>
  <c r="AI158" i="22"/>
  <c r="AI159" i="22"/>
  <c r="AI160" i="22"/>
  <c r="AI161" i="22"/>
  <c r="AI162" i="22"/>
  <c r="AI163" i="22"/>
  <c r="AI164" i="22"/>
  <c r="AI165" i="22"/>
  <c r="AI166" i="22"/>
  <c r="AD37" i="2" l="1"/>
  <c r="S5" i="2" l="1"/>
  <c r="G2" i="48" l="1"/>
  <c r="A18" i="50"/>
  <c r="D3" i="50" l="1"/>
  <c r="G2" i="49"/>
  <c r="C10" i="8"/>
  <c r="C9" i="8"/>
  <c r="G2" i="41" l="1"/>
  <c r="G2" i="36"/>
  <c r="I2" i="40"/>
  <c r="I2" i="37"/>
  <c r="G2" i="39"/>
  <c r="G2" i="38"/>
  <c r="H2" i="33"/>
  <c r="N2" i="32"/>
  <c r="AL2" i="8"/>
  <c r="X2" i="7"/>
  <c r="AD2" i="6"/>
  <c r="J3" i="5"/>
  <c r="U3" i="3"/>
  <c r="M12" i="56" s="1"/>
  <c r="L2" i="4"/>
  <c r="GT6" i="21" l="1"/>
  <c r="GT7" i="21"/>
  <c r="GT8" i="21"/>
  <c r="GT9" i="21"/>
  <c r="GT10" i="21"/>
  <c r="GT11" i="21"/>
  <c r="GT12" i="21"/>
  <c r="GT13" i="21"/>
  <c r="GT14" i="21"/>
  <c r="GT15" i="21"/>
  <c r="GT16" i="21"/>
  <c r="GT17" i="21"/>
  <c r="GT18" i="21"/>
  <c r="GT19" i="21"/>
  <c r="GT20" i="21"/>
  <c r="GT21" i="21"/>
  <c r="GT22" i="21"/>
  <c r="GT23" i="21"/>
  <c r="GT24" i="21"/>
  <c r="GT25" i="21"/>
  <c r="GT26" i="21"/>
  <c r="GT27" i="21"/>
  <c r="GT28" i="21"/>
  <c r="GT29" i="21"/>
  <c r="GT30" i="21"/>
  <c r="GT31" i="21"/>
  <c r="GT32" i="21"/>
  <c r="GT33" i="21"/>
  <c r="GT34" i="21"/>
  <c r="GT35" i="21"/>
  <c r="GT36" i="21"/>
  <c r="GT37" i="21"/>
  <c r="GT38" i="21"/>
  <c r="GT39" i="21"/>
  <c r="GT40" i="21"/>
  <c r="GT41" i="21"/>
  <c r="GT42" i="21"/>
  <c r="GT43" i="21"/>
  <c r="GT44" i="21"/>
  <c r="GT45" i="21"/>
  <c r="GT46" i="21"/>
  <c r="GT47" i="21"/>
  <c r="GT48" i="21"/>
  <c r="GT49" i="21"/>
  <c r="GT50" i="21"/>
  <c r="GT51" i="21"/>
  <c r="GT52" i="21"/>
  <c r="GT53" i="21"/>
  <c r="GT54" i="21"/>
  <c r="GT55" i="21"/>
  <c r="GT56" i="21"/>
  <c r="GT57" i="21"/>
  <c r="GT58" i="21"/>
  <c r="GT59" i="21"/>
  <c r="GT60" i="21"/>
  <c r="GT61" i="21"/>
  <c r="GT62" i="21"/>
  <c r="GT63" i="21"/>
  <c r="GT64" i="21"/>
  <c r="GT65" i="21"/>
  <c r="GT66" i="21"/>
  <c r="GT67" i="21"/>
  <c r="GT68" i="21"/>
  <c r="GT69" i="21"/>
  <c r="GT70" i="21"/>
  <c r="GT71" i="21"/>
  <c r="GT72" i="21"/>
  <c r="GT73" i="21"/>
  <c r="GT74" i="21"/>
  <c r="GT75" i="21"/>
  <c r="GT76" i="21"/>
  <c r="GT77" i="21"/>
  <c r="GT78" i="21"/>
  <c r="GT79" i="21"/>
  <c r="GT80" i="21"/>
  <c r="GT81" i="21"/>
  <c r="GT82" i="21"/>
  <c r="GT83" i="21"/>
  <c r="GT84" i="21"/>
  <c r="GT85" i="21"/>
  <c r="GT86" i="21"/>
  <c r="GT87" i="21"/>
  <c r="GT88" i="21"/>
  <c r="GT89" i="21"/>
  <c r="GT90" i="21"/>
  <c r="GT91" i="21"/>
  <c r="GT92" i="21"/>
  <c r="GT93" i="21"/>
  <c r="GT94" i="21"/>
  <c r="GT95" i="21"/>
  <c r="GT96" i="21"/>
  <c r="GT97" i="21"/>
  <c r="GT98" i="21"/>
  <c r="GT99" i="21"/>
  <c r="GT100" i="21"/>
  <c r="GT101" i="21"/>
  <c r="GT102" i="21"/>
  <c r="GT103" i="21"/>
  <c r="GT104" i="21"/>
  <c r="GT105" i="21"/>
  <c r="GT106" i="21"/>
  <c r="GT107" i="21"/>
  <c r="GT108" i="21"/>
  <c r="GT109" i="21"/>
  <c r="GT110" i="21"/>
  <c r="GT111" i="21"/>
  <c r="GT112" i="21"/>
  <c r="GT113" i="21"/>
  <c r="GT114" i="21"/>
  <c r="GT115" i="21"/>
  <c r="GT116" i="21"/>
  <c r="GT117" i="21"/>
  <c r="GT118" i="21"/>
  <c r="GT119" i="21"/>
  <c r="GT120" i="21"/>
  <c r="GT121" i="21"/>
  <c r="GT122" i="21"/>
  <c r="GT123" i="21"/>
  <c r="GT124" i="21"/>
  <c r="GT125" i="21"/>
  <c r="GT126" i="21"/>
  <c r="GT127" i="21"/>
  <c r="GT128" i="21"/>
  <c r="GT129" i="21"/>
  <c r="GT130" i="21"/>
  <c r="GT131" i="21"/>
  <c r="GT132" i="21"/>
  <c r="GT133" i="21"/>
  <c r="GT134" i="21"/>
  <c r="GT135" i="21"/>
  <c r="GT136" i="21"/>
  <c r="GT137" i="21"/>
  <c r="GT138" i="21"/>
  <c r="GT139" i="21"/>
  <c r="GT140" i="21"/>
  <c r="GT141" i="21"/>
  <c r="GT142" i="21"/>
  <c r="GT143" i="21"/>
  <c r="GT144" i="21"/>
  <c r="GT145" i="21"/>
  <c r="GT146" i="21"/>
  <c r="GT147" i="21"/>
  <c r="GT148" i="21"/>
  <c r="GT149" i="21"/>
  <c r="GT150" i="21"/>
  <c r="GT151" i="21"/>
  <c r="GT152" i="21"/>
  <c r="GT153" i="21"/>
  <c r="GT154" i="21"/>
  <c r="GT155" i="21"/>
  <c r="GT156" i="21"/>
  <c r="GT157" i="21"/>
  <c r="GT158" i="21"/>
  <c r="GT159" i="21"/>
  <c r="GT160" i="21"/>
  <c r="GT5" i="21"/>
  <c r="AV10" i="8" l="1"/>
  <c r="AV11" i="8"/>
  <c r="AV12" i="8"/>
  <c r="AV13" i="8"/>
  <c r="AV14" i="8"/>
  <c r="AV15" i="8"/>
  <c r="AV16" i="8"/>
  <c r="AV17" i="8"/>
  <c r="AV18" i="8"/>
  <c r="AV19" i="8"/>
  <c r="AV20" i="8"/>
  <c r="AV9" i="8"/>
  <c r="M10" i="8"/>
  <c r="M11" i="8"/>
  <c r="M12" i="8"/>
  <c r="M13" i="8"/>
  <c r="M14" i="8"/>
  <c r="M15" i="8"/>
  <c r="M16" i="8"/>
  <c r="M17" i="8"/>
  <c r="M18" i="8"/>
  <c r="M19" i="8"/>
  <c r="M20" i="8"/>
  <c r="N10" i="8"/>
  <c r="N11" i="8"/>
  <c r="N12" i="8"/>
  <c r="N13" i="8"/>
  <c r="N14" i="8"/>
  <c r="N15" i="8"/>
  <c r="N16" i="8"/>
  <c r="N17" i="8"/>
  <c r="N18" i="8"/>
  <c r="N19" i="8"/>
  <c r="N20" i="8"/>
  <c r="O10" i="8"/>
  <c r="O11" i="8"/>
  <c r="O12" i="8"/>
  <c r="O13" i="8"/>
  <c r="O14" i="8"/>
  <c r="O15" i="8"/>
  <c r="O16" i="8"/>
  <c r="O17" i="8"/>
  <c r="O18" i="8"/>
  <c r="O19" i="8"/>
  <c r="O20" i="8"/>
  <c r="P10" i="8"/>
  <c r="P11" i="8"/>
  <c r="P12" i="8"/>
  <c r="P13" i="8"/>
  <c r="P14" i="8"/>
  <c r="P15" i="8"/>
  <c r="P16" i="8"/>
  <c r="P17" i="8"/>
  <c r="P18" i="8"/>
  <c r="P19" i="8"/>
  <c r="P20" i="8"/>
  <c r="Q10" i="8"/>
  <c r="Q11" i="8"/>
  <c r="Q12" i="8"/>
  <c r="Q13" i="8"/>
  <c r="Q14" i="8"/>
  <c r="Q15" i="8"/>
  <c r="Q16" i="8"/>
  <c r="Q17" i="8"/>
  <c r="Q18" i="8"/>
  <c r="Q19" i="8"/>
  <c r="Q20" i="8"/>
  <c r="Q9" i="8"/>
  <c r="P9" i="8"/>
  <c r="O9" i="8"/>
  <c r="N9" i="8"/>
  <c r="M9" i="8"/>
  <c r="D12" i="41" l="1"/>
  <c r="D17" i="41" s="1"/>
  <c r="D13" i="41"/>
  <c r="D18" i="41" s="1"/>
  <c r="D14" i="41"/>
  <c r="D19" i="41" s="1"/>
  <c r="D11" i="41"/>
  <c r="D16" i="41" s="1"/>
  <c r="D17" i="36"/>
  <c r="D22" i="41" l="1"/>
  <c r="K17" i="41"/>
  <c r="D21" i="41"/>
  <c r="D26" i="41" s="1"/>
  <c r="D31" i="41" s="1"/>
  <c r="D23" i="41"/>
  <c r="K18" i="41"/>
  <c r="D24" i="41"/>
  <c r="K16" i="41"/>
  <c r="K19" i="41"/>
  <c r="K22" i="41" l="1"/>
  <c r="D36" i="41"/>
  <c r="D28" i="41"/>
  <c r="D33" i="41" s="1"/>
  <c r="D38" i="41" s="1"/>
  <c r="K31" i="41"/>
  <c r="D27" i="41"/>
  <c r="D32" i="41" s="1"/>
  <c r="D37" i="41" s="1"/>
  <c r="K23" i="41"/>
  <c r="K24" i="41"/>
  <c r="K21" i="41"/>
  <c r="D29" i="41"/>
  <c r="D34" i="41" s="1"/>
  <c r="D39" i="41" s="1"/>
  <c r="K26" i="41"/>
  <c r="K29" i="41" l="1"/>
  <c r="K28" i="41"/>
  <c r="D41" i="41"/>
  <c r="D46" i="41" s="1"/>
  <c r="D51" i="41" s="1"/>
  <c r="K36" i="41"/>
  <c r="D44" i="41"/>
  <c r="D49" i="41" s="1"/>
  <c r="D54" i="41" s="1"/>
  <c r="K39" i="41"/>
  <c r="D43" i="41"/>
  <c r="D48" i="41" s="1"/>
  <c r="D53" i="41" s="1"/>
  <c r="K38" i="41"/>
  <c r="D42" i="41"/>
  <c r="D47" i="41" s="1"/>
  <c r="D52" i="41" s="1"/>
  <c r="K37" i="41"/>
  <c r="K27" i="41"/>
  <c r="K34" i="41"/>
  <c r="K32" i="41"/>
  <c r="K33" i="41"/>
  <c r="D59" i="41" l="1"/>
  <c r="D64" i="41" s="1"/>
  <c r="K54" i="41"/>
  <c r="D57" i="41"/>
  <c r="D62" i="41" s="1"/>
  <c r="K52" i="41"/>
  <c r="D58" i="41"/>
  <c r="D63" i="41" s="1"/>
  <c r="K53" i="41"/>
  <c r="D56" i="41"/>
  <c r="D61" i="41" s="1"/>
  <c r="K51" i="41"/>
  <c r="K49" i="41"/>
  <c r="K47" i="41"/>
  <c r="K48" i="41"/>
  <c r="K46" i="41"/>
  <c r="K42" i="41"/>
  <c r="K43" i="41"/>
  <c r="K41" i="41"/>
  <c r="K44" i="41"/>
  <c r="K61" i="41" l="1"/>
  <c r="K62" i="41"/>
  <c r="K63" i="41"/>
  <c r="K64" i="41"/>
  <c r="K58" i="41"/>
  <c r="K59" i="41"/>
  <c r="K56" i="41"/>
  <c r="K57" i="41"/>
  <c r="L11" i="41" l="1"/>
  <c r="L16" i="41" s="1"/>
  <c r="L21" i="41" s="1"/>
  <c r="L26" i="41" s="1"/>
  <c r="L31" i="41" s="1"/>
  <c r="L36" i="41" s="1"/>
  <c r="L37" i="41" l="1"/>
  <c r="L38" i="41" s="1"/>
  <c r="L39" i="41" s="1"/>
  <c r="L41" i="41"/>
  <c r="L46" i="41" s="1"/>
  <c r="L51" i="41" s="1"/>
  <c r="L32" i="41"/>
  <c r="L33" i="41" s="1"/>
  <c r="L34" i="41" s="1"/>
  <c r="L27" i="41"/>
  <c r="L28" i="41" s="1"/>
  <c r="L29" i="41" s="1"/>
  <c r="L22" i="41"/>
  <c r="L23" i="41" s="1"/>
  <c r="L24" i="41" s="1"/>
  <c r="L17" i="41"/>
  <c r="L18" i="41" s="1"/>
  <c r="L19" i="41" s="1"/>
  <c r="K14" i="41"/>
  <c r="K13" i="41"/>
  <c r="L12" i="41"/>
  <c r="L13" i="41" s="1"/>
  <c r="L14" i="41" s="1"/>
  <c r="K12" i="41"/>
  <c r="K11" i="41"/>
  <c r="L52" i="41" l="1"/>
  <c r="L53" i="41" s="1"/>
  <c r="L54" i="41" s="1"/>
  <c r="L56" i="41"/>
  <c r="L61" i="41" s="1"/>
  <c r="L47" i="41"/>
  <c r="L48" i="41" s="1"/>
  <c r="L49" i="41" s="1"/>
  <c r="L42" i="41"/>
  <c r="L43" i="41" s="1"/>
  <c r="L44" i="41" s="1"/>
  <c r="L62" i="41" l="1"/>
  <c r="L63" i="41" s="1"/>
  <c r="L64" i="41" s="1"/>
  <c r="L57" i="41"/>
  <c r="L58" i="41" s="1"/>
  <c r="L59" i="41" s="1"/>
  <c r="I136" i="36" l="1"/>
  <c r="I135" i="36"/>
  <c r="I134" i="36"/>
  <c r="I133" i="36"/>
  <c r="I132" i="36"/>
  <c r="I131" i="36"/>
  <c r="I130" i="36"/>
  <c r="I129" i="36"/>
  <c r="I128" i="36"/>
  <c r="I127" i="36"/>
  <c r="I125" i="36"/>
  <c r="I124" i="36"/>
  <c r="I123" i="36"/>
  <c r="I122" i="36"/>
  <c r="I121" i="36"/>
  <c r="I120" i="36"/>
  <c r="I119" i="36"/>
  <c r="I118" i="36"/>
  <c r="I117" i="36"/>
  <c r="I116" i="36"/>
  <c r="I114" i="36"/>
  <c r="I113" i="36"/>
  <c r="I112" i="36"/>
  <c r="I111" i="36"/>
  <c r="I110" i="36"/>
  <c r="I109" i="36"/>
  <c r="I108" i="36"/>
  <c r="I107" i="36"/>
  <c r="I106" i="36"/>
  <c r="I105" i="36"/>
  <c r="I103" i="36"/>
  <c r="I102" i="36"/>
  <c r="I101" i="36"/>
  <c r="I100" i="36"/>
  <c r="I99" i="36"/>
  <c r="I98" i="36"/>
  <c r="I97" i="36"/>
  <c r="I96" i="36"/>
  <c r="I95" i="36"/>
  <c r="I94" i="36"/>
  <c r="I92" i="36"/>
  <c r="I91" i="36"/>
  <c r="I90" i="36"/>
  <c r="I89" i="36"/>
  <c r="I88" i="36"/>
  <c r="I87" i="36"/>
  <c r="I86" i="36"/>
  <c r="I85" i="36"/>
  <c r="I84" i="36"/>
  <c r="I83" i="36"/>
  <c r="I81" i="36"/>
  <c r="I80" i="36"/>
  <c r="I79" i="36"/>
  <c r="I78" i="36"/>
  <c r="I77" i="36"/>
  <c r="I76" i="36"/>
  <c r="I75" i="36"/>
  <c r="I74" i="36"/>
  <c r="I73" i="36"/>
  <c r="I72" i="36"/>
  <c r="I70" i="36"/>
  <c r="I69" i="36"/>
  <c r="I68" i="36"/>
  <c r="I67" i="36"/>
  <c r="I66" i="36"/>
  <c r="I65" i="36"/>
  <c r="I64" i="36"/>
  <c r="I63" i="36"/>
  <c r="I62" i="36"/>
  <c r="I61" i="36"/>
  <c r="I61" i="41" s="1"/>
  <c r="I59" i="36"/>
  <c r="I58" i="36"/>
  <c r="I57" i="36"/>
  <c r="I56" i="36"/>
  <c r="I56" i="41" s="1"/>
  <c r="I55" i="36"/>
  <c r="I54" i="36"/>
  <c r="I53" i="36"/>
  <c r="I52" i="36"/>
  <c r="I51" i="36"/>
  <c r="I51" i="41" s="1"/>
  <c r="I50" i="36"/>
  <c r="I48" i="36"/>
  <c r="I47" i="36"/>
  <c r="I46" i="36"/>
  <c r="I46" i="41" s="1"/>
  <c r="I45" i="36"/>
  <c r="I44" i="36"/>
  <c r="I43" i="36"/>
  <c r="I42" i="36"/>
  <c r="I41" i="36"/>
  <c r="I41" i="41" s="1"/>
  <c r="I40" i="36"/>
  <c r="I39" i="36"/>
  <c r="D18" i="36"/>
  <c r="D19" i="36"/>
  <c r="D30" i="36" s="1"/>
  <c r="D41" i="36" s="1"/>
  <c r="D20" i="36"/>
  <c r="D31" i="36" s="1"/>
  <c r="D21" i="36"/>
  <c r="D22" i="36"/>
  <c r="K22" i="36" s="1"/>
  <c r="D23" i="36"/>
  <c r="D24" i="36"/>
  <c r="D35" i="36" s="1"/>
  <c r="D46" i="36" s="1"/>
  <c r="D25" i="36"/>
  <c r="D26" i="36"/>
  <c r="E12" i="40"/>
  <c r="I37" i="36"/>
  <c r="I36" i="36"/>
  <c r="I36" i="41" s="1"/>
  <c r="I35" i="36"/>
  <c r="I34" i="36"/>
  <c r="I33" i="36"/>
  <c r="I32" i="36"/>
  <c r="I31" i="36"/>
  <c r="I31" i="41" s="1"/>
  <c r="I30" i="36"/>
  <c r="I29" i="36"/>
  <c r="I28" i="36"/>
  <c r="L17" i="36"/>
  <c r="L28" i="36" s="1"/>
  <c r="L29" i="36" s="1"/>
  <c r="I20" i="36"/>
  <c r="I19" i="36"/>
  <c r="I22" i="36"/>
  <c r="I21" i="36"/>
  <c r="I21" i="41" s="1"/>
  <c r="I18" i="36"/>
  <c r="K23" i="36" l="1"/>
  <c r="D34" i="36"/>
  <c r="D45" i="36" s="1"/>
  <c r="D56" i="36" s="1"/>
  <c r="D67" i="36" s="1"/>
  <c r="K19" i="36"/>
  <c r="D42" i="36"/>
  <c r="D53" i="36" s="1"/>
  <c r="D64" i="36" s="1"/>
  <c r="D75" i="36" s="1"/>
  <c r="D86" i="36" s="1"/>
  <c r="D97" i="36" s="1"/>
  <c r="D108" i="36" s="1"/>
  <c r="D119" i="36" s="1"/>
  <c r="D130" i="36" s="1"/>
  <c r="D57" i="36"/>
  <c r="K46" i="36"/>
  <c r="D52" i="36"/>
  <c r="D63" i="36" s="1"/>
  <c r="K41" i="36"/>
  <c r="L39" i="36"/>
  <c r="K45" i="36"/>
  <c r="K30" i="36"/>
  <c r="L18" i="36"/>
  <c r="K35" i="36"/>
  <c r="D28" i="36"/>
  <c r="D39" i="36" s="1"/>
  <c r="D50" i="36" s="1"/>
  <c r="D61" i="36" s="1"/>
  <c r="D32" i="36"/>
  <c r="D43" i="36" s="1"/>
  <c r="D36" i="36"/>
  <c r="D47" i="36" s="1"/>
  <c r="D58" i="36" s="1"/>
  <c r="D69" i="36" s="1"/>
  <c r="D80" i="36" s="1"/>
  <c r="D91" i="36" s="1"/>
  <c r="D102" i="36" s="1"/>
  <c r="D113" i="36" s="1"/>
  <c r="D124" i="36" s="1"/>
  <c r="D135" i="36" s="1"/>
  <c r="K18" i="36"/>
  <c r="D29" i="36"/>
  <c r="D40" i="36" s="1"/>
  <c r="D33" i="36"/>
  <c r="D44" i="36" s="1"/>
  <c r="D37" i="36"/>
  <c r="K34" i="36"/>
  <c r="K21" i="36"/>
  <c r="L35" i="36"/>
  <c r="L36" i="36" s="1"/>
  <c r="L37" i="36" s="1"/>
  <c r="L30" i="36"/>
  <c r="L31" i="36" s="1"/>
  <c r="L32" i="36" s="1"/>
  <c r="L33" i="36" s="1"/>
  <c r="L34" i="36" s="1"/>
  <c r="K31" i="36"/>
  <c r="K20" i="36"/>
  <c r="F21" i="40"/>
  <c r="F27" i="40" s="1"/>
  <c r="F33" i="40" s="1"/>
  <c r="F39" i="40" s="1"/>
  <c r="F45" i="40" s="1"/>
  <c r="F51" i="40" s="1"/>
  <c r="F57" i="40" s="1"/>
  <c r="F63" i="40" s="1"/>
  <c r="F69" i="40" s="1"/>
  <c r="F75" i="40" s="1"/>
  <c r="F18" i="40"/>
  <c r="F24" i="40" s="1"/>
  <c r="F30" i="40" s="1"/>
  <c r="F36" i="40" s="1"/>
  <c r="F42" i="40" s="1"/>
  <c r="F48" i="40" s="1"/>
  <c r="F54" i="40" s="1"/>
  <c r="F60" i="40" s="1"/>
  <c r="F66" i="40" s="1"/>
  <c r="F72" i="40" s="1"/>
  <c r="E18" i="40"/>
  <c r="E24" i="40" s="1"/>
  <c r="E30" i="40" s="1"/>
  <c r="E36" i="40" s="1"/>
  <c r="E42" i="40" s="1"/>
  <c r="E48" i="40" s="1"/>
  <c r="E13" i="40"/>
  <c r="E19" i="40" s="1"/>
  <c r="E25" i="40" s="1"/>
  <c r="E31" i="40" s="1"/>
  <c r="E37" i="40" s="1"/>
  <c r="E43" i="40" s="1"/>
  <c r="E49" i="40" s="1"/>
  <c r="E55" i="40" s="1"/>
  <c r="E61" i="40" s="1"/>
  <c r="E67" i="40" s="1"/>
  <c r="E73" i="40" s="1"/>
  <c r="F13" i="40"/>
  <c r="F19" i="40" s="1"/>
  <c r="F25" i="40" s="1"/>
  <c r="F31" i="40" s="1"/>
  <c r="F37" i="40" s="1"/>
  <c r="F43" i="40" s="1"/>
  <c r="F49" i="40" s="1"/>
  <c r="F55" i="40" s="1"/>
  <c r="F61" i="40" s="1"/>
  <c r="F67" i="40" s="1"/>
  <c r="F73" i="40" s="1"/>
  <c r="E14" i="40"/>
  <c r="E20" i="40" s="1"/>
  <c r="E26" i="40" s="1"/>
  <c r="E32" i="40" s="1"/>
  <c r="E38" i="40" s="1"/>
  <c r="E44" i="40" s="1"/>
  <c r="E50" i="40" s="1"/>
  <c r="E56" i="40" s="1"/>
  <c r="E62" i="40" s="1"/>
  <c r="E68" i="40" s="1"/>
  <c r="E74" i="40" s="1"/>
  <c r="F14" i="40"/>
  <c r="F20" i="40" s="1"/>
  <c r="F26" i="40" s="1"/>
  <c r="F32" i="40" s="1"/>
  <c r="F38" i="40" s="1"/>
  <c r="F44" i="40" s="1"/>
  <c r="F50" i="40" s="1"/>
  <c r="F56" i="40" s="1"/>
  <c r="F62" i="40" s="1"/>
  <c r="F68" i="40" s="1"/>
  <c r="F74" i="40" s="1"/>
  <c r="E15" i="40"/>
  <c r="E21" i="40" s="1"/>
  <c r="E27" i="40" s="1"/>
  <c r="E33" i="40" s="1"/>
  <c r="E39" i="40" s="1"/>
  <c r="E45" i="40" s="1"/>
  <c r="E51" i="40" s="1"/>
  <c r="E57" i="40" s="1"/>
  <c r="E63" i="40" s="1"/>
  <c r="E69" i="40" s="1"/>
  <c r="E75" i="40" s="1"/>
  <c r="F15" i="40"/>
  <c r="E16" i="40"/>
  <c r="E22" i="40" s="1"/>
  <c r="E28" i="40" s="1"/>
  <c r="E34" i="40" s="1"/>
  <c r="E40" i="40" s="1"/>
  <c r="E46" i="40" s="1"/>
  <c r="E52" i="40" s="1"/>
  <c r="E58" i="40" s="1"/>
  <c r="E64" i="40" s="1"/>
  <c r="E70" i="40" s="1"/>
  <c r="E76" i="40" s="1"/>
  <c r="F16" i="40"/>
  <c r="F22" i="40" s="1"/>
  <c r="F28" i="40" s="1"/>
  <c r="F34" i="40" s="1"/>
  <c r="F40" i="40" s="1"/>
  <c r="F46" i="40" s="1"/>
  <c r="F52" i="40" s="1"/>
  <c r="F58" i="40" s="1"/>
  <c r="F64" i="40" s="1"/>
  <c r="F70" i="40" s="1"/>
  <c r="F76" i="40" s="1"/>
  <c r="F12" i="40"/>
  <c r="E12" i="37"/>
  <c r="F12" i="37"/>
  <c r="F13" i="37"/>
  <c r="F14" i="37"/>
  <c r="F15" i="37"/>
  <c r="F16" i="37"/>
  <c r="E13" i="37"/>
  <c r="E14" i="37"/>
  <c r="E15" i="37"/>
  <c r="E16" i="37"/>
  <c r="D8" i="39"/>
  <c r="D10" i="39" s="1"/>
  <c r="D12" i="39" s="1"/>
  <c r="D14" i="39" s="1"/>
  <c r="D16" i="39" s="1"/>
  <c r="D18" i="39" s="1"/>
  <c r="D20" i="39" s="1"/>
  <c r="D22" i="39" s="1"/>
  <c r="D24" i="39" s="1"/>
  <c r="D26" i="39" s="1"/>
  <c r="D28" i="39" s="1"/>
  <c r="D9" i="39"/>
  <c r="D11" i="39" s="1"/>
  <c r="D13" i="39" s="1"/>
  <c r="D15" i="39" s="1"/>
  <c r="D17" i="39" s="1"/>
  <c r="D19" i="39" s="1"/>
  <c r="D21" i="39" s="1"/>
  <c r="D23" i="39" s="1"/>
  <c r="D25" i="39" s="1"/>
  <c r="D27" i="39" s="1"/>
  <c r="D29" i="39" s="1"/>
  <c r="D8" i="38"/>
  <c r="D10" i="38" s="1"/>
  <c r="D12" i="38" s="1"/>
  <c r="D14" i="38" s="1"/>
  <c r="D16" i="38" s="1"/>
  <c r="D18" i="38" s="1"/>
  <c r="D20" i="38" s="1"/>
  <c r="D22" i="38" s="1"/>
  <c r="D24" i="38" s="1"/>
  <c r="D26" i="38" s="1"/>
  <c r="D28" i="38" s="1"/>
  <c r="D9" i="38"/>
  <c r="D11" i="38" s="1"/>
  <c r="D13" i="38" s="1"/>
  <c r="D15" i="38" s="1"/>
  <c r="D17" i="38" s="1"/>
  <c r="D19" i="38" s="1"/>
  <c r="D21" i="38" s="1"/>
  <c r="D23" i="38" s="1"/>
  <c r="D25" i="38" s="1"/>
  <c r="D27" i="38" s="1"/>
  <c r="D29" i="38" s="1"/>
  <c r="D8" i="33"/>
  <c r="D10" i="33" s="1"/>
  <c r="D12" i="33" s="1"/>
  <c r="D14" i="33" s="1"/>
  <c r="D16" i="33" s="1"/>
  <c r="D18" i="33" s="1"/>
  <c r="L6" i="33"/>
  <c r="D9" i="33"/>
  <c r="D11" i="33" s="1"/>
  <c r="D13" i="33" s="1"/>
  <c r="D15" i="33" s="1"/>
  <c r="D17" i="33" s="1"/>
  <c r="D19" i="33" s="1"/>
  <c r="D21" i="33" s="1"/>
  <c r="D23" i="33" s="1"/>
  <c r="D25" i="33" s="1"/>
  <c r="D27" i="33" s="1"/>
  <c r="D29" i="33" s="1"/>
  <c r="E9" i="33"/>
  <c r="E11" i="33" s="1"/>
  <c r="E13" i="33" s="1"/>
  <c r="E15" i="33" s="1"/>
  <c r="E17" i="33" s="1"/>
  <c r="E19" i="33" s="1"/>
  <c r="E21" i="33" s="1"/>
  <c r="E23" i="33" s="1"/>
  <c r="E25" i="33" s="1"/>
  <c r="E27" i="33" s="1"/>
  <c r="E29" i="33" s="1"/>
  <c r="E8" i="33"/>
  <c r="E10" i="33" s="1"/>
  <c r="E12" i="33" s="1"/>
  <c r="E14" i="33" s="1"/>
  <c r="E16" i="33" s="1"/>
  <c r="E18" i="33" s="1"/>
  <c r="E20" i="33" s="1"/>
  <c r="E22" i="33" s="1"/>
  <c r="E24" i="33" s="1"/>
  <c r="E26" i="33" s="1"/>
  <c r="E28" i="33" s="1"/>
  <c r="K53" i="36" l="1"/>
  <c r="K97" i="36"/>
  <c r="K108" i="36"/>
  <c r="K86" i="36"/>
  <c r="K36" i="36"/>
  <c r="K42" i="36"/>
  <c r="K75" i="36"/>
  <c r="K47" i="36"/>
  <c r="K113" i="36"/>
  <c r="K119" i="36"/>
  <c r="K130" i="36"/>
  <c r="K58" i="36"/>
  <c r="K80" i="36"/>
  <c r="K102" i="36"/>
  <c r="K91" i="36"/>
  <c r="K124" i="36"/>
  <c r="K135" i="36"/>
  <c r="D55" i="36"/>
  <c r="K44" i="36"/>
  <c r="K40" i="36"/>
  <c r="D51" i="36"/>
  <c r="L40" i="36"/>
  <c r="L50" i="36"/>
  <c r="K57" i="36"/>
  <c r="D68" i="36"/>
  <c r="K33" i="36"/>
  <c r="D48" i="36"/>
  <c r="K67" i="36"/>
  <c r="D78" i="36"/>
  <c r="K64" i="36"/>
  <c r="K69" i="36"/>
  <c r="K52" i="36"/>
  <c r="D54" i="36"/>
  <c r="K43" i="36"/>
  <c r="E54" i="40"/>
  <c r="E60" i="40" s="1"/>
  <c r="E66" i="40" s="1"/>
  <c r="E72" i="40" s="1"/>
  <c r="D72" i="36"/>
  <c r="K61" i="36"/>
  <c r="K50" i="36"/>
  <c r="K39" i="36"/>
  <c r="K56" i="36"/>
  <c r="K28" i="36"/>
  <c r="L24" i="36"/>
  <c r="L25" i="36" s="1"/>
  <c r="L26" i="36" s="1"/>
  <c r="L19" i="36"/>
  <c r="L20" i="36" s="1"/>
  <c r="L21" i="36" s="1"/>
  <c r="L22" i="36" s="1"/>
  <c r="L23" i="36" s="1"/>
  <c r="K37" i="36"/>
  <c r="K29" i="36"/>
  <c r="K32" i="36"/>
  <c r="D20" i="33"/>
  <c r="D22" i="33" s="1"/>
  <c r="K48" i="36" l="1"/>
  <c r="D59" i="36"/>
  <c r="K78" i="36"/>
  <c r="D89" i="36"/>
  <c r="D79" i="36"/>
  <c r="K68" i="36"/>
  <c r="L51" i="36"/>
  <c r="L61" i="36"/>
  <c r="D65" i="36"/>
  <c r="K54" i="36"/>
  <c r="L41" i="36"/>
  <c r="L42" i="36" s="1"/>
  <c r="L43" i="36" s="1"/>
  <c r="L44" i="36" s="1"/>
  <c r="L45" i="36" s="1"/>
  <c r="L46" i="36"/>
  <c r="L47" i="36" s="1"/>
  <c r="L48" i="36" s="1"/>
  <c r="K55" i="36"/>
  <c r="D66" i="36"/>
  <c r="D74" i="36"/>
  <c r="D85" i="36" s="1"/>
  <c r="D96" i="36" s="1"/>
  <c r="K63" i="36"/>
  <c r="K51" i="36"/>
  <c r="D62" i="36"/>
  <c r="D83" i="36"/>
  <c r="K72" i="36"/>
  <c r="D24" i="33"/>
  <c r="D26" i="33" s="1"/>
  <c r="D73" i="36" l="1"/>
  <c r="D84" i="36" s="1"/>
  <c r="D95" i="36" s="1"/>
  <c r="K62" i="36"/>
  <c r="K66" i="36"/>
  <c r="D77" i="36"/>
  <c r="D76" i="36"/>
  <c r="K65" i="36"/>
  <c r="K74" i="36"/>
  <c r="L62" i="36"/>
  <c r="L72" i="36"/>
  <c r="K59" i="36"/>
  <c r="D70" i="36"/>
  <c r="L52" i="36"/>
  <c r="L53" i="36" s="1"/>
  <c r="L54" i="36" s="1"/>
  <c r="L55" i="36" s="1"/>
  <c r="L56" i="36" s="1"/>
  <c r="L57" i="36"/>
  <c r="L58" i="36" s="1"/>
  <c r="L59" i="36" s="1"/>
  <c r="K79" i="36"/>
  <c r="D90" i="36"/>
  <c r="K89" i="36"/>
  <c r="D100" i="36"/>
  <c r="D94" i="36"/>
  <c r="K83" i="36"/>
  <c r="D81" i="36" l="1"/>
  <c r="K70" i="36"/>
  <c r="L63" i="36"/>
  <c r="L64" i="36" s="1"/>
  <c r="L65" i="36" s="1"/>
  <c r="L66" i="36" s="1"/>
  <c r="L67" i="36" s="1"/>
  <c r="L68" i="36"/>
  <c r="L69" i="36" s="1"/>
  <c r="L70" i="36" s="1"/>
  <c r="D87" i="36"/>
  <c r="K76" i="36"/>
  <c r="K73" i="36"/>
  <c r="K100" i="36"/>
  <c r="D111" i="36"/>
  <c r="K85" i="36"/>
  <c r="K90" i="36"/>
  <c r="D101" i="36"/>
  <c r="D112" i="36" s="1"/>
  <c r="K77" i="36"/>
  <c r="D88" i="36"/>
  <c r="L73" i="36"/>
  <c r="L83" i="36"/>
  <c r="D105" i="36"/>
  <c r="K94" i="36"/>
  <c r="D28" i="33"/>
  <c r="D98" i="36" l="1"/>
  <c r="K87" i="36"/>
  <c r="D107" i="36"/>
  <c r="K96" i="36"/>
  <c r="K111" i="36"/>
  <c r="D122" i="36"/>
  <c r="K84" i="36"/>
  <c r="L74" i="36"/>
  <c r="L75" i="36" s="1"/>
  <c r="L76" i="36" s="1"/>
  <c r="L77" i="36" s="1"/>
  <c r="L78" i="36" s="1"/>
  <c r="L79" i="36"/>
  <c r="L80" i="36" s="1"/>
  <c r="L81" i="36" s="1"/>
  <c r="K88" i="36"/>
  <c r="D99" i="36"/>
  <c r="K101" i="36"/>
  <c r="L84" i="36"/>
  <c r="L94" i="36"/>
  <c r="D92" i="36"/>
  <c r="K81" i="36"/>
  <c r="D116" i="36"/>
  <c r="K105" i="36"/>
  <c r="D109" i="36" l="1"/>
  <c r="K98" i="36"/>
  <c r="L95" i="36"/>
  <c r="L105" i="36"/>
  <c r="D106" i="36"/>
  <c r="K95" i="36"/>
  <c r="D133" i="36"/>
  <c r="K122" i="36"/>
  <c r="D118" i="36"/>
  <c r="K107" i="36"/>
  <c r="L85" i="36"/>
  <c r="L86" i="36" s="1"/>
  <c r="L87" i="36" s="1"/>
  <c r="L88" i="36" s="1"/>
  <c r="L89" i="36" s="1"/>
  <c r="L90" i="36"/>
  <c r="L91" i="36" s="1"/>
  <c r="L92" i="36" s="1"/>
  <c r="K99" i="36"/>
  <c r="D110" i="36"/>
  <c r="D103" i="36"/>
  <c r="K92" i="36"/>
  <c r="D123" i="36"/>
  <c r="K112" i="36"/>
  <c r="D127" i="36"/>
  <c r="K116" i="36"/>
  <c r="K110" i="36" l="1"/>
  <c r="D121" i="36"/>
  <c r="K133" i="36"/>
  <c r="D120" i="36"/>
  <c r="D131" i="36" s="1"/>
  <c r="K109" i="36"/>
  <c r="D114" i="36"/>
  <c r="K103" i="36"/>
  <c r="L106" i="36"/>
  <c r="L116" i="36"/>
  <c r="D134" i="36"/>
  <c r="K123" i="36"/>
  <c r="L96" i="36"/>
  <c r="L97" i="36" s="1"/>
  <c r="L98" i="36" s="1"/>
  <c r="L99" i="36" s="1"/>
  <c r="L100" i="36" s="1"/>
  <c r="L101" i="36"/>
  <c r="L102" i="36" s="1"/>
  <c r="L103" i="36" s="1"/>
  <c r="D129" i="36"/>
  <c r="K118" i="36"/>
  <c r="D117" i="36"/>
  <c r="K106" i="36"/>
  <c r="K127" i="36"/>
  <c r="T11" i="30"/>
  <c r="U11" i="30" s="1"/>
  <c r="T12" i="30"/>
  <c r="U12" i="30" s="1"/>
  <c r="T13" i="30"/>
  <c r="U13" i="30" s="1"/>
  <c r="T14" i="30"/>
  <c r="U14" i="30" s="1"/>
  <c r="T10" i="30"/>
  <c r="U10" i="30" s="1"/>
  <c r="G5" i="4"/>
  <c r="L107" i="36" l="1"/>
  <c r="L108" i="36" s="1"/>
  <c r="L109" i="36" s="1"/>
  <c r="L110" i="36" s="1"/>
  <c r="L111" i="36" s="1"/>
  <c r="L112" i="36"/>
  <c r="L113" i="36" s="1"/>
  <c r="L114" i="36" s="1"/>
  <c r="K120" i="36"/>
  <c r="K129" i="36"/>
  <c r="K134" i="36"/>
  <c r="D125" i="36"/>
  <c r="K114" i="36"/>
  <c r="D128" i="36"/>
  <c r="K117" i="36"/>
  <c r="L117" i="36"/>
  <c r="L127" i="36"/>
  <c r="L128" i="36" s="1"/>
  <c r="K121" i="36"/>
  <c r="D132" i="36"/>
  <c r="T15" i="30"/>
  <c r="U15" i="30" s="1"/>
  <c r="L129" i="36" l="1"/>
  <c r="L130" i="36" s="1"/>
  <c r="L131" i="36" s="1"/>
  <c r="L132" i="36" s="1"/>
  <c r="L133" i="36" s="1"/>
  <c r="L134" i="36"/>
  <c r="L135" i="36" s="1"/>
  <c r="L136" i="36" s="1"/>
  <c r="D136" i="36"/>
  <c r="K125" i="36"/>
  <c r="L118" i="36"/>
  <c r="L119" i="36" s="1"/>
  <c r="L120" i="36" s="1"/>
  <c r="L121" i="36" s="1"/>
  <c r="L122" i="36" s="1"/>
  <c r="L123" i="36"/>
  <c r="L124" i="36" s="1"/>
  <c r="L125" i="36" s="1"/>
  <c r="K131" i="36"/>
  <c r="K128" i="36"/>
  <c r="K132" i="36"/>
  <c r="T16" i="30"/>
  <c r="U16" i="30" s="1"/>
  <c r="K136" i="36" l="1"/>
  <c r="T17" i="30"/>
  <c r="U17" i="30" s="1"/>
  <c r="T18" i="30" l="1"/>
  <c r="U18" i="30" s="1"/>
  <c r="T20" i="30" l="1"/>
  <c r="U20" i="30" s="1"/>
  <c r="T19" i="30"/>
  <c r="U19" i="30" s="1"/>
  <c r="S19" i="2" l="1"/>
  <c r="A11" i="35" l="1"/>
  <c r="A34" i="56"/>
  <c r="A9" i="35"/>
  <c r="A10" i="35"/>
  <c r="I6" i="41"/>
  <c r="I16" i="41" s="1"/>
  <c r="M6" i="40"/>
  <c r="I6" i="39"/>
  <c r="I64" i="41" l="1"/>
  <c r="I62" i="41"/>
  <c r="I63" i="41"/>
  <c r="I59" i="41"/>
  <c r="I54" i="41"/>
  <c r="I53" i="41"/>
  <c r="I58" i="41"/>
  <c r="I57" i="41"/>
  <c r="I52" i="41"/>
  <c r="I49" i="41"/>
  <c r="I47" i="41"/>
  <c r="I48" i="41"/>
  <c r="I44" i="41"/>
  <c r="I37" i="41"/>
  <c r="I42" i="41"/>
  <c r="I39" i="41"/>
  <c r="I38" i="41"/>
  <c r="I43" i="41"/>
  <c r="I32" i="41"/>
  <c r="I33" i="41"/>
  <c r="I34" i="41"/>
  <c r="I29" i="41"/>
  <c r="I28" i="41"/>
  <c r="I27" i="41"/>
  <c r="I24" i="41"/>
  <c r="I23" i="41"/>
  <c r="I22" i="41"/>
  <c r="I19" i="41"/>
  <c r="I18" i="41"/>
  <c r="I17" i="41"/>
  <c r="I12" i="41"/>
  <c r="I13" i="41"/>
  <c r="I14" i="41"/>
  <c r="A34" i="34"/>
  <c r="M88" i="40" l="1"/>
  <c r="M87" i="40"/>
  <c r="M86" i="40"/>
  <c r="M85" i="40"/>
  <c r="M84" i="40"/>
  <c r="M83" i="40"/>
  <c r="V1" i="43" l="1"/>
  <c r="U1" i="43" s="1"/>
  <c r="M1" i="56" l="1"/>
  <c r="M9" i="56" s="1"/>
  <c r="E26" i="48"/>
  <c r="E33" i="49" s="1"/>
  <c r="E21" i="48"/>
  <c r="E23" i="47"/>
  <c r="E34" i="48"/>
  <c r="F11" i="49"/>
  <c r="E32" i="48"/>
  <c r="E45" i="49" s="1"/>
  <c r="E24" i="48"/>
  <c r="E29" i="49" s="1"/>
  <c r="F7" i="49"/>
  <c r="E30" i="48"/>
  <c r="E41" i="49" s="1"/>
  <c r="F7" i="47"/>
  <c r="E35" i="47"/>
  <c r="E22" i="48"/>
  <c r="E28" i="48"/>
  <c r="E37" i="49" s="1"/>
  <c r="E31" i="47"/>
  <c r="F12" i="47"/>
  <c r="H1" i="47"/>
  <c r="L1" i="56" s="1"/>
  <c r="E29" i="47"/>
  <c r="I15" i="47"/>
  <c r="F10" i="47"/>
  <c r="E27" i="47"/>
  <c r="I16" i="47"/>
  <c r="F11" i="47"/>
  <c r="E33" i="47"/>
  <c r="E25" i="47"/>
  <c r="S10" i="2"/>
  <c r="F10" i="2"/>
  <c r="F11" i="2"/>
  <c r="I1" i="35"/>
  <c r="S27" i="2"/>
  <c r="F27" i="2" s="1"/>
  <c r="E39" i="47" l="1"/>
  <c r="E25" i="49"/>
  <c r="E38" i="48"/>
  <c r="N8" i="43"/>
  <c r="W12" i="43"/>
  <c r="B14" i="43" s="1"/>
  <c r="N11" i="43"/>
  <c r="N10" i="43"/>
  <c r="M10" i="56"/>
  <c r="M11" i="56"/>
  <c r="J10" i="34"/>
  <c r="J10" i="56"/>
  <c r="J12" i="34"/>
  <c r="J12" i="56"/>
  <c r="N12" i="56" s="1"/>
  <c r="J11" i="34"/>
  <c r="J11" i="56"/>
  <c r="J7" i="34"/>
  <c r="J7" i="56"/>
  <c r="N9" i="56" s="1"/>
  <c r="V4" i="5"/>
  <c r="J5" i="2"/>
  <c r="K30" i="43"/>
  <c r="C10" i="50"/>
  <c r="F7" i="35"/>
  <c r="C14" i="50"/>
  <c r="F11" i="35"/>
  <c r="F11" i="48"/>
  <c r="F7" i="48"/>
  <c r="H1" i="48"/>
  <c r="H1" i="49" s="1"/>
  <c r="D1" i="50" s="1"/>
  <c r="L1" i="34"/>
  <c r="H1" i="35" s="1"/>
  <c r="K28" i="43"/>
  <c r="E49" i="49"/>
  <c r="F26" i="43"/>
  <c r="F34" i="43"/>
  <c r="E25" i="48"/>
  <c r="E23" i="48"/>
  <c r="A23" i="50"/>
  <c r="E37" i="48"/>
  <c r="E22" i="49"/>
  <c r="E31" i="48"/>
  <c r="E42" i="49" s="1"/>
  <c r="E29" i="48"/>
  <c r="E38" i="49" s="1"/>
  <c r="E54" i="49" s="1"/>
  <c r="E27" i="48"/>
  <c r="E34" i="49" s="1"/>
  <c r="F10" i="48"/>
  <c r="F10" i="49"/>
  <c r="F12" i="48"/>
  <c r="F12" i="49"/>
  <c r="B15" i="47"/>
  <c r="F24" i="43"/>
  <c r="F32" i="43"/>
  <c r="K26" i="43"/>
  <c r="F30" i="43"/>
  <c r="O12" i="43"/>
  <c r="K24" i="43"/>
  <c r="K34" i="43"/>
  <c r="K22" i="43"/>
  <c r="F28" i="43"/>
  <c r="K32" i="43"/>
  <c r="F22" i="43"/>
  <c r="I11" i="35"/>
  <c r="I9" i="35"/>
  <c r="I10" i="35"/>
  <c r="Q12" i="5" l="1"/>
  <c r="Q14" i="5"/>
  <c r="O11" i="5"/>
  <c r="Q11" i="5"/>
  <c r="Q13" i="5"/>
  <c r="O12" i="5"/>
  <c r="O13" i="5"/>
  <c r="O14" i="5"/>
  <c r="O15" i="5"/>
  <c r="Q15" i="5"/>
  <c r="O10" i="5"/>
  <c r="Q10" i="5"/>
  <c r="O17" i="5"/>
  <c r="O18" i="5"/>
  <c r="O19" i="5"/>
  <c r="O20" i="5"/>
  <c r="O21" i="5"/>
  <c r="Q21" i="5"/>
  <c r="Q16" i="5"/>
  <c r="O16" i="5"/>
  <c r="Q17" i="5"/>
  <c r="Q18" i="5"/>
  <c r="Q19" i="5"/>
  <c r="Q20" i="5"/>
  <c r="E30" i="49"/>
  <c r="E35" i="48"/>
  <c r="E50" i="49" s="1"/>
  <c r="N10" i="56"/>
  <c r="N11" i="56"/>
  <c r="P30" i="43"/>
  <c r="U30" i="43" s="1"/>
  <c r="P28" i="43"/>
  <c r="U28" i="43" s="1"/>
  <c r="C13" i="50"/>
  <c r="F10" i="35"/>
  <c r="C15" i="50"/>
  <c r="F12" i="35"/>
  <c r="P34" i="43"/>
  <c r="U34" i="43" s="1"/>
  <c r="E57" i="49"/>
  <c r="B23" i="50"/>
  <c r="E26" i="49"/>
  <c r="E33" i="48"/>
  <c r="E46" i="49" s="1"/>
  <c r="P26" i="43"/>
  <c r="U26" i="43" s="1"/>
  <c r="P32" i="43"/>
  <c r="U32" i="43" s="1"/>
  <c r="K36" i="43"/>
  <c r="F36" i="43"/>
  <c r="P22" i="43"/>
  <c r="U22" i="43" s="1"/>
  <c r="P24" i="43"/>
  <c r="U24" i="43" s="1"/>
  <c r="G82" i="41"/>
  <c r="G83" i="41"/>
  <c r="G84" i="41"/>
  <c r="G85" i="41"/>
  <c r="G86" i="41"/>
  <c r="G81" i="41"/>
  <c r="G154" i="36"/>
  <c r="G155" i="36"/>
  <c r="G156" i="36"/>
  <c r="G157" i="36"/>
  <c r="G158" i="36"/>
  <c r="G153" i="36"/>
  <c r="M84" i="37"/>
  <c r="M85" i="37"/>
  <c r="M86" i="37"/>
  <c r="M87" i="37"/>
  <c r="M88" i="37"/>
  <c r="M83" i="37"/>
  <c r="I48" i="39"/>
  <c r="I47" i="39"/>
  <c r="I46" i="39"/>
  <c r="I45" i="39"/>
  <c r="I44" i="39"/>
  <c r="I43" i="39"/>
  <c r="I48" i="38"/>
  <c r="I47" i="38"/>
  <c r="I46" i="38"/>
  <c r="I45" i="38"/>
  <c r="I44" i="38"/>
  <c r="I43" i="38"/>
  <c r="J45" i="33"/>
  <c r="J46" i="33"/>
  <c r="J47" i="33"/>
  <c r="J48" i="33"/>
  <c r="J49" i="33"/>
  <c r="J44" i="33"/>
  <c r="P36" i="43" l="1"/>
  <c r="H18" i="43" s="1"/>
  <c r="S23" i="2"/>
  <c r="O6" i="37"/>
  <c r="P10" i="5" l="1"/>
  <c r="U36" i="43"/>
  <c r="S26" i="2"/>
  <c r="F26" i="2" s="1"/>
  <c r="F25" i="2" s="1"/>
  <c r="K9" i="41"/>
  <c r="I9" i="41"/>
  <c r="K8" i="41"/>
  <c r="I8" i="41"/>
  <c r="L7" i="41"/>
  <c r="L8" i="41" s="1"/>
  <c r="L9" i="41" s="1"/>
  <c r="K7" i="41"/>
  <c r="I7" i="41"/>
  <c r="K6" i="41"/>
  <c r="M76" i="40"/>
  <c r="M75" i="40"/>
  <c r="M74" i="40"/>
  <c r="P73" i="40"/>
  <c r="P74" i="40" s="1"/>
  <c r="P75" i="40" s="1"/>
  <c r="P76" i="40" s="1"/>
  <c r="M73" i="40"/>
  <c r="M72" i="40"/>
  <c r="M70" i="40"/>
  <c r="M69" i="40"/>
  <c r="M68" i="40"/>
  <c r="P67" i="40"/>
  <c r="P68" i="40" s="1"/>
  <c r="P69" i="40" s="1"/>
  <c r="P70" i="40" s="1"/>
  <c r="M67" i="40"/>
  <c r="M66" i="40"/>
  <c r="M64" i="40"/>
  <c r="M63" i="40"/>
  <c r="M62" i="40"/>
  <c r="P61" i="40"/>
  <c r="P62" i="40" s="1"/>
  <c r="P63" i="40" s="1"/>
  <c r="P64" i="40" s="1"/>
  <c r="M61" i="40"/>
  <c r="M60" i="40"/>
  <c r="M58" i="40"/>
  <c r="M57" i="40"/>
  <c r="M56" i="40"/>
  <c r="P55" i="40"/>
  <c r="P56" i="40" s="1"/>
  <c r="P57" i="40" s="1"/>
  <c r="P58" i="40" s="1"/>
  <c r="M55" i="40"/>
  <c r="M54" i="40"/>
  <c r="M52" i="40"/>
  <c r="M51" i="40"/>
  <c r="M50" i="40"/>
  <c r="P49" i="40"/>
  <c r="P50" i="40" s="1"/>
  <c r="P51" i="40" s="1"/>
  <c r="P52" i="40" s="1"/>
  <c r="M49" i="40"/>
  <c r="M48" i="40"/>
  <c r="M46" i="40"/>
  <c r="M45" i="40"/>
  <c r="M44" i="40"/>
  <c r="P43" i="40"/>
  <c r="P44" i="40" s="1"/>
  <c r="P45" i="40" s="1"/>
  <c r="P46" i="40" s="1"/>
  <c r="M43" i="40"/>
  <c r="M42" i="40"/>
  <c r="M40" i="40"/>
  <c r="M39" i="40"/>
  <c r="M38" i="40"/>
  <c r="P37" i="40"/>
  <c r="P38" i="40" s="1"/>
  <c r="P39" i="40" s="1"/>
  <c r="P40" i="40" s="1"/>
  <c r="M37" i="40"/>
  <c r="M36" i="40"/>
  <c r="M34" i="40"/>
  <c r="M33" i="40"/>
  <c r="M32" i="40"/>
  <c r="P31" i="40"/>
  <c r="P32" i="40" s="1"/>
  <c r="P33" i="40" s="1"/>
  <c r="P34" i="40" s="1"/>
  <c r="M31" i="40"/>
  <c r="M30" i="40"/>
  <c r="M28" i="40"/>
  <c r="M27" i="40"/>
  <c r="M26" i="40"/>
  <c r="P25" i="40"/>
  <c r="P26" i="40" s="1"/>
  <c r="P27" i="40" s="1"/>
  <c r="P28" i="40" s="1"/>
  <c r="M25" i="40"/>
  <c r="M24" i="40"/>
  <c r="M22" i="40"/>
  <c r="M21" i="40"/>
  <c r="M20" i="40"/>
  <c r="P19" i="40"/>
  <c r="P20" i="40" s="1"/>
  <c r="P21" i="40" s="1"/>
  <c r="P22" i="40" s="1"/>
  <c r="M19" i="40"/>
  <c r="M18" i="40"/>
  <c r="M16" i="40"/>
  <c r="M15" i="40"/>
  <c r="M14" i="40"/>
  <c r="P13" i="40"/>
  <c r="P14" i="40" s="1"/>
  <c r="P15" i="40" s="1"/>
  <c r="P16" i="40" s="1"/>
  <c r="M13" i="40"/>
  <c r="M12" i="40"/>
  <c r="O10" i="40"/>
  <c r="M10" i="40"/>
  <c r="O9" i="40"/>
  <c r="M9" i="40"/>
  <c r="O8" i="40"/>
  <c r="M8" i="40"/>
  <c r="P7" i="40"/>
  <c r="P8" i="40" s="1"/>
  <c r="P9" i="40" s="1"/>
  <c r="P10" i="40" s="1"/>
  <c r="O7" i="40"/>
  <c r="M7" i="40"/>
  <c r="O6" i="40"/>
  <c r="I29" i="39"/>
  <c r="I28" i="39"/>
  <c r="I27" i="39"/>
  <c r="I26" i="39"/>
  <c r="I25" i="39"/>
  <c r="I24" i="39"/>
  <c r="I23" i="39"/>
  <c r="I22" i="39"/>
  <c r="I21" i="39"/>
  <c r="I20" i="39"/>
  <c r="I19" i="39"/>
  <c r="I18" i="39"/>
  <c r="I17" i="39"/>
  <c r="I16" i="39"/>
  <c r="I15" i="39"/>
  <c r="I14" i="39"/>
  <c r="I13" i="39"/>
  <c r="I12" i="39"/>
  <c r="I11" i="39"/>
  <c r="L10" i="39"/>
  <c r="I10" i="39"/>
  <c r="L9" i="39"/>
  <c r="I9" i="39"/>
  <c r="F9" i="39"/>
  <c r="L8" i="39"/>
  <c r="K8" i="39"/>
  <c r="I8" i="39"/>
  <c r="L7" i="39"/>
  <c r="K7" i="39"/>
  <c r="I7" i="39"/>
  <c r="F7" i="39"/>
  <c r="E7" i="39"/>
  <c r="K6" i="39"/>
  <c r="I29" i="38"/>
  <c r="I28" i="38"/>
  <c r="I27" i="38"/>
  <c r="I26" i="38"/>
  <c r="I25" i="38"/>
  <c r="I24" i="38"/>
  <c r="I23" i="38"/>
  <c r="I22" i="38"/>
  <c r="I21" i="38"/>
  <c r="I20" i="38"/>
  <c r="I19" i="38"/>
  <c r="I18" i="38"/>
  <c r="I17" i="38"/>
  <c r="I16" i="38"/>
  <c r="I15" i="38"/>
  <c r="I14" i="38"/>
  <c r="I13" i="38"/>
  <c r="I12" i="38"/>
  <c r="I11" i="38"/>
  <c r="I10" i="38"/>
  <c r="I9" i="38"/>
  <c r="L8" i="38"/>
  <c r="L10" i="38" s="1"/>
  <c r="L11" i="38" s="1"/>
  <c r="I8" i="38"/>
  <c r="L7" i="38"/>
  <c r="K7" i="38"/>
  <c r="I7" i="38"/>
  <c r="F7" i="38"/>
  <c r="E7" i="38"/>
  <c r="K6" i="38"/>
  <c r="G23" i="2" l="1"/>
  <c r="H23" i="2" s="1"/>
  <c r="I23" i="2" s="1"/>
  <c r="J23" i="2" s="1"/>
  <c r="K23" i="2" s="1"/>
  <c r="L23" i="2" s="1"/>
  <c r="M23" i="2" s="1"/>
  <c r="N23" i="2" s="1"/>
  <c r="O23" i="2" s="1"/>
  <c r="P23" i="2" s="1"/>
  <c r="Q23" i="2" s="1"/>
  <c r="L9" i="38"/>
  <c r="O14" i="40"/>
  <c r="T26" i="2"/>
  <c r="O15" i="40"/>
  <c r="T27" i="2"/>
  <c r="O12" i="40"/>
  <c r="O20" i="40"/>
  <c r="O21" i="40"/>
  <c r="O18" i="40"/>
  <c r="O13" i="40"/>
  <c r="O16" i="40"/>
  <c r="K9" i="39"/>
  <c r="E9" i="39"/>
  <c r="K10" i="39"/>
  <c r="L11" i="39"/>
  <c r="L12" i="39"/>
  <c r="K9" i="38"/>
  <c r="F9" i="38"/>
  <c r="L12" i="38"/>
  <c r="E9" i="38"/>
  <c r="K10" i="38"/>
  <c r="K8" i="38"/>
  <c r="U27" i="2" l="1"/>
  <c r="G27" i="2"/>
  <c r="U26" i="2"/>
  <c r="G26" i="2"/>
  <c r="G25" i="2" s="1"/>
  <c r="O19" i="40"/>
  <c r="O22" i="40"/>
  <c r="O24" i="40"/>
  <c r="O27" i="40"/>
  <c r="O26" i="40"/>
  <c r="F11" i="39"/>
  <c r="K11" i="39"/>
  <c r="E11" i="39"/>
  <c r="L14" i="39"/>
  <c r="L13" i="39"/>
  <c r="K12" i="39"/>
  <c r="K11" i="38"/>
  <c r="E11" i="38"/>
  <c r="F11" i="38"/>
  <c r="L13" i="38"/>
  <c r="L14" i="38"/>
  <c r="K12" i="38"/>
  <c r="V26" i="2" l="1"/>
  <c r="H26" i="2"/>
  <c r="H25" i="2" s="1"/>
  <c r="V27" i="2"/>
  <c r="H27" i="2"/>
  <c r="S31" i="2"/>
  <c r="O30" i="40"/>
  <c r="O28" i="40"/>
  <c r="O25" i="40"/>
  <c r="O32" i="40"/>
  <c r="O33" i="40"/>
  <c r="E13" i="39"/>
  <c r="K13" i="39"/>
  <c r="F13" i="39"/>
  <c r="K14" i="39"/>
  <c r="L16" i="39"/>
  <c r="L15" i="39"/>
  <c r="K14" i="38"/>
  <c r="L16" i="38"/>
  <c r="L15" i="38"/>
  <c r="E13" i="38"/>
  <c r="K13" i="38"/>
  <c r="F13" i="38"/>
  <c r="W27" i="2" l="1"/>
  <c r="I27" i="2"/>
  <c r="S9" i="30"/>
  <c r="F29" i="2"/>
  <c r="Y7" i="52" s="1"/>
  <c r="W26" i="2"/>
  <c r="I26" i="2"/>
  <c r="I25" i="2" s="1"/>
  <c r="S32" i="2"/>
  <c r="T31" i="2"/>
  <c r="O38" i="40"/>
  <c r="O39" i="40"/>
  <c r="O34" i="40"/>
  <c r="O36" i="40"/>
  <c r="O31" i="40"/>
  <c r="L18" i="39"/>
  <c r="L17" i="39"/>
  <c r="F15" i="39"/>
  <c r="K15" i="39"/>
  <c r="E15" i="39"/>
  <c r="K16" i="39"/>
  <c r="F15" i="38"/>
  <c r="E15" i="38"/>
  <c r="K15" i="38"/>
  <c r="L18" i="38"/>
  <c r="L17" i="38"/>
  <c r="K16" i="38"/>
  <c r="S10" i="30" l="1"/>
  <c r="AF7" i="52"/>
  <c r="R9" i="30"/>
  <c r="X26" i="2"/>
  <c r="J26" i="2"/>
  <c r="J25" i="2" s="1"/>
  <c r="X27" i="2"/>
  <c r="J27" i="2"/>
  <c r="U31" i="2"/>
  <c r="T32" i="2"/>
  <c r="S33" i="2"/>
  <c r="O44" i="40"/>
  <c r="O45" i="40"/>
  <c r="O42" i="40"/>
  <c r="O37" i="40"/>
  <c r="O40" i="40"/>
  <c r="K17" i="39"/>
  <c r="E17" i="39"/>
  <c r="F17" i="39"/>
  <c r="K18" i="39"/>
  <c r="L19" i="39"/>
  <c r="L20" i="39"/>
  <c r="K17" i="38"/>
  <c r="F17" i="38"/>
  <c r="E17" i="38"/>
  <c r="K18" i="38"/>
  <c r="L19" i="38"/>
  <c r="L20" i="38"/>
  <c r="L7" i="33"/>
  <c r="G29" i="2" l="1"/>
  <c r="Y8" i="52" s="1"/>
  <c r="S11" i="30"/>
  <c r="AI7" i="52"/>
  <c r="AL7" i="52" s="1"/>
  <c r="N7" i="52"/>
  <c r="Y26" i="2"/>
  <c r="K26" i="2"/>
  <c r="K25" i="2" s="1"/>
  <c r="Y27" i="2"/>
  <c r="K27" i="2"/>
  <c r="S34" i="2"/>
  <c r="U32" i="2"/>
  <c r="V31" i="2"/>
  <c r="O43" i="40"/>
  <c r="O48" i="40"/>
  <c r="O50" i="40"/>
  <c r="O46" i="40"/>
  <c r="O51" i="40"/>
  <c r="K20" i="39"/>
  <c r="L22" i="39"/>
  <c r="L21" i="39"/>
  <c r="F19" i="39"/>
  <c r="K19" i="39"/>
  <c r="E19" i="39"/>
  <c r="K20" i="38"/>
  <c r="L21" i="38"/>
  <c r="L22" i="38"/>
  <c r="K19" i="38"/>
  <c r="E19" i="38"/>
  <c r="F19" i="38"/>
  <c r="D10" i="8"/>
  <c r="F10" i="8"/>
  <c r="G10" i="8"/>
  <c r="D11" i="8"/>
  <c r="F11" i="8"/>
  <c r="G11" i="8"/>
  <c r="D12" i="8"/>
  <c r="F12" i="8"/>
  <c r="G12" i="8"/>
  <c r="D13" i="8"/>
  <c r="F13" i="8"/>
  <c r="G13" i="8"/>
  <c r="D14" i="8"/>
  <c r="F14" i="8"/>
  <c r="G14" i="8"/>
  <c r="D15" i="8"/>
  <c r="F15" i="8"/>
  <c r="G15" i="8"/>
  <c r="D16" i="8"/>
  <c r="F16" i="8"/>
  <c r="G16" i="8"/>
  <c r="D17" i="8"/>
  <c r="F17" i="8"/>
  <c r="G17" i="8"/>
  <c r="D18" i="8"/>
  <c r="F18" i="8"/>
  <c r="G18" i="8"/>
  <c r="D19" i="8"/>
  <c r="F19" i="8"/>
  <c r="G19" i="8"/>
  <c r="D20" i="8"/>
  <c r="F20" i="8"/>
  <c r="G20" i="8"/>
  <c r="H29" i="2" l="1"/>
  <c r="R11" i="30" s="1"/>
  <c r="R10" i="30"/>
  <c r="S12" i="30"/>
  <c r="AF8" i="52"/>
  <c r="N8" i="52" s="1"/>
  <c r="AI8" i="52"/>
  <c r="AL8" i="52" s="1"/>
  <c r="Z27" i="2"/>
  <c r="L27" i="2"/>
  <c r="Z26" i="2"/>
  <c r="L26" i="2"/>
  <c r="L25" i="2" s="1"/>
  <c r="W31" i="2"/>
  <c r="V32" i="2"/>
  <c r="S35" i="2"/>
  <c r="O52" i="40"/>
  <c r="O56" i="40"/>
  <c r="O54" i="40"/>
  <c r="O57" i="40"/>
  <c r="O49" i="40"/>
  <c r="E21" i="39"/>
  <c r="K21" i="39"/>
  <c r="F21" i="39"/>
  <c r="L24" i="39"/>
  <c r="L23" i="39"/>
  <c r="K22" i="39"/>
  <c r="K22" i="38"/>
  <c r="E21" i="38"/>
  <c r="K21" i="38"/>
  <c r="F21" i="38"/>
  <c r="L24" i="38"/>
  <c r="L23" i="38"/>
  <c r="E36" i="35"/>
  <c r="M9" i="37"/>
  <c r="O9" i="37"/>
  <c r="M10" i="37"/>
  <c r="O10" i="37"/>
  <c r="M8" i="37"/>
  <c r="O8" i="37"/>
  <c r="M76" i="37"/>
  <c r="M75" i="37"/>
  <c r="M74" i="37"/>
  <c r="P73" i="37"/>
  <c r="P74" i="37" s="1"/>
  <c r="P75" i="37" s="1"/>
  <c r="P76" i="37" s="1"/>
  <c r="M73" i="37"/>
  <c r="M72" i="37"/>
  <c r="M70" i="37"/>
  <c r="M69" i="37"/>
  <c r="M68" i="37"/>
  <c r="P67" i="37"/>
  <c r="P68" i="37" s="1"/>
  <c r="P69" i="37" s="1"/>
  <c r="P70" i="37" s="1"/>
  <c r="M67" i="37"/>
  <c r="M66" i="37"/>
  <c r="M64" i="37"/>
  <c r="M63" i="37"/>
  <c r="M62" i="37"/>
  <c r="P61" i="37"/>
  <c r="P62" i="37" s="1"/>
  <c r="P63" i="37" s="1"/>
  <c r="P64" i="37" s="1"/>
  <c r="M61" i="37"/>
  <c r="M60" i="37"/>
  <c r="M58" i="37"/>
  <c r="M57" i="37"/>
  <c r="M56" i="37"/>
  <c r="P55" i="37"/>
  <c r="P56" i="37" s="1"/>
  <c r="P57" i="37" s="1"/>
  <c r="P58" i="37" s="1"/>
  <c r="M55" i="37"/>
  <c r="M54" i="37"/>
  <c r="M52" i="37"/>
  <c r="M51" i="37"/>
  <c r="M50" i="37"/>
  <c r="P49" i="37"/>
  <c r="P50" i="37" s="1"/>
  <c r="P51" i="37" s="1"/>
  <c r="P52" i="37" s="1"/>
  <c r="M49" i="37"/>
  <c r="M48" i="37"/>
  <c r="M46" i="37"/>
  <c r="M45" i="37"/>
  <c r="M44" i="37"/>
  <c r="P43" i="37"/>
  <c r="P44" i="37" s="1"/>
  <c r="P45" i="37" s="1"/>
  <c r="P46" i="37" s="1"/>
  <c r="M43" i="37"/>
  <c r="M42" i="37"/>
  <c r="M40" i="37"/>
  <c r="M39" i="37"/>
  <c r="M38" i="37"/>
  <c r="P37" i="37"/>
  <c r="P38" i="37" s="1"/>
  <c r="P39" i="37" s="1"/>
  <c r="P40" i="37" s="1"/>
  <c r="M37" i="37"/>
  <c r="M36" i="37"/>
  <c r="M34" i="37"/>
  <c r="M33" i="37"/>
  <c r="M32" i="37"/>
  <c r="P31" i="37"/>
  <c r="P32" i="37" s="1"/>
  <c r="P33" i="37" s="1"/>
  <c r="P34" i="37" s="1"/>
  <c r="M31" i="37"/>
  <c r="M30" i="37"/>
  <c r="M28" i="37"/>
  <c r="M27" i="37"/>
  <c r="M26" i="37"/>
  <c r="P25" i="37"/>
  <c r="P26" i="37" s="1"/>
  <c r="P27" i="37" s="1"/>
  <c r="P28" i="37" s="1"/>
  <c r="M25" i="37"/>
  <c r="M24" i="37"/>
  <c r="M22" i="37"/>
  <c r="M21" i="37"/>
  <c r="M20" i="37"/>
  <c r="P19" i="37"/>
  <c r="P20" i="37" s="1"/>
  <c r="P21" i="37" s="1"/>
  <c r="P22" i="37" s="1"/>
  <c r="M19" i="37"/>
  <c r="M18" i="37"/>
  <c r="M16" i="37"/>
  <c r="M15" i="37"/>
  <c r="M14" i="37"/>
  <c r="E20" i="37"/>
  <c r="P13" i="37"/>
  <c r="P14" i="37" s="1"/>
  <c r="P15" i="37" s="1"/>
  <c r="P16" i="37" s="1"/>
  <c r="M13" i="37"/>
  <c r="E19" i="37"/>
  <c r="M12" i="37"/>
  <c r="P7" i="37"/>
  <c r="P8" i="37" s="1"/>
  <c r="P9" i="37" s="1"/>
  <c r="P10" i="37" s="1"/>
  <c r="O7" i="37"/>
  <c r="M7" i="37"/>
  <c r="Y9" i="52" l="1"/>
  <c r="AF9" i="52" s="1"/>
  <c r="N9" i="52" s="1"/>
  <c r="I29" i="2"/>
  <c r="R12" i="30" s="1"/>
  <c r="S13" i="30"/>
  <c r="AA26" i="2"/>
  <c r="M26" i="2"/>
  <c r="M25" i="2" s="1"/>
  <c r="AA27" i="2"/>
  <c r="M27" i="2"/>
  <c r="T35" i="2"/>
  <c r="W32" i="2"/>
  <c r="X31" i="2"/>
  <c r="O60" i="40"/>
  <c r="O62" i="40"/>
  <c r="O55" i="40"/>
  <c r="O63" i="40"/>
  <c r="O58" i="40"/>
  <c r="F23" i="39"/>
  <c r="K23" i="39"/>
  <c r="E23" i="39"/>
  <c r="K24" i="39"/>
  <c r="L26" i="39"/>
  <c r="L25" i="39"/>
  <c r="L26" i="38"/>
  <c r="L25" i="38"/>
  <c r="F23" i="38"/>
  <c r="E23" i="38"/>
  <c r="K23" i="38"/>
  <c r="K24" i="38"/>
  <c r="E22" i="37"/>
  <c r="E28" i="37" s="1"/>
  <c r="O14" i="37"/>
  <c r="O12" i="37"/>
  <c r="E18" i="37"/>
  <c r="O16" i="37"/>
  <c r="O19" i="37"/>
  <c r="E25" i="37"/>
  <c r="O13" i="37"/>
  <c r="E26" i="37"/>
  <c r="O20" i="37"/>
  <c r="E21" i="37"/>
  <c r="O15" i="37"/>
  <c r="I8" i="36"/>
  <c r="K8" i="36"/>
  <c r="I9" i="36"/>
  <c r="K9" i="36"/>
  <c r="I10" i="36"/>
  <c r="K10" i="36"/>
  <c r="I11" i="36"/>
  <c r="I11" i="41" s="1"/>
  <c r="K11" i="36"/>
  <c r="I12" i="36"/>
  <c r="K12" i="36"/>
  <c r="AI9" i="52" l="1"/>
  <c r="AL9" i="52" s="1"/>
  <c r="J29" i="2"/>
  <c r="R13" i="30" s="1"/>
  <c r="Y10" i="52"/>
  <c r="AF10" i="52" s="1"/>
  <c r="N10" i="52" s="1"/>
  <c r="S14" i="30"/>
  <c r="AB27" i="2"/>
  <c r="N27" i="2"/>
  <c r="AB26" i="2"/>
  <c r="N26" i="2"/>
  <c r="N25" i="2" s="1"/>
  <c r="U35" i="2"/>
  <c r="T38" i="2"/>
  <c r="S39" i="2"/>
  <c r="Y31" i="2"/>
  <c r="X32" i="2"/>
  <c r="O61" i="40"/>
  <c r="O66" i="40"/>
  <c r="O64" i="40"/>
  <c r="O68" i="40"/>
  <c r="O69" i="40"/>
  <c r="K25" i="39"/>
  <c r="E25" i="39"/>
  <c r="F25" i="39"/>
  <c r="L27" i="39"/>
  <c r="L28" i="39"/>
  <c r="L29" i="39" s="1"/>
  <c r="K26" i="39"/>
  <c r="K26" i="38"/>
  <c r="K25" i="38"/>
  <c r="F25" i="38"/>
  <c r="E25" i="38"/>
  <c r="L27" i="38"/>
  <c r="L28" i="38"/>
  <c r="L29" i="38" s="1"/>
  <c r="O22" i="37"/>
  <c r="O18" i="37"/>
  <c r="E24" i="37"/>
  <c r="O28" i="37"/>
  <c r="E34" i="37"/>
  <c r="O21" i="37"/>
  <c r="E27" i="37"/>
  <c r="E32" i="37"/>
  <c r="O26" i="37"/>
  <c r="E31" i="37"/>
  <c r="O25" i="37"/>
  <c r="I26" i="36"/>
  <c r="I26" i="41" s="1"/>
  <c r="I25" i="36"/>
  <c r="I24" i="36"/>
  <c r="I23" i="36"/>
  <c r="I17" i="36"/>
  <c r="K15" i="36"/>
  <c r="I15" i="36"/>
  <c r="K14" i="36"/>
  <c r="I14" i="36"/>
  <c r="K13" i="36"/>
  <c r="I13" i="36"/>
  <c r="L7" i="36"/>
  <c r="K7" i="36"/>
  <c r="I7" i="36"/>
  <c r="K6" i="36"/>
  <c r="T9" i="30"/>
  <c r="U9" i="30" s="1"/>
  <c r="Y11" i="52" l="1"/>
  <c r="AI11" i="52" s="1"/>
  <c r="AL11" i="52" s="1"/>
  <c r="K29" i="2"/>
  <c r="R14" i="30" s="1"/>
  <c r="AI10" i="52"/>
  <c r="AL10" i="52" s="1"/>
  <c r="S15" i="30"/>
  <c r="AC26" i="2"/>
  <c r="O26" i="2"/>
  <c r="O25" i="2" s="1"/>
  <c r="AC27" i="2"/>
  <c r="O27" i="2"/>
  <c r="L29" i="2"/>
  <c r="L13" i="36"/>
  <c r="L14" i="36" s="1"/>
  <c r="L8" i="36"/>
  <c r="L9" i="36" s="1"/>
  <c r="L10" i="36" s="1"/>
  <c r="L11" i="36" s="1"/>
  <c r="L12" i="36" s="1"/>
  <c r="T39" i="2"/>
  <c r="U39" i="2" s="1"/>
  <c r="V39" i="2" s="1"/>
  <c r="W39" i="2" s="1"/>
  <c r="X39" i="2" s="1"/>
  <c r="Y39" i="2" s="1"/>
  <c r="Z39" i="2" s="1"/>
  <c r="AA39" i="2" s="1"/>
  <c r="AB39" i="2" s="1"/>
  <c r="AC39" i="2" s="1"/>
  <c r="AD39" i="2" s="1"/>
  <c r="U38" i="2"/>
  <c r="S42" i="2"/>
  <c r="V35" i="2"/>
  <c r="Z31" i="2"/>
  <c r="Y32" i="2"/>
  <c r="O70" i="40"/>
  <c r="O67" i="40"/>
  <c r="O75" i="40"/>
  <c r="O74" i="40"/>
  <c r="O72" i="40"/>
  <c r="K28" i="39"/>
  <c r="F27" i="39"/>
  <c r="K27" i="39"/>
  <c r="E27" i="39"/>
  <c r="K27" i="38"/>
  <c r="E27" i="38"/>
  <c r="F27" i="38"/>
  <c r="K28" i="38"/>
  <c r="O24" i="37"/>
  <c r="E30" i="37"/>
  <c r="E38" i="37"/>
  <c r="O32" i="37"/>
  <c r="O27" i="37"/>
  <c r="E33" i="37"/>
  <c r="E37" i="37"/>
  <c r="O31" i="37"/>
  <c r="E40" i="37"/>
  <c r="O34" i="37"/>
  <c r="K17" i="36"/>
  <c r="K25" i="36"/>
  <c r="K24" i="36"/>
  <c r="K26" i="36"/>
  <c r="A2" i="3"/>
  <c r="BI11" i="3"/>
  <c r="BI8" i="3"/>
  <c r="AF11" i="52" l="1"/>
  <c r="N11" i="52" s="1"/>
  <c r="Y12" i="52"/>
  <c r="AI12" i="52" s="1"/>
  <c r="AL12" i="52" s="1"/>
  <c r="S16" i="30"/>
  <c r="R15" i="30"/>
  <c r="Y13" i="52"/>
  <c r="AD27" i="2"/>
  <c r="Q27" i="2" s="1"/>
  <c r="P27" i="2"/>
  <c r="AD26" i="2"/>
  <c r="Q26" i="2" s="1"/>
  <c r="Q25" i="2" s="1"/>
  <c r="P26" i="2"/>
  <c r="P25" i="2" s="1"/>
  <c r="L15" i="36"/>
  <c r="T42" i="2"/>
  <c r="S43" i="2"/>
  <c r="W35" i="2"/>
  <c r="V38" i="2"/>
  <c r="Z32" i="2"/>
  <c r="AA31" i="2"/>
  <c r="O73" i="40"/>
  <c r="O76" i="40"/>
  <c r="E29" i="39"/>
  <c r="K29" i="39"/>
  <c r="F29" i="39"/>
  <c r="E29" i="38"/>
  <c r="K29" i="38"/>
  <c r="F29" i="38"/>
  <c r="E46" i="37"/>
  <c r="O40" i="37"/>
  <c r="O33" i="37"/>
  <c r="E39" i="37"/>
  <c r="O30" i="37"/>
  <c r="E36" i="37"/>
  <c r="E43" i="37"/>
  <c r="O37" i="37"/>
  <c r="E44" i="37"/>
  <c r="O38" i="37"/>
  <c r="AF12" i="52" l="1"/>
  <c r="N12" i="52" s="1"/>
  <c r="M29" i="2"/>
  <c r="R16" i="30" s="1"/>
  <c r="S17" i="30"/>
  <c r="AF13" i="52"/>
  <c r="N13" i="52" s="1"/>
  <c r="AI13" i="52"/>
  <c r="AL13" i="52" s="1"/>
  <c r="U42" i="2"/>
  <c r="W38" i="2"/>
  <c r="X35" i="2"/>
  <c r="AB31" i="2"/>
  <c r="AA32" i="2"/>
  <c r="E50" i="37"/>
  <c r="O44" i="37"/>
  <c r="O36" i="37"/>
  <c r="E42" i="37"/>
  <c r="E49" i="37"/>
  <c r="O43" i="37"/>
  <c r="E52" i="37"/>
  <c r="O46" i="37"/>
  <c r="O39" i="37"/>
  <c r="E45" i="37"/>
  <c r="Y42" i="3"/>
  <c r="Y43" i="3"/>
  <c r="Y44" i="3"/>
  <c r="Y45" i="3"/>
  <c r="Y46" i="3"/>
  <c r="Y47" i="3"/>
  <c r="Y48" i="3"/>
  <c r="Y49" i="3"/>
  <c r="Y50" i="3"/>
  <c r="Y51" i="3"/>
  <c r="Y52" i="3"/>
  <c r="Y53" i="3"/>
  <c r="Y54" i="3"/>
  <c r="Y55" i="3"/>
  <c r="Y56" i="3"/>
  <c r="Y57" i="3"/>
  <c r="Y58" i="3"/>
  <c r="Y59" i="3"/>
  <c r="Y60" i="3"/>
  <c r="Y61" i="3"/>
  <c r="Y62" i="3"/>
  <c r="Y63" i="3"/>
  <c r="Y64" i="3"/>
  <c r="Y65" i="3"/>
  <c r="Y66" i="3"/>
  <c r="Y67" i="3"/>
  <c r="Y68" i="3"/>
  <c r="Y69" i="3"/>
  <c r="Y70" i="3"/>
  <c r="Y71" i="3"/>
  <c r="Y72" i="3"/>
  <c r="Y73" i="3"/>
  <c r="Y74" i="3"/>
  <c r="Y75" i="3"/>
  <c r="Y76" i="3"/>
  <c r="Y77" i="3"/>
  <c r="Y78" i="3"/>
  <c r="Y79" i="3"/>
  <c r="Y80" i="3"/>
  <c r="Y81" i="3"/>
  <c r="Y82" i="3"/>
  <c r="Y83" i="3"/>
  <c r="Y84" i="3"/>
  <c r="Y85" i="3"/>
  <c r="Y86" i="3"/>
  <c r="Y87" i="3"/>
  <c r="Y88" i="3"/>
  <c r="Y89" i="3"/>
  <c r="Y90" i="3"/>
  <c r="Y91" i="3"/>
  <c r="Y92" i="3"/>
  <c r="Y93" i="3"/>
  <c r="Y94" i="3"/>
  <c r="Y95" i="3"/>
  <c r="Y96" i="3"/>
  <c r="Y97" i="3"/>
  <c r="Y98" i="3"/>
  <c r="Y99" i="3"/>
  <c r="Y100" i="3"/>
  <c r="Y101" i="3"/>
  <c r="Y102" i="3"/>
  <c r="Y103" i="3"/>
  <c r="Y104" i="3"/>
  <c r="Y105" i="3"/>
  <c r="Y106" i="3"/>
  <c r="Z8" i="3"/>
  <c r="Z9" i="3"/>
  <c r="Z10" i="3"/>
  <c r="Z11" i="3"/>
  <c r="Z12" i="3"/>
  <c r="Z13" i="3"/>
  <c r="Z14" i="3"/>
  <c r="Z15" i="3"/>
  <c r="Z16" i="3"/>
  <c r="Z17" i="3"/>
  <c r="Z18" i="3"/>
  <c r="Z19" i="3"/>
  <c r="Z20" i="3"/>
  <c r="Z21" i="3"/>
  <c r="Z22" i="3"/>
  <c r="Z23" i="3"/>
  <c r="Z24" i="3"/>
  <c r="Z25" i="3"/>
  <c r="Z26" i="3"/>
  <c r="Z27" i="3"/>
  <c r="Z28" i="3"/>
  <c r="Z29" i="3"/>
  <c r="Z30" i="3"/>
  <c r="Z31" i="3"/>
  <c r="Z32" i="3"/>
  <c r="Z33" i="3"/>
  <c r="Z34" i="3"/>
  <c r="Z35" i="3"/>
  <c r="Z36" i="3"/>
  <c r="Z37" i="3"/>
  <c r="Z38" i="3"/>
  <c r="Z39" i="3"/>
  <c r="Z40" i="3"/>
  <c r="Z41" i="3"/>
  <c r="Z42" i="3"/>
  <c r="Z43" i="3"/>
  <c r="Z44" i="3"/>
  <c r="Z45" i="3"/>
  <c r="Z46" i="3"/>
  <c r="Z47" i="3"/>
  <c r="Z48" i="3"/>
  <c r="Z49" i="3"/>
  <c r="Z50" i="3"/>
  <c r="Z51" i="3"/>
  <c r="Z52" i="3"/>
  <c r="Z53" i="3"/>
  <c r="Z54" i="3"/>
  <c r="Z55" i="3"/>
  <c r="Z56" i="3"/>
  <c r="Z57" i="3"/>
  <c r="Z58" i="3"/>
  <c r="Z59" i="3"/>
  <c r="Z60" i="3"/>
  <c r="Z61" i="3"/>
  <c r="Z62" i="3"/>
  <c r="Z63" i="3"/>
  <c r="Z64" i="3"/>
  <c r="Z65" i="3"/>
  <c r="Z66" i="3"/>
  <c r="Z67" i="3"/>
  <c r="Z68" i="3"/>
  <c r="Z69" i="3"/>
  <c r="Z70" i="3"/>
  <c r="Z71" i="3"/>
  <c r="Z72" i="3"/>
  <c r="Z73" i="3"/>
  <c r="Z74" i="3"/>
  <c r="Z75" i="3"/>
  <c r="Z76" i="3"/>
  <c r="Z77" i="3"/>
  <c r="Z78" i="3"/>
  <c r="Z79" i="3"/>
  <c r="Z80" i="3"/>
  <c r="Z81" i="3"/>
  <c r="Z82" i="3"/>
  <c r="Z83" i="3"/>
  <c r="Z84" i="3"/>
  <c r="Z85" i="3"/>
  <c r="Z86" i="3"/>
  <c r="Z87" i="3"/>
  <c r="Z88" i="3"/>
  <c r="Z89" i="3"/>
  <c r="Z90" i="3"/>
  <c r="Z91" i="3"/>
  <c r="Z92" i="3"/>
  <c r="Z93" i="3"/>
  <c r="Z94" i="3"/>
  <c r="Z95" i="3"/>
  <c r="Z96" i="3"/>
  <c r="Z97" i="3"/>
  <c r="Z98" i="3"/>
  <c r="Z99" i="3"/>
  <c r="Z100" i="3"/>
  <c r="Z101" i="3"/>
  <c r="Z102" i="3"/>
  <c r="Z103" i="3"/>
  <c r="Z104" i="3"/>
  <c r="Z105" i="3"/>
  <c r="Z106" i="3"/>
  <c r="AA107" i="3"/>
  <c r="B108" i="3"/>
  <c r="Z7" i="3"/>
  <c r="N29" i="2" l="1"/>
  <c r="Y15" i="52" s="1"/>
  <c r="Y14" i="52"/>
  <c r="AI14" i="52" s="1"/>
  <c r="AL14" i="52" s="1"/>
  <c r="S18" i="30"/>
  <c r="V42" i="2"/>
  <c r="Y35" i="2"/>
  <c r="X38" i="2"/>
  <c r="AC31" i="2"/>
  <c r="AB32" i="2"/>
  <c r="E55" i="37"/>
  <c r="O49" i="37"/>
  <c r="E58" i="37"/>
  <c r="O52" i="37"/>
  <c r="O50" i="37"/>
  <c r="E56" i="37"/>
  <c r="O45" i="37"/>
  <c r="E51" i="37"/>
  <c r="O42" i="37"/>
  <c r="E48" i="37"/>
  <c r="E54" i="37" s="1"/>
  <c r="J29" i="33"/>
  <c r="J28" i="33"/>
  <c r="J27" i="33"/>
  <c r="J26" i="33"/>
  <c r="J25" i="33"/>
  <c r="J24" i="33"/>
  <c r="J23" i="33"/>
  <c r="J22" i="33"/>
  <c r="J21" i="33"/>
  <c r="J20" i="33"/>
  <c r="J19" i="33"/>
  <c r="J18" i="33"/>
  <c r="J17" i="33"/>
  <c r="J16" i="33"/>
  <c r="J15" i="33"/>
  <c r="J14" i="33"/>
  <c r="J13" i="33"/>
  <c r="J12" i="33"/>
  <c r="J11" i="33"/>
  <c r="J10" i="33"/>
  <c r="J9" i="33"/>
  <c r="M8" i="33"/>
  <c r="J8" i="33"/>
  <c r="L8" i="33"/>
  <c r="M7" i="33"/>
  <c r="J7" i="33"/>
  <c r="AF14" i="52" l="1"/>
  <c r="N14" i="52" s="1"/>
  <c r="O29" i="2"/>
  <c r="R18" i="30" s="1"/>
  <c r="R17" i="30"/>
  <c r="S19" i="30"/>
  <c r="AF15" i="52"/>
  <c r="N15" i="52" s="1"/>
  <c r="AI15" i="52"/>
  <c r="AL15" i="52" s="1"/>
  <c r="W42" i="2"/>
  <c r="Y38" i="2"/>
  <c r="Z35" i="2"/>
  <c r="AC32" i="2"/>
  <c r="AD31" i="2"/>
  <c r="O48" i="37"/>
  <c r="E62" i="37"/>
  <c r="O56" i="37"/>
  <c r="O58" i="37"/>
  <c r="E64" i="37"/>
  <c r="E57" i="37"/>
  <c r="O51" i="37"/>
  <c r="O55" i="37"/>
  <c r="E61" i="37"/>
  <c r="L11" i="33"/>
  <c r="L9" i="33"/>
  <c r="L10" i="33"/>
  <c r="M10" i="33"/>
  <c r="M9" i="33"/>
  <c r="Y16" i="52" l="1"/>
  <c r="AF16" i="52" s="1"/>
  <c r="N16" i="52" s="1"/>
  <c r="P29" i="2"/>
  <c r="Y17" i="52" s="1"/>
  <c r="S20" i="30"/>
  <c r="AI16" i="52"/>
  <c r="AL16" i="52" s="1"/>
  <c r="X42" i="2"/>
  <c r="Z38" i="2"/>
  <c r="AA35" i="2"/>
  <c r="AD32" i="2"/>
  <c r="E68" i="37"/>
  <c r="O62" i="37"/>
  <c r="E60" i="37"/>
  <c r="E66" i="37" s="1"/>
  <c r="O54" i="37"/>
  <c r="E67" i="37"/>
  <c r="O61" i="37"/>
  <c r="O57" i="37"/>
  <c r="E63" i="37"/>
  <c r="O64" i="37"/>
  <c r="E70" i="37"/>
  <c r="L13" i="33"/>
  <c r="M12" i="33"/>
  <c r="M11" i="33"/>
  <c r="L12" i="33"/>
  <c r="AS8" i="30"/>
  <c r="AI8" i="30"/>
  <c r="AF1" i="30"/>
  <c r="AG1" i="30" s="1"/>
  <c r="BF21" i="3"/>
  <c r="BG21" i="3" s="1"/>
  <c r="R19" i="30" l="1"/>
  <c r="Q29" i="2"/>
  <c r="R20" i="30" s="1"/>
  <c r="AF17" i="52"/>
  <c r="N17" i="52" s="1"/>
  <c r="AI17" i="52"/>
  <c r="AL17" i="52" s="1"/>
  <c r="Y42" i="2"/>
  <c r="AB35" i="2"/>
  <c r="Z42" i="2"/>
  <c r="AA38" i="2"/>
  <c r="AJ8" i="30"/>
  <c r="O70" i="37"/>
  <c r="E76" i="37"/>
  <c r="O60" i="37"/>
  <c r="O63" i="37"/>
  <c r="E69" i="37"/>
  <c r="O67" i="37"/>
  <c r="E73" i="37"/>
  <c r="E74" i="37"/>
  <c r="O68" i="37"/>
  <c r="L15" i="33"/>
  <c r="AQ1" i="30"/>
  <c r="AT1" i="30" s="1"/>
  <c r="AU1" i="30" s="1"/>
  <c r="AS1" i="30" s="1"/>
  <c r="L14" i="33"/>
  <c r="M14" i="33"/>
  <c r="M13" i="33"/>
  <c r="AS72" i="3"/>
  <c r="Y18" i="52" l="1"/>
  <c r="Y29" i="52" s="1"/>
  <c r="Y30" i="52"/>
  <c r="AA42" i="2"/>
  <c r="AB38" i="2"/>
  <c r="AC35" i="2"/>
  <c r="AK8" i="30"/>
  <c r="O73" i="37"/>
  <c r="O74" i="37"/>
  <c r="O66" i="37"/>
  <c r="E72" i="37"/>
  <c r="O76" i="37"/>
  <c r="O69" i="37"/>
  <c r="E75" i="37"/>
  <c r="L17" i="33"/>
  <c r="L16" i="33"/>
  <c r="M16" i="33"/>
  <c r="M15" i="33"/>
  <c r="BE8" i="3"/>
  <c r="BE9" i="3"/>
  <c r="BE10" i="3"/>
  <c r="BE11" i="3"/>
  <c r="BE12" i="3"/>
  <c r="BE13" i="3"/>
  <c r="BE14" i="3"/>
  <c r="BE15" i="3"/>
  <c r="BE16" i="3"/>
  <c r="BE17" i="3"/>
  <c r="BE18" i="3"/>
  <c r="BE19" i="3"/>
  <c r="BE20" i="3"/>
  <c r="BE21" i="3"/>
  <c r="BE22" i="3"/>
  <c r="BE23" i="3"/>
  <c r="BE24" i="3"/>
  <c r="BE25" i="3"/>
  <c r="BE26" i="3"/>
  <c r="BE27" i="3"/>
  <c r="BE28" i="3"/>
  <c r="BE29" i="3"/>
  <c r="BE30" i="3"/>
  <c r="BE31" i="3"/>
  <c r="BE32" i="3"/>
  <c r="BE33" i="3"/>
  <c r="BE34" i="3"/>
  <c r="BE35" i="3"/>
  <c r="BE36" i="3"/>
  <c r="BE37" i="3"/>
  <c r="BE38" i="3"/>
  <c r="BE39" i="3"/>
  <c r="BE40" i="3"/>
  <c r="BE41" i="3"/>
  <c r="BE42" i="3"/>
  <c r="BE43" i="3"/>
  <c r="BE44" i="3"/>
  <c r="BE45" i="3"/>
  <c r="BE46" i="3"/>
  <c r="BE47" i="3"/>
  <c r="BE48" i="3"/>
  <c r="BE49" i="3"/>
  <c r="BE50" i="3"/>
  <c r="BE51" i="3"/>
  <c r="BE52" i="3"/>
  <c r="BE53" i="3"/>
  <c r="BE54" i="3"/>
  <c r="BE55" i="3"/>
  <c r="BE56" i="3"/>
  <c r="BE57" i="3"/>
  <c r="BE58" i="3"/>
  <c r="BE59" i="3"/>
  <c r="BE60" i="3"/>
  <c r="BE61" i="3"/>
  <c r="BE62" i="3"/>
  <c r="BE63" i="3"/>
  <c r="BE64" i="3"/>
  <c r="BE65" i="3"/>
  <c r="BE66" i="3"/>
  <c r="BE67" i="3"/>
  <c r="BE68" i="3"/>
  <c r="BE69" i="3"/>
  <c r="BE70" i="3"/>
  <c r="BE71" i="3"/>
  <c r="BE72" i="3"/>
  <c r="BE73" i="3"/>
  <c r="BE74" i="3"/>
  <c r="BE75" i="3"/>
  <c r="BE76" i="3"/>
  <c r="BE77" i="3"/>
  <c r="BE78" i="3"/>
  <c r="BE79" i="3"/>
  <c r="BE80" i="3"/>
  <c r="BE81" i="3"/>
  <c r="BE82" i="3"/>
  <c r="BE83" i="3"/>
  <c r="BE84" i="3"/>
  <c r="BE85" i="3"/>
  <c r="BE86" i="3"/>
  <c r="BE87" i="3"/>
  <c r="BE88" i="3"/>
  <c r="BE89" i="3"/>
  <c r="BE90" i="3"/>
  <c r="BE91" i="3"/>
  <c r="BE92" i="3"/>
  <c r="BE93" i="3"/>
  <c r="BE94" i="3"/>
  <c r="BE95" i="3"/>
  <c r="BE96" i="3"/>
  <c r="BE97" i="3"/>
  <c r="BE98" i="3"/>
  <c r="BE99" i="3"/>
  <c r="BE100" i="3"/>
  <c r="BE101" i="3"/>
  <c r="BE102" i="3"/>
  <c r="BE103" i="3"/>
  <c r="BE104" i="3"/>
  <c r="BE105" i="3"/>
  <c r="BE106" i="3"/>
  <c r="BE7" i="3"/>
  <c r="AI18" i="52" l="1"/>
  <c r="AL18" i="52" s="1"/>
  <c r="AF18" i="52"/>
  <c r="N18" i="52" s="1"/>
  <c r="AC38" i="2"/>
  <c r="AD35" i="2"/>
  <c r="AB42" i="2"/>
  <c r="AL8" i="30"/>
  <c r="O72" i="37"/>
  <c r="O75" i="37"/>
  <c r="L19" i="33"/>
  <c r="M18" i="33"/>
  <c r="M17" i="33"/>
  <c r="L21" i="33"/>
  <c r="L18" i="33"/>
  <c r="AC42" i="2" l="1"/>
  <c r="AD38" i="2"/>
  <c r="AM8" i="30"/>
  <c r="L20" i="33"/>
  <c r="L23" i="33"/>
  <c r="M20" i="33"/>
  <c r="M19" i="33"/>
  <c r="AD42" i="2" l="1"/>
  <c r="AN8" i="30"/>
  <c r="L25" i="33"/>
  <c r="L22" i="33"/>
  <c r="M22" i="33"/>
  <c r="M21" i="33"/>
  <c r="Q4" i="5" l="1"/>
  <c r="AO8" i="30"/>
  <c r="M1" i="34"/>
  <c r="L27" i="33"/>
  <c r="M24" i="33"/>
  <c r="M23" i="33"/>
  <c r="L24" i="33"/>
  <c r="M11" i="34" l="1"/>
  <c r="M10" i="34"/>
  <c r="M9" i="34"/>
  <c r="N9" i="34" s="1"/>
  <c r="N4" i="5"/>
  <c r="AP8" i="30"/>
  <c r="L29" i="33"/>
  <c r="L26" i="33"/>
  <c r="M26" i="33"/>
  <c r="M25" i="33"/>
  <c r="T43" i="2"/>
  <c r="U43" i="2" l="1"/>
  <c r="N11" i="34"/>
  <c r="J10" i="35"/>
  <c r="AQ8" i="30"/>
  <c r="N10" i="34"/>
  <c r="J11" i="35"/>
  <c r="J9" i="35"/>
  <c r="L28" i="33"/>
  <c r="M28" i="33"/>
  <c r="M29" i="33" s="1"/>
  <c r="M27" i="33"/>
  <c r="V43" i="2" l="1"/>
  <c r="W43" i="2" l="1"/>
  <c r="X43" i="2" l="1"/>
  <c r="Y43" i="2" l="1"/>
  <c r="Z43" i="2" l="1"/>
  <c r="AA43" i="2" l="1"/>
  <c r="AB43" i="2" l="1"/>
  <c r="J10" i="6"/>
  <c r="AC43" i="2" l="1"/>
  <c r="J11" i="6"/>
  <c r="AD43" i="2" l="1"/>
  <c r="P11" i="5"/>
  <c r="J12" i="6"/>
  <c r="Z8" i="8"/>
  <c r="P12" i="5" l="1"/>
  <c r="Z12" i="8"/>
  <c r="I10" i="52" s="1"/>
  <c r="Z17" i="8"/>
  <c r="I15" i="52" s="1"/>
  <c r="Z20" i="8"/>
  <c r="I18" i="52" s="1"/>
  <c r="Z16" i="8"/>
  <c r="I14" i="52" s="1"/>
  <c r="Z14" i="8"/>
  <c r="I12" i="52" s="1"/>
  <c r="Z15" i="8"/>
  <c r="I13" i="52" s="1"/>
  <c r="Z13" i="8"/>
  <c r="I11" i="52" s="1"/>
  <c r="Z10" i="8"/>
  <c r="I8" i="52" s="1"/>
  <c r="Z11" i="8"/>
  <c r="I9" i="52" s="1"/>
  <c r="Z18" i="8"/>
  <c r="I16" i="52" s="1"/>
  <c r="Z19" i="8"/>
  <c r="I17" i="52" s="1"/>
  <c r="J13" i="6"/>
  <c r="Z9" i="8"/>
  <c r="I7" i="52" s="1"/>
  <c r="P13" i="5" l="1"/>
  <c r="J14" i="6"/>
  <c r="P14" i="5" l="1"/>
  <c r="J15" i="6"/>
  <c r="P15" i="5" l="1"/>
  <c r="J16" i="6"/>
  <c r="P16" i="5" l="1"/>
  <c r="J17" i="6"/>
  <c r="P17" i="5" l="1"/>
  <c r="J18" i="6"/>
  <c r="P18" i="5" l="1"/>
  <c r="J20" i="6"/>
  <c r="J19" i="6"/>
  <c r="P19" i="5" l="1"/>
  <c r="P20" i="5" l="1"/>
  <c r="P21" i="5" l="1"/>
  <c r="BA106" i="3" l="1"/>
  <c r="AZ106" i="3"/>
  <c r="AY106" i="3"/>
  <c r="AX106" i="3"/>
  <c r="AW106" i="3"/>
  <c r="AV106" i="3"/>
  <c r="AU106" i="3"/>
  <c r="AT106" i="3"/>
  <c r="AS106" i="3"/>
  <c r="AR106" i="3"/>
  <c r="AQ106" i="3"/>
  <c r="AP106" i="3"/>
  <c r="BA105" i="3"/>
  <c r="AZ105" i="3"/>
  <c r="AY105" i="3"/>
  <c r="AX105" i="3"/>
  <c r="AW105" i="3"/>
  <c r="AV105" i="3"/>
  <c r="AU105" i="3"/>
  <c r="AT105" i="3"/>
  <c r="AS105" i="3"/>
  <c r="AR105" i="3"/>
  <c r="AQ105" i="3"/>
  <c r="AP105" i="3"/>
  <c r="BA104" i="3"/>
  <c r="AZ104" i="3"/>
  <c r="AY104" i="3"/>
  <c r="AX104" i="3"/>
  <c r="AW104" i="3"/>
  <c r="AV104" i="3"/>
  <c r="AU104" i="3"/>
  <c r="AT104" i="3"/>
  <c r="AS104" i="3"/>
  <c r="AR104" i="3"/>
  <c r="AQ104" i="3"/>
  <c r="AP104" i="3"/>
  <c r="BA103" i="3"/>
  <c r="AZ103" i="3"/>
  <c r="AY103" i="3"/>
  <c r="AX103" i="3"/>
  <c r="AW103" i="3"/>
  <c r="AV103" i="3"/>
  <c r="AU103" i="3"/>
  <c r="AT103" i="3"/>
  <c r="AS103" i="3"/>
  <c r="AR103" i="3"/>
  <c r="AQ103" i="3"/>
  <c r="AP103" i="3"/>
  <c r="BA102" i="3"/>
  <c r="AZ102" i="3"/>
  <c r="AY102" i="3"/>
  <c r="AX102" i="3"/>
  <c r="AW102" i="3"/>
  <c r="AV102" i="3"/>
  <c r="AU102" i="3"/>
  <c r="AT102" i="3"/>
  <c r="AS102" i="3"/>
  <c r="AR102" i="3"/>
  <c r="AQ102" i="3"/>
  <c r="AP102" i="3"/>
  <c r="BA101" i="3"/>
  <c r="AZ101" i="3"/>
  <c r="AY101" i="3"/>
  <c r="AX101" i="3"/>
  <c r="AW101" i="3"/>
  <c r="AV101" i="3"/>
  <c r="AU101" i="3"/>
  <c r="AT101" i="3"/>
  <c r="AS101" i="3"/>
  <c r="AR101" i="3"/>
  <c r="AQ101" i="3"/>
  <c r="AP101" i="3"/>
  <c r="BA100" i="3"/>
  <c r="AZ100" i="3"/>
  <c r="AY100" i="3"/>
  <c r="AX100" i="3"/>
  <c r="AW100" i="3"/>
  <c r="AV100" i="3"/>
  <c r="AU100" i="3"/>
  <c r="AT100" i="3"/>
  <c r="AS100" i="3"/>
  <c r="AR100" i="3"/>
  <c r="AQ100" i="3"/>
  <c r="AP100" i="3"/>
  <c r="BA99" i="3"/>
  <c r="AZ99" i="3"/>
  <c r="AY99" i="3"/>
  <c r="AX99" i="3"/>
  <c r="AW99" i="3"/>
  <c r="AV99" i="3"/>
  <c r="AU99" i="3"/>
  <c r="AT99" i="3"/>
  <c r="AS99" i="3"/>
  <c r="AR99" i="3"/>
  <c r="AQ99" i="3"/>
  <c r="AP99" i="3"/>
  <c r="BA98" i="3"/>
  <c r="AZ98" i="3"/>
  <c r="AY98" i="3"/>
  <c r="AX98" i="3"/>
  <c r="AW98" i="3"/>
  <c r="AV98" i="3"/>
  <c r="AU98" i="3"/>
  <c r="AT98" i="3"/>
  <c r="AS98" i="3"/>
  <c r="AR98" i="3"/>
  <c r="AQ98" i="3"/>
  <c r="AP98" i="3"/>
  <c r="BA97" i="3"/>
  <c r="AZ97" i="3"/>
  <c r="AY97" i="3"/>
  <c r="AX97" i="3"/>
  <c r="AW97" i="3"/>
  <c r="AV97" i="3"/>
  <c r="AU97" i="3"/>
  <c r="AT97" i="3"/>
  <c r="AS97" i="3"/>
  <c r="AR97" i="3"/>
  <c r="AQ97" i="3"/>
  <c r="AP97" i="3"/>
  <c r="BA96" i="3"/>
  <c r="AZ96" i="3"/>
  <c r="AY96" i="3"/>
  <c r="AX96" i="3"/>
  <c r="AW96" i="3"/>
  <c r="AV96" i="3"/>
  <c r="AU96" i="3"/>
  <c r="AT96" i="3"/>
  <c r="AS96" i="3"/>
  <c r="AR96" i="3"/>
  <c r="AQ96" i="3"/>
  <c r="AP96" i="3"/>
  <c r="BA95" i="3"/>
  <c r="AZ95" i="3"/>
  <c r="AY95" i="3"/>
  <c r="AX95" i="3"/>
  <c r="AW95" i="3"/>
  <c r="AV95" i="3"/>
  <c r="AU95" i="3"/>
  <c r="AT95" i="3"/>
  <c r="AS95" i="3"/>
  <c r="AR95" i="3"/>
  <c r="AQ95" i="3"/>
  <c r="AP95" i="3"/>
  <c r="BA94" i="3"/>
  <c r="AZ94" i="3"/>
  <c r="AY94" i="3"/>
  <c r="AX94" i="3"/>
  <c r="AW94" i="3"/>
  <c r="AV94" i="3"/>
  <c r="AU94" i="3"/>
  <c r="AT94" i="3"/>
  <c r="AS94" i="3"/>
  <c r="AR94" i="3"/>
  <c r="AQ94" i="3"/>
  <c r="AP94" i="3"/>
  <c r="BA93" i="3"/>
  <c r="AZ93" i="3"/>
  <c r="AY93" i="3"/>
  <c r="AX93" i="3"/>
  <c r="AW93" i="3"/>
  <c r="AV93" i="3"/>
  <c r="AU93" i="3"/>
  <c r="AT93" i="3"/>
  <c r="AS93" i="3"/>
  <c r="AR93" i="3"/>
  <c r="AQ93" i="3"/>
  <c r="AP93" i="3"/>
  <c r="BA92" i="3"/>
  <c r="AZ92" i="3"/>
  <c r="AY92" i="3"/>
  <c r="AX92" i="3"/>
  <c r="AW92" i="3"/>
  <c r="AV92" i="3"/>
  <c r="AU92" i="3"/>
  <c r="AT92" i="3"/>
  <c r="AS92" i="3"/>
  <c r="AR92" i="3"/>
  <c r="AQ92" i="3"/>
  <c r="AP92" i="3"/>
  <c r="BA91" i="3"/>
  <c r="AZ91" i="3"/>
  <c r="AY91" i="3"/>
  <c r="AX91" i="3"/>
  <c r="AW91" i="3"/>
  <c r="AV91" i="3"/>
  <c r="AU91" i="3"/>
  <c r="AT91" i="3"/>
  <c r="AS91" i="3"/>
  <c r="AR91" i="3"/>
  <c r="AQ91" i="3"/>
  <c r="AP91" i="3"/>
  <c r="BA90" i="3"/>
  <c r="AZ90" i="3"/>
  <c r="AY90" i="3"/>
  <c r="AX90" i="3"/>
  <c r="AW90" i="3"/>
  <c r="AV90" i="3"/>
  <c r="AU90" i="3"/>
  <c r="AT90" i="3"/>
  <c r="AS90" i="3"/>
  <c r="AR90" i="3"/>
  <c r="AQ90" i="3"/>
  <c r="AP90" i="3"/>
  <c r="BA89" i="3"/>
  <c r="AZ89" i="3"/>
  <c r="AY89" i="3"/>
  <c r="AX89" i="3"/>
  <c r="AW89" i="3"/>
  <c r="AV89" i="3"/>
  <c r="AU89" i="3"/>
  <c r="AT89" i="3"/>
  <c r="AS89" i="3"/>
  <c r="AR89" i="3"/>
  <c r="AQ89" i="3"/>
  <c r="AP89" i="3"/>
  <c r="BA88" i="3"/>
  <c r="AZ88" i="3"/>
  <c r="AY88" i="3"/>
  <c r="AX88" i="3"/>
  <c r="AW88" i="3"/>
  <c r="AV88" i="3"/>
  <c r="AU88" i="3"/>
  <c r="AT88" i="3"/>
  <c r="AS88" i="3"/>
  <c r="AR88" i="3"/>
  <c r="AQ88" i="3"/>
  <c r="AP88" i="3"/>
  <c r="BA87" i="3"/>
  <c r="AZ87" i="3"/>
  <c r="AY87" i="3"/>
  <c r="AX87" i="3"/>
  <c r="AW87" i="3"/>
  <c r="AV87" i="3"/>
  <c r="AU87" i="3"/>
  <c r="AT87" i="3"/>
  <c r="AS87" i="3"/>
  <c r="AR87" i="3"/>
  <c r="AQ87" i="3"/>
  <c r="AP87" i="3"/>
  <c r="BA86" i="3"/>
  <c r="AZ86" i="3"/>
  <c r="AY86" i="3"/>
  <c r="AX86" i="3"/>
  <c r="AW86" i="3"/>
  <c r="AV86" i="3"/>
  <c r="AU86" i="3"/>
  <c r="AT86" i="3"/>
  <c r="AS86" i="3"/>
  <c r="AR86" i="3"/>
  <c r="AQ86" i="3"/>
  <c r="AP86" i="3"/>
  <c r="BA85" i="3"/>
  <c r="AZ85" i="3"/>
  <c r="AY85" i="3"/>
  <c r="AX85" i="3"/>
  <c r="AW85" i="3"/>
  <c r="AV85" i="3"/>
  <c r="AU85" i="3"/>
  <c r="AT85" i="3"/>
  <c r="AS85" i="3"/>
  <c r="AR85" i="3"/>
  <c r="AQ85" i="3"/>
  <c r="AP85" i="3"/>
  <c r="BA84" i="3"/>
  <c r="AZ84" i="3"/>
  <c r="AY84" i="3"/>
  <c r="AX84" i="3"/>
  <c r="AW84" i="3"/>
  <c r="AV84" i="3"/>
  <c r="AU84" i="3"/>
  <c r="AT84" i="3"/>
  <c r="AS84" i="3"/>
  <c r="AR84" i="3"/>
  <c r="AQ84" i="3"/>
  <c r="AP84" i="3"/>
  <c r="BA83" i="3"/>
  <c r="AZ83" i="3"/>
  <c r="AY83" i="3"/>
  <c r="AX83" i="3"/>
  <c r="AW83" i="3"/>
  <c r="AV83" i="3"/>
  <c r="AU83" i="3"/>
  <c r="AT83" i="3"/>
  <c r="AS83" i="3"/>
  <c r="AR83" i="3"/>
  <c r="AQ83" i="3"/>
  <c r="AP83" i="3"/>
  <c r="BA82" i="3"/>
  <c r="AZ82" i="3"/>
  <c r="AY82" i="3"/>
  <c r="AX82" i="3"/>
  <c r="AW82" i="3"/>
  <c r="AV82" i="3"/>
  <c r="AU82" i="3"/>
  <c r="AT82" i="3"/>
  <c r="AS82" i="3"/>
  <c r="AR82" i="3"/>
  <c r="AQ82" i="3"/>
  <c r="AP82" i="3"/>
  <c r="BA81" i="3"/>
  <c r="AZ81" i="3"/>
  <c r="AY81" i="3"/>
  <c r="AX81" i="3"/>
  <c r="AW81" i="3"/>
  <c r="AV81" i="3"/>
  <c r="AU81" i="3"/>
  <c r="AT81" i="3"/>
  <c r="AS81" i="3"/>
  <c r="AR81" i="3"/>
  <c r="AQ81" i="3"/>
  <c r="AP81" i="3"/>
  <c r="BA80" i="3"/>
  <c r="AZ80" i="3"/>
  <c r="AY80" i="3"/>
  <c r="AX80" i="3"/>
  <c r="AW80" i="3"/>
  <c r="AV80" i="3"/>
  <c r="AU80" i="3"/>
  <c r="AT80" i="3"/>
  <c r="AS80" i="3"/>
  <c r="AR80" i="3"/>
  <c r="AQ80" i="3"/>
  <c r="AP80" i="3"/>
  <c r="BA79" i="3"/>
  <c r="AZ79" i="3"/>
  <c r="AY79" i="3"/>
  <c r="AX79" i="3"/>
  <c r="AW79" i="3"/>
  <c r="AV79" i="3"/>
  <c r="AU79" i="3"/>
  <c r="AT79" i="3"/>
  <c r="AS79" i="3"/>
  <c r="AR79" i="3"/>
  <c r="AQ79" i="3"/>
  <c r="AP79" i="3"/>
  <c r="BA78" i="3"/>
  <c r="AZ78" i="3"/>
  <c r="AY78" i="3"/>
  <c r="AX78" i="3"/>
  <c r="AW78" i="3"/>
  <c r="AV78" i="3"/>
  <c r="AU78" i="3"/>
  <c r="AT78" i="3"/>
  <c r="AS78" i="3"/>
  <c r="AR78" i="3"/>
  <c r="AQ78" i="3"/>
  <c r="AP78" i="3"/>
  <c r="BA77" i="3"/>
  <c r="AZ77" i="3"/>
  <c r="AY77" i="3"/>
  <c r="AX77" i="3"/>
  <c r="AW77" i="3"/>
  <c r="AV77" i="3"/>
  <c r="AU77" i="3"/>
  <c r="AT77" i="3"/>
  <c r="AS77" i="3"/>
  <c r="AR77" i="3"/>
  <c r="AQ77" i="3"/>
  <c r="AP77" i="3"/>
  <c r="BA76" i="3"/>
  <c r="AZ76" i="3"/>
  <c r="AY76" i="3"/>
  <c r="AX76" i="3"/>
  <c r="AW76" i="3"/>
  <c r="AV76" i="3"/>
  <c r="AU76" i="3"/>
  <c r="AT76" i="3"/>
  <c r="AS76" i="3"/>
  <c r="AR76" i="3"/>
  <c r="AQ76" i="3"/>
  <c r="AP76" i="3"/>
  <c r="BA75" i="3"/>
  <c r="AZ75" i="3"/>
  <c r="AY75" i="3"/>
  <c r="AX75" i="3"/>
  <c r="AW75" i="3"/>
  <c r="AV75" i="3"/>
  <c r="AU75" i="3"/>
  <c r="AT75" i="3"/>
  <c r="AS75" i="3"/>
  <c r="AR75" i="3"/>
  <c r="AQ75" i="3"/>
  <c r="AP75" i="3"/>
  <c r="BA74" i="3"/>
  <c r="AZ74" i="3"/>
  <c r="AY74" i="3"/>
  <c r="AX74" i="3"/>
  <c r="AW74" i="3"/>
  <c r="AV74" i="3"/>
  <c r="AU74" i="3"/>
  <c r="AT74" i="3"/>
  <c r="AS74" i="3"/>
  <c r="AR74" i="3"/>
  <c r="AQ74" i="3"/>
  <c r="AP74" i="3"/>
  <c r="BA73" i="3"/>
  <c r="AZ73" i="3"/>
  <c r="AY73" i="3"/>
  <c r="AX73" i="3"/>
  <c r="AW73" i="3"/>
  <c r="AV73" i="3"/>
  <c r="AU73" i="3"/>
  <c r="AT73" i="3"/>
  <c r="AS73" i="3"/>
  <c r="AR73" i="3"/>
  <c r="AQ73" i="3"/>
  <c r="AP73" i="3"/>
  <c r="BA72" i="3"/>
  <c r="AZ72" i="3"/>
  <c r="AY72" i="3"/>
  <c r="AX72" i="3"/>
  <c r="AW72" i="3"/>
  <c r="AV72" i="3"/>
  <c r="AU72" i="3"/>
  <c r="AT72" i="3"/>
  <c r="AR72" i="3"/>
  <c r="AQ72" i="3"/>
  <c r="AP72" i="3"/>
  <c r="BA71" i="3"/>
  <c r="AZ71" i="3"/>
  <c r="AY71" i="3"/>
  <c r="AX71" i="3"/>
  <c r="AW71" i="3"/>
  <c r="AV71" i="3"/>
  <c r="AU71" i="3"/>
  <c r="AT71" i="3"/>
  <c r="AS71" i="3"/>
  <c r="AR71" i="3"/>
  <c r="AQ71" i="3"/>
  <c r="AP71" i="3"/>
  <c r="BA70" i="3"/>
  <c r="AZ70" i="3"/>
  <c r="AY70" i="3"/>
  <c r="AX70" i="3"/>
  <c r="AW70" i="3"/>
  <c r="AV70" i="3"/>
  <c r="AU70" i="3"/>
  <c r="AT70" i="3"/>
  <c r="AS70" i="3"/>
  <c r="AR70" i="3"/>
  <c r="AQ70" i="3"/>
  <c r="AP70" i="3"/>
  <c r="BA69" i="3"/>
  <c r="AZ69" i="3"/>
  <c r="AY69" i="3"/>
  <c r="AX69" i="3"/>
  <c r="AW69" i="3"/>
  <c r="AV69" i="3"/>
  <c r="AU69" i="3"/>
  <c r="AT69" i="3"/>
  <c r="AS69" i="3"/>
  <c r="AR69" i="3"/>
  <c r="AQ69" i="3"/>
  <c r="AP69" i="3"/>
  <c r="BA68" i="3"/>
  <c r="AZ68" i="3"/>
  <c r="AY68" i="3"/>
  <c r="AX68" i="3"/>
  <c r="AW68" i="3"/>
  <c r="AV68" i="3"/>
  <c r="AU68" i="3"/>
  <c r="AT68" i="3"/>
  <c r="AS68" i="3"/>
  <c r="AR68" i="3"/>
  <c r="AQ68" i="3"/>
  <c r="AP68" i="3"/>
  <c r="BA67" i="3"/>
  <c r="AZ67" i="3"/>
  <c r="AY67" i="3"/>
  <c r="AX67" i="3"/>
  <c r="AW67" i="3"/>
  <c r="AV67" i="3"/>
  <c r="AU67" i="3"/>
  <c r="AT67" i="3"/>
  <c r="AS67" i="3"/>
  <c r="AR67" i="3"/>
  <c r="AQ67" i="3"/>
  <c r="AP67" i="3"/>
  <c r="BA66" i="3"/>
  <c r="AZ66" i="3"/>
  <c r="AY66" i="3"/>
  <c r="AX66" i="3"/>
  <c r="AW66" i="3"/>
  <c r="AV66" i="3"/>
  <c r="AU66" i="3"/>
  <c r="AT66" i="3"/>
  <c r="AS66" i="3"/>
  <c r="AR66" i="3"/>
  <c r="AQ66" i="3"/>
  <c r="AP66" i="3"/>
  <c r="BA65" i="3"/>
  <c r="AZ65" i="3"/>
  <c r="AY65" i="3"/>
  <c r="AX65" i="3"/>
  <c r="AW65" i="3"/>
  <c r="AV65" i="3"/>
  <c r="AU65" i="3"/>
  <c r="AT65" i="3"/>
  <c r="AS65" i="3"/>
  <c r="AR65" i="3"/>
  <c r="AQ65" i="3"/>
  <c r="AP65" i="3"/>
  <c r="BA64" i="3"/>
  <c r="AZ64" i="3"/>
  <c r="AY64" i="3"/>
  <c r="AX64" i="3"/>
  <c r="AW64" i="3"/>
  <c r="AV64" i="3"/>
  <c r="AU64" i="3"/>
  <c r="AT64" i="3"/>
  <c r="AS64" i="3"/>
  <c r="AR64" i="3"/>
  <c r="AQ64" i="3"/>
  <c r="AP64" i="3"/>
  <c r="BA63" i="3"/>
  <c r="AZ63" i="3"/>
  <c r="AY63" i="3"/>
  <c r="AX63" i="3"/>
  <c r="AW63" i="3"/>
  <c r="AV63" i="3"/>
  <c r="AU63" i="3"/>
  <c r="AT63" i="3"/>
  <c r="AS63" i="3"/>
  <c r="AR63" i="3"/>
  <c r="AQ63" i="3"/>
  <c r="AP63" i="3"/>
  <c r="BA62" i="3"/>
  <c r="AZ62" i="3"/>
  <c r="AY62" i="3"/>
  <c r="AX62" i="3"/>
  <c r="AW62" i="3"/>
  <c r="AV62" i="3"/>
  <c r="AU62" i="3"/>
  <c r="AT62" i="3"/>
  <c r="AS62" i="3"/>
  <c r="AR62" i="3"/>
  <c r="AQ62" i="3"/>
  <c r="AP62" i="3"/>
  <c r="BA61" i="3"/>
  <c r="AZ61" i="3"/>
  <c r="AY61" i="3"/>
  <c r="AX61" i="3"/>
  <c r="AW61" i="3"/>
  <c r="AV61" i="3"/>
  <c r="AU61" i="3"/>
  <c r="AT61" i="3"/>
  <c r="AS61" i="3"/>
  <c r="AR61" i="3"/>
  <c r="AQ61" i="3"/>
  <c r="AP61" i="3"/>
  <c r="BA60" i="3"/>
  <c r="AZ60" i="3"/>
  <c r="AY60" i="3"/>
  <c r="AX60" i="3"/>
  <c r="AW60" i="3"/>
  <c r="AV60" i="3"/>
  <c r="AU60" i="3"/>
  <c r="AT60" i="3"/>
  <c r="AS60" i="3"/>
  <c r="AR60" i="3"/>
  <c r="AQ60" i="3"/>
  <c r="AP60" i="3"/>
  <c r="BA59" i="3"/>
  <c r="AZ59" i="3"/>
  <c r="AY59" i="3"/>
  <c r="AX59" i="3"/>
  <c r="AW59" i="3"/>
  <c r="AV59" i="3"/>
  <c r="AU59" i="3"/>
  <c r="AT59" i="3"/>
  <c r="AS59" i="3"/>
  <c r="AR59" i="3"/>
  <c r="AQ59" i="3"/>
  <c r="AP59" i="3"/>
  <c r="BA58" i="3"/>
  <c r="AZ58" i="3"/>
  <c r="AY58" i="3"/>
  <c r="AX58" i="3"/>
  <c r="AW58" i="3"/>
  <c r="AV58" i="3"/>
  <c r="AU58" i="3"/>
  <c r="AT58" i="3"/>
  <c r="AS58" i="3"/>
  <c r="AR58" i="3"/>
  <c r="AQ58" i="3"/>
  <c r="AP58" i="3"/>
  <c r="BA57" i="3"/>
  <c r="AZ57" i="3"/>
  <c r="AY57" i="3"/>
  <c r="AX57" i="3"/>
  <c r="AW57" i="3"/>
  <c r="AV57" i="3"/>
  <c r="AU57" i="3"/>
  <c r="AT57" i="3"/>
  <c r="AS57" i="3"/>
  <c r="AR57" i="3"/>
  <c r="AQ57" i="3"/>
  <c r="AP57" i="3"/>
  <c r="BA56" i="3"/>
  <c r="AZ56" i="3"/>
  <c r="AY56" i="3"/>
  <c r="AX56" i="3"/>
  <c r="AW56" i="3"/>
  <c r="AV56" i="3"/>
  <c r="AU56" i="3"/>
  <c r="AT56" i="3"/>
  <c r="AS56" i="3"/>
  <c r="AR56" i="3"/>
  <c r="AQ56" i="3"/>
  <c r="AP56" i="3"/>
  <c r="BA55" i="3"/>
  <c r="AZ55" i="3"/>
  <c r="AY55" i="3"/>
  <c r="AX55" i="3"/>
  <c r="AW55" i="3"/>
  <c r="AV55" i="3"/>
  <c r="AU55" i="3"/>
  <c r="AT55" i="3"/>
  <c r="AS55" i="3"/>
  <c r="AR55" i="3"/>
  <c r="AQ55" i="3"/>
  <c r="AP55" i="3"/>
  <c r="BA54" i="3"/>
  <c r="AZ54" i="3"/>
  <c r="AY54" i="3"/>
  <c r="AX54" i="3"/>
  <c r="AW54" i="3"/>
  <c r="AV54" i="3"/>
  <c r="AU54" i="3"/>
  <c r="AT54" i="3"/>
  <c r="AS54" i="3"/>
  <c r="AR54" i="3"/>
  <c r="AQ54" i="3"/>
  <c r="AP54" i="3"/>
  <c r="BA53" i="3"/>
  <c r="AZ53" i="3"/>
  <c r="AY53" i="3"/>
  <c r="AX53" i="3"/>
  <c r="AW53" i="3"/>
  <c r="AV53" i="3"/>
  <c r="AU53" i="3"/>
  <c r="AT53" i="3"/>
  <c r="AS53" i="3"/>
  <c r="AR53" i="3"/>
  <c r="AQ53" i="3"/>
  <c r="AP53" i="3"/>
  <c r="BA52" i="3"/>
  <c r="AZ52" i="3"/>
  <c r="AY52" i="3"/>
  <c r="AX52" i="3"/>
  <c r="AW52" i="3"/>
  <c r="AV52" i="3"/>
  <c r="AU52" i="3"/>
  <c r="AT52" i="3"/>
  <c r="AS52" i="3"/>
  <c r="AR52" i="3"/>
  <c r="AQ52" i="3"/>
  <c r="AP52" i="3"/>
  <c r="BA51" i="3"/>
  <c r="AZ51" i="3"/>
  <c r="AY51" i="3"/>
  <c r="AX51" i="3"/>
  <c r="AW51" i="3"/>
  <c r="AV51" i="3"/>
  <c r="AU51" i="3"/>
  <c r="AT51" i="3"/>
  <c r="AS51" i="3"/>
  <c r="AR51" i="3"/>
  <c r="AQ51" i="3"/>
  <c r="AP51" i="3"/>
  <c r="BA50" i="3"/>
  <c r="AZ50" i="3"/>
  <c r="AY50" i="3"/>
  <c r="AX50" i="3"/>
  <c r="AW50" i="3"/>
  <c r="AV50" i="3"/>
  <c r="AU50" i="3"/>
  <c r="AT50" i="3"/>
  <c r="AS50" i="3"/>
  <c r="AR50" i="3"/>
  <c r="AQ50" i="3"/>
  <c r="AP50" i="3"/>
  <c r="BA49" i="3"/>
  <c r="AZ49" i="3"/>
  <c r="AY49" i="3"/>
  <c r="AX49" i="3"/>
  <c r="AW49" i="3"/>
  <c r="AV49" i="3"/>
  <c r="AU49" i="3"/>
  <c r="AT49" i="3"/>
  <c r="AS49" i="3"/>
  <c r="AR49" i="3"/>
  <c r="AQ49" i="3"/>
  <c r="AP49" i="3"/>
  <c r="BA48" i="3"/>
  <c r="AZ48" i="3"/>
  <c r="AY48" i="3"/>
  <c r="AX48" i="3"/>
  <c r="AW48" i="3"/>
  <c r="AV48" i="3"/>
  <c r="AU48" i="3"/>
  <c r="AT48" i="3"/>
  <c r="AS48" i="3"/>
  <c r="AR48" i="3"/>
  <c r="AQ48" i="3"/>
  <c r="AP48" i="3"/>
  <c r="BA47" i="3"/>
  <c r="AZ47" i="3"/>
  <c r="AY47" i="3"/>
  <c r="AX47" i="3"/>
  <c r="AW47" i="3"/>
  <c r="AV47" i="3"/>
  <c r="AU47" i="3"/>
  <c r="AT47" i="3"/>
  <c r="AS47" i="3"/>
  <c r="AR47" i="3"/>
  <c r="AQ47" i="3"/>
  <c r="AP47" i="3"/>
  <c r="BA46" i="3"/>
  <c r="AZ46" i="3"/>
  <c r="AY46" i="3"/>
  <c r="AX46" i="3"/>
  <c r="AW46" i="3"/>
  <c r="AV46" i="3"/>
  <c r="AU46" i="3"/>
  <c r="AT46" i="3"/>
  <c r="AS46" i="3"/>
  <c r="AR46" i="3"/>
  <c r="AQ46" i="3"/>
  <c r="AP46" i="3"/>
  <c r="BA45" i="3"/>
  <c r="AZ45" i="3"/>
  <c r="AY45" i="3"/>
  <c r="AX45" i="3"/>
  <c r="AW45" i="3"/>
  <c r="AV45" i="3"/>
  <c r="AU45" i="3"/>
  <c r="AT45" i="3"/>
  <c r="AS45" i="3"/>
  <c r="AR45" i="3"/>
  <c r="AQ45" i="3"/>
  <c r="AP45" i="3"/>
  <c r="BA44" i="3"/>
  <c r="AZ44" i="3"/>
  <c r="AY44" i="3"/>
  <c r="AX44" i="3"/>
  <c r="AW44" i="3"/>
  <c r="AV44" i="3"/>
  <c r="AU44" i="3"/>
  <c r="AT44" i="3"/>
  <c r="AS44" i="3"/>
  <c r="AR44" i="3"/>
  <c r="AQ44" i="3"/>
  <c r="AP44" i="3"/>
  <c r="BA43" i="3"/>
  <c r="AZ43" i="3"/>
  <c r="AY43" i="3"/>
  <c r="AX43" i="3"/>
  <c r="AW43" i="3"/>
  <c r="AV43" i="3"/>
  <c r="AU43" i="3"/>
  <c r="AT43" i="3"/>
  <c r="AS43" i="3"/>
  <c r="AR43" i="3"/>
  <c r="AQ43" i="3"/>
  <c r="AP43" i="3"/>
  <c r="BA42" i="3"/>
  <c r="AZ42" i="3"/>
  <c r="AY42" i="3"/>
  <c r="AX42" i="3"/>
  <c r="AW42" i="3"/>
  <c r="AV42" i="3"/>
  <c r="AU42" i="3"/>
  <c r="AT42" i="3"/>
  <c r="AS42" i="3"/>
  <c r="AR42" i="3"/>
  <c r="AQ42" i="3"/>
  <c r="AP42" i="3"/>
  <c r="BA33" i="3"/>
  <c r="AZ33" i="3"/>
  <c r="AY33" i="3"/>
  <c r="AX33" i="3"/>
  <c r="AW33" i="3"/>
  <c r="AV33" i="3"/>
  <c r="AU33" i="3"/>
  <c r="AT33" i="3"/>
  <c r="AS33" i="3"/>
  <c r="AR33" i="3"/>
  <c r="AQ33" i="3"/>
  <c r="AP33" i="3"/>
  <c r="BA32" i="3"/>
  <c r="AZ32" i="3"/>
  <c r="AY32" i="3"/>
  <c r="AX32" i="3"/>
  <c r="AW32" i="3"/>
  <c r="AV32" i="3"/>
  <c r="AU32" i="3"/>
  <c r="AT32" i="3"/>
  <c r="AS32" i="3"/>
  <c r="AR32" i="3"/>
  <c r="AQ32" i="3"/>
  <c r="AP32" i="3"/>
  <c r="BA31" i="3"/>
  <c r="AZ31" i="3"/>
  <c r="AY31" i="3"/>
  <c r="AX31" i="3"/>
  <c r="AW31" i="3"/>
  <c r="AV31" i="3"/>
  <c r="AU31" i="3"/>
  <c r="AT31" i="3"/>
  <c r="AS31" i="3"/>
  <c r="AR31" i="3"/>
  <c r="AQ31" i="3"/>
  <c r="AP31" i="3"/>
  <c r="BB31" i="3" l="1"/>
  <c r="AA31" i="3" s="1"/>
  <c r="Y31" i="3" s="1"/>
  <c r="BB32" i="3"/>
  <c r="AA32" i="3" s="1"/>
  <c r="Y32" i="3" s="1"/>
  <c r="BB33" i="3"/>
  <c r="AA33" i="3" s="1"/>
  <c r="Y33" i="3" s="1"/>
  <c r="BB42" i="3"/>
  <c r="AA42" i="3" s="1"/>
  <c r="BB43" i="3"/>
  <c r="AA43" i="3" s="1"/>
  <c r="BB44" i="3"/>
  <c r="AA44" i="3" s="1"/>
  <c r="BB45" i="3"/>
  <c r="AA45" i="3" s="1"/>
  <c r="BB46" i="3"/>
  <c r="AA46" i="3" s="1"/>
  <c r="BB47" i="3"/>
  <c r="AA47" i="3" s="1"/>
  <c r="BB48" i="3"/>
  <c r="AA48" i="3" s="1"/>
  <c r="BB49" i="3"/>
  <c r="AA49" i="3" s="1"/>
  <c r="BB50" i="3"/>
  <c r="AA50" i="3" s="1"/>
  <c r="BB51" i="3"/>
  <c r="AA51" i="3" s="1"/>
  <c r="BB52" i="3"/>
  <c r="AA52" i="3" s="1"/>
  <c r="BB53" i="3"/>
  <c r="AA53" i="3" s="1"/>
  <c r="BB54" i="3"/>
  <c r="AA54" i="3" s="1"/>
  <c r="BB55" i="3"/>
  <c r="AA55" i="3" s="1"/>
  <c r="BB56" i="3"/>
  <c r="AA56" i="3" s="1"/>
  <c r="BB57" i="3"/>
  <c r="AA57" i="3" s="1"/>
  <c r="BB58" i="3"/>
  <c r="AA58" i="3" s="1"/>
  <c r="BB59" i="3"/>
  <c r="AA59" i="3" s="1"/>
  <c r="BB60" i="3"/>
  <c r="AA60" i="3" s="1"/>
  <c r="BB61" i="3"/>
  <c r="AA61" i="3" s="1"/>
  <c r="BB62" i="3"/>
  <c r="AA62" i="3" s="1"/>
  <c r="BB63" i="3"/>
  <c r="AA63" i="3" s="1"/>
  <c r="BB64" i="3"/>
  <c r="AA64" i="3" s="1"/>
  <c r="BB65" i="3"/>
  <c r="AA65" i="3" s="1"/>
  <c r="BB66" i="3"/>
  <c r="AA66" i="3" s="1"/>
  <c r="BB67" i="3"/>
  <c r="AA67" i="3" s="1"/>
  <c r="BB68" i="3"/>
  <c r="AA68" i="3" s="1"/>
  <c r="BB69" i="3"/>
  <c r="AA69" i="3" s="1"/>
  <c r="BB70" i="3"/>
  <c r="AA70" i="3" s="1"/>
  <c r="BB71" i="3"/>
  <c r="AA71" i="3" s="1"/>
  <c r="BB72" i="3"/>
  <c r="AA72" i="3" s="1"/>
  <c r="BB73" i="3"/>
  <c r="AA73" i="3" s="1"/>
  <c r="BB74" i="3"/>
  <c r="AA74" i="3" s="1"/>
  <c r="BB75" i="3"/>
  <c r="AA75" i="3" s="1"/>
  <c r="BB76" i="3"/>
  <c r="AA76" i="3" s="1"/>
  <c r="BB77" i="3"/>
  <c r="AA77" i="3" s="1"/>
  <c r="BB78" i="3"/>
  <c r="AA78" i="3" s="1"/>
  <c r="BB79" i="3"/>
  <c r="AA79" i="3" s="1"/>
  <c r="BB80" i="3"/>
  <c r="AA80" i="3" s="1"/>
  <c r="BB81" i="3"/>
  <c r="AA81" i="3" s="1"/>
  <c r="BB82" i="3"/>
  <c r="AA82" i="3" s="1"/>
  <c r="BB83" i="3"/>
  <c r="AA83" i="3" s="1"/>
  <c r="BB84" i="3"/>
  <c r="AA84" i="3" s="1"/>
  <c r="BB85" i="3"/>
  <c r="AA85" i="3" s="1"/>
  <c r="BB86" i="3"/>
  <c r="AA86" i="3" s="1"/>
  <c r="BB87" i="3"/>
  <c r="AA87" i="3" s="1"/>
  <c r="BB88" i="3"/>
  <c r="AA88" i="3" s="1"/>
  <c r="BB89" i="3"/>
  <c r="AA89" i="3" s="1"/>
  <c r="BB90" i="3"/>
  <c r="AA90" i="3" s="1"/>
  <c r="BB91" i="3"/>
  <c r="AA91" i="3" s="1"/>
  <c r="BB92" i="3"/>
  <c r="AA92" i="3" s="1"/>
  <c r="BB93" i="3"/>
  <c r="AA93" i="3" s="1"/>
  <c r="BB94" i="3"/>
  <c r="AA94" i="3" s="1"/>
  <c r="BB95" i="3"/>
  <c r="AA95" i="3" s="1"/>
  <c r="BB96" i="3"/>
  <c r="AA96" i="3" s="1"/>
  <c r="BB97" i="3"/>
  <c r="AA97" i="3" s="1"/>
  <c r="BB98" i="3"/>
  <c r="AA98" i="3" s="1"/>
  <c r="BB99" i="3"/>
  <c r="AA99" i="3" s="1"/>
  <c r="BB100" i="3"/>
  <c r="AA100" i="3" s="1"/>
  <c r="BB101" i="3"/>
  <c r="AA101" i="3" s="1"/>
  <c r="BB102" i="3"/>
  <c r="AA102" i="3" s="1"/>
  <c r="BB103" i="3"/>
  <c r="AA103" i="3" s="1"/>
  <c r="BB104" i="3"/>
  <c r="AA104" i="3" s="1"/>
  <c r="BB105" i="3"/>
  <c r="AA105" i="3" s="1"/>
  <c r="BB106" i="3"/>
  <c r="AA106" i="3" s="1"/>
  <c r="J9" i="6" l="1"/>
  <c r="M21" i="5"/>
  <c r="L21" i="5"/>
  <c r="K21" i="5"/>
  <c r="J21" i="5"/>
  <c r="I21" i="5"/>
  <c r="H21" i="5"/>
  <c r="M20" i="5"/>
  <c r="L20" i="5"/>
  <c r="K20" i="5"/>
  <c r="J20" i="5"/>
  <c r="I20" i="5"/>
  <c r="H20" i="5"/>
  <c r="M19" i="5"/>
  <c r="L19" i="5"/>
  <c r="K19" i="5"/>
  <c r="J19" i="5"/>
  <c r="I19" i="5"/>
  <c r="H19" i="5"/>
  <c r="M18" i="5"/>
  <c r="L18" i="5"/>
  <c r="K18" i="5"/>
  <c r="J18" i="5"/>
  <c r="I18" i="5"/>
  <c r="H18" i="5"/>
  <c r="M17" i="5"/>
  <c r="L17" i="5"/>
  <c r="K17" i="5"/>
  <c r="J17" i="5"/>
  <c r="I17" i="5"/>
  <c r="H17" i="5"/>
  <c r="M16" i="5"/>
  <c r="L16" i="5"/>
  <c r="K16" i="5"/>
  <c r="J16" i="5"/>
  <c r="I16" i="5"/>
  <c r="H16" i="5"/>
  <c r="M15" i="5"/>
  <c r="L15" i="5"/>
  <c r="K15" i="5"/>
  <c r="J15" i="5"/>
  <c r="I15" i="5"/>
  <c r="H15" i="5"/>
  <c r="M14" i="5"/>
  <c r="L14" i="5"/>
  <c r="K14" i="5"/>
  <c r="J14" i="5"/>
  <c r="I14" i="5"/>
  <c r="H14" i="5"/>
  <c r="M13" i="5"/>
  <c r="L13" i="5"/>
  <c r="K13" i="5"/>
  <c r="J13" i="5"/>
  <c r="I13" i="5"/>
  <c r="H13" i="5"/>
  <c r="M12" i="5"/>
  <c r="L12" i="5"/>
  <c r="K12" i="5"/>
  <c r="J12" i="5"/>
  <c r="I12" i="5"/>
  <c r="H12" i="5"/>
  <c r="M11" i="5"/>
  <c r="L11" i="5"/>
  <c r="K11" i="5"/>
  <c r="J11" i="5"/>
  <c r="I11" i="5"/>
  <c r="H11" i="5"/>
  <c r="M10" i="5"/>
  <c r="L10" i="5"/>
  <c r="K10" i="5"/>
  <c r="J10" i="5"/>
  <c r="I10" i="5"/>
  <c r="H10" i="5"/>
  <c r="Q3" i="5"/>
  <c r="AE106" i="4"/>
  <c r="B106" i="4"/>
  <c r="AE105" i="4"/>
  <c r="B105" i="4"/>
  <c r="AE104" i="4"/>
  <c r="B104" i="4"/>
  <c r="AE103" i="4"/>
  <c r="B103" i="4"/>
  <c r="AE102" i="4"/>
  <c r="B102" i="4"/>
  <c r="AE101" i="4"/>
  <c r="B101" i="4"/>
  <c r="AE100" i="4"/>
  <c r="B100" i="4"/>
  <c r="AE99" i="4"/>
  <c r="B99" i="4"/>
  <c r="AE98" i="4"/>
  <c r="B98" i="4"/>
  <c r="AE97" i="4"/>
  <c r="B97" i="4"/>
  <c r="AE96" i="4"/>
  <c r="B96" i="4"/>
  <c r="AE95" i="4"/>
  <c r="B95" i="4"/>
  <c r="AE94" i="4"/>
  <c r="B94" i="4"/>
  <c r="AE93" i="4"/>
  <c r="B93" i="4"/>
  <c r="AE92" i="4"/>
  <c r="B92" i="4"/>
  <c r="AE91" i="4"/>
  <c r="B91" i="4"/>
  <c r="AE90" i="4"/>
  <c r="B90" i="4"/>
  <c r="AE89" i="4"/>
  <c r="B89" i="4"/>
  <c r="AE88" i="4"/>
  <c r="B88" i="4"/>
  <c r="AE87" i="4"/>
  <c r="B87" i="4"/>
  <c r="AE86" i="4"/>
  <c r="B86" i="4"/>
  <c r="AE85" i="4"/>
  <c r="B85" i="4"/>
  <c r="AE84" i="4"/>
  <c r="B84" i="4"/>
  <c r="AE83" i="4"/>
  <c r="B83" i="4"/>
  <c r="AE82" i="4"/>
  <c r="B82" i="4"/>
  <c r="AE81" i="4"/>
  <c r="B81" i="4"/>
  <c r="AE80" i="4"/>
  <c r="B80" i="4"/>
  <c r="AE79" i="4"/>
  <c r="B79" i="4"/>
  <c r="AE78" i="4"/>
  <c r="B78" i="4"/>
  <c r="AE77" i="4"/>
  <c r="B77" i="4"/>
  <c r="AE76" i="4"/>
  <c r="B76" i="4"/>
  <c r="AE75" i="4"/>
  <c r="B75" i="4"/>
  <c r="AE74" i="4"/>
  <c r="B74" i="4"/>
  <c r="AE73" i="4"/>
  <c r="B73" i="4"/>
  <c r="AE72" i="4"/>
  <c r="B72" i="4"/>
  <c r="AE71" i="4"/>
  <c r="B71" i="4"/>
  <c r="AE70" i="4"/>
  <c r="B70" i="4"/>
  <c r="AE69" i="4"/>
  <c r="B69" i="4"/>
  <c r="AE68" i="4"/>
  <c r="B68" i="4"/>
  <c r="AE67" i="4"/>
  <c r="B67" i="4"/>
  <c r="AE66" i="4"/>
  <c r="B66" i="4"/>
  <c r="AE65" i="4"/>
  <c r="B65" i="4"/>
  <c r="AE64" i="4"/>
  <c r="B64" i="4"/>
  <c r="AE63" i="4"/>
  <c r="B63" i="4"/>
  <c r="AE62" i="4"/>
  <c r="B62" i="4"/>
  <c r="AE61" i="4"/>
  <c r="B61" i="4"/>
  <c r="AE60" i="4"/>
  <c r="B60" i="4"/>
  <c r="AE59" i="4"/>
  <c r="B59" i="4"/>
  <c r="AE58" i="4"/>
  <c r="B58" i="4"/>
  <c r="AE57" i="4"/>
  <c r="B57" i="4"/>
  <c r="AE56" i="4"/>
  <c r="B56" i="4"/>
  <c r="AE55" i="4"/>
  <c r="B55" i="4"/>
  <c r="AE54" i="4"/>
  <c r="B54" i="4"/>
  <c r="AE53" i="4"/>
  <c r="B53" i="4"/>
  <c r="AE52" i="4"/>
  <c r="B52" i="4"/>
  <c r="AE51" i="4"/>
  <c r="B51" i="4"/>
  <c r="AE50" i="4"/>
  <c r="B50" i="4"/>
  <c r="AE49" i="4"/>
  <c r="B49" i="4"/>
  <c r="AE48" i="4"/>
  <c r="B48" i="4"/>
  <c r="AE47" i="4"/>
  <c r="B47" i="4"/>
  <c r="AE46" i="4"/>
  <c r="B46" i="4"/>
  <c r="AE45" i="4"/>
  <c r="B45" i="4"/>
  <c r="AE44" i="4"/>
  <c r="B44" i="4"/>
  <c r="AE43" i="4"/>
  <c r="B43" i="4"/>
  <c r="AE42" i="4"/>
  <c r="B42" i="4"/>
  <c r="AE41" i="4"/>
  <c r="AE40" i="4"/>
  <c r="AE39" i="4"/>
  <c r="AE38" i="4"/>
  <c r="AE37" i="4"/>
  <c r="AE36" i="4"/>
  <c r="AE35" i="4"/>
  <c r="AE34" i="4"/>
  <c r="AE33" i="4"/>
  <c r="AE32" i="4"/>
  <c r="AE31" i="4"/>
  <c r="AE30" i="4"/>
  <c r="AE29" i="4"/>
  <c r="AE28" i="4"/>
  <c r="AE27" i="4"/>
  <c r="AE26" i="4"/>
  <c r="AE25" i="4"/>
  <c r="AE24" i="4"/>
  <c r="AE23" i="4"/>
  <c r="AE22" i="4"/>
  <c r="AE21" i="4"/>
  <c r="AE20" i="4"/>
  <c r="AE19" i="4"/>
  <c r="AE18" i="4"/>
  <c r="AE17" i="4"/>
  <c r="AE16" i="4"/>
  <c r="AE15" i="4"/>
  <c r="AE14" i="4"/>
  <c r="AE13" i="4"/>
  <c r="AE12" i="4"/>
  <c r="AE11" i="4"/>
  <c r="AE10" i="4"/>
  <c r="AE9" i="4"/>
  <c r="AE8" i="4"/>
  <c r="AH7" i="4"/>
  <c r="AE7" i="4"/>
  <c r="AH8" i="4"/>
  <c r="H10" i="6" s="1"/>
  <c r="BI106" i="3"/>
  <c r="BF106" i="3"/>
  <c r="BG106" i="3" s="1"/>
  <c r="BI105" i="3"/>
  <c r="BF105" i="3"/>
  <c r="BG105" i="3" s="1"/>
  <c r="BI104" i="3"/>
  <c r="BF104" i="3"/>
  <c r="BI103" i="3"/>
  <c r="BF103" i="3"/>
  <c r="BI102" i="3"/>
  <c r="BF102" i="3"/>
  <c r="BI101" i="3"/>
  <c r="BF101" i="3"/>
  <c r="BG101" i="3" s="1"/>
  <c r="BI100" i="3"/>
  <c r="BF100" i="3"/>
  <c r="BG100" i="3" s="1"/>
  <c r="BI99" i="3"/>
  <c r="BF99" i="3"/>
  <c r="BI98" i="3"/>
  <c r="BF98" i="3"/>
  <c r="BG98" i="3" s="1"/>
  <c r="BI97" i="3"/>
  <c r="BF97" i="3"/>
  <c r="BG97" i="3" s="1"/>
  <c r="BI96" i="3"/>
  <c r="BF96" i="3"/>
  <c r="BI95" i="3"/>
  <c r="BF95" i="3"/>
  <c r="BI94" i="3"/>
  <c r="BF94" i="3"/>
  <c r="BI93" i="3"/>
  <c r="BF93" i="3"/>
  <c r="BG93" i="3" s="1"/>
  <c r="BI92" i="3"/>
  <c r="BF92" i="3"/>
  <c r="BG92" i="3" s="1"/>
  <c r="BI91" i="3"/>
  <c r="BF91" i="3"/>
  <c r="BG91" i="3" s="1"/>
  <c r="BH91" i="3" s="1"/>
  <c r="BI90" i="3"/>
  <c r="BF90" i="3"/>
  <c r="BG90" i="3" s="1"/>
  <c r="BI89" i="3"/>
  <c r="BF89" i="3"/>
  <c r="BG89" i="3" s="1"/>
  <c r="BI88" i="3"/>
  <c r="BF88" i="3"/>
  <c r="BI87" i="3"/>
  <c r="BF87" i="3"/>
  <c r="BG87" i="3" s="1"/>
  <c r="BH87" i="3" s="1"/>
  <c r="BI86" i="3"/>
  <c r="BF86" i="3"/>
  <c r="BI85" i="3"/>
  <c r="BF85" i="3"/>
  <c r="BG85" i="3" s="1"/>
  <c r="BI84" i="3"/>
  <c r="BF84" i="3"/>
  <c r="BG84" i="3" s="1"/>
  <c r="BI83" i="3"/>
  <c r="BF83" i="3"/>
  <c r="BG83" i="3" s="1"/>
  <c r="BH83" i="3" s="1"/>
  <c r="BI82" i="3"/>
  <c r="BF82" i="3"/>
  <c r="BG82" i="3" s="1"/>
  <c r="BI81" i="3"/>
  <c r="BF81" i="3"/>
  <c r="BG81" i="3" s="1"/>
  <c r="BI80" i="3"/>
  <c r="BF80" i="3"/>
  <c r="BI79" i="3"/>
  <c r="BF79" i="3"/>
  <c r="BI78" i="3"/>
  <c r="BF78" i="3"/>
  <c r="BI77" i="3"/>
  <c r="BF77" i="3"/>
  <c r="BG77" i="3" s="1"/>
  <c r="BI76" i="3"/>
  <c r="BF76" i="3"/>
  <c r="BG76" i="3" s="1"/>
  <c r="BI75" i="3"/>
  <c r="BF75" i="3"/>
  <c r="BG75" i="3" s="1"/>
  <c r="BH75" i="3" s="1"/>
  <c r="BI74" i="3"/>
  <c r="BF74" i="3"/>
  <c r="BG74" i="3" s="1"/>
  <c r="BI73" i="3"/>
  <c r="BF73" i="3"/>
  <c r="BG73" i="3" s="1"/>
  <c r="BI72" i="3"/>
  <c r="BF72" i="3"/>
  <c r="BI71" i="3"/>
  <c r="BF71" i="3"/>
  <c r="BG71" i="3" s="1"/>
  <c r="BH71" i="3" s="1"/>
  <c r="BI70" i="3"/>
  <c r="BF70" i="3"/>
  <c r="BI69" i="3"/>
  <c r="BF69" i="3"/>
  <c r="BI68" i="3"/>
  <c r="BF68" i="3"/>
  <c r="BG68" i="3" s="1"/>
  <c r="BI67" i="3"/>
  <c r="BF67" i="3"/>
  <c r="BG67" i="3" s="1"/>
  <c r="BH67" i="3" s="1"/>
  <c r="BI66" i="3"/>
  <c r="BF66" i="3"/>
  <c r="BG66" i="3" s="1"/>
  <c r="BI65" i="3"/>
  <c r="BF65" i="3"/>
  <c r="BG65" i="3" s="1"/>
  <c r="BI64" i="3"/>
  <c r="BF64" i="3"/>
  <c r="BI63" i="3"/>
  <c r="BF63" i="3"/>
  <c r="BG63" i="3" s="1"/>
  <c r="BI62" i="3"/>
  <c r="BF62" i="3"/>
  <c r="BG62" i="3" s="1"/>
  <c r="BI61" i="3"/>
  <c r="BF61" i="3"/>
  <c r="BG61" i="3" s="1"/>
  <c r="BI60" i="3"/>
  <c r="BF60" i="3"/>
  <c r="BG60" i="3" s="1"/>
  <c r="BI59" i="3"/>
  <c r="BF59" i="3"/>
  <c r="BG59" i="3" s="1"/>
  <c r="BI58" i="3"/>
  <c r="BF58" i="3"/>
  <c r="BI57" i="3"/>
  <c r="BF57" i="3"/>
  <c r="BI56" i="3"/>
  <c r="BF56" i="3"/>
  <c r="BI55" i="3"/>
  <c r="BF55" i="3"/>
  <c r="BG55" i="3" s="1"/>
  <c r="BI54" i="3"/>
  <c r="BF54" i="3"/>
  <c r="BI53" i="3"/>
  <c r="BF53" i="3"/>
  <c r="BG53" i="3" s="1"/>
  <c r="BH53" i="3" s="1"/>
  <c r="BI52" i="3"/>
  <c r="BF52" i="3"/>
  <c r="BG52" i="3" s="1"/>
  <c r="BH52" i="3" s="1"/>
  <c r="BI51" i="3"/>
  <c r="BF51" i="3"/>
  <c r="BI50" i="3"/>
  <c r="BF50" i="3"/>
  <c r="BI49" i="3"/>
  <c r="BF49" i="3"/>
  <c r="BG49" i="3" s="1"/>
  <c r="BH49" i="3" s="1"/>
  <c r="BI48" i="3"/>
  <c r="BF48" i="3"/>
  <c r="BG48" i="3" s="1"/>
  <c r="BH48" i="3" s="1"/>
  <c r="BI47" i="3"/>
  <c r="BF47" i="3"/>
  <c r="BI46" i="3"/>
  <c r="BF46" i="3"/>
  <c r="BI45" i="3"/>
  <c r="BF45" i="3"/>
  <c r="BG45" i="3" s="1"/>
  <c r="BH45" i="3" s="1"/>
  <c r="BI44" i="3"/>
  <c r="BF44" i="3"/>
  <c r="BG44" i="3" s="1"/>
  <c r="BH44" i="3" s="1"/>
  <c r="BI43" i="3"/>
  <c r="BF43" i="3"/>
  <c r="BI42" i="3"/>
  <c r="BF42" i="3"/>
  <c r="BI41" i="3"/>
  <c r="BF41" i="3"/>
  <c r="BG41" i="3" s="1"/>
  <c r="BH41" i="3" s="1"/>
  <c r="BI40" i="3"/>
  <c r="BF40" i="3"/>
  <c r="BG40" i="3" s="1"/>
  <c r="BH40" i="3" s="1"/>
  <c r="BI39" i="3"/>
  <c r="BF39" i="3"/>
  <c r="BI38" i="3"/>
  <c r="BF38" i="3"/>
  <c r="BI37" i="3"/>
  <c r="BF37" i="3"/>
  <c r="BG37" i="3" s="1"/>
  <c r="BH37" i="3" s="1"/>
  <c r="BI36" i="3"/>
  <c r="BF36" i="3"/>
  <c r="BG36" i="3" s="1"/>
  <c r="BH36" i="3" s="1"/>
  <c r="BI35" i="3"/>
  <c r="BF35" i="3"/>
  <c r="BI34" i="3"/>
  <c r="BF34" i="3"/>
  <c r="BI33" i="3"/>
  <c r="BF33" i="3"/>
  <c r="BG33" i="3" s="1"/>
  <c r="BH33" i="3" s="1"/>
  <c r="B33" i="4"/>
  <c r="BI32" i="3"/>
  <c r="BF32" i="3"/>
  <c r="BG32" i="3" s="1"/>
  <c r="BH32" i="3" s="1"/>
  <c r="B32" i="4"/>
  <c r="BI31" i="3"/>
  <c r="BF31" i="3"/>
  <c r="B31" i="4"/>
  <c r="BI30" i="3"/>
  <c r="BF30" i="3"/>
  <c r="BI29" i="3"/>
  <c r="BF29" i="3"/>
  <c r="BG29" i="3" s="1"/>
  <c r="BH29" i="3" s="1"/>
  <c r="BI28" i="3"/>
  <c r="BF28" i="3"/>
  <c r="BG28" i="3" s="1"/>
  <c r="BH28" i="3" s="1"/>
  <c r="BI27" i="3"/>
  <c r="BF27" i="3"/>
  <c r="BI26" i="3"/>
  <c r="BF26" i="3"/>
  <c r="BI25" i="3"/>
  <c r="BF25" i="3"/>
  <c r="BG25" i="3" s="1"/>
  <c r="BH25" i="3" s="1"/>
  <c r="BI24" i="3"/>
  <c r="BF24" i="3"/>
  <c r="BG24" i="3" s="1"/>
  <c r="BH24" i="3" s="1"/>
  <c r="BI23" i="3"/>
  <c r="BF23" i="3"/>
  <c r="BI22" i="3"/>
  <c r="BF22" i="3"/>
  <c r="BI21" i="3"/>
  <c r="BH21" i="3"/>
  <c r="BI20" i="3"/>
  <c r="BF20" i="3"/>
  <c r="BG20" i="3" s="1"/>
  <c r="BH20" i="3" s="1"/>
  <c r="BI19" i="3"/>
  <c r="BF19" i="3"/>
  <c r="BG19" i="3" s="1"/>
  <c r="BI18" i="3"/>
  <c r="BF18" i="3"/>
  <c r="BI17" i="3"/>
  <c r="BF17" i="3"/>
  <c r="BG17" i="3" s="1"/>
  <c r="BH17" i="3" s="1"/>
  <c r="BI16" i="3"/>
  <c r="BF16" i="3"/>
  <c r="BG16" i="3" s="1"/>
  <c r="BH16" i="3" s="1"/>
  <c r="BI15" i="3"/>
  <c r="BF15" i="3"/>
  <c r="BI14" i="3"/>
  <c r="BF14" i="3"/>
  <c r="BI13" i="3"/>
  <c r="BF13" i="3"/>
  <c r="BG13" i="3" s="1"/>
  <c r="BH13" i="3" s="1"/>
  <c r="BI12" i="3"/>
  <c r="BF12" i="3"/>
  <c r="BG12" i="3" s="1"/>
  <c r="BH12" i="3" s="1"/>
  <c r="BF11" i="3"/>
  <c r="BI10" i="3"/>
  <c r="BF10" i="3"/>
  <c r="BI9" i="3"/>
  <c r="BF9" i="3"/>
  <c r="BG9" i="3" s="1"/>
  <c r="BH9" i="3" s="1"/>
  <c r="BF8" i="3"/>
  <c r="BG8" i="3" s="1"/>
  <c r="BH8" i="3" s="1"/>
  <c r="BI7" i="3"/>
  <c r="BF7" i="3"/>
  <c r="AG8" i="2"/>
  <c r="AG9" i="2" s="1"/>
  <c r="AG10" i="2" s="1"/>
  <c r="AG11" i="2" s="1"/>
  <c r="AG12" i="2" s="1"/>
  <c r="AG13" i="2" s="1"/>
  <c r="AG14" i="2" s="1"/>
  <c r="AG15" i="2" s="1"/>
  <c r="AG16" i="2" s="1"/>
  <c r="AG17" i="2" s="1"/>
  <c r="AG18" i="2" s="1"/>
  <c r="AG19" i="2" s="1"/>
  <c r="AG20" i="2" s="1"/>
  <c r="AG21" i="2" s="1"/>
  <c r="AG22" i="2" s="1"/>
  <c r="AG23" i="2" s="1"/>
  <c r="AG24" i="2" s="1"/>
  <c r="AG25" i="2" s="1"/>
  <c r="AH7" i="2"/>
  <c r="AH8" i="2" s="1"/>
  <c r="AH9" i="2" s="1"/>
  <c r="N14" i="5" l="1"/>
  <c r="N15" i="5"/>
  <c r="N18" i="5"/>
  <c r="N13" i="5"/>
  <c r="N19" i="5"/>
  <c r="N20" i="5"/>
  <c r="N21" i="5"/>
  <c r="N16" i="5"/>
  <c r="N17" i="5"/>
  <c r="N12" i="5"/>
  <c r="N11" i="5"/>
  <c r="R11" i="5" s="1"/>
  <c r="N10" i="5"/>
  <c r="S10" i="5" s="1"/>
  <c r="L31" i="4"/>
  <c r="M31" i="4"/>
  <c r="N31" i="4"/>
  <c r="O31" i="4"/>
  <c r="P31" i="4"/>
  <c r="Q31" i="4"/>
  <c r="K31" i="4"/>
  <c r="F31" i="4"/>
  <c r="N42" i="4"/>
  <c r="O42" i="4"/>
  <c r="P42" i="4"/>
  <c r="Q42" i="4"/>
  <c r="L42" i="4"/>
  <c r="M42" i="4"/>
  <c r="F42" i="4"/>
  <c r="K42" i="4"/>
  <c r="N48" i="4"/>
  <c r="O48" i="4"/>
  <c r="P48" i="4"/>
  <c r="Q48" i="4"/>
  <c r="L48" i="4"/>
  <c r="M48" i="4"/>
  <c r="K48" i="4"/>
  <c r="F48" i="4"/>
  <c r="N54" i="4"/>
  <c r="O54" i="4"/>
  <c r="P54" i="4"/>
  <c r="Q54" i="4"/>
  <c r="L54" i="4"/>
  <c r="M54" i="4"/>
  <c r="F54" i="4"/>
  <c r="K54" i="4"/>
  <c r="N60" i="4"/>
  <c r="O60" i="4"/>
  <c r="P60" i="4"/>
  <c r="Q60" i="4"/>
  <c r="L60" i="4"/>
  <c r="M60" i="4"/>
  <c r="K60" i="4"/>
  <c r="F60" i="4"/>
  <c r="N66" i="4"/>
  <c r="O66" i="4"/>
  <c r="P66" i="4"/>
  <c r="Q66" i="4"/>
  <c r="M66" i="4"/>
  <c r="L66" i="4"/>
  <c r="F66" i="4"/>
  <c r="K66" i="4"/>
  <c r="N72" i="4"/>
  <c r="O72" i="4"/>
  <c r="P72" i="4"/>
  <c r="Q72" i="4"/>
  <c r="L72" i="4"/>
  <c r="M72" i="4"/>
  <c r="K72" i="4"/>
  <c r="F72" i="4"/>
  <c r="N78" i="4"/>
  <c r="O78" i="4"/>
  <c r="P78" i="4"/>
  <c r="Q78" i="4"/>
  <c r="L78" i="4"/>
  <c r="M78" i="4"/>
  <c r="F78" i="4"/>
  <c r="K78" i="4"/>
  <c r="N84" i="4"/>
  <c r="O84" i="4"/>
  <c r="P84" i="4"/>
  <c r="Q84" i="4"/>
  <c r="M84" i="4"/>
  <c r="L84" i="4"/>
  <c r="K84" i="4"/>
  <c r="F84" i="4"/>
  <c r="N90" i="4"/>
  <c r="O90" i="4"/>
  <c r="P90" i="4"/>
  <c r="Q90" i="4"/>
  <c r="L90" i="4"/>
  <c r="M90" i="4"/>
  <c r="F90" i="4"/>
  <c r="K90" i="4"/>
  <c r="O96" i="4"/>
  <c r="P96" i="4"/>
  <c r="Q96" i="4"/>
  <c r="M96" i="4"/>
  <c r="N96" i="4"/>
  <c r="L96" i="4"/>
  <c r="K96" i="4"/>
  <c r="F96" i="4"/>
  <c r="O102" i="4"/>
  <c r="P102" i="4"/>
  <c r="Q102" i="4"/>
  <c r="M102" i="4"/>
  <c r="N102" i="4"/>
  <c r="L102" i="4"/>
  <c r="K102" i="4"/>
  <c r="F102" i="4"/>
  <c r="L43" i="4"/>
  <c r="M43" i="4"/>
  <c r="N43" i="4"/>
  <c r="P43" i="4"/>
  <c r="Q43" i="4"/>
  <c r="O43" i="4"/>
  <c r="K43" i="4"/>
  <c r="F43" i="4"/>
  <c r="L49" i="4"/>
  <c r="M49" i="4"/>
  <c r="Q49" i="4"/>
  <c r="O49" i="4"/>
  <c r="N49" i="4"/>
  <c r="P49" i="4"/>
  <c r="K49" i="4"/>
  <c r="F49" i="4"/>
  <c r="L55" i="4"/>
  <c r="M55" i="4"/>
  <c r="N55" i="4"/>
  <c r="P55" i="4"/>
  <c r="Q55" i="4"/>
  <c r="O55" i="4"/>
  <c r="K55" i="4"/>
  <c r="F55" i="4"/>
  <c r="L61" i="4"/>
  <c r="M61" i="4"/>
  <c r="Q61" i="4"/>
  <c r="N61" i="4"/>
  <c r="O61" i="4"/>
  <c r="P61" i="4"/>
  <c r="K61" i="4"/>
  <c r="F61" i="4"/>
  <c r="L67" i="4"/>
  <c r="M67" i="4"/>
  <c r="N67" i="4"/>
  <c r="O67" i="4"/>
  <c r="P67" i="4"/>
  <c r="Q67" i="4"/>
  <c r="K67" i="4"/>
  <c r="F67" i="4"/>
  <c r="L73" i="4"/>
  <c r="N73" i="4"/>
  <c r="P73" i="4"/>
  <c r="O73" i="4"/>
  <c r="Q73" i="4"/>
  <c r="M73" i="4"/>
  <c r="K73" i="4"/>
  <c r="F73" i="4"/>
  <c r="L79" i="4"/>
  <c r="Q79" i="4"/>
  <c r="M79" i="4"/>
  <c r="P79" i="4"/>
  <c r="N79" i="4"/>
  <c r="O79" i="4"/>
  <c r="K79" i="4"/>
  <c r="F79" i="4"/>
  <c r="L85" i="4"/>
  <c r="M85" i="4"/>
  <c r="N85" i="4"/>
  <c r="O85" i="4"/>
  <c r="Q85" i="4"/>
  <c r="P85" i="4"/>
  <c r="K85" i="4"/>
  <c r="F85" i="4"/>
  <c r="L91" i="4"/>
  <c r="O91" i="4"/>
  <c r="P91" i="4"/>
  <c r="Q91" i="4"/>
  <c r="M91" i="4"/>
  <c r="N91" i="4"/>
  <c r="K91" i="4"/>
  <c r="F91" i="4"/>
  <c r="L97" i="4"/>
  <c r="N97" i="4"/>
  <c r="O97" i="4"/>
  <c r="P97" i="4"/>
  <c r="Q97" i="4"/>
  <c r="M97" i="4"/>
  <c r="K97" i="4"/>
  <c r="F97" i="4"/>
  <c r="L103" i="4"/>
  <c r="M103" i="4"/>
  <c r="O103" i="4"/>
  <c r="P103" i="4"/>
  <c r="Q103" i="4"/>
  <c r="N103" i="4"/>
  <c r="K103" i="4"/>
  <c r="F103" i="4"/>
  <c r="M32" i="4"/>
  <c r="N32" i="4"/>
  <c r="O32" i="4"/>
  <c r="P32" i="4"/>
  <c r="Q32" i="4"/>
  <c r="L32" i="4"/>
  <c r="K32" i="4"/>
  <c r="F32" i="4"/>
  <c r="N44" i="4"/>
  <c r="O44" i="4"/>
  <c r="P44" i="4"/>
  <c r="Q44" i="4"/>
  <c r="L44" i="4"/>
  <c r="M44" i="4"/>
  <c r="K44" i="4"/>
  <c r="F44" i="4"/>
  <c r="N50" i="4"/>
  <c r="O50" i="4"/>
  <c r="P50" i="4"/>
  <c r="Q50" i="4"/>
  <c r="L50" i="4"/>
  <c r="M50" i="4"/>
  <c r="F50" i="4"/>
  <c r="K50" i="4"/>
  <c r="N62" i="4"/>
  <c r="O62" i="4"/>
  <c r="P62" i="4"/>
  <c r="Q62" i="4"/>
  <c r="L62" i="4"/>
  <c r="M62" i="4"/>
  <c r="F62" i="4"/>
  <c r="K62" i="4"/>
  <c r="N68" i="4"/>
  <c r="O68" i="4"/>
  <c r="P68" i="4"/>
  <c r="Q68" i="4"/>
  <c r="L68" i="4"/>
  <c r="M68" i="4"/>
  <c r="K68" i="4"/>
  <c r="F68" i="4"/>
  <c r="N74" i="4"/>
  <c r="O74" i="4"/>
  <c r="P74" i="4"/>
  <c r="Q74" i="4"/>
  <c r="L74" i="4"/>
  <c r="M74" i="4"/>
  <c r="K74" i="4"/>
  <c r="F74" i="4"/>
  <c r="N80" i="4"/>
  <c r="O80" i="4"/>
  <c r="P80" i="4"/>
  <c r="Q80" i="4"/>
  <c r="M80" i="4"/>
  <c r="L80" i="4"/>
  <c r="K80" i="4"/>
  <c r="F80" i="4"/>
  <c r="N86" i="4"/>
  <c r="O86" i="4"/>
  <c r="P86" i="4"/>
  <c r="Q86" i="4"/>
  <c r="M86" i="4"/>
  <c r="L86" i="4"/>
  <c r="F86" i="4"/>
  <c r="K86" i="4"/>
  <c r="O92" i="4"/>
  <c r="P92" i="4"/>
  <c r="Q92" i="4"/>
  <c r="N92" i="4"/>
  <c r="M92" i="4"/>
  <c r="L92" i="4"/>
  <c r="K92" i="4"/>
  <c r="F92" i="4"/>
  <c r="O98" i="4"/>
  <c r="P98" i="4"/>
  <c r="Q98" i="4"/>
  <c r="L98" i="4"/>
  <c r="M98" i="4"/>
  <c r="N98" i="4"/>
  <c r="F98" i="4"/>
  <c r="K98" i="4"/>
  <c r="O104" i="4"/>
  <c r="P104" i="4"/>
  <c r="Q104" i="4"/>
  <c r="L104" i="4"/>
  <c r="M104" i="4"/>
  <c r="N104" i="4"/>
  <c r="K104" i="4"/>
  <c r="F104" i="4"/>
  <c r="N56" i="4"/>
  <c r="O56" i="4"/>
  <c r="P56" i="4"/>
  <c r="Q56" i="4"/>
  <c r="L56" i="4"/>
  <c r="M56" i="4"/>
  <c r="K56" i="4"/>
  <c r="F56" i="4"/>
  <c r="M33" i="4"/>
  <c r="L33" i="4"/>
  <c r="N33" i="4"/>
  <c r="O33" i="4"/>
  <c r="P33" i="4"/>
  <c r="Q33" i="4"/>
  <c r="K33" i="4"/>
  <c r="F33" i="4"/>
  <c r="L45" i="4"/>
  <c r="M45" i="4"/>
  <c r="O45" i="4"/>
  <c r="N45" i="4"/>
  <c r="P45" i="4"/>
  <c r="Q45" i="4"/>
  <c r="K45" i="4"/>
  <c r="F45" i="4"/>
  <c r="L57" i="4"/>
  <c r="M57" i="4"/>
  <c r="N57" i="4"/>
  <c r="O57" i="4"/>
  <c r="Q57" i="4"/>
  <c r="P57" i="4"/>
  <c r="K57" i="4"/>
  <c r="F57" i="4"/>
  <c r="M63" i="4"/>
  <c r="L63" i="4"/>
  <c r="N63" i="4"/>
  <c r="P63" i="4"/>
  <c r="Q63" i="4"/>
  <c r="O63" i="4"/>
  <c r="F63" i="4"/>
  <c r="K63" i="4"/>
  <c r="L69" i="4"/>
  <c r="P69" i="4"/>
  <c r="Q69" i="4"/>
  <c r="O69" i="4"/>
  <c r="M69" i="4"/>
  <c r="N69" i="4"/>
  <c r="K69" i="4"/>
  <c r="F69" i="4"/>
  <c r="L75" i="4"/>
  <c r="M75" i="4"/>
  <c r="P75" i="4"/>
  <c r="N75" i="4"/>
  <c r="O75" i="4"/>
  <c r="Q75" i="4"/>
  <c r="K75" i="4"/>
  <c r="F75" i="4"/>
  <c r="L81" i="4"/>
  <c r="N81" i="4"/>
  <c r="O81" i="4"/>
  <c r="P81" i="4"/>
  <c r="Q81" i="4"/>
  <c r="M81" i="4"/>
  <c r="K81" i="4"/>
  <c r="F81" i="4"/>
  <c r="L87" i="4"/>
  <c r="M87" i="4"/>
  <c r="N87" i="4"/>
  <c r="Q87" i="4"/>
  <c r="O87" i="4"/>
  <c r="P87" i="4"/>
  <c r="K87" i="4"/>
  <c r="F87" i="4"/>
  <c r="L93" i="4"/>
  <c r="O93" i="4"/>
  <c r="P93" i="4"/>
  <c r="Q93" i="4"/>
  <c r="N93" i="4"/>
  <c r="M93" i="4"/>
  <c r="K93" i="4"/>
  <c r="F93" i="4"/>
  <c r="L99" i="4"/>
  <c r="O99" i="4"/>
  <c r="Q99" i="4"/>
  <c r="P99" i="4"/>
  <c r="N99" i="4"/>
  <c r="M99" i="4"/>
  <c r="F99" i="4"/>
  <c r="K99" i="4"/>
  <c r="L105" i="4"/>
  <c r="O105" i="4"/>
  <c r="P105" i="4"/>
  <c r="Q105" i="4"/>
  <c r="N105" i="4"/>
  <c r="M105" i="4"/>
  <c r="K105" i="4"/>
  <c r="F105" i="4"/>
  <c r="L51" i="4"/>
  <c r="M51" i="4"/>
  <c r="N51" i="4"/>
  <c r="P51" i="4"/>
  <c r="Q51" i="4"/>
  <c r="O51" i="4"/>
  <c r="F51" i="4"/>
  <c r="K51" i="4"/>
  <c r="N46" i="4"/>
  <c r="O46" i="4"/>
  <c r="P46" i="4"/>
  <c r="Q46" i="4"/>
  <c r="L46" i="4"/>
  <c r="M46" i="4"/>
  <c r="K46" i="4"/>
  <c r="F46" i="4"/>
  <c r="N58" i="4"/>
  <c r="O58" i="4"/>
  <c r="P58" i="4"/>
  <c r="Q58" i="4"/>
  <c r="L58" i="4"/>
  <c r="M58" i="4"/>
  <c r="K58" i="4"/>
  <c r="F58" i="4"/>
  <c r="N64" i="4"/>
  <c r="O64" i="4"/>
  <c r="P64" i="4"/>
  <c r="Q64" i="4"/>
  <c r="L64" i="4"/>
  <c r="M64" i="4"/>
  <c r="F64" i="4"/>
  <c r="K64" i="4"/>
  <c r="N70" i="4"/>
  <c r="O70" i="4"/>
  <c r="P70" i="4"/>
  <c r="Q70" i="4"/>
  <c r="M70" i="4"/>
  <c r="L70" i="4"/>
  <c r="K70" i="4"/>
  <c r="F70" i="4"/>
  <c r="N76" i="4"/>
  <c r="O76" i="4"/>
  <c r="P76" i="4"/>
  <c r="Q76" i="4"/>
  <c r="M76" i="4"/>
  <c r="L76" i="4"/>
  <c r="F76" i="4"/>
  <c r="K76" i="4"/>
  <c r="N82" i="4"/>
  <c r="O82" i="4"/>
  <c r="P82" i="4"/>
  <c r="Q82" i="4"/>
  <c r="M82" i="4"/>
  <c r="L82" i="4"/>
  <c r="K82" i="4"/>
  <c r="F82" i="4"/>
  <c r="N88" i="4"/>
  <c r="O88" i="4"/>
  <c r="P88" i="4"/>
  <c r="Q88" i="4"/>
  <c r="L88" i="4"/>
  <c r="M88" i="4"/>
  <c r="F88" i="4"/>
  <c r="K88" i="4"/>
  <c r="O94" i="4"/>
  <c r="P94" i="4"/>
  <c r="Q94" i="4"/>
  <c r="M94" i="4"/>
  <c r="N94" i="4"/>
  <c r="L94" i="4"/>
  <c r="K94" i="4"/>
  <c r="F94" i="4"/>
  <c r="O100" i="4"/>
  <c r="P100" i="4"/>
  <c r="Q100" i="4"/>
  <c r="L100" i="4"/>
  <c r="M100" i="4"/>
  <c r="N100" i="4"/>
  <c r="F100" i="4"/>
  <c r="K100" i="4"/>
  <c r="O106" i="4"/>
  <c r="P106" i="4"/>
  <c r="Q106" i="4"/>
  <c r="M106" i="4"/>
  <c r="L106" i="4"/>
  <c r="N106" i="4"/>
  <c r="K106" i="4"/>
  <c r="F106" i="4"/>
  <c r="N52" i="4"/>
  <c r="O52" i="4"/>
  <c r="P52" i="4"/>
  <c r="Q52" i="4"/>
  <c r="L52" i="4"/>
  <c r="M52" i="4"/>
  <c r="F52" i="4"/>
  <c r="K52" i="4"/>
  <c r="L47" i="4"/>
  <c r="M47" i="4"/>
  <c r="N47" i="4"/>
  <c r="P47" i="4"/>
  <c r="O47" i="4"/>
  <c r="Q47" i="4"/>
  <c r="K47" i="4"/>
  <c r="F47" i="4"/>
  <c r="L59" i="4"/>
  <c r="M59" i="4"/>
  <c r="N59" i="4"/>
  <c r="P59" i="4"/>
  <c r="Q59" i="4"/>
  <c r="O59" i="4"/>
  <c r="K59" i="4"/>
  <c r="F59" i="4"/>
  <c r="L65" i="4"/>
  <c r="Q65" i="4"/>
  <c r="P65" i="4"/>
  <c r="M65" i="4"/>
  <c r="N65" i="4"/>
  <c r="O65" i="4"/>
  <c r="F65" i="4"/>
  <c r="K65" i="4"/>
  <c r="L71" i="4"/>
  <c r="M71" i="4"/>
  <c r="N71" i="4"/>
  <c r="O71" i="4"/>
  <c r="P71" i="4"/>
  <c r="Q71" i="4"/>
  <c r="K71" i="4"/>
  <c r="F71" i="4"/>
  <c r="L77" i="4"/>
  <c r="M77" i="4"/>
  <c r="N77" i="4"/>
  <c r="P77" i="4"/>
  <c r="O77" i="4"/>
  <c r="Q77" i="4"/>
  <c r="F77" i="4"/>
  <c r="K77" i="4"/>
  <c r="L83" i="4"/>
  <c r="O83" i="4"/>
  <c r="P83" i="4"/>
  <c r="Q83" i="4"/>
  <c r="N83" i="4"/>
  <c r="M83" i="4"/>
  <c r="K83" i="4"/>
  <c r="F83" i="4"/>
  <c r="L89" i="4"/>
  <c r="M89" i="4"/>
  <c r="N89" i="4"/>
  <c r="O89" i="4"/>
  <c r="Q89" i="4"/>
  <c r="P89" i="4"/>
  <c r="F89" i="4"/>
  <c r="K89" i="4"/>
  <c r="L95" i="4"/>
  <c r="M95" i="4"/>
  <c r="O95" i="4"/>
  <c r="P95" i="4"/>
  <c r="N95" i="4"/>
  <c r="Q95" i="4"/>
  <c r="K95" i="4"/>
  <c r="F95" i="4"/>
  <c r="L101" i="4"/>
  <c r="N101" i="4"/>
  <c r="P101" i="4"/>
  <c r="M101" i="4"/>
  <c r="O101" i="4"/>
  <c r="Q101" i="4"/>
  <c r="F101" i="4"/>
  <c r="K101" i="4"/>
  <c r="L53" i="4"/>
  <c r="M53" i="4"/>
  <c r="O53" i="4"/>
  <c r="N53" i="4"/>
  <c r="P53" i="4"/>
  <c r="Q53" i="4"/>
  <c r="F53" i="4"/>
  <c r="K53" i="4"/>
  <c r="G31" i="4"/>
  <c r="E31" i="4"/>
  <c r="I31" i="4"/>
  <c r="J31" i="4"/>
  <c r="H31" i="4"/>
  <c r="E33" i="4"/>
  <c r="I33" i="4"/>
  <c r="G33" i="4"/>
  <c r="H33" i="4"/>
  <c r="J33" i="4"/>
  <c r="J32" i="4"/>
  <c r="H32" i="4"/>
  <c r="E32" i="4"/>
  <c r="G32" i="4"/>
  <c r="I32" i="4"/>
  <c r="I43" i="4"/>
  <c r="G43" i="4"/>
  <c r="J43" i="4"/>
  <c r="H43" i="4"/>
  <c r="I51" i="4"/>
  <c r="G51" i="4"/>
  <c r="H51" i="4"/>
  <c r="J51" i="4"/>
  <c r="I59" i="4"/>
  <c r="G59" i="4"/>
  <c r="J59" i="4"/>
  <c r="H59" i="4"/>
  <c r="G44" i="4"/>
  <c r="I44" i="4"/>
  <c r="H44" i="4"/>
  <c r="J44" i="4"/>
  <c r="G48" i="4"/>
  <c r="I48" i="4"/>
  <c r="H48" i="4"/>
  <c r="J48" i="4"/>
  <c r="G52" i="4"/>
  <c r="I52" i="4"/>
  <c r="H52" i="4"/>
  <c r="J52" i="4"/>
  <c r="G56" i="4"/>
  <c r="I56" i="4"/>
  <c r="H56" i="4"/>
  <c r="J56" i="4"/>
  <c r="G60" i="4"/>
  <c r="I60" i="4"/>
  <c r="H60" i="4"/>
  <c r="J60" i="4"/>
  <c r="I45" i="4"/>
  <c r="G45" i="4"/>
  <c r="H45" i="4"/>
  <c r="J45" i="4"/>
  <c r="I53" i="4"/>
  <c r="G53" i="4"/>
  <c r="H53" i="4"/>
  <c r="J53" i="4"/>
  <c r="G42" i="4"/>
  <c r="I42" i="4"/>
  <c r="J42" i="4"/>
  <c r="H42" i="4"/>
  <c r="G46" i="4"/>
  <c r="I46" i="4"/>
  <c r="J46" i="4"/>
  <c r="H46" i="4"/>
  <c r="G50" i="4"/>
  <c r="I50" i="4"/>
  <c r="J50" i="4"/>
  <c r="H50" i="4"/>
  <c r="G54" i="4"/>
  <c r="I54" i="4"/>
  <c r="J54" i="4"/>
  <c r="H54" i="4"/>
  <c r="G58" i="4"/>
  <c r="I58" i="4"/>
  <c r="J58" i="4"/>
  <c r="H58" i="4"/>
  <c r="I47" i="4"/>
  <c r="G47" i="4"/>
  <c r="J47" i="4"/>
  <c r="H47" i="4"/>
  <c r="I55" i="4"/>
  <c r="G55" i="4"/>
  <c r="H55" i="4"/>
  <c r="J55" i="4"/>
  <c r="I61" i="4"/>
  <c r="G61" i="4"/>
  <c r="H61" i="4"/>
  <c r="J61" i="4"/>
  <c r="I49" i="4"/>
  <c r="G49" i="4"/>
  <c r="H49" i="4"/>
  <c r="J49" i="4"/>
  <c r="I57" i="4"/>
  <c r="G57" i="4"/>
  <c r="H57" i="4"/>
  <c r="J57" i="4"/>
  <c r="E44" i="4"/>
  <c r="E42" i="4"/>
  <c r="E48" i="4"/>
  <c r="E43" i="4"/>
  <c r="E46" i="4"/>
  <c r="E45" i="4"/>
  <c r="E47" i="4"/>
  <c r="E52" i="4"/>
  <c r="E54" i="4"/>
  <c r="E58" i="4"/>
  <c r="E60" i="4"/>
  <c r="H62" i="4"/>
  <c r="E62" i="4"/>
  <c r="I62" i="4"/>
  <c r="J62" i="4"/>
  <c r="G62" i="4"/>
  <c r="J64" i="4"/>
  <c r="G64" i="4"/>
  <c r="H64" i="4"/>
  <c r="E64" i="4"/>
  <c r="I64" i="4"/>
  <c r="H68" i="4"/>
  <c r="E68" i="4"/>
  <c r="I68" i="4"/>
  <c r="J68" i="4"/>
  <c r="G68" i="4"/>
  <c r="H70" i="4"/>
  <c r="E70" i="4"/>
  <c r="I70" i="4"/>
  <c r="J70" i="4"/>
  <c r="G70" i="4"/>
  <c r="J72" i="4"/>
  <c r="G72" i="4"/>
  <c r="H72" i="4"/>
  <c r="I72" i="4"/>
  <c r="E72" i="4"/>
  <c r="E74" i="4"/>
  <c r="I74" i="4"/>
  <c r="J74" i="4"/>
  <c r="G74" i="4"/>
  <c r="H74" i="4"/>
  <c r="E76" i="4"/>
  <c r="I76" i="4"/>
  <c r="J76" i="4"/>
  <c r="G76" i="4"/>
  <c r="H76" i="4"/>
  <c r="J78" i="4"/>
  <c r="G78" i="4"/>
  <c r="H78" i="4"/>
  <c r="E78" i="4"/>
  <c r="I78" i="4"/>
  <c r="G80" i="4"/>
  <c r="H80" i="4"/>
  <c r="E80" i="4"/>
  <c r="I80" i="4"/>
  <c r="J80" i="4"/>
  <c r="J82" i="4"/>
  <c r="G82" i="4"/>
  <c r="H82" i="4"/>
  <c r="E82" i="4"/>
  <c r="I82" i="4"/>
  <c r="E84" i="4"/>
  <c r="I84" i="4"/>
  <c r="J84" i="4"/>
  <c r="G84" i="4"/>
  <c r="H84" i="4"/>
  <c r="H86" i="4"/>
  <c r="E86" i="4"/>
  <c r="I86" i="4"/>
  <c r="J86" i="4"/>
  <c r="G86" i="4"/>
  <c r="H88" i="4"/>
  <c r="E88" i="4"/>
  <c r="I88" i="4"/>
  <c r="J88" i="4"/>
  <c r="G88" i="4"/>
  <c r="G90" i="4"/>
  <c r="H90" i="4"/>
  <c r="E90" i="4"/>
  <c r="I90" i="4"/>
  <c r="J90" i="4"/>
  <c r="G92" i="4"/>
  <c r="H92" i="4"/>
  <c r="E92" i="4"/>
  <c r="I92" i="4"/>
  <c r="J92" i="4"/>
  <c r="E94" i="4"/>
  <c r="I94" i="4"/>
  <c r="J94" i="4"/>
  <c r="G94" i="4"/>
  <c r="H94" i="4"/>
  <c r="J96" i="4"/>
  <c r="G96" i="4"/>
  <c r="H96" i="4"/>
  <c r="I96" i="4"/>
  <c r="E96" i="4"/>
  <c r="J98" i="4"/>
  <c r="G98" i="4"/>
  <c r="H98" i="4"/>
  <c r="E98" i="4"/>
  <c r="I98" i="4"/>
  <c r="E100" i="4"/>
  <c r="I100" i="4"/>
  <c r="J100" i="4"/>
  <c r="G100" i="4"/>
  <c r="H100" i="4"/>
  <c r="H102" i="4"/>
  <c r="E102" i="4"/>
  <c r="I102" i="4"/>
  <c r="J102" i="4"/>
  <c r="G102" i="4"/>
  <c r="E104" i="4"/>
  <c r="I104" i="4"/>
  <c r="J104" i="4"/>
  <c r="G104" i="4"/>
  <c r="H104" i="4"/>
  <c r="E106" i="4"/>
  <c r="I106" i="4"/>
  <c r="J106" i="4"/>
  <c r="G106" i="4"/>
  <c r="H106" i="4"/>
  <c r="E50" i="4"/>
  <c r="E56" i="4"/>
  <c r="J66" i="4"/>
  <c r="G66" i="4"/>
  <c r="H66" i="4"/>
  <c r="E66" i="4"/>
  <c r="I66" i="4"/>
  <c r="E51" i="4"/>
  <c r="E55" i="4"/>
  <c r="E59" i="4"/>
  <c r="J63" i="4"/>
  <c r="G63" i="4"/>
  <c r="H63" i="4"/>
  <c r="E63" i="4"/>
  <c r="I63" i="4"/>
  <c r="G65" i="4"/>
  <c r="H65" i="4"/>
  <c r="E65" i="4"/>
  <c r="I65" i="4"/>
  <c r="J65" i="4"/>
  <c r="H67" i="4"/>
  <c r="E67" i="4"/>
  <c r="I67" i="4"/>
  <c r="J67" i="4"/>
  <c r="G67" i="4"/>
  <c r="G71" i="4"/>
  <c r="H71" i="4"/>
  <c r="E71" i="4"/>
  <c r="I71" i="4"/>
  <c r="J71" i="4"/>
  <c r="E73" i="4"/>
  <c r="I73" i="4"/>
  <c r="J73" i="4"/>
  <c r="G73" i="4"/>
  <c r="H73" i="4"/>
  <c r="G75" i="4"/>
  <c r="H75" i="4"/>
  <c r="E75" i="4"/>
  <c r="I75" i="4"/>
  <c r="J75" i="4"/>
  <c r="E77" i="4"/>
  <c r="I77" i="4"/>
  <c r="J77" i="4"/>
  <c r="G77" i="4"/>
  <c r="H77" i="4"/>
  <c r="H79" i="4"/>
  <c r="E79" i="4"/>
  <c r="I79" i="4"/>
  <c r="J79" i="4"/>
  <c r="G79" i="4"/>
  <c r="J81" i="4"/>
  <c r="G81" i="4"/>
  <c r="H81" i="4"/>
  <c r="I81" i="4"/>
  <c r="E81" i="4"/>
  <c r="E83" i="4"/>
  <c r="G83" i="4"/>
  <c r="H83" i="4"/>
  <c r="I83" i="4"/>
  <c r="J83" i="4"/>
  <c r="H85" i="4"/>
  <c r="E85" i="4"/>
  <c r="I85" i="4"/>
  <c r="J85" i="4"/>
  <c r="G85" i="4"/>
  <c r="J87" i="4"/>
  <c r="G87" i="4"/>
  <c r="H87" i="4"/>
  <c r="E87" i="4"/>
  <c r="I87" i="4"/>
  <c r="G89" i="4"/>
  <c r="H89" i="4"/>
  <c r="E89" i="4"/>
  <c r="I89" i="4"/>
  <c r="J89" i="4"/>
  <c r="H91" i="4"/>
  <c r="E91" i="4"/>
  <c r="I91" i="4"/>
  <c r="J91" i="4"/>
  <c r="G91" i="4"/>
  <c r="E93" i="4"/>
  <c r="I93" i="4"/>
  <c r="J93" i="4"/>
  <c r="G93" i="4"/>
  <c r="H93" i="4"/>
  <c r="J95" i="4"/>
  <c r="G95" i="4"/>
  <c r="H95" i="4"/>
  <c r="E95" i="4"/>
  <c r="I95" i="4"/>
  <c r="E97" i="4"/>
  <c r="I97" i="4"/>
  <c r="J97" i="4"/>
  <c r="G97" i="4"/>
  <c r="H97" i="4"/>
  <c r="H99" i="4"/>
  <c r="E99" i="4"/>
  <c r="I99" i="4"/>
  <c r="J99" i="4"/>
  <c r="G99" i="4"/>
  <c r="E101" i="4"/>
  <c r="I101" i="4"/>
  <c r="J101" i="4"/>
  <c r="G101" i="4"/>
  <c r="H101" i="4"/>
  <c r="G103" i="4"/>
  <c r="H103" i="4"/>
  <c r="E103" i="4"/>
  <c r="I103" i="4"/>
  <c r="J103" i="4"/>
  <c r="J105" i="4"/>
  <c r="G105" i="4"/>
  <c r="H105" i="4"/>
  <c r="E105" i="4"/>
  <c r="I105" i="4"/>
  <c r="E49" i="4"/>
  <c r="E53" i="4"/>
  <c r="E57" i="4"/>
  <c r="E61" i="4"/>
  <c r="H69" i="4"/>
  <c r="E69" i="4"/>
  <c r="I69" i="4"/>
  <c r="J69" i="4"/>
  <c r="G69" i="4"/>
  <c r="B9" i="8"/>
  <c r="B9" i="32"/>
  <c r="B10" i="32"/>
  <c r="B10" i="8"/>
  <c r="L10" i="7"/>
  <c r="AG26" i="2"/>
  <c r="AG27" i="2" s="1"/>
  <c r="AG28" i="2" s="1"/>
  <c r="AG29" i="2" s="1"/>
  <c r="AG30" i="2" s="1"/>
  <c r="AG31" i="2" s="1"/>
  <c r="AG32" i="2" s="1"/>
  <c r="AH10" i="2"/>
  <c r="AH11" i="2" s="1"/>
  <c r="AH12" i="2" s="1"/>
  <c r="AH13" i="2" s="1"/>
  <c r="AH14" i="2" s="1"/>
  <c r="AH15" i="2" s="1"/>
  <c r="AH16" i="2" s="1"/>
  <c r="AH17" i="2" s="1"/>
  <c r="AH18" i="2" s="1"/>
  <c r="AH19" i="2" s="1"/>
  <c r="AH20" i="2" s="1"/>
  <c r="AH21" i="2" s="1"/>
  <c r="AH22" i="2" s="1"/>
  <c r="AH23" i="2" s="1"/>
  <c r="AH24" i="2" s="1"/>
  <c r="AH25" i="2" s="1"/>
  <c r="AH26" i="2" s="1"/>
  <c r="AH27" i="2" s="1"/>
  <c r="AH28" i="2" s="1"/>
  <c r="AH29" i="2" s="1"/>
  <c r="AH30" i="2" s="1"/>
  <c r="AH31" i="2" s="1"/>
  <c r="AH32" i="2" s="1"/>
  <c r="AH33" i="2" s="1"/>
  <c r="AH34" i="2" s="1"/>
  <c r="AH35" i="2" s="1"/>
  <c r="I12" i="35"/>
  <c r="M12" i="34"/>
  <c r="Z59" i="4"/>
  <c r="AC67" i="4"/>
  <c r="X77" i="4"/>
  <c r="Z87" i="4"/>
  <c r="Z78" i="4"/>
  <c r="AB88" i="4"/>
  <c r="AC90" i="4"/>
  <c r="W92" i="4"/>
  <c r="W65" i="4"/>
  <c r="V69" i="4"/>
  <c r="AB79" i="4"/>
  <c r="AB83" i="4"/>
  <c r="R91" i="4"/>
  <c r="R97" i="4"/>
  <c r="Z103" i="4"/>
  <c r="AA73" i="4"/>
  <c r="S52" i="4"/>
  <c r="AB56" i="4"/>
  <c r="AA58" i="4"/>
  <c r="T64" i="4"/>
  <c r="AB68" i="4"/>
  <c r="V55" i="4"/>
  <c r="AA78" i="4"/>
  <c r="W60" i="4"/>
  <c r="R49" i="4"/>
  <c r="S61" i="4"/>
  <c r="Z71" i="4"/>
  <c r="V103" i="4"/>
  <c r="W32" i="4"/>
  <c r="R43" i="4"/>
  <c r="R57" i="4"/>
  <c r="U62" i="4"/>
  <c r="AC72" i="4"/>
  <c r="AA32" i="4"/>
  <c r="AA45" i="4"/>
  <c r="AB51" i="4"/>
  <c r="T56" i="4"/>
  <c r="AA60" i="4"/>
  <c r="Y66" i="4"/>
  <c r="S72" i="4"/>
  <c r="AB76" i="4"/>
  <c r="AC80" i="4"/>
  <c r="U82" i="4"/>
  <c r="R86" i="4"/>
  <c r="V101" i="4"/>
  <c r="AC59" i="4"/>
  <c r="S32" i="4"/>
  <c r="AB32" i="4"/>
  <c r="S60" i="4"/>
  <c r="AB60" i="4"/>
  <c r="R69" i="4"/>
  <c r="X72" i="4"/>
  <c r="AC76" i="4"/>
  <c r="U80" i="4"/>
  <c r="V82" i="4"/>
  <c r="U92" i="4"/>
  <c r="U76" i="4"/>
  <c r="AB80" i="4"/>
  <c r="S82" i="4"/>
  <c r="AB31" i="4"/>
  <c r="U32" i="4"/>
  <c r="AC32" i="4"/>
  <c r="U60" i="4"/>
  <c r="AC60" i="4"/>
  <c r="V67" i="4"/>
  <c r="Y71" i="4"/>
  <c r="AA72" i="4"/>
  <c r="X80" i="4"/>
  <c r="C77" i="4"/>
  <c r="C78" i="4"/>
  <c r="C79" i="4"/>
  <c r="C80" i="4"/>
  <c r="C82" i="4"/>
  <c r="C93" i="4"/>
  <c r="C37" i="4"/>
  <c r="C38" i="4"/>
  <c r="C39" i="4"/>
  <c r="C40" i="4"/>
  <c r="C64" i="4"/>
  <c r="C66" i="4"/>
  <c r="C94" i="4"/>
  <c r="C97" i="4"/>
  <c r="C41" i="4"/>
  <c r="C43" i="4"/>
  <c r="C45" i="4"/>
  <c r="C47" i="4"/>
  <c r="C51" i="4"/>
  <c r="C83" i="4"/>
  <c r="C99" i="4"/>
  <c r="Y88" i="4"/>
  <c r="S93" i="4"/>
  <c r="V94" i="4"/>
  <c r="AC96" i="4"/>
  <c r="S96" i="4"/>
  <c r="T96" i="4"/>
  <c r="C96" i="4"/>
  <c r="X81" i="4"/>
  <c r="C42" i="4"/>
  <c r="C49" i="4"/>
  <c r="C52" i="4"/>
  <c r="C100" i="4"/>
  <c r="Z55" i="4"/>
  <c r="AB55" i="4"/>
  <c r="C8" i="4"/>
  <c r="C10" i="4"/>
  <c r="C12" i="4"/>
  <c r="C14" i="4"/>
  <c r="C16" i="4"/>
  <c r="C18" i="4"/>
  <c r="C19" i="4"/>
  <c r="C54" i="4"/>
  <c r="C58" i="4"/>
  <c r="C60" i="4"/>
  <c r="C70" i="4"/>
  <c r="C72" i="4"/>
  <c r="C74" i="4"/>
  <c r="C86" i="4"/>
  <c r="C88" i="4"/>
  <c r="C90" i="4"/>
  <c r="C103" i="4"/>
  <c r="C105" i="4"/>
  <c r="C106" i="4"/>
  <c r="T45" i="4"/>
  <c r="U48" i="4"/>
  <c r="AA50" i="4"/>
  <c r="R53" i="4"/>
  <c r="T55" i="4"/>
  <c r="Z61" i="4"/>
  <c r="AA61" i="4"/>
  <c r="V62" i="4"/>
  <c r="AA76" i="4"/>
  <c r="S76" i="4"/>
  <c r="W76" i="4"/>
  <c r="T87" i="4"/>
  <c r="T91" i="4"/>
  <c r="AB92" i="4"/>
  <c r="T92" i="4"/>
  <c r="AA92" i="4"/>
  <c r="V93" i="4"/>
  <c r="Z94" i="4"/>
  <c r="Y96" i="4"/>
  <c r="Y104" i="4"/>
  <c r="C95" i="4"/>
  <c r="C98" i="4"/>
  <c r="U88" i="4"/>
  <c r="V99" i="4"/>
  <c r="Z99" i="4"/>
  <c r="AB100" i="4"/>
  <c r="AA100" i="4"/>
  <c r="Z105" i="4"/>
  <c r="C44" i="4"/>
  <c r="C46" i="4"/>
  <c r="C48" i="4"/>
  <c r="C50" i="4"/>
  <c r="C68" i="4"/>
  <c r="C84" i="4"/>
  <c r="Y50" i="4"/>
  <c r="R81" i="4"/>
  <c r="C7" i="4"/>
  <c r="C9" i="4"/>
  <c r="C11" i="4"/>
  <c r="C13" i="4"/>
  <c r="C15" i="4"/>
  <c r="C17" i="4"/>
  <c r="C20" i="4"/>
  <c r="C53" i="4"/>
  <c r="C55" i="4"/>
  <c r="C56" i="4"/>
  <c r="C69" i="4"/>
  <c r="C71" i="4"/>
  <c r="C73" i="4"/>
  <c r="C85" i="4"/>
  <c r="C87" i="4"/>
  <c r="C89" i="4"/>
  <c r="C101" i="4"/>
  <c r="D101" i="4" s="1"/>
  <c r="C102" i="4"/>
  <c r="C104" i="4"/>
  <c r="C21" i="4"/>
  <c r="C22" i="4"/>
  <c r="C23" i="4"/>
  <c r="C24" i="4"/>
  <c r="C25" i="4"/>
  <c r="C26" i="4"/>
  <c r="C27" i="4"/>
  <c r="C28" i="4"/>
  <c r="C29" i="4"/>
  <c r="C30" i="4"/>
  <c r="C31" i="4"/>
  <c r="C32" i="4"/>
  <c r="C33" i="4"/>
  <c r="C34" i="4"/>
  <c r="C35" i="4"/>
  <c r="C36" i="4"/>
  <c r="C62" i="4"/>
  <c r="C75" i="4"/>
  <c r="C76" i="4"/>
  <c r="C91" i="4"/>
  <c r="C92" i="4"/>
  <c r="X32" i="4"/>
  <c r="V45" i="4"/>
  <c r="AA48" i="4"/>
  <c r="X53" i="4"/>
  <c r="W54" i="4"/>
  <c r="U55" i="4"/>
  <c r="AA62" i="4"/>
  <c r="AA64" i="4"/>
  <c r="AB65" i="4"/>
  <c r="T68" i="4"/>
  <c r="AB72" i="4"/>
  <c r="U72" i="4"/>
  <c r="W72" i="4"/>
  <c r="U75" i="4"/>
  <c r="X76" i="4"/>
  <c r="U78" i="4"/>
  <c r="AA80" i="4"/>
  <c r="S80" i="4"/>
  <c r="W80" i="4"/>
  <c r="Z82" i="4"/>
  <c r="AA82" i="4"/>
  <c r="Y87" i="4"/>
  <c r="AB96" i="4"/>
  <c r="X97" i="4"/>
  <c r="Y98" i="4"/>
  <c r="T100" i="4"/>
  <c r="V105" i="4"/>
  <c r="V57" i="4"/>
  <c r="X60" i="4"/>
  <c r="BG64" i="3"/>
  <c r="BH64" i="3" s="1"/>
  <c r="BG94" i="3"/>
  <c r="BH94" i="3" s="1"/>
  <c r="BH68" i="3"/>
  <c r="T44" i="4"/>
  <c r="V46" i="4"/>
  <c r="BG78" i="3"/>
  <c r="BH78" i="3" s="1"/>
  <c r="BG56" i="3"/>
  <c r="BH56" i="3" s="1"/>
  <c r="BG57" i="3"/>
  <c r="BH57" i="3" s="1"/>
  <c r="BG70" i="3"/>
  <c r="BH70" i="3" s="1"/>
  <c r="BG86" i="3"/>
  <c r="BH86" i="3" s="1"/>
  <c r="BG102" i="3"/>
  <c r="BH102" i="3" s="1"/>
  <c r="AB44" i="4"/>
  <c r="W44" i="4"/>
  <c r="AA44" i="4"/>
  <c r="U44" i="4"/>
  <c r="AC44" i="4"/>
  <c r="X44" i="4"/>
  <c r="S44" i="4"/>
  <c r="Y44" i="4"/>
  <c r="AA46" i="4"/>
  <c r="Z46" i="4"/>
  <c r="U46" i="4"/>
  <c r="V47" i="4"/>
  <c r="R47" i="4"/>
  <c r="AB47" i="4"/>
  <c r="AB52" i="4"/>
  <c r="W52" i="4"/>
  <c r="AC52" i="4"/>
  <c r="U52" i="4"/>
  <c r="Y52" i="4"/>
  <c r="AA52" i="4"/>
  <c r="T52" i="4"/>
  <c r="X52" i="4"/>
  <c r="BH76" i="3"/>
  <c r="BH84" i="3"/>
  <c r="BH92" i="3"/>
  <c r="BH100" i="3"/>
  <c r="T48" i="4"/>
  <c r="Y48" i="4"/>
  <c r="V51" i="4"/>
  <c r="U51" i="4"/>
  <c r="AA56" i="4"/>
  <c r="U56" i="4"/>
  <c r="S56" i="4"/>
  <c r="Y56" i="4"/>
  <c r="V58" i="4"/>
  <c r="S58" i="4"/>
  <c r="AB64" i="4"/>
  <c r="W64" i="4"/>
  <c r="S64" i="4"/>
  <c r="Y64" i="4"/>
  <c r="V66" i="4"/>
  <c r="U66" i="4"/>
  <c r="AA68" i="4"/>
  <c r="U68" i="4"/>
  <c r="S68" i="4"/>
  <c r="Y68" i="4"/>
  <c r="Z70" i="4"/>
  <c r="V73" i="4"/>
  <c r="T73" i="4"/>
  <c r="AC74" i="4"/>
  <c r="V77" i="4"/>
  <c r="AA77" i="4"/>
  <c r="T77" i="4"/>
  <c r="S77" i="4"/>
  <c r="V85" i="4"/>
  <c r="AA89" i="4"/>
  <c r="Z89" i="4"/>
  <c r="T89" i="4"/>
  <c r="R95" i="4"/>
  <c r="AB95" i="4"/>
  <c r="AC104" i="4"/>
  <c r="X104" i="4"/>
  <c r="S104" i="4"/>
  <c r="W104" i="4"/>
  <c r="AB104" i="4"/>
  <c r="T104" i="4"/>
  <c r="AA104" i="4"/>
  <c r="U104" i="4"/>
  <c r="AA84" i="4"/>
  <c r="U84" i="4"/>
  <c r="AC84" i="4"/>
  <c r="W84" i="4"/>
  <c r="AB84" i="4"/>
  <c r="T84" i="4"/>
  <c r="AC70" i="4"/>
  <c r="AA85" i="4"/>
  <c r="AB85" i="4"/>
  <c r="S102" i="4"/>
  <c r="Y31" i="4"/>
  <c r="T32" i="4"/>
  <c r="Y32" i="4"/>
  <c r="AC43" i="4"/>
  <c r="X45" i="4"/>
  <c r="W48" i="4"/>
  <c r="AB48" i="4"/>
  <c r="AB49" i="4"/>
  <c r="U50" i="4"/>
  <c r="AC51" i="4"/>
  <c r="W56" i="4"/>
  <c r="AC56" i="4"/>
  <c r="Z57" i="4"/>
  <c r="AC58" i="4"/>
  <c r="T59" i="4"/>
  <c r="U59" i="4"/>
  <c r="T61" i="4"/>
  <c r="U64" i="4"/>
  <c r="AC64" i="4"/>
  <c r="Z66" i="4"/>
  <c r="W68" i="4"/>
  <c r="AC68" i="4"/>
  <c r="X69" i="4"/>
  <c r="S70" i="4"/>
  <c r="T71" i="4"/>
  <c r="AB71" i="4"/>
  <c r="AB73" i="4"/>
  <c r="AC75" i="4"/>
  <c r="Z77" i="4"/>
  <c r="X84" i="4"/>
  <c r="V89" i="4"/>
  <c r="AA93" i="4"/>
  <c r="T93" i="4"/>
  <c r="Z93" i="4"/>
  <c r="X93" i="4"/>
  <c r="AC95" i="4"/>
  <c r="Y70" i="4"/>
  <c r="R70" i="4"/>
  <c r="S84" i="4"/>
  <c r="V90" i="4"/>
  <c r="R90" i="4"/>
  <c r="BG58" i="3"/>
  <c r="BH58" i="3" s="1"/>
  <c r="BH60" i="3"/>
  <c r="BH65" i="3"/>
  <c r="BH66" i="3"/>
  <c r="BG72" i="3"/>
  <c r="BH72" i="3" s="1"/>
  <c r="BH74" i="3"/>
  <c r="BG80" i="3"/>
  <c r="BH80" i="3" s="1"/>
  <c r="BH82" i="3"/>
  <c r="BG88" i="3"/>
  <c r="BH88" i="3" s="1"/>
  <c r="BH90" i="3"/>
  <c r="BG96" i="3"/>
  <c r="BH96" i="3" s="1"/>
  <c r="BH98" i="3"/>
  <c r="BG104" i="3"/>
  <c r="BH104" i="3" s="1"/>
  <c r="BH106" i="3"/>
  <c r="V42" i="4"/>
  <c r="S45" i="4"/>
  <c r="Z45" i="4"/>
  <c r="S48" i="4"/>
  <c r="X48" i="4"/>
  <c r="AC48" i="4"/>
  <c r="Z50" i="4"/>
  <c r="S50" i="4"/>
  <c r="V50" i="4"/>
  <c r="X56" i="4"/>
  <c r="AB57" i="4"/>
  <c r="T57" i="4"/>
  <c r="AA57" i="4"/>
  <c r="V61" i="4"/>
  <c r="X61" i="4"/>
  <c r="X64" i="4"/>
  <c r="S66" i="4"/>
  <c r="AA66" i="4"/>
  <c r="X68" i="4"/>
  <c r="AB69" i="4"/>
  <c r="S69" i="4"/>
  <c r="AA69" i="4"/>
  <c r="U70" i="4"/>
  <c r="V71" i="4"/>
  <c r="U71" i="4"/>
  <c r="V74" i="4"/>
  <c r="S81" i="4"/>
  <c r="AB81" i="4"/>
  <c r="Z83" i="4"/>
  <c r="V83" i="4"/>
  <c r="U83" i="4"/>
  <c r="Y84" i="4"/>
  <c r="R85" i="4"/>
  <c r="AA98" i="4"/>
  <c r="U98" i="4"/>
  <c r="Z98" i="4"/>
  <c r="V98" i="4"/>
  <c r="S98" i="4"/>
  <c r="Y86" i="4"/>
  <c r="S86" i="4"/>
  <c r="AC100" i="4"/>
  <c r="X100" i="4"/>
  <c r="S100" i="4"/>
  <c r="W100" i="4"/>
  <c r="U100" i="4"/>
  <c r="AB103" i="4"/>
  <c r="U103" i="4"/>
  <c r="Y103" i="4"/>
  <c r="Y55" i="4"/>
  <c r="T60" i="4"/>
  <c r="Y60" i="4"/>
  <c r="AC62" i="4"/>
  <c r="T72" i="4"/>
  <c r="Y72" i="4"/>
  <c r="T76" i="4"/>
  <c r="Y76" i="4"/>
  <c r="V78" i="4"/>
  <c r="T80" i="4"/>
  <c r="Y80" i="4"/>
  <c r="AC86" i="4"/>
  <c r="AB87" i="4"/>
  <c r="U87" i="4"/>
  <c r="V87" i="4"/>
  <c r="AC88" i="4"/>
  <c r="X88" i="4"/>
  <c r="S88" i="4"/>
  <c r="AA88" i="4"/>
  <c r="T88" i="4"/>
  <c r="W88" i="4"/>
  <c r="AA96" i="4"/>
  <c r="U96" i="4"/>
  <c r="X96" i="4"/>
  <c r="W96" i="4"/>
  <c r="Y100" i="4"/>
  <c r="T103" i="4"/>
  <c r="V106" i="4"/>
  <c r="Y82" i="4"/>
  <c r="AC91" i="4"/>
  <c r="AC92" i="4"/>
  <c r="X92" i="4"/>
  <c r="S92" i="4"/>
  <c r="Y92" i="4"/>
  <c r="U94" i="4"/>
  <c r="AA94" i="4"/>
  <c r="AB97" i="4"/>
  <c r="S97" i="4"/>
  <c r="U99" i="4"/>
  <c r="AB99" i="4"/>
  <c r="AA105" i="4"/>
  <c r="T105" i="4"/>
  <c r="AG33" i="2"/>
  <c r="AG34" i="2" s="1"/>
  <c r="AG35" i="2" s="1"/>
  <c r="C61" i="4"/>
  <c r="BG11" i="3"/>
  <c r="BH11" i="3" s="1"/>
  <c r="BG15" i="3"/>
  <c r="BH15" i="3" s="1"/>
  <c r="BG23" i="3"/>
  <c r="BH23" i="3" s="1"/>
  <c r="BG27" i="3"/>
  <c r="BH27" i="3" s="1"/>
  <c r="BG31" i="3"/>
  <c r="BH31" i="3" s="1"/>
  <c r="BG35" i="3"/>
  <c r="BH35" i="3" s="1"/>
  <c r="BG39" i="3"/>
  <c r="BH39" i="3" s="1"/>
  <c r="BG43" i="3"/>
  <c r="BH43" i="3" s="1"/>
  <c r="BG47" i="3"/>
  <c r="BH47" i="3" s="1"/>
  <c r="BG51" i="3"/>
  <c r="BH51" i="3" s="1"/>
  <c r="BH55" i="3"/>
  <c r="C59" i="4"/>
  <c r="BH63" i="3"/>
  <c r="C67" i="4"/>
  <c r="BG69" i="3"/>
  <c r="BH69" i="3" s="1"/>
  <c r="BG7" i="3"/>
  <c r="BH7" i="3" s="1"/>
  <c r="BG10" i="3"/>
  <c r="BH10" i="3" s="1"/>
  <c r="BG14" i="3"/>
  <c r="BH14" i="3" s="1"/>
  <c r="BG18" i="3"/>
  <c r="BH18" i="3" s="1"/>
  <c r="BH19" i="3"/>
  <c r="BG22" i="3"/>
  <c r="BH22" i="3" s="1"/>
  <c r="BG26" i="3"/>
  <c r="BH26" i="3" s="1"/>
  <c r="BG30" i="3"/>
  <c r="BH30" i="3" s="1"/>
  <c r="BG34" i="3"/>
  <c r="BH34" i="3" s="1"/>
  <c r="BG38" i="3"/>
  <c r="BH38" i="3" s="1"/>
  <c r="BG42" i="3"/>
  <c r="BH42" i="3" s="1"/>
  <c r="BG46" i="3"/>
  <c r="BH46" i="3" s="1"/>
  <c r="BG50" i="3"/>
  <c r="BH50" i="3" s="1"/>
  <c r="BG54" i="3"/>
  <c r="BH54" i="3" s="1"/>
  <c r="C57" i="4"/>
  <c r="BH61" i="3"/>
  <c r="C65" i="4"/>
  <c r="BH59" i="3"/>
  <c r="BH62" i="3"/>
  <c r="C63" i="4"/>
  <c r="BH73" i="3"/>
  <c r="BH77" i="3"/>
  <c r="BH81" i="3"/>
  <c r="BH85" i="3"/>
  <c r="BH89" i="3"/>
  <c r="BH93" i="3"/>
  <c r="BH97" i="3"/>
  <c r="BH101" i="3"/>
  <c r="BH105" i="3"/>
  <c r="L9" i="7"/>
  <c r="H9" i="6"/>
  <c r="AC33" i="4"/>
  <c r="Y33" i="4"/>
  <c r="U33" i="4"/>
  <c r="R33" i="4"/>
  <c r="W33" i="4"/>
  <c r="AB33" i="4"/>
  <c r="AA63" i="4"/>
  <c r="W63" i="4"/>
  <c r="S63" i="4"/>
  <c r="Z63" i="4"/>
  <c r="U63" i="4"/>
  <c r="Y63" i="4"/>
  <c r="R63" i="4"/>
  <c r="AB63" i="4"/>
  <c r="T63" i="4"/>
  <c r="C81" i="4"/>
  <c r="BG79" i="3"/>
  <c r="BH79" i="3" s="1"/>
  <c r="BG95" i="3"/>
  <c r="BH95" i="3" s="1"/>
  <c r="BG99" i="3"/>
  <c r="BH99" i="3" s="1"/>
  <c r="BG103" i="3"/>
  <c r="BH103" i="3" s="1"/>
  <c r="H5" i="4"/>
  <c r="I5" i="4" s="1"/>
  <c r="J5" i="4" s="1"/>
  <c r="K5" i="4" s="1"/>
  <c r="L5" i="4" s="1"/>
  <c r="M5" i="4" s="1"/>
  <c r="N5" i="4" s="1"/>
  <c r="O5" i="4" s="1"/>
  <c r="AA31" i="4"/>
  <c r="W31" i="4"/>
  <c r="S31" i="4"/>
  <c r="X31" i="4"/>
  <c r="AC31" i="4"/>
  <c r="S33" i="4"/>
  <c r="X33" i="4"/>
  <c r="Y42" i="4"/>
  <c r="T43" i="4"/>
  <c r="AC47" i="4"/>
  <c r="S49" i="4"/>
  <c r="AC53" i="4"/>
  <c r="Y53" i="4"/>
  <c r="U53" i="4"/>
  <c r="Z53" i="4"/>
  <c r="T53" i="4"/>
  <c r="AA53" i="4"/>
  <c r="S53" i="4"/>
  <c r="AB53" i="4"/>
  <c r="V53" i="4"/>
  <c r="Y54" i="4"/>
  <c r="V63" i="4"/>
  <c r="AA67" i="4"/>
  <c r="W67" i="4"/>
  <c r="S67" i="4"/>
  <c r="Y67" i="4"/>
  <c r="T67" i="4"/>
  <c r="Z67" i="4"/>
  <c r="R67" i="4"/>
  <c r="AB67" i="4"/>
  <c r="U67" i="4"/>
  <c r="AB74" i="4"/>
  <c r="X74" i="4"/>
  <c r="T74" i="4"/>
  <c r="Z74" i="4"/>
  <c r="U74" i="4"/>
  <c r="Y74" i="4"/>
  <c r="R74" i="4"/>
  <c r="AA74" i="4"/>
  <c r="S74" i="4"/>
  <c r="AA75" i="4"/>
  <c r="W75" i="4"/>
  <c r="S75" i="4"/>
  <c r="AB75" i="4"/>
  <c r="V75" i="4"/>
  <c r="Y75" i="4"/>
  <c r="R75" i="4"/>
  <c r="D75" i="4"/>
  <c r="Z75" i="4"/>
  <c r="T75" i="4"/>
  <c r="AC101" i="4"/>
  <c r="Y101" i="4"/>
  <c r="U101" i="4"/>
  <c r="Z101" i="4"/>
  <c r="T101" i="4"/>
  <c r="X101" i="4"/>
  <c r="S101" i="4"/>
  <c r="AA101" i="4"/>
  <c r="AB101" i="4"/>
  <c r="R101" i="4"/>
  <c r="W101" i="4"/>
  <c r="AB102" i="4"/>
  <c r="X102" i="4"/>
  <c r="T102" i="4"/>
  <c r="AA102" i="4"/>
  <c r="V102" i="4"/>
  <c r="Z102" i="4"/>
  <c r="U102" i="4"/>
  <c r="Y102" i="4"/>
  <c r="AC102" i="4"/>
  <c r="R102" i="4"/>
  <c r="W102" i="4"/>
  <c r="T33" i="4"/>
  <c r="Z33" i="4"/>
  <c r="AA42" i="4"/>
  <c r="W42" i="4"/>
  <c r="S42" i="4"/>
  <c r="AB42" i="4"/>
  <c r="X42" i="4"/>
  <c r="T42" i="4"/>
  <c r="R42" i="4"/>
  <c r="Z42" i="4"/>
  <c r="AA43" i="4"/>
  <c r="W43" i="4"/>
  <c r="S43" i="4"/>
  <c r="Z43" i="4"/>
  <c r="U43" i="4"/>
  <c r="AB43" i="4"/>
  <c r="V43" i="4"/>
  <c r="X43" i="4"/>
  <c r="AC49" i="4"/>
  <c r="Y49" i="4"/>
  <c r="U49" i="4"/>
  <c r="Z49" i="4"/>
  <c r="T49" i="4"/>
  <c r="AA49" i="4"/>
  <c r="V49" i="4"/>
  <c r="W49" i="4"/>
  <c r="AB54" i="4"/>
  <c r="X54" i="4"/>
  <c r="T54" i="4"/>
  <c r="AA54" i="4"/>
  <c r="V54" i="4"/>
  <c r="Z54" i="4"/>
  <c r="S54" i="4"/>
  <c r="AC54" i="4"/>
  <c r="U54" i="4"/>
  <c r="X63" i="4"/>
  <c r="AC65" i="4"/>
  <c r="Y65" i="4"/>
  <c r="U65" i="4"/>
  <c r="AA65" i="4"/>
  <c r="V65" i="4"/>
  <c r="X65" i="4"/>
  <c r="R65" i="4"/>
  <c r="Z65" i="4"/>
  <c r="S65" i="4"/>
  <c r="AB106" i="4"/>
  <c r="X106" i="4"/>
  <c r="T106" i="4"/>
  <c r="D106" i="4"/>
  <c r="Z106" i="4"/>
  <c r="U106" i="4"/>
  <c r="Y106" i="4"/>
  <c r="S106" i="4"/>
  <c r="AA106" i="4"/>
  <c r="AC106" i="4"/>
  <c r="R106" i="4"/>
  <c r="W106" i="4"/>
  <c r="U31" i="4"/>
  <c r="Z31" i="4"/>
  <c r="V33" i="4"/>
  <c r="AA33" i="4"/>
  <c r="U42" i="4"/>
  <c r="AC42" i="4"/>
  <c r="Y43" i="4"/>
  <c r="AA47" i="4"/>
  <c r="W47" i="4"/>
  <c r="S47" i="4"/>
  <c r="Y47" i="4"/>
  <c r="T47" i="4"/>
  <c r="Z47" i="4"/>
  <c r="U47" i="4"/>
  <c r="X47" i="4"/>
  <c r="X49" i="4"/>
  <c r="W53" i="4"/>
  <c r="R54" i="4"/>
  <c r="AC63" i="4"/>
  <c r="T65" i="4"/>
  <c r="X67" i="4"/>
  <c r="W74" i="4"/>
  <c r="X75" i="4"/>
  <c r="AA79" i="4"/>
  <c r="W79" i="4"/>
  <c r="S79" i="4"/>
  <c r="Z79" i="4"/>
  <c r="U79" i="4"/>
  <c r="Y79" i="4"/>
  <c r="T79" i="4"/>
  <c r="AC79" i="4"/>
  <c r="R79" i="4"/>
  <c r="V79" i="4"/>
  <c r="X79" i="4"/>
  <c r="R32" i="4"/>
  <c r="V32" i="4"/>
  <c r="Z32" i="4"/>
  <c r="AC45" i="4"/>
  <c r="Y45" i="4"/>
  <c r="U45" i="4"/>
  <c r="R45" i="4"/>
  <c r="W45" i="4"/>
  <c r="AB45" i="4"/>
  <c r="S46" i="4"/>
  <c r="Y46" i="4"/>
  <c r="AB50" i="4"/>
  <c r="X50" i="4"/>
  <c r="T50" i="4"/>
  <c r="R50" i="4"/>
  <c r="W50" i="4"/>
  <c r="AC50" i="4"/>
  <c r="R51" i="4"/>
  <c r="Z51" i="4"/>
  <c r="AC57" i="4"/>
  <c r="Y57" i="4"/>
  <c r="U57" i="4"/>
  <c r="X57" i="4"/>
  <c r="S57" i="4"/>
  <c r="W57" i="4"/>
  <c r="R58" i="4"/>
  <c r="Y58" i="4"/>
  <c r="R59" i="4"/>
  <c r="Y59" i="4"/>
  <c r="R62" i="4"/>
  <c r="Z62" i="4"/>
  <c r="AC69" i="4"/>
  <c r="Y69" i="4"/>
  <c r="U69" i="4"/>
  <c r="Z69" i="4"/>
  <c r="T69" i="4"/>
  <c r="W69" i="4"/>
  <c r="AB70" i="4"/>
  <c r="X70" i="4"/>
  <c r="T70" i="4"/>
  <c r="D70" i="4"/>
  <c r="AA70" i="4"/>
  <c r="V70" i="4"/>
  <c r="W70" i="4"/>
  <c r="D73" i="4"/>
  <c r="R73" i="4"/>
  <c r="Z73" i="4"/>
  <c r="AC81" i="4"/>
  <c r="Y81" i="4"/>
  <c r="U81" i="4"/>
  <c r="AA81" i="4"/>
  <c r="V81" i="4"/>
  <c r="Z81" i="4"/>
  <c r="T81" i="4"/>
  <c r="W81" i="4"/>
  <c r="AA90" i="4"/>
  <c r="Y91" i="4"/>
  <c r="AA95" i="4"/>
  <c r="W95" i="4"/>
  <c r="S95" i="4"/>
  <c r="Z95" i="4"/>
  <c r="U95" i="4"/>
  <c r="Y95" i="4"/>
  <c r="T95" i="4"/>
  <c r="X95" i="4"/>
  <c r="AB46" i="4"/>
  <c r="X46" i="4"/>
  <c r="T46" i="4"/>
  <c r="R46" i="4"/>
  <c r="W46" i="4"/>
  <c r="AC46" i="4"/>
  <c r="AA51" i="4"/>
  <c r="W51" i="4"/>
  <c r="S51" i="4"/>
  <c r="Y51" i="4"/>
  <c r="T51" i="4"/>
  <c r="X51" i="4"/>
  <c r="AB58" i="4"/>
  <c r="X58" i="4"/>
  <c r="T58" i="4"/>
  <c r="Z58" i="4"/>
  <c r="U58" i="4"/>
  <c r="W58" i="4"/>
  <c r="AA59" i="4"/>
  <c r="W59" i="4"/>
  <c r="S59" i="4"/>
  <c r="AB59" i="4"/>
  <c r="V59" i="4"/>
  <c r="X59" i="4"/>
  <c r="AB62" i="4"/>
  <c r="X62" i="4"/>
  <c r="T62" i="4"/>
  <c r="Y62" i="4"/>
  <c r="S62" i="4"/>
  <c r="W62" i="4"/>
  <c r="AC73" i="4"/>
  <c r="Y73" i="4"/>
  <c r="U73" i="4"/>
  <c r="X73" i="4"/>
  <c r="S73" i="4"/>
  <c r="W73" i="4"/>
  <c r="AC85" i="4"/>
  <c r="Y85" i="4"/>
  <c r="U85" i="4"/>
  <c r="Z85" i="4"/>
  <c r="T85" i="4"/>
  <c r="X85" i="4"/>
  <c r="S85" i="4"/>
  <c r="W85" i="4"/>
  <c r="AB86" i="4"/>
  <c r="X86" i="4"/>
  <c r="T86" i="4"/>
  <c r="AA86" i="4"/>
  <c r="V86" i="4"/>
  <c r="Z86" i="4"/>
  <c r="U86" i="4"/>
  <c r="W86" i="4"/>
  <c r="AB90" i="4"/>
  <c r="X90" i="4"/>
  <c r="T90" i="4"/>
  <c r="Z90" i="4"/>
  <c r="U90" i="4"/>
  <c r="Y90" i="4"/>
  <c r="S90" i="4"/>
  <c r="W90" i="4"/>
  <c r="AA91" i="4"/>
  <c r="W91" i="4"/>
  <c r="S91" i="4"/>
  <c r="AB91" i="4"/>
  <c r="V91" i="4"/>
  <c r="Z91" i="4"/>
  <c r="U91" i="4"/>
  <c r="X91" i="4"/>
  <c r="V95" i="4"/>
  <c r="AC97" i="4"/>
  <c r="Y97" i="4"/>
  <c r="U97" i="4"/>
  <c r="AA97" i="4"/>
  <c r="V97" i="4"/>
  <c r="Z97" i="4"/>
  <c r="T97" i="4"/>
  <c r="W97" i="4"/>
  <c r="AB78" i="4"/>
  <c r="X78" i="4"/>
  <c r="T78" i="4"/>
  <c r="R78" i="4"/>
  <c r="W78" i="4"/>
  <c r="AC78" i="4"/>
  <c r="AA83" i="4"/>
  <c r="W83" i="4"/>
  <c r="S83" i="4"/>
  <c r="R83" i="4"/>
  <c r="X83" i="4"/>
  <c r="AC83" i="4"/>
  <c r="AC89" i="4"/>
  <c r="Y89" i="4"/>
  <c r="U89" i="4"/>
  <c r="R89" i="4"/>
  <c r="W89" i="4"/>
  <c r="AB89" i="4"/>
  <c r="AB94" i="4"/>
  <c r="X94" i="4"/>
  <c r="T94" i="4"/>
  <c r="R94" i="4"/>
  <c r="W94" i="4"/>
  <c r="AC94" i="4"/>
  <c r="AA99" i="4"/>
  <c r="W99" i="4"/>
  <c r="S99" i="4"/>
  <c r="R99" i="4"/>
  <c r="X99" i="4"/>
  <c r="AC99" i="4"/>
  <c r="AC105" i="4"/>
  <c r="Y105" i="4"/>
  <c r="U105" i="4"/>
  <c r="R105" i="4"/>
  <c r="W105" i="4"/>
  <c r="AB105" i="4"/>
  <c r="AA55" i="4"/>
  <c r="W55" i="4"/>
  <c r="S55" i="4"/>
  <c r="R55" i="4"/>
  <c r="X55" i="4"/>
  <c r="AC55" i="4"/>
  <c r="AC61" i="4"/>
  <c r="Y61" i="4"/>
  <c r="U61" i="4"/>
  <c r="R61" i="4"/>
  <c r="W61" i="4"/>
  <c r="AB61" i="4"/>
  <c r="AB66" i="4"/>
  <c r="X66" i="4"/>
  <c r="T66" i="4"/>
  <c r="R66" i="4"/>
  <c r="W66" i="4"/>
  <c r="AC66" i="4"/>
  <c r="AA71" i="4"/>
  <c r="W71" i="4"/>
  <c r="S71" i="4"/>
  <c r="R71" i="4"/>
  <c r="X71" i="4"/>
  <c r="AC71" i="4"/>
  <c r="AC77" i="4"/>
  <c r="Y77" i="4"/>
  <c r="U77" i="4"/>
  <c r="R77" i="4"/>
  <c r="W77" i="4"/>
  <c r="AB77" i="4"/>
  <c r="S78" i="4"/>
  <c r="Y78" i="4"/>
  <c r="AB82" i="4"/>
  <c r="X82" i="4"/>
  <c r="T82" i="4"/>
  <c r="D82" i="4"/>
  <c r="R82" i="4"/>
  <c r="W82" i="4"/>
  <c r="AC82" i="4"/>
  <c r="T83" i="4"/>
  <c r="Y83" i="4"/>
  <c r="AA87" i="4"/>
  <c r="W87" i="4"/>
  <c r="S87" i="4"/>
  <c r="R87" i="4"/>
  <c r="X87" i="4"/>
  <c r="AC87" i="4"/>
  <c r="S89" i="4"/>
  <c r="X89" i="4"/>
  <c r="AC93" i="4"/>
  <c r="Y93" i="4"/>
  <c r="U93" i="4"/>
  <c r="R93" i="4"/>
  <c r="W93" i="4"/>
  <c r="AB93" i="4"/>
  <c r="S94" i="4"/>
  <c r="Y94" i="4"/>
  <c r="AB98" i="4"/>
  <c r="X98" i="4"/>
  <c r="T98" i="4"/>
  <c r="R98" i="4"/>
  <c r="W98" i="4"/>
  <c r="AC98" i="4"/>
  <c r="D99" i="4"/>
  <c r="T99" i="4"/>
  <c r="Y99" i="4"/>
  <c r="AA103" i="4"/>
  <c r="W103" i="4"/>
  <c r="S103" i="4"/>
  <c r="R103" i="4"/>
  <c r="X103" i="4"/>
  <c r="AC103" i="4"/>
  <c r="S105" i="4"/>
  <c r="X105" i="4"/>
  <c r="R44" i="4"/>
  <c r="V44" i="4"/>
  <c r="Z44" i="4"/>
  <c r="R48" i="4"/>
  <c r="V48" i="4"/>
  <c r="Z48" i="4"/>
  <c r="R52" i="4"/>
  <c r="V52" i="4"/>
  <c r="Z52" i="4"/>
  <c r="R56" i="4"/>
  <c r="V56" i="4"/>
  <c r="Z56" i="4"/>
  <c r="R60" i="4"/>
  <c r="V60" i="4"/>
  <c r="Z60" i="4"/>
  <c r="R64" i="4"/>
  <c r="V64" i="4"/>
  <c r="Z64" i="4"/>
  <c r="R68" i="4"/>
  <c r="V68" i="4"/>
  <c r="Z68" i="4"/>
  <c r="R72" i="4"/>
  <c r="V72" i="4"/>
  <c r="Z72" i="4"/>
  <c r="R76" i="4"/>
  <c r="V76" i="4"/>
  <c r="Z76" i="4"/>
  <c r="R80" i="4"/>
  <c r="V80" i="4"/>
  <c r="Z80" i="4"/>
  <c r="R84" i="4"/>
  <c r="V84" i="4"/>
  <c r="Z84" i="4"/>
  <c r="R88" i="4"/>
  <c r="V88" i="4"/>
  <c r="Z88" i="4"/>
  <c r="R92" i="4"/>
  <c r="V92" i="4"/>
  <c r="Z92" i="4"/>
  <c r="R96" i="4"/>
  <c r="V96" i="4"/>
  <c r="Z96" i="4"/>
  <c r="R100" i="4"/>
  <c r="V100" i="4"/>
  <c r="Z100" i="4"/>
  <c r="R104" i="4"/>
  <c r="V104" i="4"/>
  <c r="Z104" i="4"/>
  <c r="D63" i="4" l="1"/>
  <c r="AM63" i="4"/>
  <c r="AN63" i="4"/>
  <c r="AO63" i="4"/>
  <c r="AL63" i="4"/>
  <c r="AP63" i="4"/>
  <c r="AQ63" i="4"/>
  <c r="AR63" i="4"/>
  <c r="AS63" i="4"/>
  <c r="AK63" i="4"/>
  <c r="AJ63" i="4"/>
  <c r="D92" i="4"/>
  <c r="AK92" i="4"/>
  <c r="AL92" i="4"/>
  <c r="AM92" i="4"/>
  <c r="AN92" i="4"/>
  <c r="AO92" i="4"/>
  <c r="AP92" i="4"/>
  <c r="AQ92" i="4"/>
  <c r="AJ92" i="4"/>
  <c r="AS92" i="4"/>
  <c r="AR92" i="4"/>
  <c r="D89" i="4"/>
  <c r="AN89" i="4"/>
  <c r="AQ89" i="4"/>
  <c r="AR89" i="4"/>
  <c r="AK89" i="4"/>
  <c r="AL89" i="4"/>
  <c r="AM89" i="4"/>
  <c r="AJ89" i="4"/>
  <c r="AO89" i="4"/>
  <c r="AP89" i="4"/>
  <c r="AS89" i="4"/>
  <c r="AL70" i="4"/>
  <c r="AO70" i="4"/>
  <c r="AP70" i="4"/>
  <c r="AR70" i="4"/>
  <c r="AS70" i="4"/>
  <c r="AN70" i="4"/>
  <c r="AJ70" i="4"/>
  <c r="AK70" i="4"/>
  <c r="AM70" i="4"/>
  <c r="AQ70" i="4"/>
  <c r="D91" i="4"/>
  <c r="AR91" i="4"/>
  <c r="AQ91" i="4"/>
  <c r="AS91" i="4"/>
  <c r="AK91" i="4"/>
  <c r="AL91" i="4"/>
  <c r="AO91" i="4"/>
  <c r="AJ91" i="4"/>
  <c r="AM91" i="4"/>
  <c r="AP91" i="4"/>
  <c r="AN91" i="4"/>
  <c r="D87" i="4"/>
  <c r="AM87" i="4"/>
  <c r="AN87" i="4"/>
  <c r="AK87" i="4"/>
  <c r="AL87" i="4"/>
  <c r="AO87" i="4"/>
  <c r="AP87" i="4"/>
  <c r="AQ87" i="4"/>
  <c r="AR87" i="4"/>
  <c r="AS87" i="4"/>
  <c r="AJ87" i="4"/>
  <c r="D60" i="4"/>
  <c r="AP60" i="4"/>
  <c r="AS60" i="4"/>
  <c r="AN60" i="4"/>
  <c r="AJ60" i="4"/>
  <c r="AK60" i="4"/>
  <c r="AL60" i="4"/>
  <c r="AM60" i="4"/>
  <c r="AR60" i="4"/>
  <c r="AO60" i="4"/>
  <c r="AQ60" i="4"/>
  <c r="D100" i="4"/>
  <c r="AL100" i="4"/>
  <c r="AM100" i="4"/>
  <c r="AN100" i="4"/>
  <c r="AO100" i="4"/>
  <c r="AP100" i="4"/>
  <c r="AQ100" i="4"/>
  <c r="AJ100" i="4"/>
  <c r="AR100" i="4"/>
  <c r="AS100" i="4"/>
  <c r="AK100" i="4"/>
  <c r="AK99" i="4"/>
  <c r="AL99" i="4"/>
  <c r="AM99" i="4"/>
  <c r="AN99" i="4"/>
  <c r="AO99" i="4"/>
  <c r="AP99" i="4"/>
  <c r="AQ99" i="4"/>
  <c r="AR99" i="4"/>
  <c r="AS99" i="4"/>
  <c r="AJ99" i="4"/>
  <c r="D76" i="4"/>
  <c r="AL76" i="4"/>
  <c r="AO76" i="4"/>
  <c r="AP76" i="4"/>
  <c r="AK76" i="4"/>
  <c r="AM76" i="4"/>
  <c r="AN76" i="4"/>
  <c r="AJ76" i="4"/>
  <c r="AQ76" i="4"/>
  <c r="AR76" i="4"/>
  <c r="AS76" i="4"/>
  <c r="D85" i="4"/>
  <c r="AR85" i="4"/>
  <c r="AN85" i="4"/>
  <c r="AO85" i="4"/>
  <c r="AP85" i="4"/>
  <c r="AQ85" i="4"/>
  <c r="AS85" i="4"/>
  <c r="AL85" i="4"/>
  <c r="AJ85" i="4"/>
  <c r="AK85" i="4"/>
  <c r="AM85" i="4"/>
  <c r="D58" i="4"/>
  <c r="AL58" i="4"/>
  <c r="AO58" i="4"/>
  <c r="AP58" i="4"/>
  <c r="AQ58" i="4"/>
  <c r="AK58" i="4"/>
  <c r="AM58" i="4"/>
  <c r="AS58" i="4"/>
  <c r="AN58" i="4"/>
  <c r="AR58" i="4"/>
  <c r="AJ58" i="4"/>
  <c r="D52" i="4"/>
  <c r="AL52" i="4"/>
  <c r="AO52" i="4"/>
  <c r="AP52" i="4"/>
  <c r="AQ52" i="4"/>
  <c r="AJ52" i="4"/>
  <c r="AK52" i="4"/>
  <c r="AR52" i="4"/>
  <c r="AS52" i="4"/>
  <c r="AM52" i="4"/>
  <c r="AN52" i="4"/>
  <c r="D83" i="4"/>
  <c r="AN83" i="4"/>
  <c r="AQ83" i="4"/>
  <c r="AR83" i="4"/>
  <c r="AS83" i="4"/>
  <c r="AJ83" i="4"/>
  <c r="AK83" i="4"/>
  <c r="AO83" i="4"/>
  <c r="AL83" i="4"/>
  <c r="AM83" i="4"/>
  <c r="AP83" i="4"/>
  <c r="D65" i="4"/>
  <c r="AN65" i="4"/>
  <c r="AQ65" i="4"/>
  <c r="AR65" i="4"/>
  <c r="AL65" i="4"/>
  <c r="AM65" i="4"/>
  <c r="AO65" i="4"/>
  <c r="AP65" i="4"/>
  <c r="AS65" i="4"/>
  <c r="AJ65" i="4"/>
  <c r="AK65" i="4"/>
  <c r="AM75" i="4"/>
  <c r="AN75" i="4"/>
  <c r="AR75" i="4"/>
  <c r="AS75" i="4"/>
  <c r="AK75" i="4"/>
  <c r="AP75" i="4"/>
  <c r="AL75" i="4"/>
  <c r="AO75" i="4"/>
  <c r="AQ75" i="4"/>
  <c r="AJ75" i="4"/>
  <c r="AR73" i="4"/>
  <c r="AK73" i="4"/>
  <c r="AL73" i="4"/>
  <c r="AM73" i="4"/>
  <c r="AN73" i="4"/>
  <c r="AO73" i="4"/>
  <c r="AS73" i="4"/>
  <c r="AJ73" i="4"/>
  <c r="AP73" i="4"/>
  <c r="AQ73" i="4"/>
  <c r="D54" i="4"/>
  <c r="AP54" i="4"/>
  <c r="AS54" i="4"/>
  <c r="AN54" i="4"/>
  <c r="AK54" i="4"/>
  <c r="AL54" i="4"/>
  <c r="AQ54" i="4"/>
  <c r="AR54" i="4"/>
  <c r="AJ54" i="4"/>
  <c r="AM54" i="4"/>
  <c r="AO54" i="4"/>
  <c r="D49" i="4"/>
  <c r="AR49" i="4"/>
  <c r="AK49" i="4"/>
  <c r="AP49" i="4"/>
  <c r="AL49" i="4"/>
  <c r="AM49" i="4"/>
  <c r="AN49" i="4"/>
  <c r="AO49" i="4"/>
  <c r="AQ49" i="4"/>
  <c r="AS49" i="4"/>
  <c r="AJ49" i="4"/>
  <c r="D51" i="4"/>
  <c r="AM51" i="4"/>
  <c r="AN51" i="4"/>
  <c r="AO51" i="4"/>
  <c r="AK51" i="4"/>
  <c r="AL51" i="4"/>
  <c r="AP51" i="4"/>
  <c r="AQ51" i="4"/>
  <c r="AR51" i="4"/>
  <c r="AS51" i="4"/>
  <c r="AJ51" i="4"/>
  <c r="D44" i="4"/>
  <c r="AK44" i="4"/>
  <c r="AL44" i="4"/>
  <c r="AM44" i="4"/>
  <c r="AN44" i="4"/>
  <c r="AO44" i="4"/>
  <c r="AP44" i="4"/>
  <c r="AR44" i="4"/>
  <c r="AQ44" i="4"/>
  <c r="AS44" i="4"/>
  <c r="AJ44" i="4"/>
  <c r="D62" i="4"/>
  <c r="AK62" i="4"/>
  <c r="AL62" i="4"/>
  <c r="AM62" i="4"/>
  <c r="AR62" i="4"/>
  <c r="AN62" i="4"/>
  <c r="AO62" i="4"/>
  <c r="AS62" i="4"/>
  <c r="AQ62" i="4"/>
  <c r="AJ62" i="4"/>
  <c r="AP62" i="4"/>
  <c r="D71" i="4"/>
  <c r="AN71" i="4"/>
  <c r="AQ71" i="4"/>
  <c r="AR71" i="4"/>
  <c r="AL71" i="4"/>
  <c r="AJ71" i="4"/>
  <c r="AK71" i="4"/>
  <c r="AM71" i="4"/>
  <c r="AO71" i="4"/>
  <c r="AP71" i="4"/>
  <c r="AS71" i="4"/>
  <c r="AL106" i="4"/>
  <c r="AM106" i="4"/>
  <c r="AO106" i="4"/>
  <c r="AQ106" i="4"/>
  <c r="AR106" i="4"/>
  <c r="AN106" i="4"/>
  <c r="AP106" i="4"/>
  <c r="AS106" i="4"/>
  <c r="AK106" i="4"/>
  <c r="AJ106" i="4"/>
  <c r="D42" i="4"/>
  <c r="AP42" i="4"/>
  <c r="AQ42" i="4"/>
  <c r="AR42" i="4"/>
  <c r="AS42" i="4"/>
  <c r="AK42" i="4"/>
  <c r="AL42" i="4"/>
  <c r="AN42" i="4"/>
  <c r="AM42" i="4"/>
  <c r="AO42" i="4"/>
  <c r="AJ42" i="4"/>
  <c r="D47" i="4"/>
  <c r="AN47" i="4"/>
  <c r="AP47" i="4"/>
  <c r="AQ47" i="4"/>
  <c r="AR47" i="4"/>
  <c r="AS47" i="4"/>
  <c r="AL47" i="4"/>
  <c r="AJ47" i="4"/>
  <c r="AK47" i="4"/>
  <c r="AM47" i="4"/>
  <c r="AO47" i="4"/>
  <c r="D93" i="4"/>
  <c r="AM93" i="4"/>
  <c r="AN93" i="4"/>
  <c r="AO93" i="4"/>
  <c r="AP93" i="4"/>
  <c r="AQ93" i="4"/>
  <c r="AR93" i="4"/>
  <c r="AS93" i="4"/>
  <c r="AK93" i="4"/>
  <c r="AJ93" i="4"/>
  <c r="AL93" i="4"/>
  <c r="D57" i="4"/>
  <c r="AM57" i="4"/>
  <c r="AN57" i="4"/>
  <c r="AO57" i="4"/>
  <c r="AK57" i="4"/>
  <c r="AL57" i="4"/>
  <c r="AP57" i="4"/>
  <c r="AQ57" i="4"/>
  <c r="AR57" i="4"/>
  <c r="AS57" i="4"/>
  <c r="AJ57" i="4"/>
  <c r="D69" i="4"/>
  <c r="AM69" i="4"/>
  <c r="AN69" i="4"/>
  <c r="AK69" i="4"/>
  <c r="AL69" i="4"/>
  <c r="AO69" i="4"/>
  <c r="AP69" i="4"/>
  <c r="AQ69" i="4"/>
  <c r="AR69" i="4"/>
  <c r="AS69" i="4"/>
  <c r="AJ69" i="4"/>
  <c r="D105" i="4"/>
  <c r="AK105" i="4"/>
  <c r="AL105" i="4"/>
  <c r="AM105" i="4"/>
  <c r="AO105" i="4"/>
  <c r="AP105" i="4"/>
  <c r="AJ105" i="4"/>
  <c r="AN105" i="4"/>
  <c r="AS105" i="4"/>
  <c r="AQ105" i="4"/>
  <c r="AR105" i="4"/>
  <c r="D45" i="4"/>
  <c r="AL45" i="4"/>
  <c r="AM45" i="4"/>
  <c r="AN45" i="4"/>
  <c r="AO45" i="4"/>
  <c r="AP45" i="4"/>
  <c r="AQ45" i="4"/>
  <c r="AR45" i="4"/>
  <c r="AK45" i="4"/>
  <c r="AJ45" i="4"/>
  <c r="AS45" i="4"/>
  <c r="AL82" i="4"/>
  <c r="AO82" i="4"/>
  <c r="AP82" i="4"/>
  <c r="AK82" i="4"/>
  <c r="AM82" i="4"/>
  <c r="AN82" i="4"/>
  <c r="AQ82" i="4"/>
  <c r="AR82" i="4"/>
  <c r="AS82" i="4"/>
  <c r="AJ82" i="4"/>
  <c r="D59" i="4"/>
  <c r="AN59" i="4"/>
  <c r="AQ59" i="4"/>
  <c r="AR59" i="4"/>
  <c r="AS59" i="4"/>
  <c r="AL59" i="4"/>
  <c r="AK59" i="4"/>
  <c r="AJ59" i="4"/>
  <c r="AM59" i="4"/>
  <c r="AO59" i="4"/>
  <c r="AP59" i="4"/>
  <c r="D56" i="4"/>
  <c r="AK56" i="4"/>
  <c r="AL56" i="4"/>
  <c r="AM56" i="4"/>
  <c r="AR56" i="4"/>
  <c r="AN56" i="4"/>
  <c r="AQ56" i="4"/>
  <c r="AS56" i="4"/>
  <c r="AP56" i="4"/>
  <c r="AJ56" i="4"/>
  <c r="AO56" i="4"/>
  <c r="D84" i="4"/>
  <c r="AP84" i="4"/>
  <c r="AS84" i="4"/>
  <c r="AJ84" i="4"/>
  <c r="AK84" i="4"/>
  <c r="AL84" i="4"/>
  <c r="AM84" i="4"/>
  <c r="AN84" i="4"/>
  <c r="AO84" i="4"/>
  <c r="AQ84" i="4"/>
  <c r="AR84" i="4"/>
  <c r="D98" i="4"/>
  <c r="AK98" i="4"/>
  <c r="AL98" i="4"/>
  <c r="AM98" i="4"/>
  <c r="AN98" i="4"/>
  <c r="AO98" i="4"/>
  <c r="AR98" i="4"/>
  <c r="AS98" i="4"/>
  <c r="AJ98" i="4"/>
  <c r="AP98" i="4"/>
  <c r="AQ98" i="4"/>
  <c r="D103" i="4"/>
  <c r="AR103" i="4"/>
  <c r="AS103" i="4"/>
  <c r="AK103" i="4"/>
  <c r="AL103" i="4"/>
  <c r="AP103" i="4"/>
  <c r="AO103" i="4"/>
  <c r="AQ103" i="4"/>
  <c r="AN103" i="4"/>
  <c r="AJ103" i="4"/>
  <c r="AM103" i="4"/>
  <c r="D96" i="4"/>
  <c r="AP96" i="4"/>
  <c r="AS96" i="4"/>
  <c r="AN96" i="4"/>
  <c r="AJ96" i="4"/>
  <c r="AO96" i="4"/>
  <c r="AQ96" i="4"/>
  <c r="AR96" i="4"/>
  <c r="AL96" i="4"/>
  <c r="AM96" i="4"/>
  <c r="AK96" i="4"/>
  <c r="D43" i="4"/>
  <c r="AR43" i="4"/>
  <c r="AS43" i="4"/>
  <c r="AK43" i="4"/>
  <c r="AL43" i="4"/>
  <c r="AM43" i="4"/>
  <c r="AN43" i="4"/>
  <c r="AP43" i="4"/>
  <c r="AO43" i="4"/>
  <c r="AQ43" i="4"/>
  <c r="AJ43" i="4"/>
  <c r="D80" i="4"/>
  <c r="AK80" i="4"/>
  <c r="AL80" i="4"/>
  <c r="AP80" i="4"/>
  <c r="AQ80" i="4"/>
  <c r="AR80" i="4"/>
  <c r="AS80" i="4"/>
  <c r="AN80" i="4"/>
  <c r="AO80" i="4"/>
  <c r="AJ80" i="4"/>
  <c r="AM80" i="4"/>
  <c r="D55" i="4"/>
  <c r="AR55" i="4"/>
  <c r="AK55" i="4"/>
  <c r="AP55" i="4"/>
  <c r="AL55" i="4"/>
  <c r="AM55" i="4"/>
  <c r="AN55" i="4"/>
  <c r="AO55" i="4"/>
  <c r="AQ55" i="4"/>
  <c r="AS55" i="4"/>
  <c r="AJ55" i="4"/>
  <c r="D68" i="4"/>
  <c r="AK68" i="4"/>
  <c r="AL68" i="4"/>
  <c r="AR68" i="4"/>
  <c r="AS68" i="4"/>
  <c r="AM68" i="4"/>
  <c r="AP68" i="4"/>
  <c r="AN68" i="4"/>
  <c r="AJ68" i="4"/>
  <c r="AO68" i="4"/>
  <c r="AQ68" i="4"/>
  <c r="D95" i="4"/>
  <c r="AN95" i="4"/>
  <c r="AQ95" i="4"/>
  <c r="AJ95" i="4"/>
  <c r="AK95" i="4"/>
  <c r="AL95" i="4"/>
  <c r="AM95" i="4"/>
  <c r="AO95" i="4"/>
  <c r="AP95" i="4"/>
  <c r="AR95" i="4"/>
  <c r="AS95" i="4"/>
  <c r="D90" i="4"/>
  <c r="AP90" i="4"/>
  <c r="AS90" i="4"/>
  <c r="AL90" i="4"/>
  <c r="AM90" i="4"/>
  <c r="AN90" i="4"/>
  <c r="AO90" i="4"/>
  <c r="AQ90" i="4"/>
  <c r="AR90" i="4"/>
  <c r="AJ90" i="4"/>
  <c r="AK90" i="4"/>
  <c r="D79" i="4"/>
  <c r="AR79" i="4"/>
  <c r="AK79" i="4"/>
  <c r="AL79" i="4"/>
  <c r="AM79" i="4"/>
  <c r="AN79" i="4"/>
  <c r="AO79" i="4"/>
  <c r="AP79" i="4"/>
  <c r="AQ79" i="4"/>
  <c r="AS79" i="4"/>
  <c r="AJ79" i="4"/>
  <c r="D64" i="4"/>
  <c r="AL64" i="4"/>
  <c r="AO64" i="4"/>
  <c r="AP64" i="4"/>
  <c r="AQ64" i="4"/>
  <c r="AK64" i="4"/>
  <c r="AJ64" i="4"/>
  <c r="AM64" i="4"/>
  <c r="AN64" i="4"/>
  <c r="AR64" i="4"/>
  <c r="AS64" i="4"/>
  <c r="D33" i="4"/>
  <c r="AK33" i="4"/>
  <c r="AL33" i="4"/>
  <c r="AM33" i="4"/>
  <c r="AN33" i="4"/>
  <c r="AO33" i="4"/>
  <c r="AP33" i="4"/>
  <c r="AQ33" i="4"/>
  <c r="AR33" i="4"/>
  <c r="AS33" i="4"/>
  <c r="AJ33" i="4"/>
  <c r="D53" i="4"/>
  <c r="AN53" i="4"/>
  <c r="AQ53" i="4"/>
  <c r="AR53" i="4"/>
  <c r="AS53" i="4"/>
  <c r="AL53" i="4"/>
  <c r="AK53" i="4"/>
  <c r="AM53" i="4"/>
  <c r="AO53" i="4"/>
  <c r="AP53" i="4"/>
  <c r="AJ53" i="4"/>
  <c r="D50" i="4"/>
  <c r="AK50" i="4"/>
  <c r="AL50" i="4"/>
  <c r="AM50" i="4"/>
  <c r="AR50" i="4"/>
  <c r="AS50" i="4"/>
  <c r="AP50" i="4"/>
  <c r="AQ50" i="4"/>
  <c r="AJ50" i="4"/>
  <c r="AO50" i="4"/>
  <c r="AN50" i="4"/>
  <c r="D88" i="4"/>
  <c r="AL88" i="4"/>
  <c r="AO88" i="4"/>
  <c r="AP88" i="4"/>
  <c r="AQ88" i="4"/>
  <c r="AR88" i="4"/>
  <c r="AS88" i="4"/>
  <c r="AJ88" i="4"/>
  <c r="AM88" i="4"/>
  <c r="AK88" i="4"/>
  <c r="AN88" i="4"/>
  <c r="D97" i="4"/>
  <c r="AR97" i="4"/>
  <c r="AS97" i="4"/>
  <c r="AK97" i="4"/>
  <c r="AL97" i="4"/>
  <c r="AM97" i="4"/>
  <c r="AP97" i="4"/>
  <c r="AJ97" i="4"/>
  <c r="AN97" i="4"/>
  <c r="AQ97" i="4"/>
  <c r="AO97" i="4"/>
  <c r="D78" i="4"/>
  <c r="AP78" i="4"/>
  <c r="AS78" i="4"/>
  <c r="AK78" i="4"/>
  <c r="AL78" i="4"/>
  <c r="AM78" i="4"/>
  <c r="AQ78" i="4"/>
  <c r="AN78" i="4"/>
  <c r="AR78" i="4"/>
  <c r="AJ78" i="4"/>
  <c r="AO78" i="4"/>
  <c r="D72" i="4"/>
  <c r="AP72" i="4"/>
  <c r="AS72" i="4"/>
  <c r="AN72" i="4"/>
  <c r="AO72" i="4"/>
  <c r="AQ72" i="4"/>
  <c r="AJ72" i="4"/>
  <c r="AR72" i="4"/>
  <c r="AL72" i="4"/>
  <c r="AM72" i="4"/>
  <c r="AK72" i="4"/>
  <c r="D81" i="4"/>
  <c r="AM81" i="4"/>
  <c r="AN81" i="4"/>
  <c r="AK81" i="4"/>
  <c r="AL81" i="4"/>
  <c r="AO81" i="4"/>
  <c r="AP81" i="4"/>
  <c r="AS81" i="4"/>
  <c r="AJ81" i="4"/>
  <c r="AQ81" i="4"/>
  <c r="AR81" i="4"/>
  <c r="D67" i="4"/>
  <c r="AR67" i="4"/>
  <c r="AP67" i="4"/>
  <c r="AL67" i="4"/>
  <c r="AM67" i="4"/>
  <c r="AN67" i="4"/>
  <c r="AO67" i="4"/>
  <c r="AQ67" i="4"/>
  <c r="AS67" i="4"/>
  <c r="AK67" i="4"/>
  <c r="AJ67" i="4"/>
  <c r="D32" i="4"/>
  <c r="AK32" i="4"/>
  <c r="AL32" i="4"/>
  <c r="AM32" i="4"/>
  <c r="AN32" i="4"/>
  <c r="AO32" i="4"/>
  <c r="AP32" i="4"/>
  <c r="AR32" i="4"/>
  <c r="AQ32" i="4"/>
  <c r="AS32" i="4"/>
  <c r="AJ32" i="4"/>
  <c r="D104" i="4"/>
  <c r="AK104" i="4"/>
  <c r="AM104" i="4"/>
  <c r="AN104" i="4"/>
  <c r="AR104" i="4"/>
  <c r="AL104" i="4"/>
  <c r="AO104" i="4"/>
  <c r="AS104" i="4"/>
  <c r="AP104" i="4"/>
  <c r="AQ104" i="4"/>
  <c r="AJ104" i="4"/>
  <c r="D48" i="4"/>
  <c r="AP48" i="4"/>
  <c r="AS48" i="4"/>
  <c r="AN48" i="4"/>
  <c r="AR48" i="4"/>
  <c r="AJ48" i="4"/>
  <c r="AK48" i="4"/>
  <c r="AO48" i="4"/>
  <c r="AQ48" i="4"/>
  <c r="AL48" i="4"/>
  <c r="AM48" i="4"/>
  <c r="D86" i="4"/>
  <c r="AK86" i="4"/>
  <c r="AL86" i="4"/>
  <c r="AS86" i="4"/>
  <c r="AM86" i="4"/>
  <c r="AN86" i="4"/>
  <c r="AQ86" i="4"/>
  <c r="AR86" i="4"/>
  <c r="AP86" i="4"/>
  <c r="AO86" i="4"/>
  <c r="AJ86" i="4"/>
  <c r="D94" i="4"/>
  <c r="AL94" i="4"/>
  <c r="AO94" i="4"/>
  <c r="AP94" i="4"/>
  <c r="AK94" i="4"/>
  <c r="AM94" i="4"/>
  <c r="AR94" i="4"/>
  <c r="AN94" i="4"/>
  <c r="AQ94" i="4"/>
  <c r="AS94" i="4"/>
  <c r="AJ94" i="4"/>
  <c r="D77" i="4"/>
  <c r="AN77" i="4"/>
  <c r="AQ77" i="4"/>
  <c r="AR77" i="4"/>
  <c r="AM77" i="4"/>
  <c r="AO77" i="4"/>
  <c r="AP77" i="4"/>
  <c r="AS77" i="4"/>
  <c r="AJ77" i="4"/>
  <c r="AK77" i="4"/>
  <c r="AL77" i="4"/>
  <c r="D61" i="4"/>
  <c r="AR61" i="4"/>
  <c r="AK61" i="4"/>
  <c r="AP61" i="4"/>
  <c r="AM61" i="4"/>
  <c r="AN61" i="4"/>
  <c r="AO61" i="4"/>
  <c r="AQ61" i="4"/>
  <c r="AS61" i="4"/>
  <c r="AL61" i="4"/>
  <c r="AJ61" i="4"/>
  <c r="AN101" i="4"/>
  <c r="AO101" i="4"/>
  <c r="AP101" i="4"/>
  <c r="AQ101" i="4"/>
  <c r="AR101" i="4"/>
  <c r="AS101" i="4"/>
  <c r="AJ101" i="4"/>
  <c r="AL101" i="4"/>
  <c r="AK101" i="4"/>
  <c r="AM101" i="4"/>
  <c r="D31" i="4"/>
  <c r="AR31" i="4"/>
  <c r="AS31" i="4"/>
  <c r="AK31" i="4"/>
  <c r="AL31" i="4"/>
  <c r="AM31" i="4"/>
  <c r="AN31" i="4"/>
  <c r="AP31" i="4"/>
  <c r="AO31" i="4"/>
  <c r="AQ31" i="4"/>
  <c r="AJ31" i="4"/>
  <c r="D102" i="4"/>
  <c r="AP102" i="4"/>
  <c r="AQ102" i="4"/>
  <c r="AR102" i="4"/>
  <c r="AS102" i="4"/>
  <c r="AK102" i="4"/>
  <c r="AN102" i="4"/>
  <c r="AL102" i="4"/>
  <c r="AO102" i="4"/>
  <c r="AM102" i="4"/>
  <c r="AJ102" i="4"/>
  <c r="D46" i="4"/>
  <c r="AL46" i="4"/>
  <c r="AN46" i="4"/>
  <c r="AO46" i="4"/>
  <c r="AP46" i="4"/>
  <c r="AQ46" i="4"/>
  <c r="AS46" i="4"/>
  <c r="AK46" i="4"/>
  <c r="AM46" i="4"/>
  <c r="AR46" i="4"/>
  <c r="AJ46" i="4"/>
  <c r="D74" i="4"/>
  <c r="AK74" i="4"/>
  <c r="AL74" i="4"/>
  <c r="AM74" i="4"/>
  <c r="AN74" i="4"/>
  <c r="AO74" i="4"/>
  <c r="AP74" i="4"/>
  <c r="AQ74" i="4"/>
  <c r="AR74" i="4"/>
  <c r="AS74" i="4"/>
  <c r="AJ74" i="4"/>
  <c r="D66" i="4"/>
  <c r="AP66" i="4"/>
  <c r="AS66" i="4"/>
  <c r="AN66" i="4"/>
  <c r="AK66" i="4"/>
  <c r="AL66" i="4"/>
  <c r="AM66" i="4"/>
  <c r="AR66" i="4"/>
  <c r="AQ66" i="4"/>
  <c r="AO66" i="4"/>
  <c r="AJ66" i="4"/>
  <c r="R10" i="5"/>
  <c r="AG36" i="2"/>
  <c r="AG38" i="2" s="1"/>
  <c r="AG39" i="2" s="1"/>
  <c r="AG41" i="2" s="1"/>
  <c r="AG42" i="2" s="1"/>
  <c r="AG43" i="2" s="1"/>
  <c r="AG44" i="2" s="1"/>
  <c r="AG45" i="2" s="1"/>
  <c r="AG46" i="2" s="1"/>
  <c r="AG37" i="2"/>
  <c r="AH36" i="2"/>
  <c r="AH38" i="2" s="1"/>
  <c r="AH39" i="2" s="1"/>
  <c r="AH41" i="2" s="1"/>
  <c r="AH42" i="2" s="1"/>
  <c r="AH43" i="2" s="1"/>
  <c r="AH44" i="2" s="1"/>
  <c r="AH45" i="2" s="1"/>
  <c r="AH46" i="2" s="1"/>
  <c r="AH37" i="2"/>
  <c r="AI5" i="2"/>
  <c r="AC6" i="3" s="1"/>
  <c r="S11" i="5"/>
  <c r="B10" i="6"/>
  <c r="B9" i="6"/>
  <c r="J12" i="35"/>
  <c r="H13" i="35" s="1"/>
  <c r="N12" i="34"/>
  <c r="T31" i="4"/>
  <c r="R31" i="4"/>
  <c r="V31" i="4"/>
  <c r="AH9" i="4"/>
  <c r="H11" i="6" s="1"/>
  <c r="B11" i="32" l="1"/>
  <c r="B11" i="8"/>
  <c r="L11" i="7"/>
  <c r="S12" i="5"/>
  <c r="R12" i="5"/>
  <c r="B11" i="6" s="1"/>
  <c r="BA6" i="3"/>
  <c r="AY6" i="3"/>
  <c r="AW6" i="3"/>
  <c r="AU6" i="3"/>
  <c r="AS6" i="3"/>
  <c r="AZ6" i="3"/>
  <c r="AX6" i="3"/>
  <c r="AV6" i="3"/>
  <c r="AT6" i="3"/>
  <c r="AR6" i="3"/>
  <c r="BM9" i="3" s="1"/>
  <c r="AP6" i="3"/>
  <c r="BM7" i="3" s="1"/>
  <c r="AQ6" i="3"/>
  <c r="BM8" i="3" s="1"/>
  <c r="AP37" i="3"/>
  <c r="AH10" i="4"/>
  <c r="H12" i="6" s="1"/>
  <c r="AM6" i="3"/>
  <c r="AI6" i="3"/>
  <c r="AE6" i="3"/>
  <c r="AK6" i="3"/>
  <c r="AF6" i="3"/>
  <c r="AL6" i="3"/>
  <c r="AH6" i="3"/>
  <c r="AD6" i="3"/>
  <c r="AJ6" i="3"/>
  <c r="AG6" i="3"/>
  <c r="AN6" i="3"/>
  <c r="AN22" i="3" l="1"/>
  <c r="AN12" i="3"/>
  <c r="AN13" i="3"/>
  <c r="AN14" i="3"/>
  <c r="AN15" i="3"/>
  <c r="AN16" i="3"/>
  <c r="AN17" i="3"/>
  <c r="AN19" i="3"/>
  <c r="AN20" i="3"/>
  <c r="AN21" i="3"/>
  <c r="AN7" i="3"/>
  <c r="BA7" i="3" s="1"/>
  <c r="AN8" i="3"/>
  <c r="AN18" i="3"/>
  <c r="AN9" i="3"/>
  <c r="AN10" i="3"/>
  <c r="AN11" i="3"/>
  <c r="AG18" i="3"/>
  <c r="AG19" i="3"/>
  <c r="AG20" i="3"/>
  <c r="AG21" i="3"/>
  <c r="AT21" i="3" s="1"/>
  <c r="AG22" i="3"/>
  <c r="AG7" i="3"/>
  <c r="AG8" i="3"/>
  <c r="AT8" i="3" s="1"/>
  <c r="AG9" i="3"/>
  <c r="AT9" i="3" s="1"/>
  <c r="AG10" i="3"/>
  <c r="AG11" i="3"/>
  <c r="AG12" i="3"/>
  <c r="AT12" i="3" s="1"/>
  <c r="AG13" i="3"/>
  <c r="AT13" i="3" s="1"/>
  <c r="AG14" i="3"/>
  <c r="AG15" i="3"/>
  <c r="AG16" i="3"/>
  <c r="AT16" i="3" s="1"/>
  <c r="AG17" i="3"/>
  <c r="AT17" i="3" s="1"/>
  <c r="AL18" i="3"/>
  <c r="AL19" i="3"/>
  <c r="AL20" i="3"/>
  <c r="AY20" i="3" s="1"/>
  <c r="AL21" i="3"/>
  <c r="AY21" i="3" s="1"/>
  <c r="AL22" i="3"/>
  <c r="AL7" i="3"/>
  <c r="AY7" i="3" s="1"/>
  <c r="AL8" i="3"/>
  <c r="AY8" i="3" s="1"/>
  <c r="AL9" i="3"/>
  <c r="AY9" i="3" s="1"/>
  <c r="AL10" i="3"/>
  <c r="AL11" i="3"/>
  <c r="AL12" i="3"/>
  <c r="AY12" i="3" s="1"/>
  <c r="AL13" i="3"/>
  <c r="AY13" i="3" s="1"/>
  <c r="AL14" i="3"/>
  <c r="AL15" i="3"/>
  <c r="AL16" i="3"/>
  <c r="AY16" i="3" s="1"/>
  <c r="AL17" i="3"/>
  <c r="AY17" i="3" s="1"/>
  <c r="AI18" i="3"/>
  <c r="AV18" i="3" s="1"/>
  <c r="AI21" i="3"/>
  <c r="AI7" i="3"/>
  <c r="AV7" i="3" s="1"/>
  <c r="AI9" i="3"/>
  <c r="AV9" i="3" s="1"/>
  <c r="AI19" i="3"/>
  <c r="AI20" i="3"/>
  <c r="AI22" i="3"/>
  <c r="AV22" i="3" s="1"/>
  <c r="AI8" i="3"/>
  <c r="AV8" i="3" s="1"/>
  <c r="AI13" i="3"/>
  <c r="AI14" i="3"/>
  <c r="AI15" i="3"/>
  <c r="AV15" i="3" s="1"/>
  <c r="AI16" i="3"/>
  <c r="AV16" i="3" s="1"/>
  <c r="AI17" i="3"/>
  <c r="AI10" i="3"/>
  <c r="AI11" i="3"/>
  <c r="AV11" i="3" s="1"/>
  <c r="AI12" i="3"/>
  <c r="AV12" i="3" s="1"/>
  <c r="AC18" i="3"/>
  <c r="AP18" i="3" s="1"/>
  <c r="AC19" i="3"/>
  <c r="AC20" i="3"/>
  <c r="AC21" i="3"/>
  <c r="AP21" i="3" s="1"/>
  <c r="AC22" i="3"/>
  <c r="AC7" i="3"/>
  <c r="AP7" i="3" s="1"/>
  <c r="AC8" i="3"/>
  <c r="AP8" i="3" s="1"/>
  <c r="AC9" i="3"/>
  <c r="AP9" i="3" s="1"/>
  <c r="AC10" i="3"/>
  <c r="AC11" i="3"/>
  <c r="AC12" i="3"/>
  <c r="AC13" i="3"/>
  <c r="AP13" i="3" s="1"/>
  <c r="AC14" i="3"/>
  <c r="AC15" i="3"/>
  <c r="AC16" i="3"/>
  <c r="AP16" i="3" s="1"/>
  <c r="AC17" i="3"/>
  <c r="AP17" i="3" s="1"/>
  <c r="AE20" i="3"/>
  <c r="AE22" i="3"/>
  <c r="AE8" i="3"/>
  <c r="AR8" i="3" s="1"/>
  <c r="AE10" i="3"/>
  <c r="AR10" i="3" s="1"/>
  <c r="AE11" i="3"/>
  <c r="AE12" i="3"/>
  <c r="AE13" i="3"/>
  <c r="AE18" i="3"/>
  <c r="AR18" i="3" s="1"/>
  <c r="AE19" i="3"/>
  <c r="AE21" i="3"/>
  <c r="AE9" i="3"/>
  <c r="AE7" i="3"/>
  <c r="AR7" i="3" s="1"/>
  <c r="AE14" i="3"/>
  <c r="AE15" i="3"/>
  <c r="AE16" i="3"/>
  <c r="AR16" i="3" s="1"/>
  <c r="AE17" i="3"/>
  <c r="AR17" i="3" s="1"/>
  <c r="AF18" i="3"/>
  <c r="AS18" i="3" s="1"/>
  <c r="AF20" i="3"/>
  <c r="AF21" i="3"/>
  <c r="AS21" i="3" s="1"/>
  <c r="AF22" i="3"/>
  <c r="AS22" i="3" s="1"/>
  <c r="AF7" i="3"/>
  <c r="AS7" i="3" s="1"/>
  <c r="AF8" i="3"/>
  <c r="AS8" i="3" s="1"/>
  <c r="AF9" i="3"/>
  <c r="AS9" i="3" s="1"/>
  <c r="AF10" i="3"/>
  <c r="AS10" i="3" s="1"/>
  <c r="AF11" i="3"/>
  <c r="AF12" i="3"/>
  <c r="AF19" i="3"/>
  <c r="AS19" i="3" s="1"/>
  <c r="AF17" i="3"/>
  <c r="AS17" i="3" s="1"/>
  <c r="AF13" i="3"/>
  <c r="AF14" i="3"/>
  <c r="AS14" i="3" s="1"/>
  <c r="AF15" i="3"/>
  <c r="AS15" i="3" s="1"/>
  <c r="AF16" i="3"/>
  <c r="AS16" i="3" s="1"/>
  <c r="AM20" i="3"/>
  <c r="AM22" i="3"/>
  <c r="AM13" i="3"/>
  <c r="AZ13" i="3" s="1"/>
  <c r="AM14" i="3"/>
  <c r="AZ14" i="3" s="1"/>
  <c r="AM15" i="3"/>
  <c r="AM16" i="3"/>
  <c r="AZ16" i="3" s="1"/>
  <c r="AM17" i="3"/>
  <c r="AZ17" i="3" s="1"/>
  <c r="AM18" i="3"/>
  <c r="AZ18" i="3" s="1"/>
  <c r="AM19" i="3"/>
  <c r="AZ19" i="3" s="1"/>
  <c r="AM21" i="3"/>
  <c r="AZ21" i="3" s="1"/>
  <c r="AM7" i="3"/>
  <c r="AZ7" i="3" s="1"/>
  <c r="AM9" i="3"/>
  <c r="AZ9" i="3" s="1"/>
  <c r="AM10" i="3"/>
  <c r="AM11" i="3"/>
  <c r="AM12" i="3"/>
  <c r="AZ12" i="3" s="1"/>
  <c r="AM8" i="3"/>
  <c r="AZ8" i="3" s="1"/>
  <c r="AH18" i="3"/>
  <c r="AU18" i="3" s="1"/>
  <c r="AH19" i="3"/>
  <c r="AH20" i="3"/>
  <c r="AU20" i="3" s="1"/>
  <c r="AH21" i="3"/>
  <c r="AU21" i="3" s="1"/>
  <c r="AH22" i="3"/>
  <c r="AH7" i="3"/>
  <c r="AU7" i="3" s="1"/>
  <c r="AH8" i="3"/>
  <c r="AU8" i="3" s="1"/>
  <c r="AH9" i="3"/>
  <c r="AU9" i="3" s="1"/>
  <c r="AH10" i="3"/>
  <c r="AH11" i="3"/>
  <c r="AH12" i="3"/>
  <c r="AU12" i="3" s="1"/>
  <c r="AH13" i="3"/>
  <c r="AU13" i="3" s="1"/>
  <c r="AH14" i="3"/>
  <c r="AU14" i="3" s="1"/>
  <c r="AH15" i="3"/>
  <c r="AH16" i="3"/>
  <c r="AU16" i="3" s="1"/>
  <c r="AH17" i="3"/>
  <c r="AU17" i="3" s="1"/>
  <c r="AJ19" i="3"/>
  <c r="AW19" i="3" s="1"/>
  <c r="AJ18" i="3"/>
  <c r="AJ9" i="3"/>
  <c r="AW9" i="3" s="1"/>
  <c r="AJ10" i="3"/>
  <c r="AW10" i="3" s="1"/>
  <c r="AJ11" i="3"/>
  <c r="AJ12" i="3"/>
  <c r="AJ13" i="3"/>
  <c r="AW13" i="3" s="1"/>
  <c r="AJ14" i="3"/>
  <c r="AW14" i="3" s="1"/>
  <c r="AJ15" i="3"/>
  <c r="AJ16" i="3"/>
  <c r="AW16" i="3" s="1"/>
  <c r="AJ20" i="3"/>
  <c r="AW20" i="3" s="1"/>
  <c r="AJ21" i="3"/>
  <c r="AW21" i="3" s="1"/>
  <c r="AJ22" i="3"/>
  <c r="AW22" i="3" s="1"/>
  <c r="AJ7" i="3"/>
  <c r="AW7" i="3" s="1"/>
  <c r="AJ8" i="3"/>
  <c r="AW8" i="3" s="1"/>
  <c r="AJ17" i="3"/>
  <c r="AW17" i="3" s="1"/>
  <c r="AD18" i="3"/>
  <c r="AQ18" i="3" s="1"/>
  <c r="AD19" i="3"/>
  <c r="AD20" i="3"/>
  <c r="AQ20" i="3" s="1"/>
  <c r="AD21" i="3"/>
  <c r="AQ21" i="3" s="1"/>
  <c r="AD22" i="3"/>
  <c r="AQ22" i="3" s="1"/>
  <c r="AD7" i="3"/>
  <c r="AQ7" i="3" s="1"/>
  <c r="AD8" i="3"/>
  <c r="AQ8" i="3" s="1"/>
  <c r="BM10" i="3" s="1"/>
  <c r="AD9" i="3"/>
  <c r="AQ9" i="3" s="1"/>
  <c r="AD10" i="3"/>
  <c r="AD11" i="3"/>
  <c r="AD12" i="3"/>
  <c r="AQ12" i="3" s="1"/>
  <c r="AD13" i="3"/>
  <c r="AQ13" i="3" s="1"/>
  <c r="AD14" i="3"/>
  <c r="AQ14" i="3" s="1"/>
  <c r="AD15" i="3"/>
  <c r="AD16" i="3"/>
  <c r="AQ16" i="3" s="1"/>
  <c r="AD17" i="3"/>
  <c r="AQ17" i="3" s="1"/>
  <c r="AK18" i="3"/>
  <c r="AX18" i="3" s="1"/>
  <c r="AK19" i="3"/>
  <c r="AK20" i="3"/>
  <c r="AX20" i="3" s="1"/>
  <c r="AK21" i="3"/>
  <c r="AX21" i="3" s="1"/>
  <c r="AK22" i="3"/>
  <c r="AK7" i="3"/>
  <c r="AX7" i="3" s="1"/>
  <c r="AK8" i="3"/>
  <c r="AX8" i="3" s="1"/>
  <c r="AK9" i="3"/>
  <c r="AX9" i="3" s="1"/>
  <c r="AK10" i="3"/>
  <c r="AK11" i="3"/>
  <c r="AK12" i="3"/>
  <c r="AX12" i="3" s="1"/>
  <c r="AK13" i="3"/>
  <c r="AX13" i="3" s="1"/>
  <c r="AK14" i="3"/>
  <c r="AX14" i="3" s="1"/>
  <c r="AK15" i="3"/>
  <c r="AK16" i="3"/>
  <c r="AX16" i="3" s="1"/>
  <c r="AK17" i="3"/>
  <c r="AX17" i="3" s="1"/>
  <c r="AP41" i="3"/>
  <c r="B12" i="32"/>
  <c r="B12" i="8"/>
  <c r="L12" i="7"/>
  <c r="R13" i="5"/>
  <c r="B12" i="6" s="1"/>
  <c r="S13" i="5"/>
  <c r="AP29" i="3"/>
  <c r="AP34" i="3"/>
  <c r="AP40" i="3"/>
  <c r="AP35" i="3"/>
  <c r="AP30" i="3"/>
  <c r="AP36" i="3"/>
  <c r="AP39" i="3"/>
  <c r="AP38" i="3"/>
  <c r="AT41" i="3"/>
  <c r="AT40" i="3"/>
  <c r="AQ41" i="3"/>
  <c r="AQ40" i="3"/>
  <c r="AY41" i="3"/>
  <c r="AY40" i="3"/>
  <c r="AX41" i="3"/>
  <c r="AX40" i="3"/>
  <c r="AV41" i="3"/>
  <c r="AV40" i="3"/>
  <c r="BA41" i="3"/>
  <c r="BA40" i="3"/>
  <c r="AW41" i="3"/>
  <c r="AW40" i="3"/>
  <c r="AU41" i="3"/>
  <c r="AU40" i="3"/>
  <c r="AS41" i="3"/>
  <c r="AS40" i="3"/>
  <c r="AR41" i="3"/>
  <c r="AR40" i="3"/>
  <c r="AZ41" i="3"/>
  <c r="AZ40" i="3"/>
  <c r="AT39" i="3"/>
  <c r="AT38" i="3"/>
  <c r="AT30" i="3"/>
  <c r="AT29" i="3"/>
  <c r="AT37" i="3"/>
  <c r="AT35" i="3"/>
  <c r="AT34" i="3"/>
  <c r="AT36" i="3"/>
  <c r="AY38" i="3"/>
  <c r="AY37" i="3"/>
  <c r="AY36" i="3"/>
  <c r="AY35" i="3"/>
  <c r="AY34" i="3"/>
  <c r="AY30" i="3"/>
  <c r="AY29" i="3"/>
  <c r="AV39" i="3"/>
  <c r="AV38" i="3"/>
  <c r="AV37" i="3"/>
  <c r="AV36" i="3"/>
  <c r="AV35" i="3"/>
  <c r="AV34" i="3"/>
  <c r="AV30" i="3"/>
  <c r="AV29" i="3"/>
  <c r="AW39" i="3"/>
  <c r="AW38" i="3"/>
  <c r="AW37" i="3"/>
  <c r="AW35" i="3"/>
  <c r="AW34" i="3"/>
  <c r="AW29" i="3"/>
  <c r="AW36" i="3"/>
  <c r="AW30" i="3"/>
  <c r="AS39" i="3"/>
  <c r="AS38" i="3"/>
  <c r="AS37" i="3"/>
  <c r="AS36" i="3"/>
  <c r="AS34" i="3"/>
  <c r="AS30" i="3"/>
  <c r="AS35" i="3"/>
  <c r="AS29" i="3"/>
  <c r="AZ39" i="3"/>
  <c r="AZ38" i="3"/>
  <c r="AZ37" i="3"/>
  <c r="AZ36" i="3"/>
  <c r="AZ35" i="3"/>
  <c r="AZ34" i="3"/>
  <c r="AZ30" i="3"/>
  <c r="AZ29" i="3"/>
  <c r="AQ39" i="3"/>
  <c r="AQ38" i="3"/>
  <c r="AQ37" i="3"/>
  <c r="AQ36" i="3"/>
  <c r="AQ35" i="3"/>
  <c r="AQ34" i="3"/>
  <c r="AQ30" i="3"/>
  <c r="AQ29" i="3"/>
  <c r="AX37" i="3"/>
  <c r="AX35" i="3"/>
  <c r="AX39" i="3"/>
  <c r="AX38" i="3"/>
  <c r="AX36" i="3"/>
  <c r="AX30" i="3"/>
  <c r="AX34" i="3"/>
  <c r="AX29" i="3"/>
  <c r="BA39" i="3"/>
  <c r="BA37" i="3"/>
  <c r="BA34" i="3"/>
  <c r="AU39" i="3"/>
  <c r="AU38" i="3"/>
  <c r="AU37" i="3"/>
  <c r="AU36" i="3"/>
  <c r="AU35" i="3"/>
  <c r="AU34" i="3"/>
  <c r="AU30" i="3"/>
  <c r="AU29" i="3"/>
  <c r="AR39" i="3"/>
  <c r="AR38" i="3"/>
  <c r="AR37" i="3"/>
  <c r="AR36" i="3"/>
  <c r="AR35" i="3"/>
  <c r="AR34" i="3"/>
  <c r="AR30" i="3"/>
  <c r="AR29" i="3"/>
  <c r="AW28" i="3"/>
  <c r="AW27" i="3"/>
  <c r="AW26" i="3"/>
  <c r="AW25" i="3"/>
  <c r="AW24" i="3"/>
  <c r="AW23" i="3"/>
  <c r="AW18" i="3"/>
  <c r="AW15" i="3"/>
  <c r="AW12" i="3"/>
  <c r="AW11" i="3"/>
  <c r="AS28" i="3"/>
  <c r="AS27" i="3"/>
  <c r="AS26" i="3"/>
  <c r="AS25" i="3"/>
  <c r="AS24" i="3"/>
  <c r="AS23" i="3"/>
  <c r="AS20" i="3"/>
  <c r="AS13" i="3"/>
  <c r="AS12" i="3"/>
  <c r="AS11" i="3"/>
  <c r="AV28" i="3"/>
  <c r="AV27" i="3"/>
  <c r="AV26" i="3"/>
  <c r="AV25" i="3"/>
  <c r="AV24" i="3"/>
  <c r="AV23" i="3"/>
  <c r="AV21" i="3"/>
  <c r="AV20" i="3"/>
  <c r="AV19" i="3"/>
  <c r="AV17" i="3"/>
  <c r="AV14" i="3"/>
  <c r="AV13" i="3"/>
  <c r="AV10" i="3"/>
  <c r="AQ28" i="3"/>
  <c r="AQ27" i="3"/>
  <c r="AQ26" i="3"/>
  <c r="AQ25" i="3"/>
  <c r="AQ24" i="3"/>
  <c r="AQ23" i="3"/>
  <c r="AQ19" i="3"/>
  <c r="AQ15" i="3"/>
  <c r="AQ11" i="3"/>
  <c r="AQ10" i="3"/>
  <c r="AP28" i="3"/>
  <c r="AP27" i="3"/>
  <c r="AP26" i="3"/>
  <c r="AP25" i="3"/>
  <c r="AP24" i="3"/>
  <c r="AP23" i="3"/>
  <c r="AP22" i="3"/>
  <c r="AP20" i="3"/>
  <c r="AP19" i="3"/>
  <c r="AP15" i="3"/>
  <c r="AP14" i="3"/>
  <c r="AP12" i="3"/>
  <c r="AP11" i="3"/>
  <c r="AP10" i="3"/>
  <c r="AZ28" i="3"/>
  <c r="AZ27" i="3"/>
  <c r="AZ26" i="3"/>
  <c r="AZ25" i="3"/>
  <c r="AZ24" i="3"/>
  <c r="AZ23" i="3"/>
  <c r="AZ22" i="3"/>
  <c r="AZ20" i="3"/>
  <c r="AZ15" i="3"/>
  <c r="AZ11" i="3"/>
  <c r="AZ10" i="3"/>
  <c r="AU28" i="3"/>
  <c r="AU27" i="3"/>
  <c r="AU26" i="3"/>
  <c r="AU25" i="3"/>
  <c r="AU24" i="3"/>
  <c r="AU23" i="3"/>
  <c r="AU22" i="3"/>
  <c r="AU19" i="3"/>
  <c r="AU15" i="3"/>
  <c r="AU11" i="3"/>
  <c r="AU10" i="3"/>
  <c r="AX28" i="3"/>
  <c r="AX15" i="3"/>
  <c r="AX11" i="3"/>
  <c r="AX10" i="3"/>
  <c r="AX27" i="3"/>
  <c r="AX26" i="3"/>
  <c r="AX25" i="3"/>
  <c r="AX24" i="3"/>
  <c r="AX23" i="3"/>
  <c r="AX22" i="3"/>
  <c r="AX19" i="3"/>
  <c r="AT11" i="3"/>
  <c r="AT10" i="3"/>
  <c r="AT27" i="3"/>
  <c r="AT26" i="3"/>
  <c r="AT25" i="3"/>
  <c r="AT24" i="3"/>
  <c r="AT23" i="3"/>
  <c r="AT22" i="3"/>
  <c r="AT20" i="3"/>
  <c r="AT19" i="3"/>
  <c r="AT18" i="3"/>
  <c r="AT28" i="3"/>
  <c r="AT15" i="3"/>
  <c r="AT14" i="3"/>
  <c r="AT7" i="3"/>
  <c r="AY28" i="3"/>
  <c r="AY27" i="3"/>
  <c r="AY26" i="3"/>
  <c r="AY25" i="3"/>
  <c r="AY24" i="3"/>
  <c r="AY23" i="3"/>
  <c r="AY22" i="3"/>
  <c r="AY19" i="3"/>
  <c r="AY18" i="3"/>
  <c r="AY15" i="3"/>
  <c r="AY14" i="3"/>
  <c r="AY11" i="3"/>
  <c r="AY10" i="3"/>
  <c r="AR28" i="3"/>
  <c r="AR27" i="3"/>
  <c r="AR26" i="3"/>
  <c r="AR25" i="3"/>
  <c r="AR24" i="3"/>
  <c r="AR23" i="3"/>
  <c r="AR22" i="3"/>
  <c r="AR21" i="3"/>
  <c r="AR20" i="3"/>
  <c r="AR19" i="3"/>
  <c r="AR15" i="3"/>
  <c r="AR14" i="3"/>
  <c r="AR13" i="3"/>
  <c r="AR12" i="3"/>
  <c r="AR11" i="3"/>
  <c r="AR9" i="3"/>
  <c r="AH11" i="4"/>
  <c r="T9" i="7" l="1"/>
  <c r="P17" i="32"/>
  <c r="L17" i="8"/>
  <c r="K17" i="8"/>
  <c r="L14" i="8"/>
  <c r="K14" i="8"/>
  <c r="K12" i="8"/>
  <c r="L12" i="8"/>
  <c r="L13" i="8"/>
  <c r="K13" i="8"/>
  <c r="L11" i="8"/>
  <c r="K11" i="8"/>
  <c r="L19" i="8"/>
  <c r="K19" i="8"/>
  <c r="L18" i="8"/>
  <c r="K18" i="8"/>
  <c r="L15" i="8"/>
  <c r="K15" i="8"/>
  <c r="K16" i="8"/>
  <c r="L16" i="8"/>
  <c r="L9" i="8"/>
  <c r="K9" i="8"/>
  <c r="L10" i="8"/>
  <c r="K10" i="8"/>
  <c r="R11" i="8"/>
  <c r="AU11" i="8"/>
  <c r="AP11" i="8" s="1"/>
  <c r="R11" i="32"/>
  <c r="AU13" i="8"/>
  <c r="AP13" i="8" s="1"/>
  <c r="R13" i="8"/>
  <c r="R13" i="32"/>
  <c r="R15" i="8"/>
  <c r="AU15" i="8"/>
  <c r="AP15" i="8" s="1"/>
  <c r="R15" i="32"/>
  <c r="R16" i="8"/>
  <c r="AU16" i="8"/>
  <c r="AP16" i="8" s="1"/>
  <c r="R16" i="32"/>
  <c r="AU9" i="8"/>
  <c r="AP9" i="8" s="1"/>
  <c r="R9" i="8"/>
  <c r="R19" i="8"/>
  <c r="AU19" i="8"/>
  <c r="AP19" i="8" s="1"/>
  <c r="R19" i="32"/>
  <c r="R14" i="8"/>
  <c r="AU14" i="8"/>
  <c r="AP14" i="8" s="1"/>
  <c r="R14" i="32"/>
  <c r="R10" i="8"/>
  <c r="AU10" i="8"/>
  <c r="AP10" i="8" s="1"/>
  <c r="R10" i="32"/>
  <c r="AU18" i="8"/>
  <c r="AP18" i="8" s="1"/>
  <c r="R18" i="8"/>
  <c r="R18" i="32"/>
  <c r="AU17" i="8"/>
  <c r="AP17" i="8" s="1"/>
  <c r="R17" i="8"/>
  <c r="R17" i="32"/>
  <c r="R12" i="8"/>
  <c r="AU12" i="8"/>
  <c r="AP12" i="8" s="1"/>
  <c r="R12" i="32"/>
  <c r="AI17" i="8"/>
  <c r="AG17" i="8"/>
  <c r="AG14" i="8"/>
  <c r="AI14" i="8"/>
  <c r="AG12" i="8"/>
  <c r="AI12" i="8"/>
  <c r="AG18" i="8"/>
  <c r="AI18" i="8"/>
  <c r="AG11" i="8"/>
  <c r="AI11" i="8"/>
  <c r="AG19" i="8"/>
  <c r="AI19" i="8"/>
  <c r="AG15" i="8"/>
  <c r="AI15" i="8"/>
  <c r="AG16" i="8"/>
  <c r="AI16" i="8"/>
  <c r="AI13" i="8"/>
  <c r="AG13" i="8"/>
  <c r="AG10" i="8"/>
  <c r="AI10" i="8"/>
  <c r="B13" i="7"/>
  <c r="B17" i="7"/>
  <c r="B15" i="7"/>
  <c r="G9" i="8"/>
  <c r="E9" i="8"/>
  <c r="F9" i="8"/>
  <c r="D9" i="8"/>
  <c r="B14" i="7"/>
  <c r="B19" i="7"/>
  <c r="J16" i="32"/>
  <c r="F16" i="32"/>
  <c r="AB16" i="8"/>
  <c r="K16" i="32"/>
  <c r="G16" i="32"/>
  <c r="AH16" i="8"/>
  <c r="AD16" i="8"/>
  <c r="AC16" i="8"/>
  <c r="P16" i="32"/>
  <c r="L16" i="32"/>
  <c r="Q16" i="32"/>
  <c r="AN16" i="8"/>
  <c r="J12" i="32"/>
  <c r="F12" i="32"/>
  <c r="AB12" i="8"/>
  <c r="K12" i="32"/>
  <c r="G12" i="32"/>
  <c r="AH12" i="8"/>
  <c r="AD12" i="8"/>
  <c r="AC12" i="8"/>
  <c r="P12" i="32"/>
  <c r="L12" i="32"/>
  <c r="Q12" i="32"/>
  <c r="AN12" i="8"/>
  <c r="K17" i="32"/>
  <c r="G17" i="32"/>
  <c r="AH17" i="8"/>
  <c r="AD17" i="8"/>
  <c r="AC17" i="8"/>
  <c r="L17" i="32"/>
  <c r="Q17" i="32"/>
  <c r="AN17" i="8"/>
  <c r="J17" i="32"/>
  <c r="F17" i="32"/>
  <c r="AB17" i="8"/>
  <c r="K13" i="32"/>
  <c r="G13" i="32"/>
  <c r="AH13" i="8"/>
  <c r="AD13" i="8"/>
  <c r="AC13" i="8"/>
  <c r="P13" i="32"/>
  <c r="L13" i="32"/>
  <c r="Q13" i="32"/>
  <c r="AN13" i="8"/>
  <c r="J13" i="32"/>
  <c r="F13" i="32"/>
  <c r="AB13" i="8"/>
  <c r="B16" i="7"/>
  <c r="Q11" i="32"/>
  <c r="AN11" i="8"/>
  <c r="J11" i="32"/>
  <c r="F11" i="32"/>
  <c r="AB11" i="8"/>
  <c r="K11" i="32"/>
  <c r="G11" i="32"/>
  <c r="AH11" i="8"/>
  <c r="AD11" i="8"/>
  <c r="P11" i="32"/>
  <c r="L11" i="32"/>
  <c r="AC11" i="8"/>
  <c r="P14" i="32"/>
  <c r="L14" i="32"/>
  <c r="Q14" i="32"/>
  <c r="AN14" i="8"/>
  <c r="J14" i="32"/>
  <c r="F14" i="32"/>
  <c r="AB14" i="8"/>
  <c r="K14" i="32"/>
  <c r="G14" i="32"/>
  <c r="AH14" i="8"/>
  <c r="AD14" i="8"/>
  <c r="AC14" i="8"/>
  <c r="P10" i="32"/>
  <c r="L10" i="32"/>
  <c r="AB10" i="8"/>
  <c r="Q10" i="32"/>
  <c r="AN10" i="8"/>
  <c r="J10" i="32"/>
  <c r="F10" i="32"/>
  <c r="K10" i="32"/>
  <c r="G10" i="32"/>
  <c r="AH10" i="8"/>
  <c r="AD10" i="8"/>
  <c r="AC10" i="8"/>
  <c r="Q19" i="32"/>
  <c r="AN19" i="8"/>
  <c r="J19" i="32"/>
  <c r="F19" i="32"/>
  <c r="AB19" i="8"/>
  <c r="K19" i="32"/>
  <c r="G19" i="32"/>
  <c r="AH19" i="8"/>
  <c r="AD19" i="8"/>
  <c r="P19" i="32"/>
  <c r="L19" i="32"/>
  <c r="AC19" i="8"/>
  <c r="Q15" i="32"/>
  <c r="AN15" i="8"/>
  <c r="AC15" i="8"/>
  <c r="J15" i="32"/>
  <c r="F15" i="32"/>
  <c r="AB15" i="8"/>
  <c r="K15" i="32"/>
  <c r="G15" i="32"/>
  <c r="AH15" i="8"/>
  <c r="AD15" i="8"/>
  <c r="P15" i="32"/>
  <c r="L15" i="32"/>
  <c r="G10" i="6"/>
  <c r="B10" i="7"/>
  <c r="F10" i="6"/>
  <c r="B12" i="7"/>
  <c r="G12" i="6"/>
  <c r="F12" i="6"/>
  <c r="G11" i="6"/>
  <c r="B11" i="7"/>
  <c r="F11" i="6"/>
  <c r="B13" i="32"/>
  <c r="B13" i="8"/>
  <c r="L13" i="7"/>
  <c r="H13" i="6"/>
  <c r="M9" i="7"/>
  <c r="R9" i="32"/>
  <c r="I9" i="6"/>
  <c r="R14" i="5"/>
  <c r="S14" i="5"/>
  <c r="AG9" i="8"/>
  <c r="AI9" i="8"/>
  <c r="BA24" i="3"/>
  <c r="BB24" i="3" s="1"/>
  <c r="AA24" i="3" s="1"/>
  <c r="Y24" i="3" s="1"/>
  <c r="B24" i="4" s="1"/>
  <c r="BA28" i="3"/>
  <c r="BB28" i="3" s="1"/>
  <c r="AA28" i="3" s="1"/>
  <c r="Y28" i="3" s="1"/>
  <c r="B28" i="4" s="1"/>
  <c r="BA9" i="3"/>
  <c r="BA13" i="3"/>
  <c r="BB13" i="3" s="1"/>
  <c r="AA13" i="3" s="1"/>
  <c r="Y13" i="3" s="1"/>
  <c r="B13" i="4" s="1"/>
  <c r="BA17" i="3"/>
  <c r="BB17" i="3" s="1"/>
  <c r="AA17" i="3" s="1"/>
  <c r="Y17" i="3" s="1"/>
  <c r="B17" i="4" s="1"/>
  <c r="BA21" i="3"/>
  <c r="BB21" i="3" s="1"/>
  <c r="AA21" i="3" s="1"/>
  <c r="Y21" i="3" s="1"/>
  <c r="B21" i="4" s="1"/>
  <c r="BA25" i="3"/>
  <c r="BB25" i="3" s="1"/>
  <c r="AA25" i="3" s="1"/>
  <c r="Y25" i="3" s="1"/>
  <c r="B25" i="4" s="1"/>
  <c r="AY39" i="3"/>
  <c r="B18" i="7" s="1"/>
  <c r="BA12" i="3"/>
  <c r="BB12" i="3" s="1"/>
  <c r="AA12" i="3" s="1"/>
  <c r="Y12" i="3" s="1"/>
  <c r="B12" i="4" s="1"/>
  <c r="BA10" i="3"/>
  <c r="BB10" i="3" s="1"/>
  <c r="AA10" i="3" s="1"/>
  <c r="Y10" i="3" s="1"/>
  <c r="B10" i="4" s="1"/>
  <c r="BA14" i="3"/>
  <c r="BB14" i="3" s="1"/>
  <c r="AA14" i="3" s="1"/>
  <c r="Y14" i="3" s="1"/>
  <c r="B14" i="4" s="1"/>
  <c r="BA18" i="3"/>
  <c r="BB18" i="3" s="1"/>
  <c r="AA18" i="3" s="1"/>
  <c r="Y18" i="3" s="1"/>
  <c r="B18" i="4" s="1"/>
  <c r="BA22" i="3"/>
  <c r="BB22" i="3" s="1"/>
  <c r="AA22" i="3" s="1"/>
  <c r="Y22" i="3" s="1"/>
  <c r="B22" i="4" s="1"/>
  <c r="BA26" i="3"/>
  <c r="BB26" i="3" s="1"/>
  <c r="AA26" i="3" s="1"/>
  <c r="Y26" i="3" s="1"/>
  <c r="B26" i="4" s="1"/>
  <c r="BA35" i="3"/>
  <c r="BA16" i="3"/>
  <c r="BA11" i="3"/>
  <c r="BB11" i="3" s="1"/>
  <c r="AA11" i="3" s="1"/>
  <c r="Y11" i="3" s="1"/>
  <c r="B11" i="4" s="1"/>
  <c r="BA15" i="3"/>
  <c r="BA19" i="3"/>
  <c r="BB19" i="3" s="1"/>
  <c r="AA19" i="3" s="1"/>
  <c r="Y19" i="3" s="1"/>
  <c r="B19" i="4" s="1"/>
  <c r="BA23" i="3"/>
  <c r="BB23" i="3" s="1"/>
  <c r="AA23" i="3" s="1"/>
  <c r="Y23" i="3" s="1"/>
  <c r="B23" i="4" s="1"/>
  <c r="BA27" i="3"/>
  <c r="BB27" i="3" s="1"/>
  <c r="AA27" i="3" s="1"/>
  <c r="Y27" i="3" s="1"/>
  <c r="B27" i="4" s="1"/>
  <c r="BA20" i="3"/>
  <c r="BA29" i="3"/>
  <c r="BB29" i="3" s="1"/>
  <c r="AA29" i="3" s="1"/>
  <c r="Y29" i="3" s="1"/>
  <c r="B29" i="4" s="1"/>
  <c r="BA38" i="3"/>
  <c r="BB38" i="3" s="1"/>
  <c r="AA38" i="3" s="1"/>
  <c r="Y38" i="3" s="1"/>
  <c r="B38" i="4" s="1"/>
  <c r="BA30" i="3"/>
  <c r="BB30" i="3" s="1"/>
  <c r="AA30" i="3" s="1"/>
  <c r="Y30" i="3" s="1"/>
  <c r="B30" i="4" s="1"/>
  <c r="BA36" i="3"/>
  <c r="BB36" i="3" s="1"/>
  <c r="AA36" i="3" s="1"/>
  <c r="Y36" i="3" s="1"/>
  <c r="B36" i="4" s="1"/>
  <c r="BA8" i="3"/>
  <c r="BB8" i="3" s="1"/>
  <c r="AA8" i="3" s="1"/>
  <c r="Y8" i="3" s="1"/>
  <c r="B8" i="4" s="1"/>
  <c r="F20" i="7"/>
  <c r="J20" i="7"/>
  <c r="R20" i="7"/>
  <c r="C20" i="7"/>
  <c r="G20" i="7"/>
  <c r="K20" i="7"/>
  <c r="S20" i="7"/>
  <c r="W20" i="7"/>
  <c r="T20" i="7"/>
  <c r="X20" i="7"/>
  <c r="E20" i="7"/>
  <c r="M20" i="7"/>
  <c r="Q20" i="7"/>
  <c r="U20" i="7"/>
  <c r="Y20" i="7"/>
  <c r="T18" i="7"/>
  <c r="X18" i="7"/>
  <c r="E18" i="7"/>
  <c r="M18" i="7"/>
  <c r="Q18" i="7"/>
  <c r="U18" i="7"/>
  <c r="Y18" i="7"/>
  <c r="F18" i="7"/>
  <c r="J18" i="7"/>
  <c r="R18" i="7"/>
  <c r="C18" i="7"/>
  <c r="G18" i="7"/>
  <c r="K18" i="7"/>
  <c r="S18" i="7"/>
  <c r="W18" i="7"/>
  <c r="F17" i="7"/>
  <c r="K17" i="7"/>
  <c r="T17" i="7"/>
  <c r="X17" i="7"/>
  <c r="G17" i="7"/>
  <c r="Q17" i="7"/>
  <c r="U17" i="7"/>
  <c r="Y17" i="7"/>
  <c r="C17" i="7"/>
  <c r="M17" i="7"/>
  <c r="R17" i="7"/>
  <c r="E17" i="7"/>
  <c r="J17" i="7"/>
  <c r="S17" i="7"/>
  <c r="W17" i="7"/>
  <c r="F12" i="7"/>
  <c r="J12" i="7"/>
  <c r="N12" i="7"/>
  <c r="R12" i="7"/>
  <c r="C12" i="7"/>
  <c r="G12" i="7"/>
  <c r="K12" i="7"/>
  <c r="O12" i="7"/>
  <c r="S12" i="7"/>
  <c r="W12" i="7"/>
  <c r="E12" i="7"/>
  <c r="M12" i="7"/>
  <c r="U12" i="7"/>
  <c r="P12" i="7"/>
  <c r="X12" i="7"/>
  <c r="Q12" i="7"/>
  <c r="Y12" i="7"/>
  <c r="T12" i="7"/>
  <c r="E19" i="7"/>
  <c r="M19" i="7"/>
  <c r="Q19" i="7"/>
  <c r="U19" i="7"/>
  <c r="Y19" i="7"/>
  <c r="F19" i="7"/>
  <c r="J19" i="7"/>
  <c r="R19" i="7"/>
  <c r="C19" i="7"/>
  <c r="G19" i="7"/>
  <c r="K19" i="7"/>
  <c r="S19" i="7"/>
  <c r="W19" i="7"/>
  <c r="T19" i="7"/>
  <c r="X19" i="7"/>
  <c r="P10" i="7"/>
  <c r="T10" i="7"/>
  <c r="X10" i="7"/>
  <c r="E10" i="7"/>
  <c r="M10" i="7"/>
  <c r="Q10" i="7"/>
  <c r="U10" i="7"/>
  <c r="Y10" i="7"/>
  <c r="F10" i="7"/>
  <c r="S10" i="7"/>
  <c r="G10" i="7"/>
  <c r="N10" i="7"/>
  <c r="J10" i="7"/>
  <c r="O10" i="7"/>
  <c r="W10" i="7"/>
  <c r="C10" i="7"/>
  <c r="K10" i="7"/>
  <c r="R10" i="7"/>
  <c r="E11" i="7"/>
  <c r="M11" i="7"/>
  <c r="Q11" i="7"/>
  <c r="U11" i="7"/>
  <c r="Y11" i="7"/>
  <c r="F11" i="7"/>
  <c r="J11" i="7"/>
  <c r="N11" i="7"/>
  <c r="R11" i="7"/>
  <c r="P11" i="7"/>
  <c r="X11" i="7"/>
  <c r="C11" i="7"/>
  <c r="K11" i="7"/>
  <c r="S11" i="7"/>
  <c r="T11" i="7"/>
  <c r="G11" i="7"/>
  <c r="O11" i="7"/>
  <c r="W11" i="7"/>
  <c r="C13" i="7"/>
  <c r="G13" i="7"/>
  <c r="K13" i="7"/>
  <c r="O13" i="7"/>
  <c r="S13" i="7"/>
  <c r="P13" i="7"/>
  <c r="T13" i="7"/>
  <c r="X13" i="7"/>
  <c r="J13" i="7"/>
  <c r="Q13" i="7"/>
  <c r="W13" i="7"/>
  <c r="E13" i="7"/>
  <c r="R13" i="7"/>
  <c r="Y13" i="7"/>
  <c r="F13" i="7"/>
  <c r="M13" i="7"/>
  <c r="U13" i="7"/>
  <c r="N13" i="7"/>
  <c r="E14" i="7"/>
  <c r="M14" i="7"/>
  <c r="Q14" i="7"/>
  <c r="U14" i="7"/>
  <c r="Y14" i="7"/>
  <c r="G14" i="7"/>
  <c r="R14" i="7"/>
  <c r="W14" i="7"/>
  <c r="C14" i="7"/>
  <c r="N14" i="7"/>
  <c r="S14" i="7"/>
  <c r="X14" i="7"/>
  <c r="J14" i="7"/>
  <c r="O14" i="7"/>
  <c r="T14" i="7"/>
  <c r="F14" i="7"/>
  <c r="K14" i="7"/>
  <c r="P14" i="7"/>
  <c r="F15" i="7"/>
  <c r="J15" i="7"/>
  <c r="N15" i="7"/>
  <c r="R15" i="7"/>
  <c r="G15" i="7"/>
  <c r="Q15" i="7"/>
  <c r="W15" i="7"/>
  <c r="C15" i="7"/>
  <c r="M15" i="7"/>
  <c r="S15" i="7"/>
  <c r="X15" i="7"/>
  <c r="O15" i="7"/>
  <c r="T15" i="7"/>
  <c r="Y15" i="7"/>
  <c r="E15" i="7"/>
  <c r="K15" i="7"/>
  <c r="P15" i="7"/>
  <c r="U15" i="7"/>
  <c r="C16" i="7"/>
  <c r="G16" i="7"/>
  <c r="K16" i="7"/>
  <c r="S16" i="7"/>
  <c r="W16" i="7"/>
  <c r="F16" i="7"/>
  <c r="Q16" i="7"/>
  <c r="M16" i="7"/>
  <c r="R16" i="7"/>
  <c r="X16" i="7"/>
  <c r="T16" i="7"/>
  <c r="Y16" i="7"/>
  <c r="E16" i="7"/>
  <c r="J16" i="7"/>
  <c r="U16" i="7"/>
  <c r="BB34" i="3"/>
  <c r="AA34" i="3" s="1"/>
  <c r="Y34" i="3" s="1"/>
  <c r="B34" i="4" s="1"/>
  <c r="BB37" i="3"/>
  <c r="AA37" i="3" s="1"/>
  <c r="Y37" i="3" s="1"/>
  <c r="B37" i="4" s="1"/>
  <c r="BB41" i="3"/>
  <c r="BB40" i="3"/>
  <c r="AA40" i="3" s="1"/>
  <c r="Y40" i="3" s="1"/>
  <c r="B40" i="4" s="1"/>
  <c r="F9" i="32"/>
  <c r="AB9" i="8"/>
  <c r="K9" i="32"/>
  <c r="AN9" i="8"/>
  <c r="L9" i="32"/>
  <c r="Q9" i="32"/>
  <c r="AH9" i="8"/>
  <c r="G9" i="32"/>
  <c r="P9" i="32"/>
  <c r="AD9" i="8"/>
  <c r="M9" i="6"/>
  <c r="V9" i="6"/>
  <c r="F9" i="6"/>
  <c r="B9" i="7"/>
  <c r="G9" i="7"/>
  <c r="P9" i="7"/>
  <c r="Q9" i="7"/>
  <c r="U9" i="7"/>
  <c r="Y9" i="7"/>
  <c r="F9" i="7"/>
  <c r="G9" i="6"/>
  <c r="N9" i="7"/>
  <c r="E9" i="7"/>
  <c r="J9" i="7"/>
  <c r="R9" i="7"/>
  <c r="K9" i="6"/>
  <c r="T9" i="6"/>
  <c r="L9" i="6"/>
  <c r="U9" i="6"/>
  <c r="S9" i="7"/>
  <c r="W9" i="7"/>
  <c r="K9" i="7"/>
  <c r="C9" i="7"/>
  <c r="O9" i="7"/>
  <c r="X9" i="7"/>
  <c r="AH12" i="4"/>
  <c r="L29" i="4" l="1"/>
  <c r="M29" i="4"/>
  <c r="N29" i="4"/>
  <c r="O29" i="4"/>
  <c r="P29" i="4"/>
  <c r="Q29" i="4"/>
  <c r="F29" i="4"/>
  <c r="K29" i="4"/>
  <c r="L14" i="4"/>
  <c r="M14" i="4"/>
  <c r="N14" i="4"/>
  <c r="O14" i="4"/>
  <c r="P14" i="4"/>
  <c r="Q14" i="4"/>
  <c r="F14" i="4"/>
  <c r="K14" i="4"/>
  <c r="M40" i="4"/>
  <c r="N40" i="4"/>
  <c r="O40" i="4"/>
  <c r="P40" i="4"/>
  <c r="Q40" i="4"/>
  <c r="L40" i="4"/>
  <c r="F40" i="4"/>
  <c r="K40" i="4"/>
  <c r="L10" i="4"/>
  <c r="M10" i="4"/>
  <c r="N10" i="4"/>
  <c r="O10" i="4"/>
  <c r="P10" i="4"/>
  <c r="Q10" i="4"/>
  <c r="K10" i="4"/>
  <c r="F10" i="4"/>
  <c r="L27" i="4"/>
  <c r="M27" i="4"/>
  <c r="Q27" i="4"/>
  <c r="P27" i="4"/>
  <c r="N27" i="4"/>
  <c r="O27" i="4"/>
  <c r="F27" i="4"/>
  <c r="K27" i="4"/>
  <c r="L12" i="4"/>
  <c r="M12" i="4"/>
  <c r="N12" i="4"/>
  <c r="O12" i="4"/>
  <c r="P12" i="4"/>
  <c r="Q12" i="4"/>
  <c r="K12" i="4"/>
  <c r="F12" i="4"/>
  <c r="L37" i="4"/>
  <c r="M37" i="4"/>
  <c r="P37" i="4"/>
  <c r="Q37" i="4"/>
  <c r="O37" i="4"/>
  <c r="N37" i="4"/>
  <c r="K37" i="4"/>
  <c r="F37" i="4"/>
  <c r="L23" i="4"/>
  <c r="M23" i="4"/>
  <c r="O23" i="4"/>
  <c r="P23" i="4"/>
  <c r="Q23" i="4"/>
  <c r="N23" i="4"/>
  <c r="K23" i="4"/>
  <c r="F23" i="4"/>
  <c r="M34" i="4"/>
  <c r="N34" i="4"/>
  <c r="O34" i="4"/>
  <c r="P34" i="4"/>
  <c r="Q34" i="4"/>
  <c r="L34" i="4"/>
  <c r="K34" i="4"/>
  <c r="F34" i="4"/>
  <c r="L19" i="4"/>
  <c r="M19" i="4"/>
  <c r="O19" i="4"/>
  <c r="N19" i="4"/>
  <c r="P19" i="4"/>
  <c r="Q19" i="4"/>
  <c r="K19" i="4"/>
  <c r="F19" i="4"/>
  <c r="L25" i="4"/>
  <c r="M25" i="4"/>
  <c r="N25" i="4"/>
  <c r="O25" i="4"/>
  <c r="P25" i="4"/>
  <c r="Q25" i="4"/>
  <c r="K25" i="4"/>
  <c r="F25" i="4"/>
  <c r="L21" i="4"/>
  <c r="M21" i="4"/>
  <c r="N21" i="4"/>
  <c r="O21" i="4"/>
  <c r="P21" i="4"/>
  <c r="Q21" i="4"/>
  <c r="K21" i="4"/>
  <c r="F21" i="4"/>
  <c r="L11" i="4"/>
  <c r="M11" i="4"/>
  <c r="N11" i="4"/>
  <c r="O11" i="4"/>
  <c r="P11" i="4"/>
  <c r="Q11" i="4"/>
  <c r="K11" i="4"/>
  <c r="F11" i="4"/>
  <c r="M17" i="4"/>
  <c r="L17" i="4"/>
  <c r="Q17" i="4"/>
  <c r="N17" i="4"/>
  <c r="O17" i="4"/>
  <c r="P17" i="4"/>
  <c r="F17" i="4"/>
  <c r="K17" i="4"/>
  <c r="L13" i="4"/>
  <c r="M13" i="4"/>
  <c r="N13" i="4"/>
  <c r="O13" i="4"/>
  <c r="P13" i="4"/>
  <c r="Q13" i="4"/>
  <c r="K13" i="4"/>
  <c r="F13" i="4"/>
  <c r="L8" i="4"/>
  <c r="M8" i="4"/>
  <c r="N8" i="4"/>
  <c r="O8" i="4"/>
  <c r="P8" i="4"/>
  <c r="Q8" i="4"/>
  <c r="K8" i="4"/>
  <c r="F8" i="4"/>
  <c r="M36" i="4"/>
  <c r="N36" i="4"/>
  <c r="O36" i="4"/>
  <c r="P36" i="4"/>
  <c r="Q36" i="4"/>
  <c r="L36" i="4"/>
  <c r="K36" i="4"/>
  <c r="F36" i="4"/>
  <c r="M26" i="4"/>
  <c r="N26" i="4"/>
  <c r="O26" i="4"/>
  <c r="P26" i="4"/>
  <c r="Q26" i="4"/>
  <c r="L26" i="4"/>
  <c r="F26" i="4"/>
  <c r="K26" i="4"/>
  <c r="M28" i="4"/>
  <c r="N28" i="4"/>
  <c r="O28" i="4"/>
  <c r="P28" i="4"/>
  <c r="Q28" i="4"/>
  <c r="L28" i="4"/>
  <c r="F28" i="4"/>
  <c r="K28" i="4"/>
  <c r="M30" i="4"/>
  <c r="N30" i="4"/>
  <c r="O30" i="4"/>
  <c r="P30" i="4"/>
  <c r="Q30" i="4"/>
  <c r="L30" i="4"/>
  <c r="F30" i="4"/>
  <c r="K30" i="4"/>
  <c r="M22" i="4"/>
  <c r="N22" i="4"/>
  <c r="O22" i="4"/>
  <c r="P22" i="4"/>
  <c r="Q22" i="4"/>
  <c r="L22" i="4"/>
  <c r="K22" i="4"/>
  <c r="F22" i="4"/>
  <c r="M24" i="4"/>
  <c r="N24" i="4"/>
  <c r="O24" i="4"/>
  <c r="P24" i="4"/>
  <c r="Q24" i="4"/>
  <c r="L24" i="4"/>
  <c r="K24" i="4"/>
  <c r="F24" i="4"/>
  <c r="M38" i="4"/>
  <c r="N38" i="4"/>
  <c r="O38" i="4"/>
  <c r="P38" i="4"/>
  <c r="Q38" i="4"/>
  <c r="L38" i="4"/>
  <c r="F38" i="4"/>
  <c r="K38" i="4"/>
  <c r="M18" i="4"/>
  <c r="N18" i="4"/>
  <c r="O18" i="4"/>
  <c r="P18" i="4"/>
  <c r="Q18" i="4"/>
  <c r="L18" i="4"/>
  <c r="F18" i="4"/>
  <c r="K18" i="4"/>
  <c r="E23" i="4"/>
  <c r="G23" i="4"/>
  <c r="E18" i="4"/>
  <c r="E19" i="4"/>
  <c r="J25" i="4"/>
  <c r="G25" i="4"/>
  <c r="H25" i="4"/>
  <c r="E25" i="4"/>
  <c r="I25" i="4"/>
  <c r="E26" i="4"/>
  <c r="I26" i="4"/>
  <c r="J26" i="4"/>
  <c r="G26" i="4"/>
  <c r="H26" i="4"/>
  <c r="E21" i="4"/>
  <c r="H27" i="4"/>
  <c r="E27" i="4"/>
  <c r="I27" i="4"/>
  <c r="J27" i="4"/>
  <c r="G27" i="4"/>
  <c r="E22" i="4"/>
  <c r="G22" i="4"/>
  <c r="J22" i="4"/>
  <c r="H22" i="4"/>
  <c r="G24" i="4"/>
  <c r="H24" i="4"/>
  <c r="E24" i="4"/>
  <c r="I24" i="4"/>
  <c r="J24" i="4"/>
  <c r="I34" i="4"/>
  <c r="E34" i="4"/>
  <c r="J34" i="4"/>
  <c r="H34" i="4"/>
  <c r="G34" i="4"/>
  <c r="E8" i="4"/>
  <c r="E14" i="4"/>
  <c r="G36" i="4"/>
  <c r="H36" i="4"/>
  <c r="J36" i="4"/>
  <c r="E36" i="4"/>
  <c r="I36" i="4"/>
  <c r="E10" i="4"/>
  <c r="J28" i="4"/>
  <c r="H28" i="4"/>
  <c r="I28" i="4"/>
  <c r="E28" i="4"/>
  <c r="G28" i="4"/>
  <c r="H30" i="4"/>
  <c r="J30" i="4"/>
  <c r="G30" i="4"/>
  <c r="I30" i="4"/>
  <c r="E30" i="4"/>
  <c r="E11" i="4"/>
  <c r="E12" i="4"/>
  <c r="E17" i="4"/>
  <c r="E29" i="4"/>
  <c r="I29" i="4"/>
  <c r="G29" i="4"/>
  <c r="J29" i="4"/>
  <c r="H29" i="4"/>
  <c r="J37" i="4"/>
  <c r="G37" i="4"/>
  <c r="E37" i="4"/>
  <c r="H37" i="4"/>
  <c r="I37" i="4"/>
  <c r="E38" i="4"/>
  <c r="I38" i="4"/>
  <c r="H38" i="4"/>
  <c r="J38" i="4"/>
  <c r="G38" i="4"/>
  <c r="E13" i="4"/>
  <c r="G40" i="4"/>
  <c r="I40" i="4"/>
  <c r="H40" i="4"/>
  <c r="J40" i="4"/>
  <c r="Z9" i="7"/>
  <c r="AC9" i="7" s="1"/>
  <c r="E40" i="4"/>
  <c r="R20" i="32"/>
  <c r="AU20" i="8"/>
  <c r="AP20" i="8" s="1"/>
  <c r="R20" i="8"/>
  <c r="Z10" i="7"/>
  <c r="AC10" i="7" s="1"/>
  <c r="Z14" i="7"/>
  <c r="AC14" i="7" s="1"/>
  <c r="Z18" i="7"/>
  <c r="Z11" i="7"/>
  <c r="AC11" i="7" s="1"/>
  <c r="Z15" i="7"/>
  <c r="AC15" i="7" s="1"/>
  <c r="Z19" i="7"/>
  <c r="Z17" i="7"/>
  <c r="Z12" i="7"/>
  <c r="AC12" i="7" s="1"/>
  <c r="Z20" i="7"/>
  <c r="Z13" i="7"/>
  <c r="AC13" i="7" s="1"/>
  <c r="Z16" i="7"/>
  <c r="BB20" i="3"/>
  <c r="AA20" i="3" s="1"/>
  <c r="Y20" i="3" s="1"/>
  <c r="B20" i="4" s="1"/>
  <c r="K20" i="8"/>
  <c r="L20" i="8"/>
  <c r="BB16" i="3"/>
  <c r="AA16" i="3" s="1"/>
  <c r="Y16" i="3" s="1"/>
  <c r="B16" i="4" s="1"/>
  <c r="AG20" i="8"/>
  <c r="AI20" i="8"/>
  <c r="AB18" i="8"/>
  <c r="G18" i="32"/>
  <c r="AC18" i="8"/>
  <c r="Q18" i="32"/>
  <c r="AD18" i="8"/>
  <c r="K18" i="32"/>
  <c r="F18" i="32"/>
  <c r="L18" i="32"/>
  <c r="AH18" i="8"/>
  <c r="J18" i="32"/>
  <c r="AN18" i="8"/>
  <c r="P18" i="32"/>
  <c r="BB15" i="3"/>
  <c r="AA15" i="3" s="1"/>
  <c r="Y15" i="3" s="1"/>
  <c r="B15" i="4" s="1"/>
  <c r="R37" i="4"/>
  <c r="D37" i="4"/>
  <c r="BB35" i="3"/>
  <c r="AA35" i="3" s="1"/>
  <c r="Y35" i="3" s="1"/>
  <c r="B35" i="4" s="1"/>
  <c r="J20" i="32"/>
  <c r="F20" i="32"/>
  <c r="AB20" i="8"/>
  <c r="K20" i="32"/>
  <c r="G20" i="32"/>
  <c r="AH20" i="8"/>
  <c r="AD20" i="8"/>
  <c r="AC20" i="8"/>
  <c r="P20" i="32"/>
  <c r="L20" i="32"/>
  <c r="AE20" i="8"/>
  <c r="Q20" i="32"/>
  <c r="AN20" i="8"/>
  <c r="BB9" i="3"/>
  <c r="AA9" i="3" s="1"/>
  <c r="Y9" i="3" s="1"/>
  <c r="B9" i="4" s="1"/>
  <c r="B20" i="7"/>
  <c r="B14" i="32"/>
  <c r="B14" i="8"/>
  <c r="L14" i="7"/>
  <c r="H14" i="6"/>
  <c r="S15" i="5"/>
  <c r="R15" i="5"/>
  <c r="B14" i="6" s="1"/>
  <c r="D11" i="4"/>
  <c r="D27" i="4"/>
  <c r="AC27" i="4"/>
  <c r="V27" i="4"/>
  <c r="W27" i="4"/>
  <c r="U27" i="4"/>
  <c r="R27" i="4"/>
  <c r="X27" i="4"/>
  <c r="AB27" i="4"/>
  <c r="Y27" i="4"/>
  <c r="S27" i="4"/>
  <c r="Z27" i="4"/>
  <c r="T27" i="4"/>
  <c r="AA27" i="4"/>
  <c r="D22" i="4"/>
  <c r="S22" i="4"/>
  <c r="D12" i="4"/>
  <c r="D14" i="4"/>
  <c r="D29" i="4"/>
  <c r="Y29" i="4"/>
  <c r="T29" i="4"/>
  <c r="X29" i="4"/>
  <c r="W29" i="4"/>
  <c r="R29" i="4"/>
  <c r="S29" i="4"/>
  <c r="V29" i="4"/>
  <c r="U29" i="4"/>
  <c r="Z29" i="4"/>
  <c r="AA29" i="4"/>
  <c r="D19" i="4"/>
  <c r="D38" i="4"/>
  <c r="R38" i="4"/>
  <c r="D13" i="4"/>
  <c r="D10" i="4"/>
  <c r="D25" i="4"/>
  <c r="T25" i="4"/>
  <c r="AA25" i="4"/>
  <c r="I18" i="32" s="1"/>
  <c r="W25" i="4"/>
  <c r="U25" i="4"/>
  <c r="R25" i="4"/>
  <c r="S25" i="4"/>
  <c r="V25" i="4"/>
  <c r="Z25" i="4"/>
  <c r="Y25" i="4"/>
  <c r="X25" i="4"/>
  <c r="D23" i="4"/>
  <c r="S23" i="4"/>
  <c r="X23" i="4"/>
  <c r="R23" i="4"/>
  <c r="Y23" i="4"/>
  <c r="T23" i="4"/>
  <c r="AA23" i="4"/>
  <c r="W23" i="4"/>
  <c r="U23" i="4"/>
  <c r="V23" i="4"/>
  <c r="Z23" i="4"/>
  <c r="D18" i="4"/>
  <c r="D21" i="4"/>
  <c r="U21" i="4"/>
  <c r="D28" i="4"/>
  <c r="AA28" i="4"/>
  <c r="U28" i="4"/>
  <c r="Y28" i="4"/>
  <c r="R28" i="4"/>
  <c r="V28" i="4"/>
  <c r="W28" i="4"/>
  <c r="X28" i="4"/>
  <c r="T28" i="4"/>
  <c r="Z28" i="4"/>
  <c r="S28" i="4"/>
  <c r="D26" i="4"/>
  <c r="X26" i="4"/>
  <c r="Z26" i="4"/>
  <c r="AA26" i="4"/>
  <c r="V26" i="4"/>
  <c r="U26" i="4"/>
  <c r="W26" i="4"/>
  <c r="R26" i="4"/>
  <c r="T26" i="4"/>
  <c r="S26" i="4"/>
  <c r="Y26" i="4"/>
  <c r="D17" i="4"/>
  <c r="S17" i="4"/>
  <c r="D24" i="4"/>
  <c r="Z24" i="4"/>
  <c r="H17" i="7" s="1"/>
  <c r="T24" i="4"/>
  <c r="H11" i="7" s="1"/>
  <c r="R24" i="4"/>
  <c r="H9" i="7" s="1"/>
  <c r="Y24" i="4"/>
  <c r="H16" i="7" s="1"/>
  <c r="AA24" i="4"/>
  <c r="H18" i="7" s="1"/>
  <c r="V24" i="4"/>
  <c r="H13" i="7" s="1"/>
  <c r="W24" i="4"/>
  <c r="H14" i="7" s="1"/>
  <c r="X24" i="4"/>
  <c r="H15" i="7" s="1"/>
  <c r="S24" i="4"/>
  <c r="H10" i="7" s="1"/>
  <c r="U24" i="4"/>
  <c r="H12" i="7" s="1"/>
  <c r="Z38" i="4"/>
  <c r="D30" i="4"/>
  <c r="AA30" i="4"/>
  <c r="Z30" i="4"/>
  <c r="AC30" i="4"/>
  <c r="V30" i="4"/>
  <c r="AB30" i="4"/>
  <c r="U30" i="4"/>
  <c r="S30" i="4"/>
  <c r="T30" i="4"/>
  <c r="X30" i="4"/>
  <c r="W30" i="4"/>
  <c r="Y30" i="4"/>
  <c r="R30" i="4"/>
  <c r="J9" i="32" s="1"/>
  <c r="D36" i="4"/>
  <c r="T36" i="4"/>
  <c r="Y36" i="4"/>
  <c r="AB36" i="4"/>
  <c r="Z36" i="4"/>
  <c r="U36" i="4"/>
  <c r="X36" i="4"/>
  <c r="R36" i="4"/>
  <c r="W36" i="4"/>
  <c r="D8" i="4"/>
  <c r="AA41" i="3"/>
  <c r="Y41" i="3" s="1"/>
  <c r="B41" i="4" s="1"/>
  <c r="D34" i="4"/>
  <c r="BB39" i="3"/>
  <c r="AA39" i="3" s="1"/>
  <c r="Y39" i="3" s="1"/>
  <c r="B39" i="4" s="1"/>
  <c r="I19" i="6"/>
  <c r="V19" i="6"/>
  <c r="F19" i="6"/>
  <c r="K19" i="6"/>
  <c r="G19" i="6"/>
  <c r="L19" i="6"/>
  <c r="T19" i="6"/>
  <c r="M19" i="6"/>
  <c r="U19" i="6"/>
  <c r="M15" i="6"/>
  <c r="U15" i="6"/>
  <c r="I15" i="6"/>
  <c r="T15" i="6"/>
  <c r="F15" i="6"/>
  <c r="K15" i="6"/>
  <c r="V15" i="6"/>
  <c r="G15" i="6"/>
  <c r="L15" i="6"/>
  <c r="I18" i="6"/>
  <c r="V18" i="6"/>
  <c r="F18" i="6"/>
  <c r="K18" i="6"/>
  <c r="G18" i="6"/>
  <c r="L18" i="6"/>
  <c r="T18" i="6"/>
  <c r="M18" i="6"/>
  <c r="U18" i="6"/>
  <c r="I20" i="6"/>
  <c r="F20" i="6"/>
  <c r="K20" i="6"/>
  <c r="G20" i="6"/>
  <c r="L20" i="6"/>
  <c r="T20" i="6"/>
  <c r="M20" i="6"/>
  <c r="U20" i="6"/>
  <c r="V20" i="6"/>
  <c r="M14" i="6"/>
  <c r="U14" i="6"/>
  <c r="F14" i="6"/>
  <c r="K14" i="6"/>
  <c r="L14" i="6"/>
  <c r="G14" i="6"/>
  <c r="T14" i="6"/>
  <c r="V14" i="6"/>
  <c r="I14" i="6"/>
  <c r="M11" i="6"/>
  <c r="U11" i="6"/>
  <c r="I11" i="6"/>
  <c r="V11" i="6"/>
  <c r="K11" i="6"/>
  <c r="L11" i="6"/>
  <c r="T11" i="6"/>
  <c r="G16" i="6"/>
  <c r="L16" i="6"/>
  <c r="T16" i="6"/>
  <c r="I16" i="6"/>
  <c r="U16" i="6"/>
  <c r="K16" i="6"/>
  <c r="V16" i="6"/>
  <c r="F16" i="6"/>
  <c r="M16" i="6"/>
  <c r="G17" i="6"/>
  <c r="I17" i="6"/>
  <c r="V17" i="6"/>
  <c r="K17" i="6"/>
  <c r="F17" i="6"/>
  <c r="L17" i="6"/>
  <c r="T17" i="6"/>
  <c r="M17" i="6"/>
  <c r="U17" i="6"/>
  <c r="I10" i="6"/>
  <c r="V10" i="6"/>
  <c r="K10" i="6"/>
  <c r="L10" i="6"/>
  <c r="T10" i="6"/>
  <c r="M10" i="6"/>
  <c r="U10" i="6"/>
  <c r="I12" i="6"/>
  <c r="V12" i="6"/>
  <c r="K12" i="6"/>
  <c r="L12" i="6"/>
  <c r="T12" i="6"/>
  <c r="M12" i="6"/>
  <c r="U12" i="6"/>
  <c r="I13" i="6"/>
  <c r="V13" i="6"/>
  <c r="G13" i="6"/>
  <c r="L13" i="6"/>
  <c r="T13" i="6"/>
  <c r="M13" i="6"/>
  <c r="F13" i="6"/>
  <c r="U13" i="6"/>
  <c r="K13" i="6"/>
  <c r="D40" i="4"/>
  <c r="BB7" i="3"/>
  <c r="AA7" i="3" s="1"/>
  <c r="Y7" i="3" s="1"/>
  <c r="B7" i="4" s="1"/>
  <c r="Y22" i="4"/>
  <c r="W22" i="4"/>
  <c r="S36" i="4"/>
  <c r="AA22" i="4"/>
  <c r="X22" i="4"/>
  <c r="Z22" i="4"/>
  <c r="AH13" i="4"/>
  <c r="B13" i="6"/>
  <c r="I13" i="4" l="1"/>
  <c r="AO13" i="4"/>
  <c r="AQ13" i="4"/>
  <c r="AP13" i="4"/>
  <c r="AJ13" i="4"/>
  <c r="AR13" i="4"/>
  <c r="AS13" i="4"/>
  <c r="AK13" i="4"/>
  <c r="AL13" i="4"/>
  <c r="AM13" i="4"/>
  <c r="AN13" i="4"/>
  <c r="H8" i="4"/>
  <c r="AK8" i="4"/>
  <c r="AL8" i="4"/>
  <c r="AM8" i="4"/>
  <c r="AN8" i="4"/>
  <c r="AP8" i="4"/>
  <c r="AO8" i="4"/>
  <c r="AR8" i="4"/>
  <c r="AQ8" i="4"/>
  <c r="AS8" i="4"/>
  <c r="AJ8" i="4"/>
  <c r="AK28" i="4"/>
  <c r="AS28" i="4"/>
  <c r="AJ28" i="4"/>
  <c r="AL28" i="4"/>
  <c r="AM28" i="4"/>
  <c r="AN28" i="4"/>
  <c r="AO28" i="4"/>
  <c r="AP28" i="4"/>
  <c r="AQ28" i="4"/>
  <c r="AR28" i="4"/>
  <c r="AJ26" i="4"/>
  <c r="AS26" i="4"/>
  <c r="AK26" i="4"/>
  <c r="AL26" i="4"/>
  <c r="AM26" i="4"/>
  <c r="AN26" i="4"/>
  <c r="AO26" i="4"/>
  <c r="AP26" i="4"/>
  <c r="AR26" i="4"/>
  <c r="AQ26" i="4"/>
  <c r="AN22" i="4"/>
  <c r="AO22" i="4"/>
  <c r="AP22" i="4"/>
  <c r="AM22" i="4"/>
  <c r="AQ22" i="4"/>
  <c r="AR22" i="4"/>
  <c r="AS22" i="4"/>
  <c r="AK22" i="4"/>
  <c r="AJ22" i="4"/>
  <c r="AL22" i="4"/>
  <c r="AK29" i="4"/>
  <c r="AM29" i="4"/>
  <c r="AN29" i="4"/>
  <c r="AO29" i="4"/>
  <c r="AP29" i="4"/>
  <c r="AQ29" i="4"/>
  <c r="AR29" i="4"/>
  <c r="AJ29" i="4"/>
  <c r="AS29" i="4"/>
  <c r="AL29" i="4"/>
  <c r="AM25" i="4"/>
  <c r="AN25" i="4"/>
  <c r="AP25" i="4"/>
  <c r="AO25" i="4"/>
  <c r="AQ25" i="4"/>
  <c r="AJ25" i="4"/>
  <c r="AR25" i="4"/>
  <c r="AS25" i="4"/>
  <c r="AK25" i="4"/>
  <c r="AL25" i="4"/>
  <c r="AP17" i="4"/>
  <c r="AQ17" i="4"/>
  <c r="AR17" i="4"/>
  <c r="AS17" i="4"/>
  <c r="AL17" i="4"/>
  <c r="AJ17" i="4"/>
  <c r="AK17" i="4"/>
  <c r="AM17" i="4"/>
  <c r="AN17" i="4"/>
  <c r="AO17" i="4"/>
  <c r="AN34" i="4"/>
  <c r="AO34" i="4"/>
  <c r="AP34" i="4"/>
  <c r="AQ34" i="4"/>
  <c r="AM34" i="4"/>
  <c r="AR34" i="4"/>
  <c r="AS34" i="4"/>
  <c r="AK34" i="4"/>
  <c r="AJ34" i="4"/>
  <c r="AL34" i="4"/>
  <c r="AK38" i="4"/>
  <c r="AL38" i="4"/>
  <c r="AM38" i="4"/>
  <c r="AN38" i="4"/>
  <c r="AO38" i="4"/>
  <c r="AP38" i="4"/>
  <c r="AR38" i="4"/>
  <c r="AQ38" i="4"/>
  <c r="AS38" i="4"/>
  <c r="AJ38" i="4"/>
  <c r="AK12" i="4"/>
  <c r="AL12" i="4"/>
  <c r="AN12" i="4"/>
  <c r="AJ12" i="4"/>
  <c r="AM12" i="4"/>
  <c r="AS12" i="4"/>
  <c r="AO12" i="4"/>
  <c r="AP12" i="4"/>
  <c r="AQ12" i="4"/>
  <c r="AR12" i="4"/>
  <c r="H10" i="4"/>
  <c r="AR10" i="4"/>
  <c r="AS10" i="4"/>
  <c r="AK10" i="4"/>
  <c r="AJ10" i="4"/>
  <c r="AL10" i="4"/>
  <c r="AQ10" i="4"/>
  <c r="AM10" i="4"/>
  <c r="AN10" i="4"/>
  <c r="AO10" i="4"/>
  <c r="AP10" i="4"/>
  <c r="H14" i="4"/>
  <c r="AQ14" i="4"/>
  <c r="AS14" i="4"/>
  <c r="AK14" i="4"/>
  <c r="AJ14" i="4"/>
  <c r="AL14" i="4"/>
  <c r="AM14" i="4"/>
  <c r="AN14" i="4"/>
  <c r="AO14" i="4"/>
  <c r="AP14" i="4"/>
  <c r="AR14" i="4"/>
  <c r="AK40" i="4"/>
  <c r="AJ40" i="4"/>
  <c r="AL40" i="4"/>
  <c r="AM40" i="4"/>
  <c r="AN40" i="4"/>
  <c r="AO40" i="4"/>
  <c r="AP40" i="4"/>
  <c r="AQ40" i="4"/>
  <c r="AR40" i="4"/>
  <c r="AS40" i="4"/>
  <c r="G11" i="4"/>
  <c r="AL11" i="4"/>
  <c r="AK11" i="4"/>
  <c r="AJ11" i="4"/>
  <c r="AM11" i="4"/>
  <c r="AN11" i="4"/>
  <c r="AO11" i="4"/>
  <c r="AP11" i="4"/>
  <c r="AQ11" i="4"/>
  <c r="AR11" i="4"/>
  <c r="AS11" i="4"/>
  <c r="AO27" i="4"/>
  <c r="AP27" i="4"/>
  <c r="AQ27" i="4"/>
  <c r="AR27" i="4"/>
  <c r="AN27" i="4"/>
  <c r="AS27" i="4"/>
  <c r="AJ27" i="4"/>
  <c r="AK27" i="4"/>
  <c r="AL27" i="4"/>
  <c r="AM27" i="4"/>
  <c r="AJ30" i="4"/>
  <c r="AO30" i="4"/>
  <c r="AM30" i="4"/>
  <c r="AP30" i="4"/>
  <c r="AQ30" i="4"/>
  <c r="AR30" i="4"/>
  <c r="AS30" i="4"/>
  <c r="AK30" i="4"/>
  <c r="AN30" i="4"/>
  <c r="AL30" i="4"/>
  <c r="AQ36" i="4"/>
  <c r="AR36" i="4"/>
  <c r="AS36" i="4"/>
  <c r="AK36" i="4"/>
  <c r="AL36" i="4"/>
  <c r="AN36" i="4"/>
  <c r="AJ36" i="4"/>
  <c r="AM36" i="4"/>
  <c r="AP36" i="4"/>
  <c r="AO36" i="4"/>
  <c r="AL19" i="4"/>
  <c r="AM19" i="4"/>
  <c r="AN19" i="4"/>
  <c r="AP19" i="4"/>
  <c r="AO19" i="4"/>
  <c r="AQ19" i="4"/>
  <c r="AJ19" i="4"/>
  <c r="AK19" i="4"/>
  <c r="AR19" i="4"/>
  <c r="AS19" i="4"/>
  <c r="AP37" i="4"/>
  <c r="AQ37" i="4"/>
  <c r="AO37" i="4"/>
  <c r="AN37" i="4"/>
  <c r="AJ37" i="4"/>
  <c r="AR37" i="4"/>
  <c r="AS37" i="4"/>
  <c r="AK37" i="4"/>
  <c r="AL37" i="4"/>
  <c r="AM37" i="4"/>
  <c r="AQ24" i="4"/>
  <c r="AR24" i="4"/>
  <c r="AS24" i="4"/>
  <c r="AP24" i="4"/>
  <c r="AK24" i="4"/>
  <c r="AL24" i="4"/>
  <c r="AN24" i="4"/>
  <c r="AJ24" i="4"/>
  <c r="AM24" i="4"/>
  <c r="AO24" i="4"/>
  <c r="AQ21" i="4"/>
  <c r="AR21" i="4"/>
  <c r="AS21" i="4"/>
  <c r="AJ21" i="4"/>
  <c r="AK21" i="4"/>
  <c r="AL21" i="4"/>
  <c r="AP21" i="4"/>
  <c r="AM21" i="4"/>
  <c r="AN21" i="4"/>
  <c r="AO21" i="4"/>
  <c r="AJ18" i="4"/>
  <c r="AP18" i="4"/>
  <c r="AQ18" i="4"/>
  <c r="AR18" i="4"/>
  <c r="AS18" i="4"/>
  <c r="AK18" i="4"/>
  <c r="AL18" i="4"/>
  <c r="AO18" i="4"/>
  <c r="AN18" i="4"/>
  <c r="AM18" i="4"/>
  <c r="AJ23" i="4"/>
  <c r="AK23" i="4"/>
  <c r="AM23" i="4"/>
  <c r="AN23" i="4"/>
  <c r="AO23" i="4"/>
  <c r="AP23" i="4"/>
  <c r="AQ23" i="4"/>
  <c r="AR23" i="4"/>
  <c r="AS23" i="4"/>
  <c r="AL23" i="4"/>
  <c r="M9" i="4"/>
  <c r="L9" i="4"/>
  <c r="N9" i="4"/>
  <c r="O9" i="4"/>
  <c r="P9" i="4"/>
  <c r="Q9" i="4"/>
  <c r="K9" i="4"/>
  <c r="F9" i="4"/>
  <c r="L16" i="4"/>
  <c r="M16" i="4"/>
  <c r="N16" i="4"/>
  <c r="O16" i="4"/>
  <c r="P16" i="4"/>
  <c r="Q16" i="4"/>
  <c r="F16" i="4"/>
  <c r="K16" i="4"/>
  <c r="M39" i="4"/>
  <c r="L39" i="4"/>
  <c r="N39" i="4"/>
  <c r="O39" i="4"/>
  <c r="P39" i="4"/>
  <c r="Q39" i="4"/>
  <c r="F39" i="4"/>
  <c r="K39" i="4"/>
  <c r="L7" i="4"/>
  <c r="M7" i="4"/>
  <c r="N7" i="4"/>
  <c r="O7" i="4"/>
  <c r="P7" i="4"/>
  <c r="Q7" i="4"/>
  <c r="K7" i="4"/>
  <c r="F7" i="4"/>
  <c r="L35" i="4"/>
  <c r="M35" i="4"/>
  <c r="N35" i="4"/>
  <c r="O35" i="4"/>
  <c r="P35" i="4"/>
  <c r="Q35" i="4"/>
  <c r="K35" i="4"/>
  <c r="F35" i="4"/>
  <c r="M20" i="4"/>
  <c r="N20" i="4"/>
  <c r="O20" i="4"/>
  <c r="P20" i="4"/>
  <c r="Q20" i="4"/>
  <c r="L20" i="4"/>
  <c r="K20" i="4"/>
  <c r="F20" i="4"/>
  <c r="L41" i="4"/>
  <c r="M41" i="4"/>
  <c r="Q41" i="4"/>
  <c r="N41" i="4"/>
  <c r="O41" i="4"/>
  <c r="P41" i="4"/>
  <c r="F41" i="4"/>
  <c r="K41" i="4"/>
  <c r="L15" i="4"/>
  <c r="M15" i="4"/>
  <c r="N15" i="4"/>
  <c r="O15" i="4"/>
  <c r="P15" i="4"/>
  <c r="Q15" i="4"/>
  <c r="F15" i="4"/>
  <c r="K15" i="4"/>
  <c r="E16" i="4"/>
  <c r="I23" i="4"/>
  <c r="J23" i="4"/>
  <c r="H23" i="4"/>
  <c r="I22" i="4"/>
  <c r="I21" i="4"/>
  <c r="G21" i="4"/>
  <c r="H21" i="4"/>
  <c r="J21" i="4"/>
  <c r="G19" i="4"/>
  <c r="I19" i="4"/>
  <c r="J19" i="4"/>
  <c r="J18" i="4"/>
  <c r="G18" i="4"/>
  <c r="H19" i="4"/>
  <c r="I18" i="4"/>
  <c r="H18" i="4"/>
  <c r="E20" i="4"/>
  <c r="G12" i="4"/>
  <c r="G13" i="4"/>
  <c r="J13" i="4"/>
  <c r="J12" i="4"/>
  <c r="G8" i="4"/>
  <c r="I14" i="4"/>
  <c r="I8" i="4"/>
  <c r="T18" i="4"/>
  <c r="AL11" i="8" s="1"/>
  <c r="AR11" i="8" s="1"/>
  <c r="AA18" i="4"/>
  <c r="AL18" i="8" s="1"/>
  <c r="AR18" i="8" s="1"/>
  <c r="V18" i="4"/>
  <c r="AL13" i="8" s="1"/>
  <c r="AR13" i="8" s="1"/>
  <c r="Y18" i="4"/>
  <c r="AL16" i="8" s="1"/>
  <c r="AR16" i="8" s="1"/>
  <c r="X18" i="4"/>
  <c r="AL15" i="8" s="1"/>
  <c r="AR15" i="8" s="1"/>
  <c r="I17" i="4"/>
  <c r="H17" i="4"/>
  <c r="R18" i="4"/>
  <c r="AL9" i="8" s="1"/>
  <c r="AR9" i="8" s="1"/>
  <c r="J17" i="4"/>
  <c r="S18" i="4"/>
  <c r="AL10" i="8" s="1"/>
  <c r="AR10" i="8" s="1"/>
  <c r="W18" i="4"/>
  <c r="AL14" i="8" s="1"/>
  <c r="AR14" i="8" s="1"/>
  <c r="G17" i="4"/>
  <c r="H12" i="4"/>
  <c r="H11" i="4"/>
  <c r="G10" i="4"/>
  <c r="G14" i="4"/>
  <c r="H13" i="4"/>
  <c r="I12" i="4"/>
  <c r="J11" i="4"/>
  <c r="I11" i="4"/>
  <c r="I10" i="4"/>
  <c r="J10" i="4"/>
  <c r="J14" i="4"/>
  <c r="J8" i="4"/>
  <c r="H39" i="4"/>
  <c r="E39" i="4"/>
  <c r="I39" i="4"/>
  <c r="G39" i="4"/>
  <c r="J39" i="4"/>
  <c r="E9" i="4"/>
  <c r="H35" i="4"/>
  <c r="E35" i="4"/>
  <c r="I35" i="4"/>
  <c r="G35" i="4"/>
  <c r="J35" i="4"/>
  <c r="J16" i="4"/>
  <c r="E15" i="4"/>
  <c r="V17" i="4"/>
  <c r="AA17" i="4"/>
  <c r="R17" i="4"/>
  <c r="T17" i="4"/>
  <c r="W17" i="4"/>
  <c r="X17" i="4"/>
  <c r="Z17" i="4"/>
  <c r="U17" i="4"/>
  <c r="Y17" i="4"/>
  <c r="E7" i="4"/>
  <c r="Y35" i="4"/>
  <c r="W10" i="4"/>
  <c r="V14" i="7" s="1"/>
  <c r="U35" i="4"/>
  <c r="T22" i="4"/>
  <c r="U22" i="4"/>
  <c r="V22" i="4"/>
  <c r="R22" i="4"/>
  <c r="T21" i="4"/>
  <c r="D11" i="7" s="1"/>
  <c r="AI11" i="7" s="1"/>
  <c r="V21" i="4"/>
  <c r="D13" i="7" s="1"/>
  <c r="AI13" i="7" s="1"/>
  <c r="S21" i="4"/>
  <c r="D10" i="7" s="1"/>
  <c r="AI10" i="7" s="1"/>
  <c r="I41" i="4"/>
  <c r="G41" i="4"/>
  <c r="H41" i="4"/>
  <c r="J41" i="4"/>
  <c r="D35" i="4"/>
  <c r="D16" i="4"/>
  <c r="W10" i="6"/>
  <c r="D20" i="4"/>
  <c r="N14" i="32"/>
  <c r="D14" i="32"/>
  <c r="I14" i="32"/>
  <c r="O14" i="32"/>
  <c r="AB12" i="7"/>
  <c r="AA12" i="7"/>
  <c r="AD12" i="7" s="1"/>
  <c r="O18" i="32"/>
  <c r="N18" i="32"/>
  <c r="AB15" i="7"/>
  <c r="AA15" i="7"/>
  <c r="AD15" i="7" s="1"/>
  <c r="AA11" i="7"/>
  <c r="AD11" i="7" s="1"/>
  <c r="AB11" i="7"/>
  <c r="AA14" i="7"/>
  <c r="AD14" i="7" s="1"/>
  <c r="AB14" i="7"/>
  <c r="O16" i="32"/>
  <c r="D16" i="32"/>
  <c r="I16" i="32"/>
  <c r="N16" i="32"/>
  <c r="I10" i="32"/>
  <c r="D10" i="32"/>
  <c r="N10" i="32"/>
  <c r="O10" i="32"/>
  <c r="AA13" i="7"/>
  <c r="AD13" i="7" s="1"/>
  <c r="AB13" i="7"/>
  <c r="D18" i="32"/>
  <c r="AB18" i="7"/>
  <c r="AA18" i="7"/>
  <c r="N17" i="32"/>
  <c r="O17" i="32"/>
  <c r="D17" i="32"/>
  <c r="I17" i="32"/>
  <c r="N9" i="32"/>
  <c r="D9" i="32"/>
  <c r="I9" i="32"/>
  <c r="I11" i="32"/>
  <c r="O11" i="32"/>
  <c r="D11" i="32"/>
  <c r="N11" i="32"/>
  <c r="AB9" i="7"/>
  <c r="AA9" i="7"/>
  <c r="AD9" i="7" s="1"/>
  <c r="AA17" i="7"/>
  <c r="AB17" i="7"/>
  <c r="AA16" i="7"/>
  <c r="AB16" i="7"/>
  <c r="I15" i="32"/>
  <c r="N15" i="32"/>
  <c r="O15" i="32"/>
  <c r="D15" i="32"/>
  <c r="O13" i="32"/>
  <c r="N13" i="32"/>
  <c r="D13" i="32"/>
  <c r="I13" i="32"/>
  <c r="N12" i="32"/>
  <c r="O12" i="32"/>
  <c r="D12" i="32"/>
  <c r="I12" i="32"/>
  <c r="AB10" i="7"/>
  <c r="AA10" i="7"/>
  <c r="AD10" i="7" s="1"/>
  <c r="E41" i="4"/>
  <c r="AA35" i="4"/>
  <c r="S35" i="4"/>
  <c r="AC35" i="4"/>
  <c r="AB35" i="4"/>
  <c r="T35" i="4"/>
  <c r="X35" i="4"/>
  <c r="Z10" i="4"/>
  <c r="V17" i="7" s="1"/>
  <c r="AB10" i="4"/>
  <c r="V19" i="7" s="1"/>
  <c r="AA10" i="4"/>
  <c r="V18" i="7" s="1"/>
  <c r="S10" i="4"/>
  <c r="V10" i="7" s="1"/>
  <c r="AA11" i="4"/>
  <c r="D15" i="4"/>
  <c r="R39" i="4"/>
  <c r="V41" i="4"/>
  <c r="W35" i="4"/>
  <c r="S19" i="4"/>
  <c r="I10" i="7" s="1"/>
  <c r="W19" i="4"/>
  <c r="U19" i="4"/>
  <c r="Z19" i="4"/>
  <c r="X19" i="4"/>
  <c r="V19" i="4"/>
  <c r="T19" i="4"/>
  <c r="Y19" i="4"/>
  <c r="R19" i="4"/>
  <c r="AA19" i="4"/>
  <c r="I18" i="7" s="1"/>
  <c r="Z18" i="4"/>
  <c r="AL17" i="8" s="1"/>
  <c r="AR17" i="8" s="1"/>
  <c r="U18" i="4"/>
  <c r="AL12" i="8" s="1"/>
  <c r="AR12" i="8" s="1"/>
  <c r="AF9" i="8"/>
  <c r="AF15" i="8"/>
  <c r="AF20" i="8"/>
  <c r="AF18" i="8"/>
  <c r="AF11" i="8"/>
  <c r="AF19" i="8"/>
  <c r="D41" i="4"/>
  <c r="R35" i="4"/>
  <c r="Z35" i="4"/>
  <c r="D9" i="4"/>
  <c r="C14" i="8"/>
  <c r="T38" i="4"/>
  <c r="X38" i="4"/>
  <c r="Y38" i="4"/>
  <c r="W38" i="4"/>
  <c r="S37" i="4"/>
  <c r="E10" i="32" s="1"/>
  <c r="X37" i="4"/>
  <c r="E15" i="32" s="1"/>
  <c r="T37" i="4"/>
  <c r="E11" i="32" s="1"/>
  <c r="W37" i="4"/>
  <c r="E14" i="32" s="1"/>
  <c r="U37" i="4"/>
  <c r="E12" i="32" s="1"/>
  <c r="V37" i="4"/>
  <c r="E13" i="32" s="1"/>
  <c r="V36" i="4"/>
  <c r="AA36" i="4"/>
  <c r="AC36" i="4"/>
  <c r="V35" i="4"/>
  <c r="AC34" i="4"/>
  <c r="S9" i="4"/>
  <c r="D12" i="7"/>
  <c r="AI12" i="7" s="1"/>
  <c r="D7" i="4"/>
  <c r="Y7" i="4"/>
  <c r="U7" i="4"/>
  <c r="D20" i="7"/>
  <c r="I17" i="7"/>
  <c r="D17" i="7"/>
  <c r="D9" i="7"/>
  <c r="AI9" i="7" s="1"/>
  <c r="D18" i="7"/>
  <c r="O9" i="32"/>
  <c r="E9" i="32"/>
  <c r="B15" i="32"/>
  <c r="B15" i="8"/>
  <c r="L15" i="7"/>
  <c r="H15" i="6"/>
  <c r="I14" i="7"/>
  <c r="D39" i="4"/>
  <c r="X11" i="4"/>
  <c r="S16" i="5"/>
  <c r="R16" i="5"/>
  <c r="B15" i="6" s="1"/>
  <c r="W11" i="4"/>
  <c r="S11" i="4"/>
  <c r="U11" i="4"/>
  <c r="V11" i="4"/>
  <c r="T11" i="4"/>
  <c r="R11" i="4"/>
  <c r="Q10" i="6"/>
  <c r="AA38" i="4"/>
  <c r="R12" i="4"/>
  <c r="T12" i="4"/>
  <c r="AA12" i="4"/>
  <c r="X13" i="4"/>
  <c r="U13" i="4"/>
  <c r="S38" i="4"/>
  <c r="X12" i="4"/>
  <c r="Y11" i="4"/>
  <c r="Z12" i="4"/>
  <c r="Z11" i="4"/>
  <c r="Y10" i="4"/>
  <c r="V16" i="7" s="1"/>
  <c r="S14" i="4"/>
  <c r="V12" i="4"/>
  <c r="U12" i="4"/>
  <c r="S15" i="4"/>
  <c r="W12" i="4"/>
  <c r="Y12" i="4"/>
  <c r="Z15" i="4"/>
  <c r="AA15" i="4"/>
  <c r="V38" i="4"/>
  <c r="AB38" i="4"/>
  <c r="S12" i="4"/>
  <c r="X10" i="4"/>
  <c r="V15" i="7" s="1"/>
  <c r="Z14" i="4"/>
  <c r="W14" i="4"/>
  <c r="V14" i="4"/>
  <c r="U14" i="4"/>
  <c r="V10" i="4"/>
  <c r="V13" i="7" s="1"/>
  <c r="U10" i="4"/>
  <c r="V12" i="7" s="1"/>
  <c r="W15" i="4"/>
  <c r="Z13" i="4"/>
  <c r="S13" i="4"/>
  <c r="R13" i="4"/>
  <c r="AA13" i="4"/>
  <c r="T14" i="4"/>
  <c r="R14" i="4"/>
  <c r="X14" i="4"/>
  <c r="Y9" i="4"/>
  <c r="T10" i="4"/>
  <c r="V11" i="7" s="1"/>
  <c r="V13" i="4"/>
  <c r="W13" i="4"/>
  <c r="AA14" i="4"/>
  <c r="Y14" i="4"/>
  <c r="AA9" i="4"/>
  <c r="U38" i="4"/>
  <c r="V9" i="4"/>
  <c r="X15" i="4"/>
  <c r="AC38" i="4"/>
  <c r="W9" i="4"/>
  <c r="R10" i="4"/>
  <c r="V9" i="7" s="1"/>
  <c r="AC10" i="4"/>
  <c r="V20" i="7" s="1"/>
  <c r="Y13" i="4"/>
  <c r="T13" i="4"/>
  <c r="Z39" i="4"/>
  <c r="Y39" i="4"/>
  <c r="AA8" i="4"/>
  <c r="AB8" i="4"/>
  <c r="T8" i="4"/>
  <c r="S8" i="4"/>
  <c r="AC8" i="4"/>
  <c r="Y8" i="4"/>
  <c r="U8" i="4"/>
  <c r="R8" i="4"/>
  <c r="X39" i="4"/>
  <c r="W39" i="4"/>
  <c r="AA39" i="4"/>
  <c r="AB39" i="4"/>
  <c r="AC39" i="4"/>
  <c r="V39" i="4"/>
  <c r="S39" i="4"/>
  <c r="T39" i="4"/>
  <c r="U39" i="4"/>
  <c r="T34" i="4"/>
  <c r="AA34" i="4"/>
  <c r="U34" i="4"/>
  <c r="S34" i="4"/>
  <c r="AB34" i="4"/>
  <c r="V34" i="4"/>
  <c r="R34" i="4"/>
  <c r="R41" i="4"/>
  <c r="AC9" i="8" s="1"/>
  <c r="T40" i="4"/>
  <c r="W40" i="4"/>
  <c r="AB40" i="4"/>
  <c r="U40" i="4"/>
  <c r="R40" i="4"/>
  <c r="U41" i="4"/>
  <c r="T41" i="4"/>
  <c r="W41" i="4"/>
  <c r="Y41" i="4"/>
  <c r="AA41" i="4"/>
  <c r="Y40" i="4"/>
  <c r="AC40" i="4"/>
  <c r="Z40" i="4"/>
  <c r="S40" i="4"/>
  <c r="X40" i="4"/>
  <c r="AA40" i="4"/>
  <c r="V40" i="4"/>
  <c r="X41" i="4"/>
  <c r="Z41" i="4"/>
  <c r="AC41" i="4"/>
  <c r="S41" i="4"/>
  <c r="AB41" i="4"/>
  <c r="F23" i="33"/>
  <c r="G23" i="33"/>
  <c r="F11" i="33"/>
  <c r="G11" i="33"/>
  <c r="F27" i="33"/>
  <c r="G27" i="33"/>
  <c r="F13" i="33"/>
  <c r="G13" i="33"/>
  <c r="F9" i="33"/>
  <c r="G9" i="33"/>
  <c r="F21" i="33"/>
  <c r="G21" i="33"/>
  <c r="AH14" i="4"/>
  <c r="G15" i="4" l="1"/>
  <c r="AP15" i="4"/>
  <c r="AQ15" i="4"/>
  <c r="AR15" i="4"/>
  <c r="AS15" i="4"/>
  <c r="AJ15" i="4"/>
  <c r="AK15" i="4"/>
  <c r="AL15" i="4"/>
  <c r="AO15" i="4"/>
  <c r="AM15" i="4"/>
  <c r="AN15" i="4"/>
  <c r="AQ16" i="4"/>
  <c r="AR16" i="4"/>
  <c r="AS16" i="4"/>
  <c r="AJ16" i="4"/>
  <c r="AK16" i="4"/>
  <c r="AP16" i="4"/>
  <c r="AL16" i="4"/>
  <c r="AM16" i="4"/>
  <c r="AN16" i="4"/>
  <c r="AO16" i="4"/>
  <c r="AQ7" i="4"/>
  <c r="AR7" i="4"/>
  <c r="AO7" i="4"/>
  <c r="AS7" i="4"/>
  <c r="AK7" i="4"/>
  <c r="AL7" i="4"/>
  <c r="AM7" i="4"/>
  <c r="AN7" i="4"/>
  <c r="AP7" i="4"/>
  <c r="AO6" i="4" s="1"/>
  <c r="AJ7" i="4"/>
  <c r="AJ35" i="4"/>
  <c r="AK35" i="4"/>
  <c r="AM35" i="4"/>
  <c r="AN35" i="4"/>
  <c r="AO35" i="4"/>
  <c r="AP35" i="4"/>
  <c r="AQ35" i="4"/>
  <c r="AR35" i="4"/>
  <c r="AS35" i="4"/>
  <c r="AL35" i="4"/>
  <c r="AP39" i="4"/>
  <c r="AQ39" i="4"/>
  <c r="AR39" i="4"/>
  <c r="AS39" i="4"/>
  <c r="AJ39" i="4"/>
  <c r="AK39" i="4"/>
  <c r="AL39" i="4"/>
  <c r="AM39" i="4"/>
  <c r="AO39" i="4"/>
  <c r="AN39" i="4"/>
  <c r="AM9" i="4"/>
  <c r="AN9" i="4"/>
  <c r="AO9" i="4"/>
  <c r="AP9" i="4"/>
  <c r="AQ9" i="4"/>
  <c r="AR9" i="4"/>
  <c r="AS9" i="4"/>
  <c r="AJ9" i="4"/>
  <c r="AK9" i="4"/>
  <c r="AL9" i="4"/>
  <c r="AQ20" i="4"/>
  <c r="AS20" i="4"/>
  <c r="AJ20" i="4"/>
  <c r="AK20" i="4"/>
  <c r="AL20" i="4"/>
  <c r="AM20" i="4"/>
  <c r="AN20" i="4"/>
  <c r="AO20" i="4"/>
  <c r="AR20" i="4"/>
  <c r="AP20" i="4"/>
  <c r="AJ41" i="4"/>
  <c r="AN41" i="4"/>
  <c r="AM41" i="4"/>
  <c r="AO41" i="4"/>
  <c r="AP41" i="4"/>
  <c r="AQ41" i="4"/>
  <c r="AR41" i="4"/>
  <c r="AS41" i="4"/>
  <c r="AL41" i="4"/>
  <c r="AK41" i="4"/>
  <c r="J20" i="4"/>
  <c r="H20" i="4"/>
  <c r="I20" i="4"/>
  <c r="G20" i="4"/>
  <c r="N10" i="6"/>
  <c r="N9" i="6"/>
  <c r="P17" i="6"/>
  <c r="O17" i="6"/>
  <c r="P10" i="6"/>
  <c r="O10" i="6"/>
  <c r="P18" i="6"/>
  <c r="O18" i="6"/>
  <c r="O15" i="6"/>
  <c r="P15" i="6"/>
  <c r="O14" i="6"/>
  <c r="P14" i="6"/>
  <c r="N15" i="6"/>
  <c r="H9" i="4"/>
  <c r="Q21" i="37" s="1"/>
  <c r="R21" i="37" s="1"/>
  <c r="G21" i="37" s="1"/>
  <c r="G9" i="4"/>
  <c r="N19" i="6"/>
  <c r="J15" i="4"/>
  <c r="N13" i="6" s="1"/>
  <c r="N18" i="6"/>
  <c r="N17" i="6"/>
  <c r="N20" i="6"/>
  <c r="I15" i="4"/>
  <c r="N12" i="6" s="1"/>
  <c r="G16" i="4"/>
  <c r="AA10" i="8" s="1"/>
  <c r="AW10" i="8" s="1"/>
  <c r="S20" i="4"/>
  <c r="H15" i="4"/>
  <c r="N11" i="6" s="1"/>
  <c r="N16" i="6"/>
  <c r="N14" i="6"/>
  <c r="I16" i="4"/>
  <c r="AA16" i="8"/>
  <c r="H16" i="4"/>
  <c r="AA11" i="8" s="1"/>
  <c r="AW11" i="8" s="1"/>
  <c r="J9" i="4"/>
  <c r="I9" i="4"/>
  <c r="AA17" i="8"/>
  <c r="P16" i="7"/>
  <c r="O16" i="7"/>
  <c r="AD16" i="7" s="1"/>
  <c r="O18" i="7"/>
  <c r="AD18" i="7" s="1"/>
  <c r="P18" i="7"/>
  <c r="I16" i="7"/>
  <c r="I11" i="7"/>
  <c r="AE11" i="7" s="1"/>
  <c r="AF11" i="7" s="1"/>
  <c r="I12" i="7"/>
  <c r="AJ12" i="7" s="1"/>
  <c r="I13" i="7"/>
  <c r="AE13" i="7" s="1"/>
  <c r="AF13" i="7" s="1"/>
  <c r="I9" i="7"/>
  <c r="AJ9" i="7" s="1"/>
  <c r="I15" i="7"/>
  <c r="AJ15" i="7" s="1"/>
  <c r="H16" i="8"/>
  <c r="H15" i="8"/>
  <c r="W17" i="6"/>
  <c r="W18" i="6"/>
  <c r="W19" i="6"/>
  <c r="W14" i="6"/>
  <c r="W20" i="6"/>
  <c r="W15" i="6"/>
  <c r="W16" i="6"/>
  <c r="N17" i="7"/>
  <c r="AC17" i="7" s="1"/>
  <c r="N18" i="7"/>
  <c r="AC18" i="7" s="1"/>
  <c r="N19" i="7"/>
  <c r="AC19" i="7" s="1"/>
  <c r="N20" i="7"/>
  <c r="AC20" i="7" s="1"/>
  <c r="H17" i="8"/>
  <c r="W13" i="6"/>
  <c r="C9" i="6"/>
  <c r="AK9" i="8"/>
  <c r="W21" i="4"/>
  <c r="D14" i="7" s="1"/>
  <c r="AI14" i="7" s="1"/>
  <c r="Q9" i="6"/>
  <c r="R21" i="4"/>
  <c r="R15" i="4"/>
  <c r="O9" i="6" s="1"/>
  <c r="Y15" i="4"/>
  <c r="P16" i="6" s="1"/>
  <c r="W12" i="6"/>
  <c r="AK11" i="8"/>
  <c r="W11" i="6"/>
  <c r="T15" i="4"/>
  <c r="P11" i="6" s="1"/>
  <c r="U11" i="32"/>
  <c r="T18" i="32"/>
  <c r="U12" i="32"/>
  <c r="U10" i="32"/>
  <c r="U13" i="32"/>
  <c r="AE10" i="7"/>
  <c r="AF10" i="7" s="1"/>
  <c r="T11" i="32"/>
  <c r="D13" i="6"/>
  <c r="T13" i="32"/>
  <c r="T14" i="32"/>
  <c r="D12" i="6"/>
  <c r="D18" i="6"/>
  <c r="T9" i="32"/>
  <c r="D15" i="6"/>
  <c r="Y20" i="4"/>
  <c r="Z20" i="4"/>
  <c r="X20" i="4"/>
  <c r="W20" i="4"/>
  <c r="AA20" i="4"/>
  <c r="D10" i="6"/>
  <c r="D16" i="6"/>
  <c r="T15" i="32"/>
  <c r="T10" i="32"/>
  <c r="T16" i="32"/>
  <c r="D11" i="6"/>
  <c r="T12" i="32"/>
  <c r="D14" i="6"/>
  <c r="D17" i="6"/>
  <c r="D9" i="6"/>
  <c r="W7" i="4"/>
  <c r="T17" i="32"/>
  <c r="R7" i="4"/>
  <c r="AA7" i="4"/>
  <c r="S16" i="4"/>
  <c r="I10" i="8" s="1"/>
  <c r="T10" i="8" s="1"/>
  <c r="AA16" i="4"/>
  <c r="I18" i="8" s="1"/>
  <c r="T18" i="8" s="1"/>
  <c r="Z16" i="4"/>
  <c r="I17" i="8" s="1"/>
  <c r="T17" i="8" s="1"/>
  <c r="T16" i="4"/>
  <c r="I11" i="8" s="1"/>
  <c r="T11" i="8" s="1"/>
  <c r="R16" i="4"/>
  <c r="I9" i="8" s="1"/>
  <c r="T9" i="8" s="1"/>
  <c r="X16" i="4"/>
  <c r="I15" i="8" s="1"/>
  <c r="T15" i="8" s="1"/>
  <c r="V16" i="4"/>
  <c r="I13" i="8" s="1"/>
  <c r="T13" i="8" s="1"/>
  <c r="U16" i="4"/>
  <c r="I12" i="8" s="1"/>
  <c r="T12" i="8" s="1"/>
  <c r="W16" i="4"/>
  <c r="I14" i="8" s="1"/>
  <c r="T14" i="8" s="1"/>
  <c r="Y16" i="4"/>
  <c r="I16" i="8" s="1"/>
  <c r="T16" i="8" s="1"/>
  <c r="U6" i="37"/>
  <c r="V6" i="37" s="1"/>
  <c r="AB7" i="4"/>
  <c r="X7" i="4"/>
  <c r="V7" i="4"/>
  <c r="S7" i="4"/>
  <c r="AC7" i="4"/>
  <c r="N23" i="33"/>
  <c r="O23" i="33" s="1"/>
  <c r="Q34" i="37"/>
  <c r="R34" i="37" s="1"/>
  <c r="S67" i="37"/>
  <c r="T67" i="37" s="1"/>
  <c r="T18" i="33"/>
  <c r="U18" i="33" s="1"/>
  <c r="Q46" i="37"/>
  <c r="R46" i="37" s="1"/>
  <c r="S60" i="40"/>
  <c r="T60" i="40" s="1"/>
  <c r="R20" i="33"/>
  <c r="S20" i="33" s="1"/>
  <c r="U57" i="37"/>
  <c r="V57" i="37" s="1"/>
  <c r="S31" i="37"/>
  <c r="T31" i="37" s="1"/>
  <c r="U28" i="37"/>
  <c r="V28" i="37" s="1"/>
  <c r="M21" i="39"/>
  <c r="N21" i="39" s="1"/>
  <c r="R16" i="33"/>
  <c r="S16" i="33" s="1"/>
  <c r="S6" i="36"/>
  <c r="T6" i="36" s="1"/>
  <c r="W6" i="37"/>
  <c r="X6" i="37" s="1"/>
  <c r="S40" i="40"/>
  <c r="T40" i="40" s="1"/>
  <c r="S24" i="36"/>
  <c r="T24" i="36" s="1"/>
  <c r="R8" i="33"/>
  <c r="S8" i="33" s="1"/>
  <c r="S27" i="37"/>
  <c r="T27" i="37" s="1"/>
  <c r="S62" i="37"/>
  <c r="T62" i="37" s="1"/>
  <c r="P20" i="33"/>
  <c r="Q20" i="33" s="1"/>
  <c r="R10" i="33"/>
  <c r="S10" i="33" s="1"/>
  <c r="P11" i="33"/>
  <c r="Q11" i="33" s="1"/>
  <c r="S8" i="36"/>
  <c r="T8" i="36" s="1"/>
  <c r="W31" i="37"/>
  <c r="X31" i="37" s="1"/>
  <c r="U12" i="37"/>
  <c r="V12" i="37" s="1"/>
  <c r="U39" i="37"/>
  <c r="V39" i="37" s="1"/>
  <c r="M17" i="36"/>
  <c r="N17" i="36" s="1"/>
  <c r="R7" i="33"/>
  <c r="S7" i="33" s="1"/>
  <c r="F7" i="33" s="1"/>
  <c r="P23" i="33"/>
  <c r="Q23" i="33" s="1"/>
  <c r="Q6" i="36"/>
  <c r="R6" i="36" s="1"/>
  <c r="U19" i="37"/>
  <c r="V19" i="37" s="1"/>
  <c r="S38" i="37"/>
  <c r="T38" i="37" s="1"/>
  <c r="W67" i="37"/>
  <c r="X67" i="37" s="1"/>
  <c r="U60" i="37"/>
  <c r="V60" i="37" s="1"/>
  <c r="W9" i="37"/>
  <c r="X9" i="37" s="1"/>
  <c r="M24" i="39"/>
  <c r="N24" i="39" s="1"/>
  <c r="O10" i="39"/>
  <c r="P10" i="39" s="1"/>
  <c r="T28" i="33"/>
  <c r="U28" i="33" s="1"/>
  <c r="T27" i="33"/>
  <c r="U27" i="33" s="1"/>
  <c r="R6" i="33"/>
  <c r="S6" i="33" s="1"/>
  <c r="M24" i="36"/>
  <c r="N24" i="36" s="1"/>
  <c r="O9" i="36"/>
  <c r="P9" i="36" s="1"/>
  <c r="U38" i="37"/>
  <c r="V38" i="37" s="1"/>
  <c r="S33" i="37"/>
  <c r="T33" i="37" s="1"/>
  <c r="S55" i="37"/>
  <c r="T55" i="37" s="1"/>
  <c r="W39" i="37"/>
  <c r="X39" i="37" s="1"/>
  <c r="S19" i="37"/>
  <c r="T19" i="37" s="1"/>
  <c r="W52" i="37"/>
  <c r="X52" i="37" s="1"/>
  <c r="M29" i="39"/>
  <c r="N29" i="39" s="1"/>
  <c r="P19" i="33"/>
  <c r="Q19" i="33" s="1"/>
  <c r="F19" i="33" s="1"/>
  <c r="R29" i="33"/>
  <c r="S29" i="33" s="1"/>
  <c r="P29" i="33"/>
  <c r="Q29" i="33" s="1"/>
  <c r="F29" i="33" s="1"/>
  <c r="T24" i="33"/>
  <c r="U24" i="33" s="1"/>
  <c r="T17" i="33"/>
  <c r="U17" i="33" s="1"/>
  <c r="R9" i="33"/>
  <c r="S9" i="33" s="1"/>
  <c r="P16" i="33"/>
  <c r="Q16" i="33" s="1"/>
  <c r="R23" i="33"/>
  <c r="S23" i="33" s="1"/>
  <c r="P26" i="33"/>
  <c r="Q26" i="33" s="1"/>
  <c r="T14" i="33"/>
  <c r="U14" i="33" s="1"/>
  <c r="T9" i="33"/>
  <c r="U9" i="33" s="1"/>
  <c r="R25" i="33"/>
  <c r="S25" i="33" s="1"/>
  <c r="N25" i="33"/>
  <c r="O25" i="33" s="1"/>
  <c r="S25" i="36"/>
  <c r="T25" i="36" s="1"/>
  <c r="O17" i="36"/>
  <c r="P17" i="36" s="1"/>
  <c r="O13" i="36"/>
  <c r="P13" i="36" s="1"/>
  <c r="S13" i="36"/>
  <c r="T13" i="36" s="1"/>
  <c r="M11" i="36"/>
  <c r="N11" i="36" s="1"/>
  <c r="Q9" i="36"/>
  <c r="R9" i="36" s="1"/>
  <c r="S26" i="37"/>
  <c r="T26" i="37" s="1"/>
  <c r="U42" i="37"/>
  <c r="V42" i="37" s="1"/>
  <c r="W73" i="37"/>
  <c r="X73" i="37" s="1"/>
  <c r="S72" i="37"/>
  <c r="T72" i="37" s="1"/>
  <c r="U50" i="37"/>
  <c r="V50" i="37" s="1"/>
  <c r="U49" i="37"/>
  <c r="V49" i="37" s="1"/>
  <c r="Q63" i="37"/>
  <c r="R63" i="37" s="1"/>
  <c r="W74" i="37"/>
  <c r="X74" i="37" s="1"/>
  <c r="W75" i="37"/>
  <c r="X75" i="37" s="1"/>
  <c r="S70" i="37"/>
  <c r="T70" i="37" s="1"/>
  <c r="S14" i="37"/>
  <c r="T14" i="37" s="1"/>
  <c r="U46" i="37"/>
  <c r="V46" i="37" s="1"/>
  <c r="W24" i="37"/>
  <c r="X24" i="37" s="1"/>
  <c r="W55" i="37"/>
  <c r="X55" i="37" s="1"/>
  <c r="Q75" i="37"/>
  <c r="R75" i="37" s="1"/>
  <c r="Q70" i="37"/>
  <c r="R70" i="37" s="1"/>
  <c r="W58" i="37"/>
  <c r="X58" i="37" s="1"/>
  <c r="W21" i="37"/>
  <c r="X21" i="37" s="1"/>
  <c r="U45" i="37"/>
  <c r="V45" i="37" s="1"/>
  <c r="Q76" i="37"/>
  <c r="R76" i="37" s="1"/>
  <c r="U61" i="37"/>
  <c r="V61" i="37" s="1"/>
  <c r="Q39" i="37"/>
  <c r="R39" i="37" s="1"/>
  <c r="U21" i="37"/>
  <c r="V21" i="37" s="1"/>
  <c r="Q9" i="37"/>
  <c r="R9" i="37" s="1"/>
  <c r="Q25" i="38"/>
  <c r="R25" i="38" s="1"/>
  <c r="W44" i="40"/>
  <c r="X44" i="40" s="1"/>
  <c r="O20" i="38"/>
  <c r="P20" i="38" s="1"/>
  <c r="O12" i="39"/>
  <c r="P12" i="39" s="1"/>
  <c r="S21" i="40"/>
  <c r="T21" i="40" s="1"/>
  <c r="Q75" i="40"/>
  <c r="R75" i="40" s="1"/>
  <c r="R24" i="33"/>
  <c r="S24" i="33" s="1"/>
  <c r="R12" i="33"/>
  <c r="S12" i="33" s="1"/>
  <c r="P12" i="33"/>
  <c r="Q12" i="33" s="1"/>
  <c r="T13" i="33"/>
  <c r="U13" i="33" s="1"/>
  <c r="T15" i="33"/>
  <c r="U15" i="33" s="1"/>
  <c r="Q7" i="36"/>
  <c r="R7" i="36" s="1"/>
  <c r="S12" i="36"/>
  <c r="T12" i="36" s="1"/>
  <c r="U36" i="37"/>
  <c r="V36" i="37" s="1"/>
  <c r="S40" i="37"/>
  <c r="T40" i="37" s="1"/>
  <c r="U7" i="37"/>
  <c r="V7" i="37" s="1"/>
  <c r="Q33" i="37"/>
  <c r="R33" i="37" s="1"/>
  <c r="U66" i="37"/>
  <c r="V66" i="37" s="1"/>
  <c r="W30" i="37"/>
  <c r="X30" i="37" s="1"/>
  <c r="U44" i="37"/>
  <c r="V44" i="37" s="1"/>
  <c r="W12" i="37"/>
  <c r="X12" i="37" s="1"/>
  <c r="S20" i="37"/>
  <c r="T20" i="37" s="1"/>
  <c r="S37" i="37"/>
  <c r="T37" i="37" s="1"/>
  <c r="W38" i="37"/>
  <c r="X38" i="37" s="1"/>
  <c r="N15" i="33"/>
  <c r="O15" i="33" s="1"/>
  <c r="O29" i="38"/>
  <c r="P29" i="38" s="1"/>
  <c r="M20" i="38"/>
  <c r="N20" i="38" s="1"/>
  <c r="O28" i="39"/>
  <c r="P28" i="39" s="1"/>
  <c r="U33" i="40"/>
  <c r="V33" i="40" s="1"/>
  <c r="M7" i="39"/>
  <c r="N7" i="39" s="1"/>
  <c r="M6" i="39"/>
  <c r="N6" i="39" s="1"/>
  <c r="Q63" i="40"/>
  <c r="R63" i="40" s="1"/>
  <c r="S9" i="39"/>
  <c r="T9" i="39" s="1"/>
  <c r="W8" i="40"/>
  <c r="X8" i="40" s="1"/>
  <c r="M17" i="38"/>
  <c r="N17" i="38" s="1"/>
  <c r="U7" i="40"/>
  <c r="V7" i="40" s="1"/>
  <c r="Q38" i="40"/>
  <c r="R38" i="40" s="1"/>
  <c r="S18" i="39"/>
  <c r="T18" i="39" s="1"/>
  <c r="S55" i="40"/>
  <c r="T55" i="40" s="1"/>
  <c r="M27" i="39"/>
  <c r="N27" i="39" s="1"/>
  <c r="W46" i="40"/>
  <c r="X46" i="40" s="1"/>
  <c r="S25" i="38"/>
  <c r="T25" i="38" s="1"/>
  <c r="Q13" i="39"/>
  <c r="R13" i="39" s="1"/>
  <c r="Q10" i="37"/>
  <c r="R10" i="37" s="1"/>
  <c r="U73" i="37"/>
  <c r="V73" i="37" s="1"/>
  <c r="W36" i="37"/>
  <c r="X36" i="37" s="1"/>
  <c r="U13" i="37"/>
  <c r="V13" i="37" s="1"/>
  <c r="S54" i="37"/>
  <c r="T54" i="37" s="1"/>
  <c r="W40" i="37"/>
  <c r="X40" i="37" s="1"/>
  <c r="U18" i="37"/>
  <c r="V18" i="37" s="1"/>
  <c r="W63" i="37"/>
  <c r="X63" i="37" s="1"/>
  <c r="S36" i="37"/>
  <c r="T36" i="37" s="1"/>
  <c r="U67" i="37"/>
  <c r="V67" i="37" s="1"/>
  <c r="S68" i="37"/>
  <c r="T68" i="37" s="1"/>
  <c r="S21" i="37"/>
  <c r="T21" i="37" s="1"/>
  <c r="Q52" i="37"/>
  <c r="R52" i="37" s="1"/>
  <c r="S42" i="37"/>
  <c r="T42" i="37" s="1"/>
  <c r="W72" i="37"/>
  <c r="X72" i="37" s="1"/>
  <c r="W7" i="37"/>
  <c r="X7" i="37" s="1"/>
  <c r="S16" i="37"/>
  <c r="T16" i="37" s="1"/>
  <c r="W13" i="37"/>
  <c r="X13" i="37" s="1"/>
  <c r="U25" i="37"/>
  <c r="V25" i="37" s="1"/>
  <c r="W60" i="37"/>
  <c r="X60" i="37" s="1"/>
  <c r="S74" i="37"/>
  <c r="T74" i="37" s="1"/>
  <c r="S43" i="37"/>
  <c r="T43" i="37" s="1"/>
  <c r="W50" i="37"/>
  <c r="X50" i="37" s="1"/>
  <c r="W48" i="37"/>
  <c r="X48" i="37" s="1"/>
  <c r="Q64" i="37"/>
  <c r="R64" i="37" s="1"/>
  <c r="W70" i="37"/>
  <c r="X70" i="37" s="1"/>
  <c r="U33" i="37"/>
  <c r="V33" i="37" s="1"/>
  <c r="W43" i="37"/>
  <c r="X43" i="37" s="1"/>
  <c r="S22" i="37"/>
  <c r="T22" i="37" s="1"/>
  <c r="W20" i="37"/>
  <c r="X20" i="37" s="1"/>
  <c r="S28" i="37"/>
  <c r="T28" i="37" s="1"/>
  <c r="U70" i="37"/>
  <c r="V70" i="37" s="1"/>
  <c r="W14" i="37"/>
  <c r="X14" i="37" s="1"/>
  <c r="S60" i="37"/>
  <c r="T60" i="37" s="1"/>
  <c r="W22" i="37"/>
  <c r="X22" i="37" s="1"/>
  <c r="Q57" i="37"/>
  <c r="R57" i="37" s="1"/>
  <c r="U68" i="37"/>
  <c r="V68" i="37" s="1"/>
  <c r="S66" i="37"/>
  <c r="T66" i="37" s="1"/>
  <c r="W68" i="37"/>
  <c r="X68" i="37" s="1"/>
  <c r="U20" i="37"/>
  <c r="V20" i="37" s="1"/>
  <c r="W25" i="37"/>
  <c r="X25" i="37" s="1"/>
  <c r="W49" i="37"/>
  <c r="X49" i="37" s="1"/>
  <c r="S15" i="37"/>
  <c r="T15" i="37" s="1"/>
  <c r="U26" i="37"/>
  <c r="V26" i="37" s="1"/>
  <c r="U63" i="37"/>
  <c r="V63" i="37" s="1"/>
  <c r="U22" i="37"/>
  <c r="V22" i="37" s="1"/>
  <c r="S39" i="37"/>
  <c r="T39" i="37" s="1"/>
  <c r="M10" i="36"/>
  <c r="N10" i="36" s="1"/>
  <c r="O12" i="36"/>
  <c r="P12" i="36" s="1"/>
  <c r="Q11" i="36"/>
  <c r="R11" i="36" s="1"/>
  <c r="M8" i="36"/>
  <c r="N8" i="36" s="1"/>
  <c r="M12" i="36"/>
  <c r="N12" i="36" s="1"/>
  <c r="O7" i="36"/>
  <c r="P7" i="36" s="1"/>
  <c r="M7" i="36"/>
  <c r="N7" i="36" s="1"/>
  <c r="S7" i="36"/>
  <c r="T7" i="36" s="1"/>
  <c r="S14" i="36"/>
  <c r="T14" i="36" s="1"/>
  <c r="Q24" i="36"/>
  <c r="R24" i="36" s="1"/>
  <c r="M26" i="36"/>
  <c r="N26" i="36" s="1"/>
  <c r="M25" i="36"/>
  <c r="N25" i="36" s="1"/>
  <c r="N19" i="33"/>
  <c r="O19" i="33" s="1"/>
  <c r="N17" i="33"/>
  <c r="O17" i="33" s="1"/>
  <c r="N21" i="33"/>
  <c r="O21" i="33" s="1"/>
  <c r="T16" i="33"/>
  <c r="U16" i="33" s="1"/>
  <c r="T8" i="33"/>
  <c r="U8" i="33" s="1"/>
  <c r="R13" i="33"/>
  <c r="S13" i="33" s="1"/>
  <c r="P14" i="33"/>
  <c r="Q14" i="33" s="1"/>
  <c r="P17" i="33"/>
  <c r="Q17" i="33" s="1"/>
  <c r="R15" i="33"/>
  <c r="S15" i="33" s="1"/>
  <c r="T23" i="33"/>
  <c r="U23" i="33" s="1"/>
  <c r="P18" i="33"/>
  <c r="Q18" i="33" s="1"/>
  <c r="R17" i="33"/>
  <c r="S17" i="33" s="1"/>
  <c r="F17" i="33" s="1"/>
  <c r="T25" i="33"/>
  <c r="U25" i="33" s="1"/>
  <c r="R26" i="33"/>
  <c r="S26" i="33" s="1"/>
  <c r="O19" i="38"/>
  <c r="P19" i="38" s="1"/>
  <c r="M12" i="39"/>
  <c r="N12" i="39" s="1"/>
  <c r="O20" i="39"/>
  <c r="P20" i="39" s="1"/>
  <c r="O10" i="38"/>
  <c r="P10" i="38" s="1"/>
  <c r="Q15" i="40"/>
  <c r="R15" i="40" s="1"/>
  <c r="W39" i="40"/>
  <c r="X39" i="40" s="1"/>
  <c r="W58" i="40"/>
  <c r="X58" i="40" s="1"/>
  <c r="Q74" i="40"/>
  <c r="R74" i="40" s="1"/>
  <c r="S48" i="40"/>
  <c r="T48" i="40" s="1"/>
  <c r="S26" i="39"/>
  <c r="T26" i="39" s="1"/>
  <c r="W72" i="40"/>
  <c r="X72" i="40" s="1"/>
  <c r="Q20" i="39"/>
  <c r="R20" i="39" s="1"/>
  <c r="U9" i="37"/>
  <c r="V9" i="37" s="1"/>
  <c r="W10" i="37"/>
  <c r="X10" i="37" s="1"/>
  <c r="S73" i="37"/>
  <c r="T73" i="37" s="1"/>
  <c r="U32" i="37"/>
  <c r="V32" i="37" s="1"/>
  <c r="Q51" i="37"/>
  <c r="R51" i="37" s="1"/>
  <c r="W42" i="37"/>
  <c r="X42" i="37" s="1"/>
  <c r="W37" i="37"/>
  <c r="X37" i="37" s="1"/>
  <c r="S61" i="37"/>
  <c r="T61" i="37" s="1"/>
  <c r="S56" i="37"/>
  <c r="T56" i="37" s="1"/>
  <c r="W32" i="37"/>
  <c r="X32" i="37" s="1"/>
  <c r="U56" i="37"/>
  <c r="V56" i="37" s="1"/>
  <c r="W54" i="37"/>
  <c r="X54" i="37" s="1"/>
  <c r="S13" i="37"/>
  <c r="T13" i="37" s="1"/>
  <c r="S12" i="37"/>
  <c r="T12" i="37" s="1"/>
  <c r="W46" i="37"/>
  <c r="X46" i="37" s="1"/>
  <c r="Q45" i="37"/>
  <c r="R45" i="37" s="1"/>
  <c r="U58" i="37"/>
  <c r="V58" i="37" s="1"/>
  <c r="W62" i="37"/>
  <c r="X62" i="37" s="1"/>
  <c r="S7" i="37"/>
  <c r="T7" i="37" s="1"/>
  <c r="U37" i="37"/>
  <c r="V37" i="37" s="1"/>
  <c r="S44" i="37"/>
  <c r="T44" i="37" s="1"/>
  <c r="S6" i="37"/>
  <c r="T6" i="37" s="1"/>
  <c r="W16" i="37"/>
  <c r="X16" i="37" s="1"/>
  <c r="S18" i="37"/>
  <c r="T18" i="37" s="1"/>
  <c r="Q28" i="37"/>
  <c r="R28" i="37" s="1"/>
  <c r="U52" i="37"/>
  <c r="V52" i="37" s="1"/>
  <c r="W69" i="37"/>
  <c r="X69" i="37" s="1"/>
  <c r="S45" i="37"/>
  <c r="T45" i="37" s="1"/>
  <c r="W56" i="37"/>
  <c r="X56" i="37" s="1"/>
  <c r="Q58" i="37"/>
  <c r="R58" i="37" s="1"/>
  <c r="U34" i="37"/>
  <c r="V34" i="37" s="1"/>
  <c r="S30" i="37"/>
  <c r="T30" i="37" s="1"/>
  <c r="S64" i="37"/>
  <c r="T64" i="37" s="1"/>
  <c r="W34" i="37"/>
  <c r="X34" i="37" s="1"/>
  <c r="W66" i="37"/>
  <c r="X66" i="37" s="1"/>
  <c r="W18" i="37"/>
  <c r="X18" i="37" s="1"/>
  <c r="Q40" i="37"/>
  <c r="R40" i="37" s="1"/>
  <c r="W61" i="37"/>
  <c r="X61" i="37" s="1"/>
  <c r="S48" i="37"/>
  <c r="T48" i="37" s="1"/>
  <c r="S58" i="37"/>
  <c r="T58" i="37" s="1"/>
  <c r="U15" i="37"/>
  <c r="V15" i="37" s="1"/>
  <c r="U55" i="37"/>
  <c r="V55" i="37" s="1"/>
  <c r="W57" i="37"/>
  <c r="X57" i="37" s="1"/>
  <c r="W64" i="37"/>
  <c r="X64" i="37" s="1"/>
  <c r="U40" i="37"/>
  <c r="V40" i="37" s="1"/>
  <c r="U54" i="37"/>
  <c r="V54" i="37" s="1"/>
  <c r="Q8" i="36"/>
  <c r="R8" i="36" s="1"/>
  <c r="Q12" i="36"/>
  <c r="R12" i="36" s="1"/>
  <c r="M9" i="36"/>
  <c r="N9" i="36" s="1"/>
  <c r="O8" i="36"/>
  <c r="P8" i="36" s="1"/>
  <c r="Q10" i="36"/>
  <c r="R10" i="36" s="1"/>
  <c r="Q14" i="36"/>
  <c r="R14" i="36" s="1"/>
  <c r="S15" i="36"/>
  <c r="T15" i="36" s="1"/>
  <c r="M14" i="36"/>
  <c r="N14" i="36" s="1"/>
  <c r="O6" i="36"/>
  <c r="P6" i="36" s="1"/>
  <c r="S26" i="36"/>
  <c r="T26" i="36" s="1"/>
  <c r="O24" i="36"/>
  <c r="P24" i="36" s="1"/>
  <c r="Q17" i="36"/>
  <c r="R17" i="36" s="1"/>
  <c r="Q26" i="36"/>
  <c r="R26" i="36" s="1"/>
  <c r="N9" i="33"/>
  <c r="O9" i="33" s="1"/>
  <c r="T22" i="33"/>
  <c r="U22" i="33" s="1"/>
  <c r="T19" i="33"/>
  <c r="U19" i="33" s="1"/>
  <c r="R18" i="33"/>
  <c r="S18" i="33" s="1"/>
  <c r="T12" i="33"/>
  <c r="U12" i="33" s="1"/>
  <c r="T6" i="33"/>
  <c r="U6" i="33" s="1"/>
  <c r="R19" i="33"/>
  <c r="S19" i="33" s="1"/>
  <c r="R28" i="33"/>
  <c r="S28" i="33" s="1"/>
  <c r="P7" i="33"/>
  <c r="Q7" i="33" s="1"/>
  <c r="R22" i="33"/>
  <c r="S22" i="33" s="1"/>
  <c r="P22" i="33"/>
  <c r="Q22" i="33" s="1"/>
  <c r="T11" i="33"/>
  <c r="U11" i="33" s="1"/>
  <c r="P15" i="33"/>
  <c r="Q15" i="33" s="1"/>
  <c r="R21" i="33"/>
  <c r="S21" i="33" s="1"/>
  <c r="T20" i="33"/>
  <c r="U20" i="33" s="1"/>
  <c r="P28" i="33"/>
  <c r="Q28" i="33" s="1"/>
  <c r="P8" i="33"/>
  <c r="Q8" i="33" s="1"/>
  <c r="P13" i="33"/>
  <c r="Q13" i="33" s="1"/>
  <c r="T26" i="33"/>
  <c r="U26" i="33" s="1"/>
  <c r="T29" i="33"/>
  <c r="U29" i="33" s="1"/>
  <c r="N29" i="33"/>
  <c r="O29" i="33" s="1"/>
  <c r="S17" i="36"/>
  <c r="T17" i="36" s="1"/>
  <c r="Q15" i="36"/>
  <c r="R15" i="36" s="1"/>
  <c r="S10" i="36"/>
  <c r="T10" i="36" s="1"/>
  <c r="O11" i="36"/>
  <c r="P11" i="36" s="1"/>
  <c r="W44" i="37"/>
  <c r="X44" i="37" s="1"/>
  <c r="W33" i="37"/>
  <c r="X33" i="37" s="1"/>
  <c r="U43" i="37"/>
  <c r="V43" i="37" s="1"/>
  <c r="Q15" i="37"/>
  <c r="R15" i="37" s="1"/>
  <c r="G15" i="37" s="1"/>
  <c r="W15" i="37"/>
  <c r="X15" i="37" s="1"/>
  <c r="S57" i="37"/>
  <c r="T57" i="37" s="1"/>
  <c r="S34" i="37"/>
  <c r="T34" i="37" s="1"/>
  <c r="S63" i="37"/>
  <c r="T63" i="37" s="1"/>
  <c r="G63" i="37" s="1"/>
  <c r="U14" i="37"/>
  <c r="V14" i="37" s="1"/>
  <c r="Q27" i="37"/>
  <c r="R27" i="37" s="1"/>
  <c r="S69" i="37"/>
  <c r="T69" i="37" s="1"/>
  <c r="U16" i="37"/>
  <c r="V16" i="37" s="1"/>
  <c r="P27" i="33"/>
  <c r="Q27" i="33" s="1"/>
  <c r="R11" i="33"/>
  <c r="S11" i="33" s="1"/>
  <c r="P25" i="33"/>
  <c r="Q25" i="33" s="1"/>
  <c r="P10" i="33"/>
  <c r="Q10" i="33" s="1"/>
  <c r="T21" i="33"/>
  <c r="U21" i="33" s="1"/>
  <c r="T10" i="33"/>
  <c r="U10" i="33" s="1"/>
  <c r="P24" i="33"/>
  <c r="Q24" i="33" s="1"/>
  <c r="P9" i="33"/>
  <c r="Q9" i="33" s="1"/>
  <c r="P21" i="33"/>
  <c r="Q21" i="33" s="1"/>
  <c r="R27" i="33"/>
  <c r="S27" i="33" s="1"/>
  <c r="T7" i="33"/>
  <c r="U7" i="33" s="1"/>
  <c r="R14" i="33"/>
  <c r="S14" i="33" s="1"/>
  <c r="P6" i="33"/>
  <c r="Q6" i="33" s="1"/>
  <c r="N13" i="33"/>
  <c r="O13" i="33" s="1"/>
  <c r="O26" i="36"/>
  <c r="P26" i="36" s="1"/>
  <c r="Q25" i="36"/>
  <c r="R25" i="36" s="1"/>
  <c r="O15" i="36"/>
  <c r="P15" i="36" s="1"/>
  <c r="Q13" i="36"/>
  <c r="R13" i="36" s="1"/>
  <c r="S11" i="36"/>
  <c r="T11" i="36" s="1"/>
  <c r="O10" i="36"/>
  <c r="P10" i="36" s="1"/>
  <c r="S9" i="36"/>
  <c r="T9" i="36" s="1"/>
  <c r="U69" i="37"/>
  <c r="V69" i="37" s="1"/>
  <c r="S75" i="37"/>
  <c r="T75" i="37" s="1"/>
  <c r="U27" i="37"/>
  <c r="V27" i="37" s="1"/>
  <c r="U76" i="37"/>
  <c r="V76" i="37" s="1"/>
  <c r="U51" i="37"/>
  <c r="V51" i="37" s="1"/>
  <c r="Q16" i="37"/>
  <c r="R16" i="37" s="1"/>
  <c r="S25" i="37"/>
  <c r="T25" i="37" s="1"/>
  <c r="S52" i="37"/>
  <c r="T52" i="37" s="1"/>
  <c r="U74" i="37"/>
  <c r="V74" i="37" s="1"/>
  <c r="W28" i="37"/>
  <c r="X28" i="37" s="1"/>
  <c r="S49" i="37"/>
  <c r="T49" i="37" s="1"/>
  <c r="U30" i="37"/>
  <c r="V30" i="37" s="1"/>
  <c r="U64" i="37"/>
  <c r="V64" i="37" s="1"/>
  <c r="U24" i="37"/>
  <c r="V24" i="37" s="1"/>
  <c r="Q69" i="37"/>
  <c r="R69" i="37" s="1"/>
  <c r="H69" i="37" s="1"/>
  <c r="U62" i="37"/>
  <c r="V62" i="37" s="1"/>
  <c r="S24" i="37"/>
  <c r="T24" i="37" s="1"/>
  <c r="S76" i="37"/>
  <c r="T76" i="37" s="1"/>
  <c r="S46" i="37"/>
  <c r="T46" i="37" s="1"/>
  <c r="W45" i="37"/>
  <c r="X45" i="37" s="1"/>
  <c r="W19" i="37"/>
  <c r="X19" i="37" s="1"/>
  <c r="U48" i="37"/>
  <c r="V48" i="37" s="1"/>
  <c r="W27" i="37"/>
  <c r="X27" i="37" s="1"/>
  <c r="S37" i="40"/>
  <c r="T37" i="40" s="1"/>
  <c r="S57" i="40"/>
  <c r="T57" i="40" s="1"/>
  <c r="U69" i="40"/>
  <c r="V69" i="40" s="1"/>
  <c r="O7" i="39"/>
  <c r="P7" i="39" s="1"/>
  <c r="O13" i="39"/>
  <c r="P13" i="39" s="1"/>
  <c r="W31" i="40"/>
  <c r="X31" i="40" s="1"/>
  <c r="S16" i="40"/>
  <c r="T16" i="40" s="1"/>
  <c r="S15" i="39"/>
  <c r="T15" i="39" s="1"/>
  <c r="Q12" i="39"/>
  <c r="R12" i="39" s="1"/>
  <c r="M15" i="38"/>
  <c r="N15" i="38" s="1"/>
  <c r="W22" i="40"/>
  <c r="X22" i="40" s="1"/>
  <c r="S17" i="38"/>
  <c r="T17" i="38" s="1"/>
  <c r="O25" i="39"/>
  <c r="P25" i="39" s="1"/>
  <c r="S6" i="39"/>
  <c r="T6" i="39" s="1"/>
  <c r="M20" i="39"/>
  <c r="N20" i="39" s="1"/>
  <c r="S54" i="40"/>
  <c r="T54" i="40" s="1"/>
  <c r="Q76" i="40"/>
  <c r="R76" i="40" s="1"/>
  <c r="M12" i="38"/>
  <c r="N12" i="38" s="1"/>
  <c r="S19" i="39"/>
  <c r="T19" i="39" s="1"/>
  <c r="M26" i="38"/>
  <c r="N26" i="38" s="1"/>
  <c r="Q29" i="39"/>
  <c r="R29" i="39" s="1"/>
  <c r="M18" i="38"/>
  <c r="N18" i="38" s="1"/>
  <c r="Q72" i="40"/>
  <c r="R72" i="40" s="1"/>
  <c r="U76" i="40"/>
  <c r="V76" i="40" s="1"/>
  <c r="U58" i="40"/>
  <c r="V58" i="40" s="1"/>
  <c r="U64" i="40"/>
  <c r="V64" i="40" s="1"/>
  <c r="AF17" i="8"/>
  <c r="G33" i="37"/>
  <c r="H57" i="37"/>
  <c r="G57" i="37"/>
  <c r="G45" i="37"/>
  <c r="H45" i="37"/>
  <c r="AA12" i="8"/>
  <c r="AW12" i="8" s="1"/>
  <c r="AA13" i="8"/>
  <c r="AW13" i="8" s="1"/>
  <c r="S20" i="38"/>
  <c r="T20" i="38" s="1"/>
  <c r="S69" i="40"/>
  <c r="T69" i="40" s="1"/>
  <c r="Q73" i="40"/>
  <c r="R73" i="40" s="1"/>
  <c r="S9" i="37"/>
  <c r="T9" i="37" s="1"/>
  <c r="G9" i="37" s="1"/>
  <c r="U10" i="37"/>
  <c r="V10" i="37" s="1"/>
  <c r="U8" i="37"/>
  <c r="V8" i="37" s="1"/>
  <c r="N7" i="33"/>
  <c r="O7" i="33" s="1"/>
  <c r="Q42" i="40"/>
  <c r="R42" i="40" s="1"/>
  <c r="W55" i="40"/>
  <c r="X55" i="40" s="1"/>
  <c r="S72" i="40"/>
  <c r="T72" i="40" s="1"/>
  <c r="Q40" i="40"/>
  <c r="R40" i="40" s="1"/>
  <c r="S58" i="40"/>
  <c r="T58" i="40" s="1"/>
  <c r="S28" i="38"/>
  <c r="T28" i="38" s="1"/>
  <c r="W40" i="40"/>
  <c r="X40" i="40" s="1"/>
  <c r="S62" i="40"/>
  <c r="T62" i="40" s="1"/>
  <c r="W64" i="40"/>
  <c r="X64" i="40" s="1"/>
  <c r="S45" i="40"/>
  <c r="T45" i="40" s="1"/>
  <c r="M21" i="38"/>
  <c r="N21" i="38" s="1"/>
  <c r="Q7" i="39"/>
  <c r="R7" i="39" s="1"/>
  <c r="S18" i="38"/>
  <c r="T18" i="38" s="1"/>
  <c r="S7" i="39"/>
  <c r="T7" i="39" s="1"/>
  <c r="Q39" i="40"/>
  <c r="R39" i="40" s="1"/>
  <c r="S19" i="40"/>
  <c r="T19" i="40" s="1"/>
  <c r="W9" i="40"/>
  <c r="X9" i="40" s="1"/>
  <c r="O8" i="38"/>
  <c r="P8" i="38" s="1"/>
  <c r="S16" i="38"/>
  <c r="T16" i="38" s="1"/>
  <c r="S12" i="39"/>
  <c r="T12" i="39" s="1"/>
  <c r="U9" i="40"/>
  <c r="V9" i="40" s="1"/>
  <c r="Q14" i="40"/>
  <c r="R14" i="40" s="1"/>
  <c r="S42" i="40"/>
  <c r="T42" i="40" s="1"/>
  <c r="Q11" i="39"/>
  <c r="R11" i="39" s="1"/>
  <c r="Q19" i="38"/>
  <c r="R19" i="38" s="1"/>
  <c r="W52" i="40"/>
  <c r="X52" i="40" s="1"/>
  <c r="Q69" i="40"/>
  <c r="R69" i="40" s="1"/>
  <c r="Q28" i="38"/>
  <c r="R28" i="38" s="1"/>
  <c r="U49" i="40"/>
  <c r="V49" i="40" s="1"/>
  <c r="Q23" i="39"/>
  <c r="R23" i="39" s="1"/>
  <c r="U55" i="40"/>
  <c r="V55" i="40" s="1"/>
  <c r="S21" i="38"/>
  <c r="T21" i="38" s="1"/>
  <c r="O23" i="39"/>
  <c r="P23" i="39" s="1"/>
  <c r="W67" i="40"/>
  <c r="X67" i="40" s="1"/>
  <c r="S22" i="39"/>
  <c r="T22" i="39" s="1"/>
  <c r="U74" i="40"/>
  <c r="V74" i="40" s="1"/>
  <c r="Q23" i="38"/>
  <c r="R23" i="38" s="1"/>
  <c r="Q46" i="40"/>
  <c r="R46" i="40" s="1"/>
  <c r="S68" i="40"/>
  <c r="T68" i="40" s="1"/>
  <c r="W54" i="40"/>
  <c r="X54" i="40" s="1"/>
  <c r="O27" i="39"/>
  <c r="P27" i="39" s="1"/>
  <c r="O24" i="39"/>
  <c r="P24" i="39" s="1"/>
  <c r="S19" i="38"/>
  <c r="T19" i="38" s="1"/>
  <c r="S27" i="39"/>
  <c r="T27" i="39" s="1"/>
  <c r="W62" i="40"/>
  <c r="X62" i="40" s="1"/>
  <c r="Q19" i="39"/>
  <c r="R19" i="39" s="1"/>
  <c r="W70" i="40"/>
  <c r="X70" i="40" s="1"/>
  <c r="M23" i="39"/>
  <c r="N23" i="39" s="1"/>
  <c r="U40" i="40"/>
  <c r="V40" i="40" s="1"/>
  <c r="S70" i="40"/>
  <c r="T70" i="40" s="1"/>
  <c r="S66" i="40"/>
  <c r="T66" i="40" s="1"/>
  <c r="Q51" i="40"/>
  <c r="R51" i="40" s="1"/>
  <c r="U70" i="40"/>
  <c r="V70" i="40" s="1"/>
  <c r="S26" i="38"/>
  <c r="T26" i="38" s="1"/>
  <c r="Q20" i="38"/>
  <c r="R20" i="38" s="1"/>
  <c r="Q27" i="38"/>
  <c r="R27" i="38" s="1"/>
  <c r="Q26" i="38"/>
  <c r="R26" i="38" s="1"/>
  <c r="W51" i="40"/>
  <c r="X51" i="40" s="1"/>
  <c r="O27" i="38"/>
  <c r="P27" i="38" s="1"/>
  <c r="O23" i="38"/>
  <c r="P23" i="38" s="1"/>
  <c r="U52" i="40"/>
  <c r="V52" i="40" s="1"/>
  <c r="S29" i="39"/>
  <c r="T29" i="39" s="1"/>
  <c r="S63" i="40"/>
  <c r="T63" i="40" s="1"/>
  <c r="M19" i="38"/>
  <c r="N19" i="38" s="1"/>
  <c r="Q7" i="40"/>
  <c r="R7" i="40" s="1"/>
  <c r="S20" i="40"/>
  <c r="T20" i="40" s="1"/>
  <c r="U28" i="40"/>
  <c r="V28" i="40" s="1"/>
  <c r="S10" i="40"/>
  <c r="T10" i="40" s="1"/>
  <c r="Q9" i="39"/>
  <c r="R9" i="39" s="1"/>
  <c r="O16" i="39"/>
  <c r="P16" i="39" s="1"/>
  <c r="O7" i="41"/>
  <c r="P7" i="41" s="1"/>
  <c r="Q12" i="38"/>
  <c r="R12" i="38" s="1"/>
  <c r="M13" i="38"/>
  <c r="N13" i="38" s="1"/>
  <c r="Q10" i="40"/>
  <c r="R10" i="40" s="1"/>
  <c r="S13" i="40"/>
  <c r="T13" i="40" s="1"/>
  <c r="W32" i="40"/>
  <c r="X32" i="40" s="1"/>
  <c r="S15" i="38"/>
  <c r="T15" i="38" s="1"/>
  <c r="Q21" i="38"/>
  <c r="R21" i="38" s="1"/>
  <c r="S14" i="40"/>
  <c r="T14" i="40" s="1"/>
  <c r="U22" i="40"/>
  <c r="V22" i="40" s="1"/>
  <c r="W42" i="40"/>
  <c r="X42" i="40" s="1"/>
  <c r="W18" i="40"/>
  <c r="X18" i="40" s="1"/>
  <c r="U19" i="40"/>
  <c r="V19" i="40" s="1"/>
  <c r="Q31" i="40"/>
  <c r="R31" i="40" s="1"/>
  <c r="O8" i="41"/>
  <c r="P8" i="41" s="1"/>
  <c r="U27" i="40"/>
  <c r="V27" i="40" s="1"/>
  <c r="O15" i="39"/>
  <c r="P15" i="39" s="1"/>
  <c r="S10" i="38"/>
  <c r="T10" i="38" s="1"/>
  <c r="W19" i="40"/>
  <c r="X19" i="40" s="1"/>
  <c r="Q9" i="41"/>
  <c r="R9" i="41" s="1"/>
  <c r="Q10" i="39"/>
  <c r="R10" i="39" s="1"/>
  <c r="S14" i="39"/>
  <c r="T14" i="39" s="1"/>
  <c r="U39" i="40"/>
  <c r="V39" i="40" s="1"/>
  <c r="S6" i="38"/>
  <c r="T6" i="38" s="1"/>
  <c r="O9" i="39"/>
  <c r="P9" i="39" s="1"/>
  <c r="S32" i="40"/>
  <c r="T32" i="40" s="1"/>
  <c r="W10" i="40"/>
  <c r="X10" i="40" s="1"/>
  <c r="S18" i="40"/>
  <c r="T18" i="40" s="1"/>
  <c r="S25" i="40"/>
  <c r="T25" i="40" s="1"/>
  <c r="S6" i="41"/>
  <c r="T6" i="41" s="1"/>
  <c r="O9" i="38"/>
  <c r="P9" i="38" s="1"/>
  <c r="O13" i="38"/>
  <c r="P13" i="38" s="1"/>
  <c r="Q50" i="40"/>
  <c r="R50" i="40" s="1"/>
  <c r="S8" i="38"/>
  <c r="T8" i="38" s="1"/>
  <c r="S36" i="40"/>
  <c r="T36" i="40" s="1"/>
  <c r="U44" i="40"/>
  <c r="V44" i="40" s="1"/>
  <c r="Q12" i="40"/>
  <c r="R12" i="40" s="1"/>
  <c r="W12" i="40"/>
  <c r="X12" i="40" s="1"/>
  <c r="Q22" i="40"/>
  <c r="R22" i="40" s="1"/>
  <c r="W34" i="40"/>
  <c r="X34" i="40" s="1"/>
  <c r="Q6" i="38"/>
  <c r="R6" i="38" s="1"/>
  <c r="S9" i="38"/>
  <c r="T9" i="38" s="1"/>
  <c r="M13" i="39"/>
  <c r="N13" i="39" s="1"/>
  <c r="U8" i="40"/>
  <c r="V8" i="40" s="1"/>
  <c r="M9" i="39"/>
  <c r="N9" i="39" s="1"/>
  <c r="U75" i="40"/>
  <c r="V75" i="40" s="1"/>
  <c r="S24" i="38"/>
  <c r="T24" i="38" s="1"/>
  <c r="O21" i="39"/>
  <c r="P21" i="39" s="1"/>
  <c r="Q58" i="40"/>
  <c r="R58" i="40" s="1"/>
  <c r="S43" i="40"/>
  <c r="T43" i="40" s="1"/>
  <c r="Q70" i="40"/>
  <c r="R70" i="40" s="1"/>
  <c r="Q22" i="38"/>
  <c r="R22" i="38" s="1"/>
  <c r="Q48" i="40"/>
  <c r="R48" i="40" s="1"/>
  <c r="M25" i="39"/>
  <c r="N25" i="39" s="1"/>
  <c r="Q16" i="39"/>
  <c r="R16" i="39" s="1"/>
  <c r="O25" i="38"/>
  <c r="P25" i="38" s="1"/>
  <c r="W57" i="40"/>
  <c r="X57" i="40" s="1"/>
  <c r="U45" i="40"/>
  <c r="V45" i="40" s="1"/>
  <c r="S28" i="39"/>
  <c r="T28" i="39" s="1"/>
  <c r="Q24" i="38"/>
  <c r="R24" i="38" s="1"/>
  <c r="W45" i="40"/>
  <c r="X45" i="40" s="1"/>
  <c r="O28" i="38"/>
  <c r="P28" i="38" s="1"/>
  <c r="W49" i="40"/>
  <c r="X49" i="40" s="1"/>
  <c r="O29" i="39"/>
  <c r="P29" i="39" s="1"/>
  <c r="W68" i="40"/>
  <c r="X68" i="40" s="1"/>
  <c r="S24" i="39"/>
  <c r="T24" i="39" s="1"/>
  <c r="O17" i="38"/>
  <c r="P17" i="38" s="1"/>
  <c r="W75" i="40"/>
  <c r="X75" i="40" s="1"/>
  <c r="W60" i="40"/>
  <c r="X60" i="40" s="1"/>
  <c r="U51" i="40"/>
  <c r="V51" i="40" s="1"/>
  <c r="S67" i="40"/>
  <c r="T67" i="40" s="1"/>
  <c r="S23" i="39"/>
  <c r="T23" i="39" s="1"/>
  <c r="W48" i="40"/>
  <c r="X48" i="40" s="1"/>
  <c r="Q28" i="39"/>
  <c r="R28" i="39" s="1"/>
  <c r="O21" i="38"/>
  <c r="P21" i="38" s="1"/>
  <c r="W74" i="40"/>
  <c r="X74" i="40" s="1"/>
  <c r="Q57" i="40"/>
  <c r="R57" i="40" s="1"/>
  <c r="W38" i="40"/>
  <c r="X38" i="40" s="1"/>
  <c r="Q6" i="41"/>
  <c r="R6" i="41" s="1"/>
  <c r="W21" i="40"/>
  <c r="X21" i="40" s="1"/>
  <c r="S16" i="39"/>
  <c r="T16" i="39" s="1"/>
  <c r="O9" i="41"/>
  <c r="P9" i="41" s="1"/>
  <c r="Q14" i="39"/>
  <c r="R14" i="39" s="1"/>
  <c r="S31" i="40"/>
  <c r="T31" i="40" s="1"/>
  <c r="U10" i="40"/>
  <c r="V10" i="40" s="1"/>
  <c r="O11" i="39"/>
  <c r="P11" i="39" s="1"/>
  <c r="S34" i="40"/>
  <c r="T34" i="40" s="1"/>
  <c r="Q6" i="39"/>
  <c r="R6" i="39" s="1"/>
  <c r="W20" i="40"/>
  <c r="X20" i="40" s="1"/>
  <c r="S30" i="40"/>
  <c r="T30" i="40" s="1"/>
  <c r="O18" i="39"/>
  <c r="P18" i="39" s="1"/>
  <c r="S21" i="39"/>
  <c r="T21" i="39" s="1"/>
  <c r="W16" i="40"/>
  <c r="X16" i="40" s="1"/>
  <c r="Q32" i="40"/>
  <c r="R32" i="40" s="1"/>
  <c r="W6" i="40"/>
  <c r="X6" i="40" s="1"/>
  <c r="U21" i="40"/>
  <c r="V21" i="40" s="1"/>
  <c r="Q30" i="40"/>
  <c r="R30" i="40" s="1"/>
  <c r="Q15" i="38"/>
  <c r="R15" i="38" s="1"/>
  <c r="S7" i="38"/>
  <c r="T7" i="38" s="1"/>
  <c r="W25" i="40"/>
  <c r="X25" i="40" s="1"/>
  <c r="S9" i="41"/>
  <c r="T9" i="41" s="1"/>
  <c r="Q13" i="40"/>
  <c r="R13" i="40" s="1"/>
  <c r="S27" i="40"/>
  <c r="T27" i="40" s="1"/>
  <c r="Q8" i="39"/>
  <c r="R8" i="39" s="1"/>
  <c r="W13" i="40"/>
  <c r="X13" i="40" s="1"/>
  <c r="O14" i="39"/>
  <c r="P14" i="39" s="1"/>
  <c r="Q45" i="40"/>
  <c r="R45" i="40" s="1"/>
  <c r="S8" i="40"/>
  <c r="T8" i="40" s="1"/>
  <c r="S12" i="40"/>
  <c r="T12" i="40" s="1"/>
  <c r="S38" i="40"/>
  <c r="T38" i="40" s="1"/>
  <c r="Q6" i="40"/>
  <c r="R6" i="40" s="1"/>
  <c r="U20" i="40"/>
  <c r="V20" i="40" s="1"/>
  <c r="S33" i="40"/>
  <c r="T33" i="40" s="1"/>
  <c r="Q7" i="38"/>
  <c r="R7" i="38" s="1"/>
  <c r="Q9" i="38"/>
  <c r="R9" i="38" s="1"/>
  <c r="Q13" i="38"/>
  <c r="R13" i="38" s="1"/>
  <c r="W15" i="40"/>
  <c r="X15" i="40" s="1"/>
  <c r="Q11" i="38"/>
  <c r="R11" i="38" s="1"/>
  <c r="U31" i="40"/>
  <c r="V31" i="40" s="1"/>
  <c r="Q8" i="41"/>
  <c r="R8" i="41" s="1"/>
  <c r="U13" i="40"/>
  <c r="V13" i="40" s="1"/>
  <c r="S11" i="39"/>
  <c r="T11" i="39" s="1"/>
  <c r="S14" i="38"/>
  <c r="T14" i="38" s="1"/>
  <c r="U37" i="40"/>
  <c r="V37" i="40" s="1"/>
  <c r="W7" i="40"/>
  <c r="X7" i="40" s="1"/>
  <c r="U14" i="40"/>
  <c r="V14" i="40" s="1"/>
  <c r="U32" i="40"/>
  <c r="V32" i="40" s="1"/>
  <c r="S7" i="41"/>
  <c r="T7" i="41" s="1"/>
  <c r="U68" i="40"/>
  <c r="V68" i="40" s="1"/>
  <c r="Q18" i="39"/>
  <c r="R18" i="39" s="1"/>
  <c r="M23" i="38"/>
  <c r="N23" i="38" s="1"/>
  <c r="Q17" i="39"/>
  <c r="R17" i="39" s="1"/>
  <c r="S61" i="40"/>
  <c r="T61" i="40" s="1"/>
  <c r="O22" i="39"/>
  <c r="P22" i="39" s="1"/>
  <c r="Q18" i="38"/>
  <c r="R18" i="38" s="1"/>
  <c r="U63" i="40"/>
  <c r="V63" i="40" s="1"/>
  <c r="Q15" i="39"/>
  <c r="R15" i="39" s="1"/>
  <c r="O24" i="38"/>
  <c r="P24" i="38" s="1"/>
  <c r="W56" i="40"/>
  <c r="X56" i="40" s="1"/>
  <c r="S44" i="40"/>
  <c r="T44" i="40" s="1"/>
  <c r="S56" i="40"/>
  <c r="T56" i="40" s="1"/>
  <c r="Q29" i="38"/>
  <c r="R29" i="38" s="1"/>
  <c r="W66" i="40"/>
  <c r="X66" i="40" s="1"/>
  <c r="U57" i="40"/>
  <c r="V57" i="40" s="1"/>
  <c r="W73" i="40"/>
  <c r="X73" i="40" s="1"/>
  <c r="W61" i="40"/>
  <c r="X61" i="40" s="1"/>
  <c r="S22" i="38"/>
  <c r="T22" i="38" s="1"/>
  <c r="S29" i="38"/>
  <c r="T29" i="38" s="1"/>
  <c r="M25" i="38"/>
  <c r="N25" i="38" s="1"/>
  <c r="Q24" i="39"/>
  <c r="R24" i="39" s="1"/>
  <c r="W50" i="40"/>
  <c r="X50" i="40" s="1"/>
  <c r="O26" i="38"/>
  <c r="P26" i="38" s="1"/>
  <c r="S49" i="40"/>
  <c r="T49" i="40" s="1"/>
  <c r="M17" i="39"/>
  <c r="N17" i="39" s="1"/>
  <c r="O26" i="39"/>
  <c r="P26" i="39" s="1"/>
  <c r="S52" i="40"/>
  <c r="T52" i="40" s="1"/>
  <c r="M19" i="39"/>
  <c r="N19" i="39" s="1"/>
  <c r="M27" i="38"/>
  <c r="N27" i="38" s="1"/>
  <c r="Q52" i="40"/>
  <c r="R52" i="40" s="1"/>
  <c r="S8" i="41"/>
  <c r="T8" i="41" s="1"/>
  <c r="W24" i="40"/>
  <c r="X24" i="40" s="1"/>
  <c r="U34" i="40"/>
  <c r="V34" i="40" s="1"/>
  <c r="O7" i="38"/>
  <c r="P7" i="38" s="1"/>
  <c r="Q28" i="40"/>
  <c r="R28" i="40" s="1"/>
  <c r="S17" i="39"/>
  <c r="T17" i="39" s="1"/>
  <c r="Q10" i="38"/>
  <c r="R10" i="38" s="1"/>
  <c r="Q27" i="40"/>
  <c r="R27" i="40" s="1"/>
  <c r="Q36" i="40"/>
  <c r="R36" i="40" s="1"/>
  <c r="Q7" i="41"/>
  <c r="R7" i="41" s="1"/>
  <c r="S12" i="38"/>
  <c r="T12" i="38" s="1"/>
  <c r="S13" i="39"/>
  <c r="T13" i="39" s="1"/>
  <c r="U43" i="40"/>
  <c r="V43" i="40" s="1"/>
  <c r="O6" i="39"/>
  <c r="P6" i="39" s="1"/>
  <c r="U15" i="40"/>
  <c r="V15" i="40" s="1"/>
  <c r="U25" i="40"/>
  <c r="V25" i="40" s="1"/>
  <c r="U16" i="40"/>
  <c r="V16" i="40" s="1"/>
  <c r="W28" i="40"/>
  <c r="X28" i="40" s="1"/>
  <c r="Q17" i="38"/>
  <c r="R17" i="38" s="1"/>
  <c r="O8" i="39"/>
  <c r="P8" i="39" s="1"/>
  <c r="M15" i="39"/>
  <c r="N15" i="39" s="1"/>
  <c r="S15" i="40"/>
  <c r="T15" i="40" s="1"/>
  <c r="Q8" i="40"/>
  <c r="R8" i="40" s="1"/>
  <c r="G8" i="40" s="1"/>
  <c r="I8" i="40" s="1"/>
  <c r="W14" i="40"/>
  <c r="X14" i="40" s="1"/>
  <c r="U26" i="40"/>
  <c r="V26" i="40" s="1"/>
  <c r="W33" i="40"/>
  <c r="X33" i="40" s="1"/>
  <c r="Q37" i="40"/>
  <c r="R37" i="40" s="1"/>
  <c r="H37" i="40" s="1"/>
  <c r="O6" i="41"/>
  <c r="P6" i="41" s="1"/>
  <c r="Q21" i="40"/>
  <c r="R21" i="40" s="1"/>
  <c r="W37" i="40"/>
  <c r="X37" i="40" s="1"/>
  <c r="M7" i="38"/>
  <c r="N7" i="38" s="1"/>
  <c r="S11" i="38"/>
  <c r="T11" i="38" s="1"/>
  <c r="Q16" i="38"/>
  <c r="R16" i="38" s="1"/>
  <c r="M9" i="38"/>
  <c r="N9" i="38" s="1"/>
  <c r="O12" i="38"/>
  <c r="P12" i="38" s="1"/>
  <c r="W36" i="40"/>
  <c r="X36" i="40" s="1"/>
  <c r="Q8" i="38"/>
  <c r="R8" i="38" s="1"/>
  <c r="S13" i="38"/>
  <c r="T13" i="38" s="1"/>
  <c r="Q34" i="40"/>
  <c r="R34" i="40" s="1"/>
  <c r="S7" i="40"/>
  <c r="T7" i="40" s="1"/>
  <c r="S10" i="39"/>
  <c r="T10" i="39" s="1"/>
  <c r="W26" i="40"/>
  <c r="X26" i="40" s="1"/>
  <c r="O14" i="38"/>
  <c r="P14" i="38" s="1"/>
  <c r="O17" i="39"/>
  <c r="P17" i="39" s="1"/>
  <c r="Q16" i="40"/>
  <c r="R16" i="40" s="1"/>
  <c r="S22" i="40"/>
  <c r="T22" i="40" s="1"/>
  <c r="S28" i="40"/>
  <c r="T28" i="40" s="1"/>
  <c r="O6" i="38"/>
  <c r="P6" i="38" s="1"/>
  <c r="S26" i="40"/>
  <c r="T26" i="40" s="1"/>
  <c r="Q64" i="40"/>
  <c r="R64" i="40" s="1"/>
  <c r="W63" i="40"/>
  <c r="X63" i="40" s="1"/>
  <c r="S50" i="40"/>
  <c r="T50" i="40" s="1"/>
  <c r="S32" i="37"/>
  <c r="T32" i="37" s="1"/>
  <c r="U72" i="37"/>
  <c r="V72" i="37" s="1"/>
  <c r="W51" i="37"/>
  <c r="X51" i="37" s="1"/>
  <c r="U31" i="37"/>
  <c r="V31" i="37" s="1"/>
  <c r="U75" i="37"/>
  <c r="V75" i="37" s="1"/>
  <c r="H75" i="37" s="1"/>
  <c r="W76" i="37"/>
  <c r="X76" i="37" s="1"/>
  <c r="W26" i="37"/>
  <c r="X26" i="37" s="1"/>
  <c r="S51" i="37"/>
  <c r="T51" i="37" s="1"/>
  <c r="S50" i="37"/>
  <c r="T50" i="37" s="1"/>
  <c r="S10" i="37"/>
  <c r="T10" i="37" s="1"/>
  <c r="G10" i="37" s="1"/>
  <c r="W8" i="37"/>
  <c r="X8" i="37" s="1"/>
  <c r="S8" i="37"/>
  <c r="T8" i="37" s="1"/>
  <c r="S39" i="40"/>
  <c r="T39" i="40" s="1"/>
  <c r="O22" i="38"/>
  <c r="P22" i="38" s="1"/>
  <c r="Q26" i="39"/>
  <c r="R26" i="39" s="1"/>
  <c r="U67" i="40"/>
  <c r="V67" i="40" s="1"/>
  <c r="S20" i="39"/>
  <c r="T20" i="39" s="1"/>
  <c r="W69" i="40"/>
  <c r="X69" i="40" s="1"/>
  <c r="S76" i="40"/>
  <c r="T76" i="40" s="1"/>
  <c r="S46" i="40"/>
  <c r="T46" i="40" s="1"/>
  <c r="S23" i="38"/>
  <c r="T23" i="38" s="1"/>
  <c r="S74" i="40"/>
  <c r="T74" i="40" s="1"/>
  <c r="S51" i="40"/>
  <c r="T51" i="40" s="1"/>
  <c r="S25" i="39"/>
  <c r="T25" i="39" s="1"/>
  <c r="W27" i="40"/>
  <c r="X27" i="40" s="1"/>
  <c r="O11" i="38"/>
  <c r="P11" i="38" s="1"/>
  <c r="W30" i="40"/>
  <c r="X30" i="40" s="1"/>
  <c r="S9" i="40"/>
  <c r="T9" i="40" s="1"/>
  <c r="S8" i="39"/>
  <c r="T8" i="39" s="1"/>
  <c r="U38" i="40"/>
  <c r="V38" i="40" s="1"/>
  <c r="S24" i="40"/>
  <c r="T24" i="40" s="1"/>
  <c r="Q9" i="40"/>
  <c r="R9" i="40" s="1"/>
  <c r="O16" i="38"/>
  <c r="P16" i="38" s="1"/>
  <c r="O15" i="38"/>
  <c r="P15" i="38" s="1"/>
  <c r="Q14" i="38"/>
  <c r="R14" i="38" s="1"/>
  <c r="S6" i="40"/>
  <c r="T6" i="40" s="1"/>
  <c r="O18" i="38"/>
  <c r="P18" i="38" s="1"/>
  <c r="U73" i="40"/>
  <c r="V73" i="40" s="1"/>
  <c r="Q22" i="39"/>
  <c r="R22" i="39" s="1"/>
  <c r="U61" i="40"/>
  <c r="V61" i="40" s="1"/>
  <c r="Q27" i="39"/>
  <c r="R27" i="39" s="1"/>
  <c r="S73" i="40"/>
  <c r="T73" i="40" s="1"/>
  <c r="U56" i="40"/>
  <c r="V56" i="40" s="1"/>
  <c r="W76" i="40"/>
  <c r="X76" i="40" s="1"/>
  <c r="H9" i="8"/>
  <c r="M14" i="38"/>
  <c r="N14" i="38" s="1"/>
  <c r="U42" i="40"/>
  <c r="V42" i="40" s="1"/>
  <c r="U6" i="40"/>
  <c r="V6" i="40" s="1"/>
  <c r="U12" i="40"/>
  <c r="V12" i="40" s="1"/>
  <c r="T20" i="4"/>
  <c r="J11" i="8" s="1"/>
  <c r="U20" i="4"/>
  <c r="J12" i="8" s="1"/>
  <c r="V20" i="4"/>
  <c r="J13" i="8" s="1"/>
  <c r="R20" i="4"/>
  <c r="Q54" i="40"/>
  <c r="R54" i="40" s="1"/>
  <c r="U46" i="40"/>
  <c r="V46" i="40" s="1"/>
  <c r="M24" i="38"/>
  <c r="N24" i="38" s="1"/>
  <c r="S27" i="38"/>
  <c r="T27" i="38" s="1"/>
  <c r="O19" i="39"/>
  <c r="P19" i="39" s="1"/>
  <c r="U62" i="40"/>
  <c r="V62" i="40" s="1"/>
  <c r="Q25" i="39"/>
  <c r="R25" i="39" s="1"/>
  <c r="M29" i="38"/>
  <c r="N29" i="38" s="1"/>
  <c r="Q49" i="40"/>
  <c r="R49" i="40" s="1"/>
  <c r="G49" i="40" s="1"/>
  <c r="S64" i="40"/>
  <c r="T64" i="40" s="1"/>
  <c r="U50" i="40"/>
  <c r="V50" i="40" s="1"/>
  <c r="M14" i="39"/>
  <c r="N14" i="39" s="1"/>
  <c r="Q33" i="40"/>
  <c r="R33" i="40" s="1"/>
  <c r="Q26" i="40"/>
  <c r="R26" i="40" s="1"/>
  <c r="H26" i="40" s="1"/>
  <c r="M8" i="39"/>
  <c r="N8" i="39" s="1"/>
  <c r="Q7" i="37"/>
  <c r="R7" i="37" s="1"/>
  <c r="H7" i="37" s="1"/>
  <c r="AA20" i="8"/>
  <c r="U15" i="4"/>
  <c r="O12" i="6" s="1"/>
  <c r="V15" i="4"/>
  <c r="O13" i="6" s="1"/>
  <c r="H7" i="4"/>
  <c r="H11" i="8" s="1"/>
  <c r="AA18" i="8"/>
  <c r="AF13" i="8"/>
  <c r="AK13" i="8"/>
  <c r="AK10" i="8"/>
  <c r="AF10" i="8"/>
  <c r="AK14" i="8"/>
  <c r="AF14" i="8"/>
  <c r="AF16" i="8"/>
  <c r="AA15" i="8"/>
  <c r="AA19" i="8"/>
  <c r="AF12" i="8"/>
  <c r="AK12" i="8"/>
  <c r="I7" i="4"/>
  <c r="H12" i="8" s="1"/>
  <c r="J7" i="4"/>
  <c r="H13" i="8" s="1"/>
  <c r="G7" i="4"/>
  <c r="C10" i="6" s="1"/>
  <c r="Q72" i="37"/>
  <c r="R72" i="37" s="1"/>
  <c r="W43" i="40"/>
  <c r="X43" i="40" s="1"/>
  <c r="S75" i="40"/>
  <c r="T75" i="40" s="1"/>
  <c r="G75" i="40" s="1"/>
  <c r="N27" i="33"/>
  <c r="O27" i="33" s="1"/>
  <c r="Q43" i="40"/>
  <c r="R43" i="40" s="1"/>
  <c r="H43" i="40" s="1"/>
  <c r="M16" i="38"/>
  <c r="N16" i="38" s="1"/>
  <c r="Q30" i="37"/>
  <c r="R30" i="37" s="1"/>
  <c r="M18" i="39"/>
  <c r="N18" i="39" s="1"/>
  <c r="Q73" i="37"/>
  <c r="R73" i="37" s="1"/>
  <c r="Q13" i="37"/>
  <c r="R13" i="37" s="1"/>
  <c r="Q62" i="40"/>
  <c r="R62" i="40" s="1"/>
  <c r="Q67" i="40"/>
  <c r="R67" i="40" s="1"/>
  <c r="G67" i="40" s="1"/>
  <c r="M8" i="38"/>
  <c r="N8" i="38" s="1"/>
  <c r="Q48" i="37"/>
  <c r="R48" i="37" s="1"/>
  <c r="Q6" i="37"/>
  <c r="R6" i="37" s="1"/>
  <c r="G6" i="37" s="1"/>
  <c r="M6" i="38"/>
  <c r="N6" i="38" s="1"/>
  <c r="M16" i="39"/>
  <c r="N16" i="39" s="1"/>
  <c r="Q8" i="37"/>
  <c r="R8" i="37" s="1"/>
  <c r="Q74" i="37"/>
  <c r="R74" i="37" s="1"/>
  <c r="H74" i="37" s="1"/>
  <c r="Q31" i="37"/>
  <c r="R31" i="37" s="1"/>
  <c r="Q12" i="37"/>
  <c r="R12" i="37" s="1"/>
  <c r="H13" i="32"/>
  <c r="C13" i="32"/>
  <c r="M13" i="32"/>
  <c r="M10" i="32"/>
  <c r="H10" i="32"/>
  <c r="C10" i="32"/>
  <c r="M11" i="32"/>
  <c r="H11" i="32"/>
  <c r="C11" i="32"/>
  <c r="Y37" i="4"/>
  <c r="E16" i="32" s="1"/>
  <c r="C15" i="32"/>
  <c r="M15" i="32"/>
  <c r="H15" i="32"/>
  <c r="H12" i="32"/>
  <c r="C12" i="32"/>
  <c r="M12" i="32"/>
  <c r="C13" i="8"/>
  <c r="C11" i="8"/>
  <c r="C12" i="8"/>
  <c r="C15" i="8"/>
  <c r="E14" i="8"/>
  <c r="E19" i="8"/>
  <c r="E13" i="8"/>
  <c r="E10" i="8"/>
  <c r="E12" i="8"/>
  <c r="E20" i="8"/>
  <c r="E11" i="8"/>
  <c r="E17" i="8"/>
  <c r="E15" i="8"/>
  <c r="E16" i="8"/>
  <c r="E18" i="8"/>
  <c r="E11" i="6"/>
  <c r="E10" i="6"/>
  <c r="M94" i="36"/>
  <c r="N94" i="36" s="1"/>
  <c r="M61" i="41"/>
  <c r="N61" i="41" s="1"/>
  <c r="M46" i="41"/>
  <c r="N46" i="41" s="1"/>
  <c r="M26" i="41"/>
  <c r="N26" i="41" s="1"/>
  <c r="S57" i="41"/>
  <c r="T57" i="41" s="1"/>
  <c r="M64" i="41"/>
  <c r="N64" i="41" s="1"/>
  <c r="Q63" i="41"/>
  <c r="R63" i="41" s="1"/>
  <c r="O58" i="41"/>
  <c r="P58" i="41" s="1"/>
  <c r="Q57" i="41"/>
  <c r="R57" i="41" s="1"/>
  <c r="S56" i="41"/>
  <c r="T56" i="41" s="1"/>
  <c r="S58" i="41"/>
  <c r="T58" i="41" s="1"/>
  <c r="S48" i="41"/>
  <c r="T48" i="41" s="1"/>
  <c r="S42" i="41"/>
  <c r="T42" i="41" s="1"/>
  <c r="Q51" i="41"/>
  <c r="R51" i="41" s="1"/>
  <c r="O42" i="41"/>
  <c r="P42" i="41" s="1"/>
  <c r="M54" i="41"/>
  <c r="N54" i="41" s="1"/>
  <c r="S44" i="41"/>
  <c r="T44" i="41" s="1"/>
  <c r="O43" i="41"/>
  <c r="P43" i="41" s="1"/>
  <c r="S53" i="41"/>
  <c r="T53" i="41" s="1"/>
  <c r="Q41" i="41"/>
  <c r="R41" i="41" s="1"/>
  <c r="O46" i="41"/>
  <c r="P46" i="41" s="1"/>
  <c r="S51" i="41"/>
  <c r="T51" i="41" s="1"/>
  <c r="Q54" i="41"/>
  <c r="R54" i="41" s="1"/>
  <c r="O32" i="41"/>
  <c r="P32" i="41" s="1"/>
  <c r="O36" i="41"/>
  <c r="P36" i="41" s="1"/>
  <c r="M32" i="41"/>
  <c r="N32" i="41" s="1"/>
  <c r="Q32" i="41"/>
  <c r="R32" i="41" s="1"/>
  <c r="Q33" i="41"/>
  <c r="R33" i="41" s="1"/>
  <c r="S32" i="41"/>
  <c r="T32" i="41" s="1"/>
  <c r="S37" i="41"/>
  <c r="T37" i="41" s="1"/>
  <c r="M29" i="41"/>
  <c r="N29" i="41" s="1"/>
  <c r="S24" i="41"/>
  <c r="T24" i="41" s="1"/>
  <c r="O23" i="41"/>
  <c r="P23" i="41" s="1"/>
  <c r="O28" i="41"/>
  <c r="P28" i="41" s="1"/>
  <c r="Q23" i="41"/>
  <c r="R23" i="41" s="1"/>
  <c r="Q26" i="41"/>
  <c r="R26" i="41" s="1"/>
  <c r="Q22" i="41"/>
  <c r="R22" i="41" s="1"/>
  <c r="O16" i="41"/>
  <c r="P16" i="41" s="1"/>
  <c r="O24" i="41"/>
  <c r="P24" i="41" s="1"/>
  <c r="O17" i="41"/>
  <c r="P17" i="41" s="1"/>
  <c r="S21" i="41"/>
  <c r="T21" i="41" s="1"/>
  <c r="M127" i="36"/>
  <c r="N127" i="36" s="1"/>
  <c r="M83" i="36"/>
  <c r="N83" i="36" s="1"/>
  <c r="M56" i="41"/>
  <c r="N56" i="41" s="1"/>
  <c r="M21" i="41"/>
  <c r="N21" i="41" s="1"/>
  <c r="M31" i="41"/>
  <c r="N31" i="41" s="1"/>
  <c r="Q64" i="41"/>
  <c r="R64" i="41" s="1"/>
  <c r="M62" i="41"/>
  <c r="N62" i="41" s="1"/>
  <c r="Q56" i="41"/>
  <c r="R56" i="41" s="1"/>
  <c r="M58" i="41"/>
  <c r="N58" i="41" s="1"/>
  <c r="O56" i="41"/>
  <c r="P56" i="41" s="1"/>
  <c r="M57" i="41"/>
  <c r="N57" i="41" s="1"/>
  <c r="Q58" i="41"/>
  <c r="R58" i="41" s="1"/>
  <c r="O53" i="41"/>
  <c r="P53" i="41" s="1"/>
  <c r="Q46" i="41"/>
  <c r="R46" i="41" s="1"/>
  <c r="Q52" i="41"/>
  <c r="R52" i="41" s="1"/>
  <c r="S46" i="41"/>
  <c r="T46" i="41" s="1"/>
  <c r="O41" i="41"/>
  <c r="P41" i="41" s="1"/>
  <c r="M44" i="41"/>
  <c r="N44" i="41" s="1"/>
  <c r="M48" i="41"/>
  <c r="N48" i="41" s="1"/>
  <c r="Q42" i="41"/>
  <c r="R42" i="41" s="1"/>
  <c r="Q43" i="41"/>
  <c r="R43" i="41" s="1"/>
  <c r="Q48" i="41"/>
  <c r="R48" i="41" s="1"/>
  <c r="M53" i="41"/>
  <c r="N53" i="41" s="1"/>
  <c r="M33" i="41"/>
  <c r="N33" i="41" s="1"/>
  <c r="O37" i="41"/>
  <c r="P37" i="41" s="1"/>
  <c r="O27" i="41"/>
  <c r="P27" i="41" s="1"/>
  <c r="O34" i="41"/>
  <c r="P34" i="41" s="1"/>
  <c r="M34" i="41"/>
  <c r="N34" i="41" s="1"/>
  <c r="Q27" i="41"/>
  <c r="R27" i="41" s="1"/>
  <c r="S34" i="41"/>
  <c r="T34" i="41" s="1"/>
  <c r="M38" i="41"/>
  <c r="N38" i="41" s="1"/>
  <c r="Q28" i="41"/>
  <c r="R28" i="41" s="1"/>
  <c r="S23" i="41"/>
  <c r="T23" i="41" s="1"/>
  <c r="M23" i="41"/>
  <c r="N23" i="41" s="1"/>
  <c r="Q24" i="41"/>
  <c r="R24" i="41" s="1"/>
  <c r="O31" i="41"/>
  <c r="P31" i="41" s="1"/>
  <c r="S26" i="41"/>
  <c r="T26" i="41" s="1"/>
  <c r="Q21" i="41"/>
  <c r="R21" i="41" s="1"/>
  <c r="M24" i="41"/>
  <c r="N24" i="41" s="1"/>
  <c r="S18" i="41"/>
  <c r="T18" i="41" s="1"/>
  <c r="S17" i="41"/>
  <c r="T17" i="41" s="1"/>
  <c r="Q18" i="41"/>
  <c r="R18" i="41" s="1"/>
  <c r="M116" i="36"/>
  <c r="N116" i="36" s="1"/>
  <c r="M72" i="36"/>
  <c r="N72" i="36" s="1"/>
  <c r="M41" i="41"/>
  <c r="N41" i="41" s="1"/>
  <c r="M36" i="41"/>
  <c r="N36" i="41" s="1"/>
  <c r="O57" i="41"/>
  <c r="P57" i="41" s="1"/>
  <c r="Q62" i="41"/>
  <c r="R62" i="41" s="1"/>
  <c r="O61" i="41"/>
  <c r="P61" i="41" s="1"/>
  <c r="O59" i="41"/>
  <c r="P59" i="41" s="1"/>
  <c r="S64" i="41"/>
  <c r="T64" i="41" s="1"/>
  <c r="M63" i="41"/>
  <c r="N63" i="41" s="1"/>
  <c r="S59" i="41"/>
  <c r="T59" i="41" s="1"/>
  <c r="O63" i="41"/>
  <c r="P63" i="41" s="1"/>
  <c r="M52" i="41"/>
  <c r="N52" i="41" s="1"/>
  <c r="M47" i="41"/>
  <c r="N47" i="41" s="1"/>
  <c r="O52" i="41"/>
  <c r="P52" i="41" s="1"/>
  <c r="Q49" i="41"/>
  <c r="R49" i="41" s="1"/>
  <c r="O48" i="41"/>
  <c r="P48" i="41" s="1"/>
  <c r="S41" i="41"/>
  <c r="T41" i="41" s="1"/>
  <c r="Q47" i="41"/>
  <c r="R47" i="41" s="1"/>
  <c r="O47" i="41"/>
  <c r="P47" i="41" s="1"/>
  <c r="S43" i="41"/>
  <c r="T43" i="41" s="1"/>
  <c r="S49" i="41"/>
  <c r="T49" i="41" s="1"/>
  <c r="S52" i="41"/>
  <c r="T52" i="41" s="1"/>
  <c r="O39" i="41"/>
  <c r="P39" i="41" s="1"/>
  <c r="S38" i="41"/>
  <c r="T38" i="41" s="1"/>
  <c r="Q37" i="41"/>
  <c r="R37" i="41" s="1"/>
  <c r="S33" i="41"/>
  <c r="T33" i="41" s="1"/>
  <c r="S39" i="41"/>
  <c r="T39" i="41" s="1"/>
  <c r="Q38" i="41"/>
  <c r="R38" i="41" s="1"/>
  <c r="Q34" i="41"/>
  <c r="R34" i="41" s="1"/>
  <c r="O38" i="41"/>
  <c r="P38" i="41" s="1"/>
  <c r="M28" i="41"/>
  <c r="N28" i="41" s="1"/>
  <c r="M27" i="41"/>
  <c r="N27" i="41" s="1"/>
  <c r="O26" i="41"/>
  <c r="P26" i="41" s="1"/>
  <c r="O22" i="41"/>
  <c r="P22" i="41" s="1"/>
  <c r="Q31" i="41"/>
  <c r="R31" i="41" s="1"/>
  <c r="S29" i="41"/>
  <c r="T29" i="41" s="1"/>
  <c r="S16" i="41"/>
  <c r="T16" i="41" s="1"/>
  <c r="O19" i="41"/>
  <c r="P19" i="41" s="1"/>
  <c r="O18" i="41"/>
  <c r="P18" i="41" s="1"/>
  <c r="M19" i="41"/>
  <c r="N19" i="41" s="1"/>
  <c r="Q17" i="41"/>
  <c r="R17" i="41" s="1"/>
  <c r="M105" i="36"/>
  <c r="N105" i="36" s="1"/>
  <c r="M61" i="36"/>
  <c r="N61" i="36" s="1"/>
  <c r="M51" i="41"/>
  <c r="N51" i="41" s="1"/>
  <c r="S63" i="41"/>
  <c r="T63" i="41" s="1"/>
  <c r="S62" i="41"/>
  <c r="T62" i="41" s="1"/>
  <c r="O64" i="41"/>
  <c r="P64" i="41" s="1"/>
  <c r="M59" i="41"/>
  <c r="N59" i="41" s="1"/>
  <c r="S61" i="41"/>
  <c r="T61" i="41" s="1"/>
  <c r="O62" i="41"/>
  <c r="P62" i="41" s="1"/>
  <c r="Q59" i="41"/>
  <c r="R59" i="41" s="1"/>
  <c r="Q61" i="41"/>
  <c r="R61" i="41" s="1"/>
  <c r="O44" i="41"/>
  <c r="P44" i="41" s="1"/>
  <c r="O51" i="41"/>
  <c r="P51" i="41" s="1"/>
  <c r="S54" i="41"/>
  <c r="T54" i="41" s="1"/>
  <c r="Q53" i="41"/>
  <c r="R53" i="41" s="1"/>
  <c r="S47" i="41"/>
  <c r="T47" i="41" s="1"/>
  <c r="M43" i="41"/>
  <c r="N43" i="41" s="1"/>
  <c r="O49" i="41"/>
  <c r="P49" i="41" s="1"/>
  <c r="Q44" i="41"/>
  <c r="R44" i="41" s="1"/>
  <c r="M42" i="41"/>
  <c r="N42" i="41" s="1"/>
  <c r="M49" i="41"/>
  <c r="N49" i="41" s="1"/>
  <c r="O54" i="41"/>
  <c r="P54" i="41" s="1"/>
  <c r="S28" i="41"/>
  <c r="T28" i="41" s="1"/>
  <c r="M39" i="41"/>
  <c r="N39" i="41" s="1"/>
  <c r="O29" i="41"/>
  <c r="P29" i="41" s="1"/>
  <c r="O33" i="41"/>
  <c r="P33" i="41" s="1"/>
  <c r="Q39" i="41"/>
  <c r="R39" i="41" s="1"/>
  <c r="S36" i="41"/>
  <c r="T36" i="41" s="1"/>
  <c r="M37" i="41"/>
  <c r="N37" i="41" s="1"/>
  <c r="Q36" i="41"/>
  <c r="R36" i="41" s="1"/>
  <c r="Q29" i="41"/>
  <c r="R29" i="41" s="1"/>
  <c r="M22" i="41"/>
  <c r="N22" i="41" s="1"/>
  <c r="S27" i="41"/>
  <c r="T27" i="41" s="1"/>
  <c r="O21" i="41"/>
  <c r="P21" i="41" s="1"/>
  <c r="S22" i="41"/>
  <c r="T22" i="41" s="1"/>
  <c r="S31" i="41"/>
  <c r="T31" i="41" s="1"/>
  <c r="M17" i="41"/>
  <c r="N17" i="41" s="1"/>
  <c r="Q16" i="41"/>
  <c r="R16" i="41" s="1"/>
  <c r="S19" i="41"/>
  <c r="T19" i="41" s="1"/>
  <c r="Q19" i="41"/>
  <c r="R19" i="41" s="1"/>
  <c r="O116" i="36"/>
  <c r="P116" i="36" s="1"/>
  <c r="M65" i="36"/>
  <c r="N65" i="36" s="1"/>
  <c r="Q102" i="36"/>
  <c r="R102" i="36" s="1"/>
  <c r="M62" i="36"/>
  <c r="N62" i="36" s="1"/>
  <c r="O119" i="36"/>
  <c r="P119" i="36" s="1"/>
  <c r="Q62" i="36"/>
  <c r="R62" i="36" s="1"/>
  <c r="O113" i="36"/>
  <c r="P113" i="36" s="1"/>
  <c r="S62" i="36"/>
  <c r="T62" i="36" s="1"/>
  <c r="M114" i="36"/>
  <c r="N114" i="36" s="1"/>
  <c r="S78" i="36"/>
  <c r="T78" i="36" s="1"/>
  <c r="O136" i="36"/>
  <c r="P136" i="36" s="1"/>
  <c r="S90" i="36"/>
  <c r="T90" i="36" s="1"/>
  <c r="M132" i="36"/>
  <c r="N132" i="36" s="1"/>
  <c r="O81" i="36"/>
  <c r="P81" i="36" s="1"/>
  <c r="S121" i="36"/>
  <c r="T121" i="36" s="1"/>
  <c r="O70" i="36"/>
  <c r="P70" i="36" s="1"/>
  <c r="S106" i="36"/>
  <c r="T106" i="36" s="1"/>
  <c r="M11" i="41"/>
  <c r="N11" i="41" s="1"/>
  <c r="S94" i="36"/>
  <c r="T94" i="36" s="1"/>
  <c r="M64" i="36"/>
  <c r="N64" i="36" s="1"/>
  <c r="Q122" i="36"/>
  <c r="R122" i="36" s="1"/>
  <c r="Q80" i="36"/>
  <c r="R80" i="36" s="1"/>
  <c r="Q124" i="36"/>
  <c r="R124" i="36" s="1"/>
  <c r="O75" i="36"/>
  <c r="P75" i="36" s="1"/>
  <c r="M117" i="36"/>
  <c r="N117" i="36" s="1"/>
  <c r="M73" i="36"/>
  <c r="N73" i="36" s="1"/>
  <c r="M131" i="36"/>
  <c r="N131" i="36" s="1"/>
  <c r="Q107" i="36"/>
  <c r="R107" i="36" s="1"/>
  <c r="O62" i="36"/>
  <c r="P62" i="36" s="1"/>
  <c r="Q99" i="36"/>
  <c r="R99" i="36" s="1"/>
  <c r="M66" i="36"/>
  <c r="N66" i="36" s="1"/>
  <c r="O88" i="36"/>
  <c r="P88" i="36" s="1"/>
  <c r="M129" i="36"/>
  <c r="N129" i="36" s="1"/>
  <c r="O78" i="36"/>
  <c r="P78" i="36" s="1"/>
  <c r="O120" i="36"/>
  <c r="P120" i="36" s="1"/>
  <c r="O11" i="41"/>
  <c r="P11" i="41" s="1"/>
  <c r="S83" i="36"/>
  <c r="T83" i="36" s="1"/>
  <c r="Q81" i="36"/>
  <c r="R81" i="36" s="1"/>
  <c r="Q133" i="36"/>
  <c r="R133" i="36" s="1"/>
  <c r="M95" i="36"/>
  <c r="N95" i="36" s="1"/>
  <c r="Q128" i="36"/>
  <c r="R128" i="36" s="1"/>
  <c r="M90" i="36"/>
  <c r="N90" i="36" s="1"/>
  <c r="Q134" i="36"/>
  <c r="R134" i="36" s="1"/>
  <c r="Q84" i="36"/>
  <c r="R84" i="36" s="1"/>
  <c r="S135" i="36"/>
  <c r="T135" i="36" s="1"/>
  <c r="O117" i="36"/>
  <c r="P117" i="36" s="1"/>
  <c r="S67" i="36"/>
  <c r="T67" i="36" s="1"/>
  <c r="O111" i="36"/>
  <c r="P111" i="36" s="1"/>
  <c r="O92" i="36"/>
  <c r="P92" i="36" s="1"/>
  <c r="O101" i="36"/>
  <c r="P101" i="36" s="1"/>
  <c r="O65" i="36"/>
  <c r="P65" i="36" s="1"/>
  <c r="O85" i="36"/>
  <c r="P85" i="36" s="1"/>
  <c r="S125" i="36"/>
  <c r="T125" i="36" s="1"/>
  <c r="Q11" i="41"/>
  <c r="R11" i="41" s="1"/>
  <c r="Q127" i="36"/>
  <c r="R127" i="36" s="1"/>
  <c r="S72" i="36"/>
  <c r="T72" i="36" s="1"/>
  <c r="M86" i="36"/>
  <c r="N86" i="36" s="1"/>
  <c r="Q98" i="36"/>
  <c r="R98" i="36" s="1"/>
  <c r="Q113" i="36"/>
  <c r="R113" i="36" s="1"/>
  <c r="S91" i="36"/>
  <c r="T91" i="36" s="1"/>
  <c r="Q89" i="36"/>
  <c r="R89" i="36" s="1"/>
  <c r="Q101" i="36"/>
  <c r="R101" i="36" s="1"/>
  <c r="Q100" i="36"/>
  <c r="R100" i="36" s="1"/>
  <c r="S75" i="36"/>
  <c r="T75" i="36" s="1"/>
  <c r="S122" i="36"/>
  <c r="T122" i="36" s="1"/>
  <c r="S85" i="36"/>
  <c r="T85" i="36" s="1"/>
  <c r="O118" i="36"/>
  <c r="P118" i="36" s="1"/>
  <c r="Q66" i="36"/>
  <c r="R66" i="36" s="1"/>
  <c r="S109" i="36"/>
  <c r="T109" i="36" s="1"/>
  <c r="O99" i="36"/>
  <c r="P99" i="36" s="1"/>
  <c r="M99" i="36"/>
  <c r="N99" i="36" s="1"/>
  <c r="S11" i="41"/>
  <c r="T11" i="41" s="1"/>
  <c r="Q14" i="37"/>
  <c r="R14" i="37" s="1"/>
  <c r="Q50" i="37"/>
  <c r="R50" i="37" s="1"/>
  <c r="Q49" i="37"/>
  <c r="R49" i="37" s="1"/>
  <c r="S127" i="36"/>
  <c r="T127" i="36" s="1"/>
  <c r="Q105" i="36"/>
  <c r="R105" i="36" s="1"/>
  <c r="Q94" i="36"/>
  <c r="R94" i="36" s="1"/>
  <c r="O83" i="36"/>
  <c r="P83" i="36" s="1"/>
  <c r="Q61" i="36"/>
  <c r="R61" i="36" s="1"/>
  <c r="M68" i="36"/>
  <c r="N68" i="36" s="1"/>
  <c r="O64" i="36"/>
  <c r="P64" i="36" s="1"/>
  <c r="M87" i="36"/>
  <c r="N87" i="36" s="1"/>
  <c r="M98" i="36"/>
  <c r="N98" i="36" s="1"/>
  <c r="M111" i="36"/>
  <c r="N111" i="36" s="1"/>
  <c r="Q119" i="36"/>
  <c r="R119" i="36" s="1"/>
  <c r="Q135" i="36"/>
  <c r="R135" i="36" s="1"/>
  <c r="Q68" i="36"/>
  <c r="R68" i="36" s="1"/>
  <c r="S64" i="36"/>
  <c r="T64" i="36" s="1"/>
  <c r="M81" i="36"/>
  <c r="N81" i="36" s="1"/>
  <c r="M102" i="36"/>
  <c r="N102" i="36" s="1"/>
  <c r="M106" i="36"/>
  <c r="N106" i="36" s="1"/>
  <c r="M119" i="36"/>
  <c r="N119" i="36" s="1"/>
  <c r="M134" i="36"/>
  <c r="N134" i="36" s="1"/>
  <c r="M135" i="36"/>
  <c r="N135" i="36" s="1"/>
  <c r="Q123" i="36"/>
  <c r="R123" i="36" s="1"/>
  <c r="S61" i="36"/>
  <c r="T61" i="36" s="1"/>
  <c r="M80" i="36"/>
  <c r="N80" i="36" s="1"/>
  <c r="O86" i="36"/>
  <c r="P86" i="36" s="1"/>
  <c r="M101" i="36"/>
  <c r="N101" i="36" s="1"/>
  <c r="M113" i="36"/>
  <c r="N113" i="36" s="1"/>
  <c r="M124" i="36"/>
  <c r="N124" i="36" s="1"/>
  <c r="Q87" i="36"/>
  <c r="R87" i="36" s="1"/>
  <c r="S80" i="36"/>
  <c r="T80" i="36" s="1"/>
  <c r="Q69" i="36"/>
  <c r="R69" i="36" s="1"/>
  <c r="O91" i="36"/>
  <c r="P91" i="36" s="1"/>
  <c r="O102" i="36"/>
  <c r="P102" i="36" s="1"/>
  <c r="M97" i="36"/>
  <c r="N97" i="36" s="1"/>
  <c r="Q111" i="36"/>
  <c r="R111" i="36" s="1"/>
  <c r="Q130" i="36"/>
  <c r="R130" i="36" s="1"/>
  <c r="S108" i="36"/>
  <c r="T108" i="36" s="1"/>
  <c r="Q109" i="36"/>
  <c r="R109" i="36" s="1"/>
  <c r="S88" i="36"/>
  <c r="T88" i="36" s="1"/>
  <c r="S110" i="36"/>
  <c r="T110" i="36" s="1"/>
  <c r="M118" i="36"/>
  <c r="N118" i="36" s="1"/>
  <c r="Q129" i="36"/>
  <c r="R129" i="36" s="1"/>
  <c r="M63" i="36"/>
  <c r="N63" i="36" s="1"/>
  <c r="O63" i="36"/>
  <c r="P63" i="36" s="1"/>
  <c r="S73" i="36"/>
  <c r="T73" i="36" s="1"/>
  <c r="O87" i="36"/>
  <c r="P87" i="36" s="1"/>
  <c r="S92" i="36"/>
  <c r="T92" i="36" s="1"/>
  <c r="S107" i="36"/>
  <c r="T107" i="36" s="1"/>
  <c r="S112" i="36"/>
  <c r="T112" i="36" s="1"/>
  <c r="Q121" i="36"/>
  <c r="R121" i="36" s="1"/>
  <c r="O133" i="36"/>
  <c r="P133" i="36" s="1"/>
  <c r="O73" i="36"/>
  <c r="P73" i="36" s="1"/>
  <c r="S98" i="36"/>
  <c r="T98" i="36" s="1"/>
  <c r="Q74" i="36"/>
  <c r="R74" i="36" s="1"/>
  <c r="O84" i="36"/>
  <c r="P84" i="36" s="1"/>
  <c r="S89" i="36"/>
  <c r="T89" i="36" s="1"/>
  <c r="O103" i="36"/>
  <c r="P103" i="36" s="1"/>
  <c r="O110" i="36"/>
  <c r="P110" i="36" s="1"/>
  <c r="O123" i="36"/>
  <c r="P123" i="36" s="1"/>
  <c r="S131" i="36"/>
  <c r="T131" i="36" s="1"/>
  <c r="S70" i="36"/>
  <c r="T70" i="36" s="1"/>
  <c r="S63" i="36"/>
  <c r="T63" i="36" s="1"/>
  <c r="S74" i="36"/>
  <c r="T74" i="36" s="1"/>
  <c r="S79" i="36"/>
  <c r="T79" i="36" s="1"/>
  <c r="Q88" i="36"/>
  <c r="R88" i="36" s="1"/>
  <c r="O100" i="36"/>
  <c r="P100" i="36" s="1"/>
  <c r="O107" i="36"/>
  <c r="P107" i="36" s="1"/>
  <c r="M121" i="36"/>
  <c r="N121" i="36" s="1"/>
  <c r="S128" i="36"/>
  <c r="T128" i="36" s="1"/>
  <c r="M12" i="41"/>
  <c r="N12" i="41" s="1"/>
  <c r="O12" i="41"/>
  <c r="P12" i="41" s="1"/>
  <c r="Q12" i="41"/>
  <c r="R12" i="41" s="1"/>
  <c r="S12" i="41"/>
  <c r="T12" i="41" s="1"/>
  <c r="S116" i="36"/>
  <c r="T116" i="36" s="1"/>
  <c r="S105" i="36"/>
  <c r="T105" i="36" s="1"/>
  <c r="O94" i="36"/>
  <c r="P94" i="36" s="1"/>
  <c r="Q72" i="36"/>
  <c r="R72" i="36" s="1"/>
  <c r="O61" i="36"/>
  <c r="P61" i="36" s="1"/>
  <c r="Q70" i="36"/>
  <c r="R70" i="36" s="1"/>
  <c r="M76" i="36"/>
  <c r="N76" i="36" s="1"/>
  <c r="Q86" i="36"/>
  <c r="R86" i="36" s="1"/>
  <c r="M100" i="36"/>
  <c r="N100" i="36" s="1"/>
  <c r="Q106" i="36"/>
  <c r="R106" i="36" s="1"/>
  <c r="M130" i="36"/>
  <c r="N130" i="36" s="1"/>
  <c r="Q90" i="36"/>
  <c r="R90" i="36" s="1"/>
  <c r="S102" i="36"/>
  <c r="T102" i="36" s="1"/>
  <c r="M69" i="36"/>
  <c r="N69" i="36" s="1"/>
  <c r="Q78" i="36"/>
  <c r="R78" i="36" s="1"/>
  <c r="M112" i="36"/>
  <c r="N112" i="36" s="1"/>
  <c r="M108" i="36"/>
  <c r="N108" i="36" s="1"/>
  <c r="M122" i="36"/>
  <c r="N122" i="36" s="1"/>
  <c r="O130" i="36"/>
  <c r="P130" i="36" s="1"/>
  <c r="Q65" i="36"/>
  <c r="R65" i="36" s="1"/>
  <c r="S97" i="36"/>
  <c r="T97" i="36" s="1"/>
  <c r="S69" i="36"/>
  <c r="T69" i="36" s="1"/>
  <c r="M78" i="36"/>
  <c r="N78" i="36" s="1"/>
  <c r="Q91" i="36"/>
  <c r="R91" i="36" s="1"/>
  <c r="O97" i="36"/>
  <c r="P97" i="36" s="1"/>
  <c r="Q114" i="36"/>
  <c r="R114" i="36" s="1"/>
  <c r="O135" i="36"/>
  <c r="P135" i="36" s="1"/>
  <c r="S113" i="36"/>
  <c r="T113" i="36" s="1"/>
  <c r="S119" i="36"/>
  <c r="T119" i="36" s="1"/>
  <c r="O80" i="36"/>
  <c r="P80" i="36" s="1"/>
  <c r="M91" i="36"/>
  <c r="N91" i="36" s="1"/>
  <c r="Q97" i="36"/>
  <c r="R97" i="36" s="1"/>
  <c r="M109" i="36"/>
  <c r="N109" i="36" s="1"/>
  <c r="M120" i="36"/>
  <c r="N120" i="36" s="1"/>
  <c r="Q136" i="36"/>
  <c r="R136" i="36" s="1"/>
  <c r="Q76" i="36"/>
  <c r="R76" i="36" s="1"/>
  <c r="O67" i="36"/>
  <c r="P67" i="36" s="1"/>
  <c r="M96" i="36"/>
  <c r="N96" i="36" s="1"/>
  <c r="O112" i="36"/>
  <c r="P112" i="36" s="1"/>
  <c r="S120" i="36"/>
  <c r="T120" i="36" s="1"/>
  <c r="S132" i="36"/>
  <c r="T132" i="36" s="1"/>
  <c r="S68" i="36"/>
  <c r="T68" i="36" s="1"/>
  <c r="S65" i="36"/>
  <c r="T65" i="36" s="1"/>
  <c r="O74" i="36"/>
  <c r="P74" i="36" s="1"/>
  <c r="M88" i="36"/>
  <c r="N88" i="36" s="1"/>
  <c r="S95" i="36"/>
  <c r="T95" i="36" s="1"/>
  <c r="O109" i="36"/>
  <c r="P109" i="36" s="1"/>
  <c r="S114" i="36"/>
  <c r="T114" i="36" s="1"/>
  <c r="S129" i="36"/>
  <c r="T129" i="36" s="1"/>
  <c r="S134" i="36"/>
  <c r="T134" i="36" s="1"/>
  <c r="O77" i="36"/>
  <c r="P77" i="36" s="1"/>
  <c r="Q63" i="36"/>
  <c r="R63" i="36" s="1"/>
  <c r="S77" i="36"/>
  <c r="T77" i="36" s="1"/>
  <c r="M85" i="36"/>
  <c r="N85" i="36" s="1"/>
  <c r="Q96" i="36"/>
  <c r="R96" i="36" s="1"/>
  <c r="O106" i="36"/>
  <c r="P106" i="36" s="1"/>
  <c r="S111" i="36"/>
  <c r="T111" i="36" s="1"/>
  <c r="O125" i="36"/>
  <c r="P125" i="36" s="1"/>
  <c r="O132" i="36"/>
  <c r="P132" i="36" s="1"/>
  <c r="S76" i="36"/>
  <c r="T76" i="36" s="1"/>
  <c r="S66" i="36"/>
  <c r="T66" i="36" s="1"/>
  <c r="O76" i="36"/>
  <c r="P76" i="36" s="1"/>
  <c r="S81" i="36"/>
  <c r="T81" i="36" s="1"/>
  <c r="S96" i="36"/>
  <c r="T96" i="36" s="1"/>
  <c r="S101" i="36"/>
  <c r="T101" i="36" s="1"/>
  <c r="Q110" i="36"/>
  <c r="R110" i="36" s="1"/>
  <c r="O122" i="36"/>
  <c r="P122" i="36" s="1"/>
  <c r="O129" i="36"/>
  <c r="P129" i="36" s="1"/>
  <c r="Q13" i="41"/>
  <c r="R13" i="41" s="1"/>
  <c r="S13" i="41"/>
  <c r="T13" i="41" s="1"/>
  <c r="M13" i="41"/>
  <c r="N13" i="41" s="1"/>
  <c r="O13" i="41"/>
  <c r="P13" i="41" s="1"/>
  <c r="O127" i="36"/>
  <c r="P127" i="36" s="1"/>
  <c r="Q116" i="36"/>
  <c r="R116" i="36" s="1"/>
  <c r="O105" i="36"/>
  <c r="P105" i="36" s="1"/>
  <c r="Q83" i="36"/>
  <c r="R83" i="36" s="1"/>
  <c r="O72" i="36"/>
  <c r="P72" i="36" s="1"/>
  <c r="M70" i="36"/>
  <c r="N70" i="36" s="1"/>
  <c r="Q67" i="36"/>
  <c r="R67" i="36" s="1"/>
  <c r="M75" i="36"/>
  <c r="N75" i="36" s="1"/>
  <c r="M84" i="36"/>
  <c r="N84" i="36" s="1"/>
  <c r="Q95" i="36"/>
  <c r="R95" i="36" s="1"/>
  <c r="M125" i="36"/>
  <c r="N125" i="36" s="1"/>
  <c r="M136" i="36"/>
  <c r="N136" i="36" s="1"/>
  <c r="S130" i="36"/>
  <c r="T130" i="36" s="1"/>
  <c r="Q131" i="36"/>
  <c r="R131" i="36" s="1"/>
  <c r="O69" i="36"/>
  <c r="P69" i="36" s="1"/>
  <c r="Q92" i="36"/>
  <c r="R92" i="36" s="1"/>
  <c r="O108" i="36"/>
  <c r="P108" i="36" s="1"/>
  <c r="M123" i="36"/>
  <c r="N123" i="36" s="1"/>
  <c r="Q117" i="36"/>
  <c r="R117" i="36" s="1"/>
  <c r="M133" i="36"/>
  <c r="N133" i="36" s="1"/>
  <c r="Q120" i="36"/>
  <c r="R120" i="36" s="1"/>
  <c r="S124" i="36"/>
  <c r="T124" i="36" s="1"/>
  <c r="M79" i="36"/>
  <c r="N79" i="36" s="1"/>
  <c r="Q73" i="36"/>
  <c r="R73" i="36" s="1"/>
  <c r="M92" i="36"/>
  <c r="N92" i="36" s="1"/>
  <c r="Q103" i="36"/>
  <c r="R103" i="36" s="1"/>
  <c r="O124" i="36"/>
  <c r="P124" i="36" s="1"/>
  <c r="M128" i="36"/>
  <c r="N128" i="36" s="1"/>
  <c r="S86" i="36"/>
  <c r="T86" i="36" s="1"/>
  <c r="M67" i="36"/>
  <c r="N67" i="36" s="1"/>
  <c r="Q75" i="36"/>
  <c r="R75" i="36" s="1"/>
  <c r="M89" i="36"/>
  <c r="N89" i="36" s="1"/>
  <c r="M103" i="36"/>
  <c r="N103" i="36" s="1"/>
  <c r="Q108" i="36"/>
  <c r="R108" i="36" s="1"/>
  <c r="Q125" i="36"/>
  <c r="R125" i="36" s="1"/>
  <c r="Q112" i="36"/>
  <c r="R112" i="36" s="1"/>
  <c r="Q79" i="36"/>
  <c r="R79" i="36" s="1"/>
  <c r="M74" i="36"/>
  <c r="N74" i="36" s="1"/>
  <c r="S100" i="36"/>
  <c r="T100" i="36" s="1"/>
  <c r="O114" i="36"/>
  <c r="P114" i="36" s="1"/>
  <c r="O121" i="36"/>
  <c r="P121" i="36" s="1"/>
  <c r="O134" i="36"/>
  <c r="P134" i="36" s="1"/>
  <c r="O90" i="36"/>
  <c r="P90" i="36" s="1"/>
  <c r="O66" i="36"/>
  <c r="P66" i="36" s="1"/>
  <c r="Q77" i="36"/>
  <c r="R77" i="36" s="1"/>
  <c r="O89" i="36"/>
  <c r="P89" i="36" s="1"/>
  <c r="O96" i="36"/>
  <c r="P96" i="36" s="1"/>
  <c r="M110" i="36"/>
  <c r="N110" i="36" s="1"/>
  <c r="S117" i="36"/>
  <c r="T117" i="36" s="1"/>
  <c r="O131" i="36"/>
  <c r="P131" i="36" s="1"/>
  <c r="S136" i="36"/>
  <c r="T136" i="36" s="1"/>
  <c r="Q85" i="36"/>
  <c r="R85" i="36" s="1"/>
  <c r="Q64" i="36"/>
  <c r="R64" i="36" s="1"/>
  <c r="O79" i="36"/>
  <c r="P79" i="36" s="1"/>
  <c r="S87" i="36"/>
  <c r="T87" i="36" s="1"/>
  <c r="S99" i="36"/>
  <c r="T99" i="36" s="1"/>
  <c r="M107" i="36"/>
  <c r="N107" i="36" s="1"/>
  <c r="Q118" i="36"/>
  <c r="R118" i="36" s="1"/>
  <c r="O128" i="36"/>
  <c r="P128" i="36" s="1"/>
  <c r="S133" i="36"/>
  <c r="T133" i="36" s="1"/>
  <c r="O95" i="36"/>
  <c r="P95" i="36" s="1"/>
  <c r="O68" i="36"/>
  <c r="P68" i="36" s="1"/>
  <c r="M77" i="36"/>
  <c r="N77" i="36" s="1"/>
  <c r="S84" i="36"/>
  <c r="T84" i="36" s="1"/>
  <c r="O98" i="36"/>
  <c r="P98" i="36" s="1"/>
  <c r="S103" i="36"/>
  <c r="T103" i="36" s="1"/>
  <c r="S118" i="36"/>
  <c r="T118" i="36" s="1"/>
  <c r="S123" i="36"/>
  <c r="T123" i="36" s="1"/>
  <c r="Q132" i="36"/>
  <c r="R132" i="36" s="1"/>
  <c r="M14" i="41"/>
  <c r="N14" i="41" s="1"/>
  <c r="O14" i="41"/>
  <c r="P14" i="41" s="1"/>
  <c r="Q14" i="41"/>
  <c r="R14" i="41" s="1"/>
  <c r="S14" i="41"/>
  <c r="T14" i="41" s="1"/>
  <c r="Q37" i="36"/>
  <c r="R37" i="36" s="1"/>
  <c r="S53" i="36"/>
  <c r="T53" i="36" s="1"/>
  <c r="O39" i="36"/>
  <c r="P39" i="36" s="1"/>
  <c r="S36" i="36"/>
  <c r="T36" i="36" s="1"/>
  <c r="Q32" i="37"/>
  <c r="R32" i="37" s="1"/>
  <c r="O36" i="36"/>
  <c r="P36" i="36" s="1"/>
  <c r="O47" i="36"/>
  <c r="P47" i="36" s="1"/>
  <c r="O58" i="36"/>
  <c r="P58" i="36" s="1"/>
  <c r="M46" i="36"/>
  <c r="N46" i="36" s="1"/>
  <c r="Q32" i="36"/>
  <c r="R32" i="36" s="1"/>
  <c r="O37" i="36"/>
  <c r="P37" i="36" s="1"/>
  <c r="Q35" i="36"/>
  <c r="R35" i="36" s="1"/>
  <c r="Q33" i="36"/>
  <c r="R33" i="36" s="1"/>
  <c r="S35" i="36"/>
  <c r="T35" i="36" s="1"/>
  <c r="Q45" i="36"/>
  <c r="R45" i="36" s="1"/>
  <c r="S37" i="36"/>
  <c r="T37" i="36" s="1"/>
  <c r="Q40" i="36"/>
  <c r="R40" i="36" s="1"/>
  <c r="O53" i="36"/>
  <c r="P53" i="36" s="1"/>
  <c r="Q34" i="36"/>
  <c r="R34" i="36" s="1"/>
  <c r="O18" i="36"/>
  <c r="P18" i="36" s="1"/>
  <c r="M56" i="36"/>
  <c r="N56" i="36" s="1"/>
  <c r="Q50" i="36"/>
  <c r="R50" i="36" s="1"/>
  <c r="Q54" i="36"/>
  <c r="R54" i="36" s="1"/>
  <c r="S41" i="36"/>
  <c r="T41" i="36" s="1"/>
  <c r="S57" i="36"/>
  <c r="T57" i="36" s="1"/>
  <c r="M41" i="36"/>
  <c r="N41" i="36" s="1"/>
  <c r="S52" i="36"/>
  <c r="T52" i="36" s="1"/>
  <c r="O43" i="36"/>
  <c r="P43" i="36" s="1"/>
  <c r="M19" i="36"/>
  <c r="N19" i="36" s="1"/>
  <c r="O41" i="36"/>
  <c r="P41" i="36" s="1"/>
  <c r="O55" i="36"/>
  <c r="P55" i="36" s="1"/>
  <c r="S46" i="36"/>
  <c r="T46" i="36" s="1"/>
  <c r="S19" i="36"/>
  <c r="T19" i="36" s="1"/>
  <c r="O35" i="36"/>
  <c r="P35" i="36" s="1"/>
  <c r="O48" i="36"/>
  <c r="P48" i="36" s="1"/>
  <c r="O57" i="36"/>
  <c r="P57" i="36" s="1"/>
  <c r="O32" i="36"/>
  <c r="P32" i="36" s="1"/>
  <c r="Q28" i="36"/>
  <c r="R28" i="36" s="1"/>
  <c r="S29" i="36"/>
  <c r="T29" i="36" s="1"/>
  <c r="Q22" i="36"/>
  <c r="R22" i="36" s="1"/>
  <c r="M58" i="36"/>
  <c r="N58" i="36" s="1"/>
  <c r="S50" i="36"/>
  <c r="T50" i="36" s="1"/>
  <c r="S31" i="36"/>
  <c r="T31" i="36" s="1"/>
  <c r="M43" i="36"/>
  <c r="N43" i="36" s="1"/>
  <c r="Q59" i="36"/>
  <c r="R59" i="36" s="1"/>
  <c r="Q21" i="36"/>
  <c r="R21" i="36" s="1"/>
  <c r="M45" i="36"/>
  <c r="N45" i="36" s="1"/>
  <c r="O31" i="36"/>
  <c r="P31" i="36" s="1"/>
  <c r="O34" i="36"/>
  <c r="P34" i="36" s="1"/>
  <c r="Q48" i="36"/>
  <c r="R48" i="36" s="1"/>
  <c r="M59" i="36"/>
  <c r="N59" i="36" s="1"/>
  <c r="S39" i="36"/>
  <c r="T39" i="36" s="1"/>
  <c r="O22" i="36"/>
  <c r="P22" i="36" s="1"/>
  <c r="O42" i="36"/>
  <c r="P42" i="36" s="1"/>
  <c r="M42" i="36"/>
  <c r="N42" i="36" s="1"/>
  <c r="Q58" i="36"/>
  <c r="R58" i="36" s="1"/>
  <c r="O45" i="36"/>
  <c r="P45" i="36" s="1"/>
  <c r="S47" i="36"/>
  <c r="T47" i="36" s="1"/>
  <c r="M44" i="36"/>
  <c r="N44" i="36" s="1"/>
  <c r="M6" i="36"/>
  <c r="N6" i="36" s="1"/>
  <c r="E6" i="36" s="1"/>
  <c r="G6" i="36" s="1"/>
  <c r="S43" i="36"/>
  <c r="T43" i="36" s="1"/>
  <c r="M55" i="36"/>
  <c r="N55" i="36" s="1"/>
  <c r="S59" i="36"/>
  <c r="T59" i="36" s="1"/>
  <c r="Q20" i="36"/>
  <c r="R20" i="36" s="1"/>
  <c r="Q44" i="36"/>
  <c r="R44" i="36" s="1"/>
  <c r="S23" i="36"/>
  <c r="T23" i="36" s="1"/>
  <c r="M51" i="36"/>
  <c r="N51" i="36" s="1"/>
  <c r="O21" i="36"/>
  <c r="P21" i="36" s="1"/>
  <c r="Q41" i="36"/>
  <c r="R41" i="36" s="1"/>
  <c r="S51" i="36"/>
  <c r="T51" i="36" s="1"/>
  <c r="O59" i="36"/>
  <c r="P59" i="36" s="1"/>
  <c r="S32" i="36"/>
  <c r="T32" i="36" s="1"/>
  <c r="O29" i="36"/>
  <c r="P29" i="36" s="1"/>
  <c r="Q29" i="36"/>
  <c r="R29" i="36" s="1"/>
  <c r="O30" i="36"/>
  <c r="P30" i="36" s="1"/>
  <c r="O54" i="36"/>
  <c r="P54" i="36" s="1"/>
  <c r="S42" i="36"/>
  <c r="T42" i="36" s="1"/>
  <c r="S21" i="36"/>
  <c r="T21" i="36" s="1"/>
  <c r="M40" i="36"/>
  <c r="N40" i="36" s="1"/>
  <c r="Q46" i="36"/>
  <c r="R46" i="36" s="1"/>
  <c r="O50" i="36"/>
  <c r="P50" i="36" s="1"/>
  <c r="Q36" i="36"/>
  <c r="R36" i="36" s="1"/>
  <c r="M18" i="36"/>
  <c r="N18" i="36" s="1"/>
  <c r="Q42" i="36"/>
  <c r="R42" i="36" s="1"/>
  <c r="Q56" i="36"/>
  <c r="R56" i="36" s="1"/>
  <c r="M21" i="36"/>
  <c r="N21" i="36" s="1"/>
  <c r="Q30" i="36"/>
  <c r="R30" i="36" s="1"/>
  <c r="Q47" i="36"/>
  <c r="R47" i="36" s="1"/>
  <c r="M39" i="36"/>
  <c r="N39" i="36" s="1"/>
  <c r="S54" i="36"/>
  <c r="T54" i="36" s="1"/>
  <c r="S45" i="36"/>
  <c r="T45" i="36" s="1"/>
  <c r="O25" i="36"/>
  <c r="P25" i="36" s="1"/>
  <c r="S48" i="36"/>
  <c r="T48" i="36" s="1"/>
  <c r="M20" i="36"/>
  <c r="N20" i="36" s="1"/>
  <c r="O44" i="36"/>
  <c r="P44" i="36" s="1"/>
  <c r="Q23" i="36"/>
  <c r="R23" i="36" s="1"/>
  <c r="S22" i="36"/>
  <c r="T22" i="36" s="1"/>
  <c r="M15" i="36"/>
  <c r="N15" i="36" s="1"/>
  <c r="Q51" i="36"/>
  <c r="R51" i="36" s="1"/>
  <c r="S18" i="36"/>
  <c r="T18" i="36" s="1"/>
  <c r="S55" i="36"/>
  <c r="T55" i="36" s="1"/>
  <c r="O19" i="36"/>
  <c r="P19" i="36" s="1"/>
  <c r="S44" i="36"/>
  <c r="T44" i="36" s="1"/>
  <c r="O52" i="36"/>
  <c r="P52" i="36" s="1"/>
  <c r="M23" i="36"/>
  <c r="N23" i="36" s="1"/>
  <c r="O28" i="36"/>
  <c r="P28" i="36" s="1"/>
  <c r="O56" i="36"/>
  <c r="P56" i="36" s="1"/>
  <c r="S33" i="36"/>
  <c r="T33" i="36" s="1"/>
  <c r="S56" i="36"/>
  <c r="T56" i="36" s="1"/>
  <c r="S28" i="36"/>
  <c r="T28" i="36" s="1"/>
  <c r="M47" i="36"/>
  <c r="N47" i="36" s="1"/>
  <c r="M50" i="36"/>
  <c r="N50" i="36" s="1"/>
  <c r="S20" i="36"/>
  <c r="T20" i="36" s="1"/>
  <c r="Q18" i="36"/>
  <c r="R18" i="36" s="1"/>
  <c r="M57" i="36"/>
  <c r="N57" i="36" s="1"/>
  <c r="S58" i="36"/>
  <c r="T58" i="36" s="1"/>
  <c r="M30" i="36"/>
  <c r="N30" i="36" s="1"/>
  <c r="M53" i="36"/>
  <c r="N53" i="36" s="1"/>
  <c r="Q31" i="36"/>
  <c r="R31" i="36" s="1"/>
  <c r="S34" i="36"/>
  <c r="T34" i="36" s="1"/>
  <c r="Q39" i="36"/>
  <c r="R39" i="36" s="1"/>
  <c r="Q43" i="36"/>
  <c r="R43" i="36" s="1"/>
  <c r="S30" i="36"/>
  <c r="T30" i="36" s="1"/>
  <c r="O33" i="36"/>
  <c r="P33" i="36" s="1"/>
  <c r="M34" i="36"/>
  <c r="N34" i="36" s="1"/>
  <c r="M48" i="36"/>
  <c r="N48" i="36" s="1"/>
  <c r="M54" i="36"/>
  <c r="N54" i="36" s="1"/>
  <c r="Q53" i="36"/>
  <c r="R53" i="36" s="1"/>
  <c r="Q57" i="36"/>
  <c r="R57" i="36" s="1"/>
  <c r="M22" i="36"/>
  <c r="N22" i="36" s="1"/>
  <c r="Q52" i="36"/>
  <c r="R52" i="36" s="1"/>
  <c r="O40" i="36"/>
  <c r="P40" i="36" s="1"/>
  <c r="O51" i="36"/>
  <c r="P51" i="36" s="1"/>
  <c r="Q19" i="36"/>
  <c r="R19" i="36" s="1"/>
  <c r="M13" i="36"/>
  <c r="N13" i="36" s="1"/>
  <c r="F13" i="36" s="1"/>
  <c r="S40" i="36"/>
  <c r="T40" i="36" s="1"/>
  <c r="M52" i="36"/>
  <c r="N52" i="36" s="1"/>
  <c r="O20" i="36"/>
  <c r="P20" i="36" s="1"/>
  <c r="O23" i="36"/>
  <c r="P23" i="36" s="1"/>
  <c r="O14" i="36"/>
  <c r="P14" i="36" s="1"/>
  <c r="O46" i="36"/>
  <c r="P46" i="36" s="1"/>
  <c r="Q55" i="36"/>
  <c r="R55" i="36" s="1"/>
  <c r="Y34" i="4"/>
  <c r="X34" i="4"/>
  <c r="Z34" i="4"/>
  <c r="W34" i="4"/>
  <c r="AC9" i="4"/>
  <c r="Z9" i="4"/>
  <c r="AB9" i="4"/>
  <c r="X9" i="4"/>
  <c r="N8" i="33"/>
  <c r="O8" i="33" s="1"/>
  <c r="U9" i="4"/>
  <c r="T9" i="4"/>
  <c r="R9" i="4"/>
  <c r="N12" i="33"/>
  <c r="O12" i="33" s="1"/>
  <c r="AE9" i="7"/>
  <c r="AF9" i="7" s="1"/>
  <c r="U9" i="32"/>
  <c r="R11" i="6"/>
  <c r="S11" i="6"/>
  <c r="U18" i="40"/>
  <c r="V18" i="40" s="1"/>
  <c r="Q11" i="6"/>
  <c r="U24" i="40"/>
  <c r="V24" i="40" s="1"/>
  <c r="Q12" i="6"/>
  <c r="R9" i="6"/>
  <c r="S9" i="6"/>
  <c r="U36" i="40"/>
  <c r="V36" i="40" s="1"/>
  <c r="Q14" i="6"/>
  <c r="R18" i="6"/>
  <c r="S18" i="6"/>
  <c r="U66" i="40"/>
  <c r="V66" i="40" s="1"/>
  <c r="Q19" i="6"/>
  <c r="U54" i="40"/>
  <c r="V54" i="40" s="1"/>
  <c r="Q17" i="6"/>
  <c r="R12" i="6"/>
  <c r="S12" i="6"/>
  <c r="U72" i="40"/>
  <c r="V72" i="40" s="1"/>
  <c r="G72" i="40" s="1"/>
  <c r="J72" i="40" s="1"/>
  <c r="Q20" i="6"/>
  <c r="U30" i="40"/>
  <c r="V30" i="40" s="1"/>
  <c r="Q13" i="6"/>
  <c r="U60" i="40"/>
  <c r="V60" i="40" s="1"/>
  <c r="Q18" i="6"/>
  <c r="Z7" i="4"/>
  <c r="T7" i="4"/>
  <c r="R16" i="6"/>
  <c r="S16" i="6"/>
  <c r="U48" i="40"/>
  <c r="V48" i="40" s="1"/>
  <c r="R10" i="6"/>
  <c r="S10" i="6"/>
  <c r="X8" i="4"/>
  <c r="Q15" i="6"/>
  <c r="V8" i="4"/>
  <c r="Z8" i="4"/>
  <c r="W8" i="4"/>
  <c r="Q21" i="39"/>
  <c r="R21" i="39" s="1"/>
  <c r="AJ13" i="7"/>
  <c r="AJ14" i="7"/>
  <c r="B16" i="32"/>
  <c r="B16" i="8"/>
  <c r="L16" i="7"/>
  <c r="H16" i="6"/>
  <c r="Q60" i="40"/>
  <c r="R60" i="40" s="1"/>
  <c r="R17" i="5"/>
  <c r="B16" i="6" s="1"/>
  <c r="S17" i="5"/>
  <c r="AJ10" i="7"/>
  <c r="Q24" i="40"/>
  <c r="R24" i="40" s="1"/>
  <c r="Q55" i="40"/>
  <c r="R55" i="40" s="1"/>
  <c r="H55" i="40" s="1"/>
  <c r="Q56" i="40"/>
  <c r="R56" i="40" s="1"/>
  <c r="H56" i="40" s="1"/>
  <c r="Q44" i="40"/>
  <c r="R44" i="40" s="1"/>
  <c r="H44" i="40" s="1"/>
  <c r="Q25" i="40"/>
  <c r="R25" i="40" s="1"/>
  <c r="G25" i="40" s="1"/>
  <c r="Q38" i="37"/>
  <c r="R38" i="37" s="1"/>
  <c r="G38" i="37" s="1"/>
  <c r="J38" i="37" s="1"/>
  <c r="Q36" i="37"/>
  <c r="R36" i="37" s="1"/>
  <c r="Q37" i="37"/>
  <c r="R37" i="37" s="1"/>
  <c r="C14" i="6"/>
  <c r="Q66" i="40"/>
  <c r="R66" i="40" s="1"/>
  <c r="Q68" i="40"/>
  <c r="R68" i="40" s="1"/>
  <c r="Q68" i="37"/>
  <c r="R68" i="37" s="1"/>
  <c r="Q67" i="37"/>
  <c r="R67" i="37" s="1"/>
  <c r="Q66" i="37"/>
  <c r="R66" i="37" s="1"/>
  <c r="Q44" i="37"/>
  <c r="R44" i="37" s="1"/>
  <c r="Q43" i="37"/>
  <c r="R43" i="37" s="1"/>
  <c r="Q42" i="37"/>
  <c r="R42" i="37" s="1"/>
  <c r="M22" i="38"/>
  <c r="N22" i="38" s="1"/>
  <c r="M22" i="39"/>
  <c r="N22" i="39" s="1"/>
  <c r="Q26" i="37"/>
  <c r="R26" i="37" s="1"/>
  <c r="G26" i="37" s="1"/>
  <c r="J26" i="37" s="1"/>
  <c r="Q24" i="37"/>
  <c r="R24" i="37" s="1"/>
  <c r="Q25" i="37"/>
  <c r="R25" i="37" s="1"/>
  <c r="Q54" i="37"/>
  <c r="R54" i="37" s="1"/>
  <c r="Q55" i="37"/>
  <c r="R55" i="37" s="1"/>
  <c r="Q56" i="37"/>
  <c r="R56" i="37" s="1"/>
  <c r="M28" i="39"/>
  <c r="N28" i="39" s="1"/>
  <c r="M28" i="38"/>
  <c r="N28" i="38" s="1"/>
  <c r="Q62" i="37"/>
  <c r="R62" i="37" s="1"/>
  <c r="G62" i="37" s="1"/>
  <c r="J62" i="37" s="1"/>
  <c r="Q61" i="37"/>
  <c r="R61" i="37" s="1"/>
  <c r="Q60" i="37"/>
  <c r="R60" i="37" s="1"/>
  <c r="W9" i="6"/>
  <c r="Q61" i="40"/>
  <c r="R61" i="40" s="1"/>
  <c r="H19" i="40"/>
  <c r="G12" i="40"/>
  <c r="J12" i="40" s="1"/>
  <c r="H12" i="40"/>
  <c r="G50" i="40"/>
  <c r="H50" i="40"/>
  <c r="G7" i="40"/>
  <c r="H7" i="40"/>
  <c r="H62" i="40"/>
  <c r="H49" i="40"/>
  <c r="H73" i="40"/>
  <c r="G73" i="40"/>
  <c r="E24" i="39"/>
  <c r="H67" i="40"/>
  <c r="H8" i="40"/>
  <c r="M8" i="41"/>
  <c r="N8" i="41" s="1"/>
  <c r="G14" i="40"/>
  <c r="H14" i="40"/>
  <c r="G38" i="40"/>
  <c r="H38" i="40"/>
  <c r="H6" i="40"/>
  <c r="G6" i="40"/>
  <c r="M6" i="41"/>
  <c r="N6" i="41" s="1"/>
  <c r="H20" i="40"/>
  <c r="G20" i="40"/>
  <c r="G48" i="40"/>
  <c r="J48" i="40" s="1"/>
  <c r="H48" i="40"/>
  <c r="G42" i="40"/>
  <c r="J42" i="40" s="1"/>
  <c r="H42" i="40"/>
  <c r="H74" i="40"/>
  <c r="G74" i="40"/>
  <c r="M9" i="41"/>
  <c r="N9" i="41" s="1"/>
  <c r="M7" i="41"/>
  <c r="N7" i="41" s="1"/>
  <c r="G30" i="40"/>
  <c r="J30" i="40" s="1"/>
  <c r="G32" i="40"/>
  <c r="G36" i="40"/>
  <c r="J36" i="40" s="1"/>
  <c r="AA9" i="8"/>
  <c r="H14" i="37"/>
  <c r="G74" i="37"/>
  <c r="J74" i="37" s="1"/>
  <c r="G14" i="37"/>
  <c r="J14" i="37" s="1"/>
  <c r="G76" i="37"/>
  <c r="H76" i="37"/>
  <c r="G28" i="37"/>
  <c r="H28" i="37"/>
  <c r="H34" i="37"/>
  <c r="G34" i="37"/>
  <c r="H40" i="37"/>
  <c r="G40" i="37"/>
  <c r="G58" i="37"/>
  <c r="H58" i="37"/>
  <c r="H64" i="37"/>
  <c r="G64" i="37"/>
  <c r="G70" i="37"/>
  <c r="H70" i="37"/>
  <c r="G16" i="37"/>
  <c r="H16" i="37"/>
  <c r="H46" i="37"/>
  <c r="G46" i="37"/>
  <c r="H52" i="37"/>
  <c r="G52" i="37"/>
  <c r="G22" i="37"/>
  <c r="E25" i="36"/>
  <c r="G25" i="36" s="1"/>
  <c r="F25" i="36"/>
  <c r="E12" i="36"/>
  <c r="F12" i="36"/>
  <c r="E10" i="36"/>
  <c r="F10" i="36"/>
  <c r="F26" i="36"/>
  <c r="E26" i="36"/>
  <c r="G26" i="36" s="1"/>
  <c r="F7" i="36"/>
  <c r="E7" i="36"/>
  <c r="G7" i="36" s="1"/>
  <c r="E11" i="36"/>
  <c r="F11" i="36"/>
  <c r="E24" i="36"/>
  <c r="F24" i="36"/>
  <c r="F15" i="36"/>
  <c r="E15" i="36"/>
  <c r="E9" i="36"/>
  <c r="F9" i="36"/>
  <c r="E13" i="36"/>
  <c r="F14" i="36"/>
  <c r="E14" i="36"/>
  <c r="G15" i="33"/>
  <c r="F25" i="33"/>
  <c r="G29" i="33"/>
  <c r="G19" i="33"/>
  <c r="F15" i="33"/>
  <c r="G7" i="33"/>
  <c r="G17" i="33"/>
  <c r="G25" i="33"/>
  <c r="AH15" i="4"/>
  <c r="AM6" i="4" l="1"/>
  <c r="AL6" i="4"/>
  <c r="AK6" i="4"/>
  <c r="AJ6" i="4"/>
  <c r="AR6" i="4"/>
  <c r="AN6" i="4"/>
  <c r="AQ6" i="4"/>
  <c r="AP6" i="4"/>
  <c r="F17" i="36"/>
  <c r="E8" i="36"/>
  <c r="G8" i="36" s="1"/>
  <c r="H8" i="36" s="1"/>
  <c r="H72" i="40"/>
  <c r="AA14" i="8"/>
  <c r="AW14" i="8" s="1"/>
  <c r="E14" i="30" s="1"/>
  <c r="Z10" i="6"/>
  <c r="F8" i="36"/>
  <c r="AE12" i="7"/>
  <c r="AF12" i="7" s="1"/>
  <c r="C12" i="30" s="1"/>
  <c r="P13" i="6"/>
  <c r="P12" i="6"/>
  <c r="O16" i="6"/>
  <c r="O11" i="6"/>
  <c r="P9" i="6"/>
  <c r="J14" i="8"/>
  <c r="U14" i="8" s="1"/>
  <c r="J15" i="8"/>
  <c r="U15" i="8" s="1"/>
  <c r="J10" i="8"/>
  <c r="U10" i="8" s="1"/>
  <c r="J17" i="8"/>
  <c r="J18" i="8"/>
  <c r="J16" i="8"/>
  <c r="U16" i="8" s="1"/>
  <c r="H14" i="8"/>
  <c r="S14" i="8" s="1"/>
  <c r="C12" i="6"/>
  <c r="Z12" i="6" s="1"/>
  <c r="Q18" i="40"/>
  <c r="R18" i="40" s="1"/>
  <c r="H18" i="40" s="1"/>
  <c r="M33" i="36"/>
  <c r="N33" i="36" s="1"/>
  <c r="M18" i="41"/>
  <c r="N18" i="41" s="1"/>
  <c r="M11" i="38"/>
  <c r="N11" i="38" s="1"/>
  <c r="Q22" i="37"/>
  <c r="R22" i="37" s="1"/>
  <c r="Q19" i="37"/>
  <c r="R19" i="37" s="1"/>
  <c r="Q20" i="37"/>
  <c r="R20" i="37" s="1"/>
  <c r="M35" i="36"/>
  <c r="N35" i="36" s="1"/>
  <c r="M29" i="36"/>
  <c r="N29" i="36" s="1"/>
  <c r="M28" i="36"/>
  <c r="N28" i="36" s="1"/>
  <c r="F28" i="36" s="1"/>
  <c r="M32" i="36"/>
  <c r="N32" i="36" s="1"/>
  <c r="M31" i="36"/>
  <c r="N31" i="36" s="1"/>
  <c r="M10" i="39"/>
  <c r="N10" i="39" s="1"/>
  <c r="E10" i="39" s="1"/>
  <c r="M10" i="38"/>
  <c r="N10" i="38" s="1"/>
  <c r="F10" i="38" s="1"/>
  <c r="M11" i="39"/>
  <c r="N11" i="39" s="1"/>
  <c r="Q19" i="40"/>
  <c r="R19" i="40" s="1"/>
  <c r="G19" i="40" s="1"/>
  <c r="AQ9" i="8"/>
  <c r="Q18" i="37"/>
  <c r="R18" i="37" s="1"/>
  <c r="H18" i="37" s="1"/>
  <c r="M36" i="36"/>
  <c r="N36" i="36" s="1"/>
  <c r="M37" i="36"/>
  <c r="N37" i="36" s="1"/>
  <c r="M16" i="41"/>
  <c r="N16" i="41" s="1"/>
  <c r="Q20" i="40"/>
  <c r="R20" i="40" s="1"/>
  <c r="N11" i="33"/>
  <c r="O11" i="33" s="1"/>
  <c r="I6" i="37"/>
  <c r="J6" i="37"/>
  <c r="K6" i="37"/>
  <c r="G50" i="37"/>
  <c r="J50" i="37" s="1"/>
  <c r="H56" i="37"/>
  <c r="G8" i="37"/>
  <c r="AM10" i="8"/>
  <c r="AX10" i="8" s="1"/>
  <c r="F10" i="30" s="1"/>
  <c r="J9" i="8"/>
  <c r="U9" i="8" s="1"/>
  <c r="AM9" i="8"/>
  <c r="AM14" i="8"/>
  <c r="AX14" i="8" s="1"/>
  <c r="F14" i="30" s="1"/>
  <c r="AM12" i="8"/>
  <c r="AX12" i="8" s="1"/>
  <c r="F12" i="30" s="1"/>
  <c r="AM11" i="8"/>
  <c r="AX11" i="8" s="1"/>
  <c r="F11" i="30" s="1"/>
  <c r="AM13" i="8"/>
  <c r="AS13" i="8" s="1"/>
  <c r="G7" i="37"/>
  <c r="L7" i="37" s="1"/>
  <c r="H73" i="37"/>
  <c r="G30" i="37"/>
  <c r="J30" i="37" s="1"/>
  <c r="H12" i="37"/>
  <c r="G72" i="37"/>
  <c r="J72" i="37" s="1"/>
  <c r="H48" i="37"/>
  <c r="S15" i="8"/>
  <c r="H10" i="8"/>
  <c r="S10" i="8" s="1"/>
  <c r="E14" i="41"/>
  <c r="F14" i="41"/>
  <c r="F17" i="41"/>
  <c r="E17" i="41"/>
  <c r="F19" i="41"/>
  <c r="E19" i="41"/>
  <c r="F27" i="41"/>
  <c r="E27" i="41"/>
  <c r="F52" i="41"/>
  <c r="E52" i="41"/>
  <c r="E24" i="41"/>
  <c r="F24" i="41"/>
  <c r="E38" i="41"/>
  <c r="F38" i="41"/>
  <c r="F53" i="41"/>
  <c r="E53" i="41"/>
  <c r="E48" i="41"/>
  <c r="F48" i="41"/>
  <c r="F57" i="41"/>
  <c r="E57" i="41"/>
  <c r="E62" i="41"/>
  <c r="F62" i="41"/>
  <c r="F54" i="41"/>
  <c r="E54" i="41"/>
  <c r="F12" i="41"/>
  <c r="E12" i="41"/>
  <c r="F18" i="41"/>
  <c r="E18" i="41"/>
  <c r="E37" i="41"/>
  <c r="F37" i="41"/>
  <c r="E49" i="41"/>
  <c r="F49" i="41"/>
  <c r="E43" i="41"/>
  <c r="F43" i="41"/>
  <c r="E28" i="41"/>
  <c r="F28" i="41"/>
  <c r="F23" i="41"/>
  <c r="E23" i="41"/>
  <c r="F44" i="41"/>
  <c r="E44" i="41"/>
  <c r="F29" i="41"/>
  <c r="E29" i="41"/>
  <c r="F22" i="41"/>
  <c r="E22" i="41"/>
  <c r="F39" i="41"/>
  <c r="E39" i="41"/>
  <c r="F42" i="41"/>
  <c r="E42" i="41"/>
  <c r="F58" i="41"/>
  <c r="E58" i="41"/>
  <c r="E32" i="41"/>
  <c r="F32" i="41"/>
  <c r="F64" i="41"/>
  <c r="E64" i="41"/>
  <c r="F13" i="41"/>
  <c r="E13" i="41"/>
  <c r="E59" i="41"/>
  <c r="F59" i="41"/>
  <c r="E47" i="41"/>
  <c r="F47" i="41"/>
  <c r="E63" i="41"/>
  <c r="F63" i="41"/>
  <c r="F34" i="41"/>
  <c r="E34" i="41"/>
  <c r="F33" i="41"/>
  <c r="E33" i="41"/>
  <c r="E34" i="36"/>
  <c r="F34" i="36"/>
  <c r="F23" i="36"/>
  <c r="E23" i="36"/>
  <c r="E21" i="36"/>
  <c r="F21" i="36"/>
  <c r="F40" i="36"/>
  <c r="E40" i="36"/>
  <c r="E67" i="36"/>
  <c r="F67" i="36"/>
  <c r="F123" i="36"/>
  <c r="E123" i="36"/>
  <c r="F70" i="36"/>
  <c r="E70" i="36"/>
  <c r="F120" i="36"/>
  <c r="E120" i="36"/>
  <c r="F122" i="36"/>
  <c r="E122" i="36"/>
  <c r="E69" i="36"/>
  <c r="F69" i="36"/>
  <c r="E113" i="36"/>
  <c r="F113" i="36"/>
  <c r="E119" i="36"/>
  <c r="F119" i="36"/>
  <c r="F111" i="36"/>
  <c r="E111" i="36"/>
  <c r="F68" i="36"/>
  <c r="E68" i="36"/>
  <c r="F86" i="36"/>
  <c r="E86" i="36"/>
  <c r="E117" i="36"/>
  <c r="F117" i="36"/>
  <c r="F132" i="36"/>
  <c r="E132" i="36"/>
  <c r="F114" i="36"/>
  <c r="E114" i="36"/>
  <c r="E33" i="36"/>
  <c r="F33" i="36"/>
  <c r="E58" i="36"/>
  <c r="F58" i="36"/>
  <c r="F103" i="36"/>
  <c r="E103" i="36"/>
  <c r="F92" i="36"/>
  <c r="E92" i="36"/>
  <c r="F84" i="36"/>
  <c r="E84" i="36"/>
  <c r="E88" i="36"/>
  <c r="F88" i="36"/>
  <c r="F109" i="36"/>
  <c r="E109" i="36"/>
  <c r="E108" i="36"/>
  <c r="F108" i="36"/>
  <c r="F100" i="36"/>
  <c r="E100" i="36"/>
  <c r="E97" i="36"/>
  <c r="F97" i="36"/>
  <c r="F101" i="36"/>
  <c r="E101" i="36"/>
  <c r="E106" i="36"/>
  <c r="F106" i="36"/>
  <c r="E98" i="36"/>
  <c r="F98" i="36"/>
  <c r="F95" i="36"/>
  <c r="E95" i="36"/>
  <c r="E64" i="36"/>
  <c r="F64" i="36"/>
  <c r="E62" i="36"/>
  <c r="F62" i="36"/>
  <c r="F54" i="36"/>
  <c r="E54" i="36"/>
  <c r="E57" i="36"/>
  <c r="F57" i="36"/>
  <c r="E47" i="36"/>
  <c r="F47" i="36"/>
  <c r="E35" i="36"/>
  <c r="F35" i="36"/>
  <c r="F29" i="36"/>
  <c r="E29" i="36"/>
  <c r="F51" i="36"/>
  <c r="E51" i="36"/>
  <c r="E44" i="36"/>
  <c r="F44" i="36"/>
  <c r="E42" i="36"/>
  <c r="F42" i="36"/>
  <c r="E43" i="36"/>
  <c r="F43" i="36"/>
  <c r="E56" i="36"/>
  <c r="F56" i="36"/>
  <c r="F46" i="36"/>
  <c r="E46" i="36"/>
  <c r="F32" i="36"/>
  <c r="E32" i="36"/>
  <c r="F31" i="36"/>
  <c r="E31" i="36"/>
  <c r="F110" i="36"/>
  <c r="E110" i="36"/>
  <c r="F89" i="36"/>
  <c r="E89" i="36"/>
  <c r="F128" i="36"/>
  <c r="E128" i="36"/>
  <c r="E133" i="36"/>
  <c r="F133" i="36"/>
  <c r="F136" i="36"/>
  <c r="E136" i="36"/>
  <c r="E75" i="36"/>
  <c r="F75" i="36"/>
  <c r="E112" i="36"/>
  <c r="F112" i="36"/>
  <c r="E135" i="36"/>
  <c r="F135" i="36"/>
  <c r="F102" i="36"/>
  <c r="E102" i="36"/>
  <c r="E87" i="36"/>
  <c r="F87" i="36"/>
  <c r="F99" i="36"/>
  <c r="E99" i="36"/>
  <c r="F66" i="36"/>
  <c r="E66" i="36"/>
  <c r="E131" i="36"/>
  <c r="F131" i="36"/>
  <c r="H24" i="36"/>
  <c r="G24" i="36"/>
  <c r="E22" i="36"/>
  <c r="F22" i="36"/>
  <c r="F48" i="36"/>
  <c r="E48" i="36"/>
  <c r="E53" i="36"/>
  <c r="F53" i="36"/>
  <c r="E20" i="36"/>
  <c r="F20" i="36"/>
  <c r="E36" i="36"/>
  <c r="F36" i="36"/>
  <c r="E18" i="36"/>
  <c r="F18" i="36"/>
  <c r="F37" i="36"/>
  <c r="E37" i="36"/>
  <c r="F55" i="36"/>
  <c r="E55" i="36"/>
  <c r="F59" i="36"/>
  <c r="E59" i="36"/>
  <c r="E45" i="36"/>
  <c r="F45" i="36"/>
  <c r="F77" i="36"/>
  <c r="E77" i="36"/>
  <c r="F79" i="36"/>
  <c r="E79" i="36"/>
  <c r="F125" i="36"/>
  <c r="E125" i="36"/>
  <c r="F91" i="36"/>
  <c r="E91" i="36"/>
  <c r="F78" i="36"/>
  <c r="E78" i="36"/>
  <c r="F130" i="36"/>
  <c r="E130" i="36"/>
  <c r="E76" i="36"/>
  <c r="F76" i="36"/>
  <c r="F121" i="36"/>
  <c r="E121" i="36"/>
  <c r="E124" i="36"/>
  <c r="F124" i="36"/>
  <c r="E80" i="36"/>
  <c r="F80" i="36"/>
  <c r="F134" i="36"/>
  <c r="E134" i="36"/>
  <c r="F81" i="36"/>
  <c r="E81" i="36"/>
  <c r="F90" i="36"/>
  <c r="E90" i="36"/>
  <c r="F73" i="36"/>
  <c r="E73" i="36"/>
  <c r="E65" i="36"/>
  <c r="F65" i="36"/>
  <c r="H15" i="40"/>
  <c r="G62" i="40"/>
  <c r="G43" i="40"/>
  <c r="C10" i="30"/>
  <c r="C13" i="30"/>
  <c r="C11" i="30"/>
  <c r="P17" i="7"/>
  <c r="O17" i="7"/>
  <c r="AD17" i="7" s="1"/>
  <c r="P20" i="7"/>
  <c r="O20" i="7"/>
  <c r="O19" i="7"/>
  <c r="P19" i="7"/>
  <c r="Q16" i="6"/>
  <c r="N16" i="7"/>
  <c r="AC16" i="7" s="1"/>
  <c r="E18" i="39"/>
  <c r="E14" i="39"/>
  <c r="F8" i="38"/>
  <c r="AJ11" i="7"/>
  <c r="AG11" i="7" s="1"/>
  <c r="AF11" i="6" s="1"/>
  <c r="D9" i="52" s="1"/>
  <c r="G8" i="33"/>
  <c r="E10" i="38"/>
  <c r="F24" i="38"/>
  <c r="Y14" i="6"/>
  <c r="X14" i="6"/>
  <c r="X9" i="6"/>
  <c r="AA9" i="6" s="1"/>
  <c r="Y9" i="6"/>
  <c r="Y10" i="6"/>
  <c r="AB10" i="6" s="1"/>
  <c r="X10" i="6"/>
  <c r="AA10" i="6" s="1"/>
  <c r="X12" i="6"/>
  <c r="AA12" i="6" s="1"/>
  <c r="Y12" i="6"/>
  <c r="Y11" i="6"/>
  <c r="AB11" i="6" s="1"/>
  <c r="X11" i="6"/>
  <c r="Y13" i="6"/>
  <c r="X13" i="6"/>
  <c r="Y17" i="6"/>
  <c r="X17" i="6"/>
  <c r="X16" i="6"/>
  <c r="Y16" i="6"/>
  <c r="Y15" i="6"/>
  <c r="X15" i="6"/>
  <c r="Y18" i="6"/>
  <c r="X18" i="6"/>
  <c r="AA18" i="6" s="1"/>
  <c r="AG10" i="7"/>
  <c r="J10" i="30" s="1"/>
  <c r="E18" i="38"/>
  <c r="F12" i="38"/>
  <c r="F24" i="39"/>
  <c r="H18" i="8"/>
  <c r="AK15" i="8"/>
  <c r="F18" i="38"/>
  <c r="E12" i="38"/>
  <c r="M26" i="39"/>
  <c r="N26" i="39" s="1"/>
  <c r="E26" i="39" s="1"/>
  <c r="AE14" i="7"/>
  <c r="AF14" i="7" s="1"/>
  <c r="X21" i="4"/>
  <c r="D15" i="7" s="1"/>
  <c r="E26" i="38"/>
  <c r="E12" i="39"/>
  <c r="F20" i="39"/>
  <c r="E6" i="39"/>
  <c r="F20" i="38"/>
  <c r="E20" i="39"/>
  <c r="F18" i="39"/>
  <c r="G12" i="37"/>
  <c r="J12" i="37" s="1"/>
  <c r="F12" i="39"/>
  <c r="E20" i="38"/>
  <c r="F6" i="39"/>
  <c r="AG13" i="7"/>
  <c r="AF13" i="6" s="1"/>
  <c r="D11" i="52" s="1"/>
  <c r="E17" i="36"/>
  <c r="G17" i="36" s="1"/>
  <c r="E19" i="36"/>
  <c r="F19" i="36"/>
  <c r="E118" i="36"/>
  <c r="F118" i="36"/>
  <c r="F30" i="36"/>
  <c r="E30" i="36"/>
  <c r="F74" i="36"/>
  <c r="E74" i="36"/>
  <c r="F85" i="36"/>
  <c r="E85" i="36"/>
  <c r="F96" i="36"/>
  <c r="E96" i="36"/>
  <c r="F63" i="36"/>
  <c r="E63" i="36"/>
  <c r="E129" i="36"/>
  <c r="F129" i="36"/>
  <c r="F52" i="36"/>
  <c r="E52" i="36"/>
  <c r="E41" i="36"/>
  <c r="F41" i="36"/>
  <c r="E107" i="36"/>
  <c r="F107" i="36"/>
  <c r="E12" i="6"/>
  <c r="E9" i="6"/>
  <c r="H6" i="37"/>
  <c r="H72" i="37"/>
  <c r="E24" i="38"/>
  <c r="U11" i="8"/>
  <c r="H33" i="37"/>
  <c r="G27" i="37"/>
  <c r="E16" i="39"/>
  <c r="F8" i="39"/>
  <c r="F6" i="38"/>
  <c r="H22" i="37"/>
  <c r="H63" i="37"/>
  <c r="H27" i="37"/>
  <c r="H24" i="40"/>
  <c r="G60" i="40"/>
  <c r="J60" i="40" s="1"/>
  <c r="E8" i="38"/>
  <c r="E16" i="38"/>
  <c r="G69" i="37"/>
  <c r="H15" i="37"/>
  <c r="G66" i="40"/>
  <c r="J66" i="40" s="1"/>
  <c r="F26" i="38"/>
  <c r="G39" i="37"/>
  <c r="J39" i="37" s="1"/>
  <c r="F14" i="38"/>
  <c r="H68" i="37"/>
  <c r="H44" i="37"/>
  <c r="H20" i="37"/>
  <c r="F12" i="33"/>
  <c r="H21" i="37"/>
  <c r="H39" i="37"/>
  <c r="H50" i="37"/>
  <c r="G48" i="37"/>
  <c r="J48" i="37" s="1"/>
  <c r="E14" i="38"/>
  <c r="F16" i="38"/>
  <c r="M14" i="32"/>
  <c r="C14" i="32"/>
  <c r="H14" i="32"/>
  <c r="H9" i="32"/>
  <c r="M9" i="32"/>
  <c r="C9" i="32"/>
  <c r="S12" i="8"/>
  <c r="S11" i="8"/>
  <c r="H51" i="37"/>
  <c r="H32" i="40"/>
  <c r="G76" i="40"/>
  <c r="H63" i="40"/>
  <c r="H9" i="37"/>
  <c r="G13" i="40"/>
  <c r="G31" i="40"/>
  <c r="H75" i="40"/>
  <c r="G15" i="40"/>
  <c r="J15" i="40" s="1"/>
  <c r="H36" i="40"/>
  <c r="H30" i="40"/>
  <c r="H54" i="40"/>
  <c r="G51" i="37"/>
  <c r="J51" i="37" s="1"/>
  <c r="G75" i="37"/>
  <c r="J75" i="37" s="1"/>
  <c r="H10" i="37"/>
  <c r="G63" i="40"/>
  <c r="H76" i="40"/>
  <c r="G20" i="37"/>
  <c r="J20" i="37" s="1"/>
  <c r="U13" i="8"/>
  <c r="H25" i="40"/>
  <c r="H8" i="37"/>
  <c r="L8" i="37" s="1"/>
  <c r="G40" i="40"/>
  <c r="H40" i="40"/>
  <c r="G34" i="40"/>
  <c r="H34" i="40"/>
  <c r="H58" i="40"/>
  <c r="G58" i="40"/>
  <c r="H28" i="40"/>
  <c r="G28" i="40"/>
  <c r="G64" i="40"/>
  <c r="H64" i="40"/>
  <c r="G52" i="40"/>
  <c r="H52" i="40"/>
  <c r="H10" i="40"/>
  <c r="G10" i="40"/>
  <c r="H46" i="40"/>
  <c r="G46" i="40"/>
  <c r="H16" i="40"/>
  <c r="G16" i="40"/>
  <c r="G70" i="40"/>
  <c r="H70" i="40"/>
  <c r="G22" i="40"/>
  <c r="H22" i="40"/>
  <c r="J76" i="40"/>
  <c r="J63" i="40"/>
  <c r="G21" i="40"/>
  <c r="H21" i="40"/>
  <c r="H45" i="40"/>
  <c r="G45" i="40"/>
  <c r="G9" i="40"/>
  <c r="H9" i="40"/>
  <c r="H51" i="40"/>
  <c r="G51" i="40"/>
  <c r="G27" i="40"/>
  <c r="H27" i="40"/>
  <c r="G33" i="40"/>
  <c r="H33" i="40"/>
  <c r="G57" i="40"/>
  <c r="H57" i="40"/>
  <c r="G69" i="40"/>
  <c r="H69" i="40"/>
  <c r="G39" i="40"/>
  <c r="H39" i="40"/>
  <c r="J75" i="40"/>
  <c r="G56" i="40"/>
  <c r="G26" i="40"/>
  <c r="H31" i="40"/>
  <c r="G37" i="40"/>
  <c r="J37" i="40" s="1"/>
  <c r="H13" i="40"/>
  <c r="G55" i="40"/>
  <c r="I10" i="37"/>
  <c r="J10" i="37"/>
  <c r="K10" i="37"/>
  <c r="J15" i="37"/>
  <c r="J33" i="37"/>
  <c r="J45" i="37"/>
  <c r="J57" i="37"/>
  <c r="J21" i="37"/>
  <c r="J63" i="37"/>
  <c r="J69" i="37"/>
  <c r="J27" i="37"/>
  <c r="G44" i="37"/>
  <c r="J44" i="37" s="1"/>
  <c r="H32" i="37"/>
  <c r="G32" i="37"/>
  <c r="J32" i="37" s="1"/>
  <c r="H31" i="37"/>
  <c r="G31" i="37"/>
  <c r="G13" i="37"/>
  <c r="H13" i="37"/>
  <c r="H49" i="37"/>
  <c r="G49" i="37"/>
  <c r="G73" i="37"/>
  <c r="G54" i="40"/>
  <c r="J54" i="40" s="1"/>
  <c r="S13" i="8"/>
  <c r="H60" i="40"/>
  <c r="E8" i="39"/>
  <c r="H30" i="37"/>
  <c r="AG9" i="7"/>
  <c r="J9" i="30" s="1"/>
  <c r="U12" i="8"/>
  <c r="E6" i="38"/>
  <c r="H66" i="40"/>
  <c r="F14" i="39"/>
  <c r="F16" i="39"/>
  <c r="AW15" i="8"/>
  <c r="E15" i="30" s="1"/>
  <c r="S15" i="32"/>
  <c r="S12" i="32"/>
  <c r="V12" i="32" s="1"/>
  <c r="S11" i="32"/>
  <c r="V11" i="32" s="1"/>
  <c r="S13" i="32"/>
  <c r="V13" i="32" s="1"/>
  <c r="S10" i="32"/>
  <c r="V10" i="32" s="1"/>
  <c r="AW16" i="8"/>
  <c r="E16" i="30" s="1"/>
  <c r="Z37" i="4"/>
  <c r="E17" i="32" s="1"/>
  <c r="H16" i="32"/>
  <c r="C16" i="32"/>
  <c r="M16" i="32"/>
  <c r="G12" i="33"/>
  <c r="F8" i="33"/>
  <c r="C16" i="8"/>
  <c r="S16" i="8" s="1"/>
  <c r="N16" i="33"/>
  <c r="O16" i="33" s="1"/>
  <c r="C13" i="6"/>
  <c r="Z13" i="6" s="1"/>
  <c r="N14" i="33"/>
  <c r="O14" i="33" s="1"/>
  <c r="C11" i="6"/>
  <c r="Z11" i="6" s="1"/>
  <c r="N10" i="33"/>
  <c r="O10" i="33" s="1"/>
  <c r="S9" i="8"/>
  <c r="N6" i="33"/>
  <c r="O6" i="33" s="1"/>
  <c r="F6" i="33" s="1"/>
  <c r="F51" i="41"/>
  <c r="E51" i="41"/>
  <c r="F116" i="36"/>
  <c r="E116" i="36"/>
  <c r="E56" i="41"/>
  <c r="F56" i="41"/>
  <c r="F26" i="41"/>
  <c r="E26" i="41"/>
  <c r="F61" i="36"/>
  <c r="E61" i="36"/>
  <c r="F36" i="41"/>
  <c r="E36" i="41"/>
  <c r="F83" i="36"/>
  <c r="E83" i="36"/>
  <c r="E46" i="41"/>
  <c r="F46" i="41"/>
  <c r="F105" i="36"/>
  <c r="E105" i="36"/>
  <c r="E41" i="41"/>
  <c r="F41" i="41"/>
  <c r="F31" i="41"/>
  <c r="E31" i="41"/>
  <c r="E127" i="36"/>
  <c r="F127" i="36"/>
  <c r="E61" i="41"/>
  <c r="F61" i="41"/>
  <c r="E16" i="41"/>
  <c r="F16" i="41"/>
  <c r="E72" i="36"/>
  <c r="F72" i="36"/>
  <c r="F21" i="41"/>
  <c r="E21" i="41"/>
  <c r="F94" i="36"/>
  <c r="E94" i="36"/>
  <c r="E11" i="41"/>
  <c r="F11" i="41"/>
  <c r="F6" i="36"/>
  <c r="H6" i="36" s="1"/>
  <c r="E28" i="36"/>
  <c r="F50" i="36"/>
  <c r="E50" i="36"/>
  <c r="F39" i="36"/>
  <c r="E39" i="36"/>
  <c r="C9" i="30"/>
  <c r="Z14" i="6"/>
  <c r="U14" i="32"/>
  <c r="U16" i="32"/>
  <c r="U15" i="32"/>
  <c r="C15" i="6"/>
  <c r="Z15" i="6" s="1"/>
  <c r="E14" i="6"/>
  <c r="S14" i="6"/>
  <c r="R14" i="6"/>
  <c r="S15" i="6"/>
  <c r="R15" i="6"/>
  <c r="E15" i="6"/>
  <c r="S17" i="6"/>
  <c r="R17" i="6"/>
  <c r="E13" i="6"/>
  <c r="R13" i="6"/>
  <c r="S13" i="6"/>
  <c r="B17" i="32"/>
  <c r="B17" i="8"/>
  <c r="L17" i="7"/>
  <c r="H17" i="6"/>
  <c r="AJ16" i="7"/>
  <c r="G24" i="40"/>
  <c r="J24" i="40" s="1"/>
  <c r="G56" i="37"/>
  <c r="J56" i="37" s="1"/>
  <c r="H26" i="37"/>
  <c r="H38" i="37"/>
  <c r="Z9" i="6"/>
  <c r="R18" i="5"/>
  <c r="B17" i="6" s="1"/>
  <c r="S18" i="5"/>
  <c r="H62" i="37"/>
  <c r="G44" i="40"/>
  <c r="G18" i="40"/>
  <c r="J18" i="40" s="1"/>
  <c r="G37" i="37"/>
  <c r="H37" i="37"/>
  <c r="G36" i="37"/>
  <c r="H36" i="37"/>
  <c r="H68" i="40"/>
  <c r="G68" i="40"/>
  <c r="G68" i="37"/>
  <c r="J68" i="37" s="1"/>
  <c r="H42" i="37"/>
  <c r="G42" i="37"/>
  <c r="G66" i="37"/>
  <c r="H66" i="37"/>
  <c r="G43" i="37"/>
  <c r="H43" i="37"/>
  <c r="H67" i="37"/>
  <c r="G67" i="37"/>
  <c r="E22" i="39"/>
  <c r="F22" i="39"/>
  <c r="F22" i="38"/>
  <c r="E22" i="38"/>
  <c r="G61" i="37"/>
  <c r="H61" i="37"/>
  <c r="E28" i="39"/>
  <c r="F28" i="39"/>
  <c r="G25" i="37"/>
  <c r="H25" i="37"/>
  <c r="H19" i="37"/>
  <c r="G19" i="37"/>
  <c r="G24" i="37"/>
  <c r="H24" i="37"/>
  <c r="F28" i="38"/>
  <c r="E28" i="38"/>
  <c r="H55" i="37"/>
  <c r="G55" i="37"/>
  <c r="G61" i="40"/>
  <c r="H61" i="40"/>
  <c r="G60" i="37"/>
  <c r="H60" i="37"/>
  <c r="G54" i="37"/>
  <c r="H54" i="37"/>
  <c r="J13" i="40"/>
  <c r="J31" i="40"/>
  <c r="K8" i="40"/>
  <c r="J8" i="40"/>
  <c r="L8" i="40" s="1"/>
  <c r="J50" i="40"/>
  <c r="J43" i="40"/>
  <c r="J20" i="40"/>
  <c r="F8" i="41"/>
  <c r="E8" i="41"/>
  <c r="G8" i="41" s="1"/>
  <c r="J67" i="40"/>
  <c r="J49" i="40"/>
  <c r="J25" i="40"/>
  <c r="J56" i="40"/>
  <c r="F7" i="41"/>
  <c r="E7" i="41"/>
  <c r="J14" i="40"/>
  <c r="J26" i="40"/>
  <c r="J32" i="40"/>
  <c r="E9" i="41"/>
  <c r="G9" i="41" s="1"/>
  <c r="F9" i="41"/>
  <c r="J74" i="40"/>
  <c r="F6" i="41"/>
  <c r="E6" i="41"/>
  <c r="G6" i="41" s="1"/>
  <c r="J6" i="40"/>
  <c r="K6" i="40"/>
  <c r="I6" i="40"/>
  <c r="J38" i="40"/>
  <c r="J73" i="40"/>
  <c r="J62" i="40"/>
  <c r="I7" i="40"/>
  <c r="K7" i="40"/>
  <c r="J7" i="40"/>
  <c r="J19" i="40"/>
  <c r="E12" i="30"/>
  <c r="AW9" i="8"/>
  <c r="E9" i="30" s="1"/>
  <c r="E10" i="30"/>
  <c r="E11" i="30"/>
  <c r="E13" i="30"/>
  <c r="AQ12" i="8"/>
  <c r="AQ13" i="8"/>
  <c r="AQ10" i="8"/>
  <c r="AQ11" i="8"/>
  <c r="J22" i="37"/>
  <c r="J16" i="37"/>
  <c r="J28" i="37"/>
  <c r="J46" i="37"/>
  <c r="J34" i="37"/>
  <c r="J70" i="37"/>
  <c r="J58" i="37"/>
  <c r="J76" i="37"/>
  <c r="J52" i="37"/>
  <c r="J64" i="37"/>
  <c r="J40" i="37"/>
  <c r="H7" i="36"/>
  <c r="G9" i="36"/>
  <c r="H9" i="36" s="1"/>
  <c r="G10" i="36"/>
  <c r="H10" i="36" s="1"/>
  <c r="G12" i="36"/>
  <c r="H12" i="36" s="1"/>
  <c r="G13" i="36"/>
  <c r="H13" i="36" s="1"/>
  <c r="G14" i="36"/>
  <c r="H14" i="36"/>
  <c r="H15" i="36"/>
  <c r="G15" i="36"/>
  <c r="H26" i="36"/>
  <c r="G11" i="36"/>
  <c r="H11" i="36" s="1"/>
  <c r="H25" i="36"/>
  <c r="AH16" i="4"/>
  <c r="P5" i="4"/>
  <c r="AT89" i="4" l="1"/>
  <c r="AT82" i="4"/>
  <c r="AT43" i="4"/>
  <c r="AT68" i="4"/>
  <c r="AT95" i="4"/>
  <c r="AT97" i="4"/>
  <c r="AT31" i="4"/>
  <c r="AT74" i="4"/>
  <c r="AT49" i="4"/>
  <c r="AT42" i="4"/>
  <c r="AT64" i="4"/>
  <c r="AT78" i="4"/>
  <c r="AT72" i="4"/>
  <c r="AT92" i="4"/>
  <c r="AT59" i="4"/>
  <c r="AT79" i="4"/>
  <c r="AT33" i="4"/>
  <c r="AT32" i="4"/>
  <c r="AT99" i="4"/>
  <c r="AT57" i="4"/>
  <c r="AT69" i="4"/>
  <c r="AT53" i="4"/>
  <c r="AT88" i="4"/>
  <c r="AT77" i="4"/>
  <c r="AT102" i="4"/>
  <c r="AT63" i="4"/>
  <c r="AT87" i="4"/>
  <c r="AT85" i="4"/>
  <c r="AT52" i="4"/>
  <c r="AT106" i="4"/>
  <c r="AT56" i="4"/>
  <c r="AT96" i="4"/>
  <c r="AT104" i="4"/>
  <c r="AT101" i="4"/>
  <c r="AT66" i="4"/>
  <c r="AT54" i="4"/>
  <c r="AT44" i="4"/>
  <c r="AT90" i="4"/>
  <c r="AT86" i="4"/>
  <c r="AT61" i="4"/>
  <c r="AT100" i="4"/>
  <c r="AT58" i="4"/>
  <c r="AT83" i="4"/>
  <c r="AT75" i="4"/>
  <c r="AT62" i="4"/>
  <c r="AT71" i="4"/>
  <c r="AT93" i="4"/>
  <c r="AT48" i="4"/>
  <c r="AT46" i="4"/>
  <c r="AT76" i="4"/>
  <c r="AT51" i="4"/>
  <c r="AT105" i="4"/>
  <c r="AT84" i="4"/>
  <c r="AT98" i="4"/>
  <c r="AT50" i="4"/>
  <c r="AT91" i="4"/>
  <c r="AT60" i="4"/>
  <c r="AT47" i="4"/>
  <c r="AT81" i="4"/>
  <c r="AT70" i="4"/>
  <c r="AT65" i="4"/>
  <c r="AT73" i="4"/>
  <c r="AT55" i="4"/>
  <c r="AT45" i="4"/>
  <c r="AT103" i="4"/>
  <c r="AT80" i="4"/>
  <c r="AT67" i="4"/>
  <c r="AT94" i="4"/>
  <c r="AT37" i="4"/>
  <c r="AT30" i="4"/>
  <c r="AT8" i="4"/>
  <c r="AT28" i="4"/>
  <c r="AT38" i="4"/>
  <c r="AT12" i="4"/>
  <c r="AT29" i="4"/>
  <c r="AT26" i="4"/>
  <c r="AT19" i="4"/>
  <c r="AT23" i="4"/>
  <c r="AT10" i="4"/>
  <c r="AT11" i="4"/>
  <c r="AT18" i="4"/>
  <c r="AT17" i="4"/>
  <c r="AT14" i="4"/>
  <c r="AT13" i="4"/>
  <c r="AT21" i="4"/>
  <c r="AT36" i="4"/>
  <c r="AT24" i="4"/>
  <c r="AT40" i="4"/>
  <c r="AT25" i="4"/>
  <c r="AT22" i="4"/>
  <c r="AT34" i="4"/>
  <c r="AT27" i="4"/>
  <c r="AT15" i="4"/>
  <c r="AT16" i="4"/>
  <c r="AT39" i="4"/>
  <c r="AT20" i="4"/>
  <c r="AT7" i="4"/>
  <c r="AT9" i="4"/>
  <c r="AT41" i="4"/>
  <c r="AT35" i="4"/>
  <c r="AA16" i="6"/>
  <c r="AQ14" i="8"/>
  <c r="AA11" i="6"/>
  <c r="V14" i="8"/>
  <c r="W14" i="8" s="1"/>
  <c r="G18" i="37"/>
  <c r="V15" i="8"/>
  <c r="W15" i="8" s="1"/>
  <c r="O10" i="30"/>
  <c r="AS10" i="8"/>
  <c r="AT10" i="8" s="1"/>
  <c r="J8" i="52" s="1"/>
  <c r="K8" i="52" s="1"/>
  <c r="AG12" i="7"/>
  <c r="AF12" i="6" s="1"/>
  <c r="D10" i="52" s="1"/>
  <c r="F10" i="39"/>
  <c r="V10" i="8"/>
  <c r="W10" i="8" s="1"/>
  <c r="AS11" i="8"/>
  <c r="AT11" i="8" s="1"/>
  <c r="J9" i="52" s="1"/>
  <c r="K9" i="52" s="1"/>
  <c r="V9" i="8"/>
  <c r="W9" i="8" s="1"/>
  <c r="AX13" i="8"/>
  <c r="F13" i="30" s="1"/>
  <c r="AX9" i="8"/>
  <c r="F9" i="30" s="1"/>
  <c r="AS9" i="8"/>
  <c r="AT9" i="8" s="1"/>
  <c r="J7" i="52" s="1"/>
  <c r="K7" i="52" s="1"/>
  <c r="AM15" i="8"/>
  <c r="AS15" i="8" s="1"/>
  <c r="AA15" i="6"/>
  <c r="AA17" i="6"/>
  <c r="AA14" i="6"/>
  <c r="G58" i="41"/>
  <c r="H58" i="41"/>
  <c r="G37" i="41"/>
  <c r="H37" i="41" s="1"/>
  <c r="G34" i="41"/>
  <c r="H34" i="41"/>
  <c r="G13" i="41"/>
  <c r="H13" i="41" s="1"/>
  <c r="G42" i="41"/>
  <c r="H42" i="41" s="1"/>
  <c r="G22" i="41"/>
  <c r="H22" i="41"/>
  <c r="G44" i="41"/>
  <c r="H44" i="41" s="1"/>
  <c r="G18" i="41"/>
  <c r="H18" i="41"/>
  <c r="G54" i="41"/>
  <c r="H54" i="41"/>
  <c r="G57" i="41"/>
  <c r="H57" i="41" s="1"/>
  <c r="G53" i="41"/>
  <c r="H53" i="41" s="1"/>
  <c r="G27" i="41"/>
  <c r="H27" i="41"/>
  <c r="G17" i="41"/>
  <c r="H17" i="41"/>
  <c r="H9" i="41"/>
  <c r="G63" i="41"/>
  <c r="H63" i="41" s="1"/>
  <c r="G38" i="41"/>
  <c r="H38" i="41" s="1"/>
  <c r="H47" i="41"/>
  <c r="G47" i="41"/>
  <c r="G32" i="41"/>
  <c r="H32" i="41" s="1"/>
  <c r="G28" i="41"/>
  <c r="H28" i="41" s="1"/>
  <c r="G49" i="41"/>
  <c r="H49" i="41" s="1"/>
  <c r="G24" i="41"/>
  <c r="H24" i="41" s="1"/>
  <c r="H33" i="41"/>
  <c r="G33" i="41"/>
  <c r="G64" i="41"/>
  <c r="H64" i="41" s="1"/>
  <c r="H39" i="41"/>
  <c r="G39" i="41"/>
  <c r="G29" i="41"/>
  <c r="H29" i="41" s="1"/>
  <c r="G23" i="41"/>
  <c r="H23" i="41" s="1"/>
  <c r="H12" i="41"/>
  <c r="G12" i="41"/>
  <c r="G52" i="41"/>
  <c r="H52" i="41" s="1"/>
  <c r="G19" i="41"/>
  <c r="H19" i="41" s="1"/>
  <c r="G59" i="41"/>
  <c r="H59" i="41" s="1"/>
  <c r="H43" i="41"/>
  <c r="G43" i="41"/>
  <c r="G62" i="41"/>
  <c r="H62" i="41" s="1"/>
  <c r="H48" i="41"/>
  <c r="G48" i="41"/>
  <c r="G14" i="41"/>
  <c r="H14" i="41" s="1"/>
  <c r="G134" i="36"/>
  <c r="H134" i="36" s="1"/>
  <c r="G78" i="36"/>
  <c r="H78" i="36" s="1"/>
  <c r="G77" i="36"/>
  <c r="H77" i="36" s="1"/>
  <c r="G99" i="36"/>
  <c r="H99" i="36" s="1"/>
  <c r="G102" i="36"/>
  <c r="H102" i="36" s="1"/>
  <c r="G136" i="36"/>
  <c r="H136" i="36" s="1"/>
  <c r="G128" i="36"/>
  <c r="H128" i="36"/>
  <c r="G110" i="36"/>
  <c r="H110" i="36" s="1"/>
  <c r="G32" i="36"/>
  <c r="H32" i="36" s="1"/>
  <c r="G51" i="36"/>
  <c r="H51" i="36" s="1"/>
  <c r="G95" i="36"/>
  <c r="H95" i="36" s="1"/>
  <c r="G92" i="36"/>
  <c r="H92" i="36"/>
  <c r="G114" i="36"/>
  <c r="H114" i="36"/>
  <c r="G68" i="36"/>
  <c r="H68" i="36" s="1"/>
  <c r="G120" i="36"/>
  <c r="H120" i="36"/>
  <c r="G123" i="36"/>
  <c r="H123" i="36" s="1"/>
  <c r="G40" i="36"/>
  <c r="H40" i="36"/>
  <c r="G23" i="36"/>
  <c r="H23" i="36" s="1"/>
  <c r="G90" i="36"/>
  <c r="H90" i="36"/>
  <c r="G37" i="36"/>
  <c r="H37" i="36"/>
  <c r="G65" i="36"/>
  <c r="H65" i="36"/>
  <c r="G124" i="36"/>
  <c r="H124" i="36"/>
  <c r="G76" i="36"/>
  <c r="H76" i="36" s="1"/>
  <c r="G36" i="36"/>
  <c r="H36" i="36"/>
  <c r="G53" i="36"/>
  <c r="H53" i="36" s="1"/>
  <c r="G22" i="36"/>
  <c r="H22" i="36"/>
  <c r="G131" i="36"/>
  <c r="H131" i="36" s="1"/>
  <c r="G112" i="36"/>
  <c r="H112" i="36"/>
  <c r="G56" i="36"/>
  <c r="H56" i="36"/>
  <c r="G42" i="36"/>
  <c r="H42" i="36"/>
  <c r="G35" i="36"/>
  <c r="H35" i="36"/>
  <c r="G57" i="36"/>
  <c r="H57" i="36" s="1"/>
  <c r="G62" i="36"/>
  <c r="H62" i="36" s="1"/>
  <c r="G106" i="36"/>
  <c r="H106" i="36"/>
  <c r="G97" i="36"/>
  <c r="H97" i="36"/>
  <c r="G108" i="36"/>
  <c r="H108" i="36" s="1"/>
  <c r="G88" i="36"/>
  <c r="H88" i="36" s="1"/>
  <c r="G58" i="36"/>
  <c r="H58" i="36" s="1"/>
  <c r="G117" i="36"/>
  <c r="H117" i="36"/>
  <c r="G119" i="36"/>
  <c r="H119" i="36" s="1"/>
  <c r="G69" i="36"/>
  <c r="H69" i="36"/>
  <c r="G125" i="36"/>
  <c r="H125" i="36"/>
  <c r="G59" i="36"/>
  <c r="H59" i="36" s="1"/>
  <c r="G73" i="36"/>
  <c r="H73" i="36"/>
  <c r="G81" i="36"/>
  <c r="H81" i="36" s="1"/>
  <c r="G121" i="36"/>
  <c r="H121" i="36"/>
  <c r="G130" i="36"/>
  <c r="H130" i="36" s="1"/>
  <c r="G91" i="36"/>
  <c r="H91" i="36"/>
  <c r="G79" i="36"/>
  <c r="H79" i="36" s="1"/>
  <c r="G55" i="36"/>
  <c r="H55" i="36" s="1"/>
  <c r="G48" i="36"/>
  <c r="H48" i="36" s="1"/>
  <c r="G66" i="36"/>
  <c r="H66" i="36" s="1"/>
  <c r="G89" i="36"/>
  <c r="H89" i="36" s="1"/>
  <c r="G31" i="36"/>
  <c r="H31" i="36" s="1"/>
  <c r="G46" i="36"/>
  <c r="H46" i="36"/>
  <c r="G29" i="36"/>
  <c r="H29" i="36"/>
  <c r="G54" i="36"/>
  <c r="H54" i="36"/>
  <c r="G101" i="36"/>
  <c r="H101" i="36" s="1"/>
  <c r="G100" i="36"/>
  <c r="H100" i="36"/>
  <c r="G109" i="36"/>
  <c r="H109" i="36"/>
  <c r="G84" i="36"/>
  <c r="H84" i="36"/>
  <c r="G103" i="36"/>
  <c r="H103" i="36" s="1"/>
  <c r="G132" i="36"/>
  <c r="H132" i="36" s="1"/>
  <c r="G86" i="36"/>
  <c r="H86" i="36" s="1"/>
  <c r="G111" i="36"/>
  <c r="H111" i="36" s="1"/>
  <c r="G122" i="36"/>
  <c r="H122" i="36"/>
  <c r="G70" i="36"/>
  <c r="H70" i="36" s="1"/>
  <c r="G80" i="36"/>
  <c r="H80" i="36" s="1"/>
  <c r="G45" i="36"/>
  <c r="H45" i="36"/>
  <c r="G18" i="36"/>
  <c r="H18" i="36" s="1"/>
  <c r="G20" i="36"/>
  <c r="H20" i="36"/>
  <c r="G87" i="36"/>
  <c r="H87" i="36" s="1"/>
  <c r="G135" i="36"/>
  <c r="H135" i="36" s="1"/>
  <c r="G75" i="36"/>
  <c r="H75" i="36"/>
  <c r="G133" i="36"/>
  <c r="H133" i="36" s="1"/>
  <c r="G43" i="36"/>
  <c r="H43" i="36"/>
  <c r="G44" i="36"/>
  <c r="H44" i="36" s="1"/>
  <c r="G47" i="36"/>
  <c r="H47" i="36" s="1"/>
  <c r="G64" i="36"/>
  <c r="H64" i="36"/>
  <c r="G98" i="36"/>
  <c r="H98" i="36" s="1"/>
  <c r="G33" i="36"/>
  <c r="H33" i="36"/>
  <c r="G113" i="36"/>
  <c r="H113" i="36" s="1"/>
  <c r="G67" i="36"/>
  <c r="H67" i="36" s="1"/>
  <c r="G21" i="36"/>
  <c r="H21" i="36"/>
  <c r="G34" i="36"/>
  <c r="H34" i="36"/>
  <c r="G9" i="52"/>
  <c r="G11" i="52"/>
  <c r="D9" i="30"/>
  <c r="K9" i="30" s="1"/>
  <c r="X15" i="8"/>
  <c r="C14" i="30"/>
  <c r="G8" i="52"/>
  <c r="G7" i="52"/>
  <c r="AF10" i="6"/>
  <c r="D8" i="52" s="1"/>
  <c r="AA13" i="6"/>
  <c r="AB12" i="6"/>
  <c r="AC12" i="6" s="1"/>
  <c r="B12" i="30" s="1"/>
  <c r="AB9" i="6"/>
  <c r="AC9" i="6" s="1"/>
  <c r="AD9" i="6" s="1"/>
  <c r="C7" i="52" s="1"/>
  <c r="J13" i="30"/>
  <c r="O13" i="30" s="1"/>
  <c r="H20" i="8"/>
  <c r="H19" i="8"/>
  <c r="AK16" i="8"/>
  <c r="AQ15" i="8"/>
  <c r="F26" i="39"/>
  <c r="AG14" i="7"/>
  <c r="AF14" i="6" s="1"/>
  <c r="D12" i="52" s="1"/>
  <c r="AE15" i="7"/>
  <c r="AF15" i="7" s="1"/>
  <c r="AI15" i="7"/>
  <c r="Y21" i="4"/>
  <c r="AM16" i="8" s="1"/>
  <c r="AS16" i="8" s="1"/>
  <c r="J11" i="30"/>
  <c r="O11" i="30" s="1"/>
  <c r="G41" i="36"/>
  <c r="H41" i="36" s="1"/>
  <c r="G129" i="36"/>
  <c r="H129" i="36" s="1"/>
  <c r="G118" i="36"/>
  <c r="H118" i="36" s="1"/>
  <c r="G74" i="36"/>
  <c r="H74" i="36" s="1"/>
  <c r="G52" i="36"/>
  <c r="H52" i="36" s="1"/>
  <c r="G63" i="36"/>
  <c r="H63" i="36" s="1"/>
  <c r="G85" i="36"/>
  <c r="H85" i="36" s="1"/>
  <c r="G30" i="36"/>
  <c r="H30" i="36" s="1"/>
  <c r="G96" i="36"/>
  <c r="H96" i="36" s="1"/>
  <c r="G107" i="36"/>
  <c r="H107" i="36" s="1"/>
  <c r="G19" i="36"/>
  <c r="H19" i="36" s="1"/>
  <c r="V11" i="8"/>
  <c r="W11" i="8" s="1"/>
  <c r="AB29" i="4"/>
  <c r="AB23" i="4"/>
  <c r="AB26" i="4"/>
  <c r="AB22" i="4"/>
  <c r="AB18" i="4"/>
  <c r="AL19" i="8" s="1"/>
  <c r="AR19" i="8" s="1"/>
  <c r="AB17" i="4"/>
  <c r="AB28" i="4"/>
  <c r="AB25" i="4"/>
  <c r="AB24" i="4"/>
  <c r="H19" i="7" s="1"/>
  <c r="AB19" i="4"/>
  <c r="AB15" i="4"/>
  <c r="AB12" i="4"/>
  <c r="AB11" i="4"/>
  <c r="AB14" i="4"/>
  <c r="AB13" i="4"/>
  <c r="AB20" i="4"/>
  <c r="AB16" i="4"/>
  <c r="I19" i="8" s="1"/>
  <c r="T19" i="8" s="1"/>
  <c r="L10" i="37"/>
  <c r="G10" i="30"/>
  <c r="N10" i="30" s="1"/>
  <c r="L8" i="52"/>
  <c r="G12" i="30"/>
  <c r="N12" i="30" s="1"/>
  <c r="L10" i="52"/>
  <c r="G13" i="30"/>
  <c r="N13" i="30" s="1"/>
  <c r="L11" i="52"/>
  <c r="G11" i="30"/>
  <c r="N11" i="30" s="1"/>
  <c r="L9" i="52"/>
  <c r="AF9" i="6"/>
  <c r="D7" i="52" s="1"/>
  <c r="S14" i="32"/>
  <c r="V14" i="32" s="1"/>
  <c r="S9" i="32"/>
  <c r="V9" i="32" s="1"/>
  <c r="V12" i="8"/>
  <c r="W12" i="8" s="1"/>
  <c r="V13" i="8"/>
  <c r="W13" i="8" s="1"/>
  <c r="L9" i="37"/>
  <c r="J46" i="40"/>
  <c r="J28" i="40"/>
  <c r="J70" i="40"/>
  <c r="J52" i="40"/>
  <c r="J34" i="40"/>
  <c r="J16" i="40"/>
  <c r="I10" i="40"/>
  <c r="K10" i="40"/>
  <c r="J10" i="40"/>
  <c r="J58" i="40"/>
  <c r="J22" i="40"/>
  <c r="J64" i="40"/>
  <c r="J40" i="40"/>
  <c r="J39" i="40"/>
  <c r="J57" i="40"/>
  <c r="J27" i="40"/>
  <c r="I9" i="40"/>
  <c r="K9" i="40"/>
  <c r="J9" i="40"/>
  <c r="J21" i="40"/>
  <c r="J69" i="40"/>
  <c r="J33" i="40"/>
  <c r="J51" i="40"/>
  <c r="J45" i="40"/>
  <c r="J55" i="40"/>
  <c r="J49" i="37"/>
  <c r="J31" i="37"/>
  <c r="J73" i="37"/>
  <c r="J13" i="37"/>
  <c r="O9" i="30"/>
  <c r="AC10" i="6"/>
  <c r="AD10" i="6" s="1"/>
  <c r="C8" i="52" s="1"/>
  <c r="V15" i="32"/>
  <c r="V16" i="8"/>
  <c r="W16" i="8" s="1"/>
  <c r="U17" i="32"/>
  <c r="S16" i="32"/>
  <c r="V16" i="32" s="1"/>
  <c r="AW17" i="8"/>
  <c r="E17" i="30" s="1"/>
  <c r="L6" i="37"/>
  <c r="AA37" i="4"/>
  <c r="E18" i="32" s="1"/>
  <c r="M17" i="32"/>
  <c r="H17" i="32"/>
  <c r="C17" i="32"/>
  <c r="U17" i="8"/>
  <c r="C17" i="8"/>
  <c r="S17" i="8" s="1"/>
  <c r="G6" i="33"/>
  <c r="G14" i="33"/>
  <c r="F14" i="33"/>
  <c r="F10" i="33"/>
  <c r="G10" i="33"/>
  <c r="G16" i="33"/>
  <c r="F16" i="33"/>
  <c r="N18" i="33"/>
  <c r="O18" i="33" s="1"/>
  <c r="AC11" i="6"/>
  <c r="B11" i="30" s="1"/>
  <c r="G21" i="41"/>
  <c r="H21" i="41" s="1"/>
  <c r="G36" i="41"/>
  <c r="H36" i="41" s="1"/>
  <c r="G26" i="41"/>
  <c r="H26" i="41" s="1"/>
  <c r="G116" i="36"/>
  <c r="H116" i="36" s="1"/>
  <c r="G16" i="41"/>
  <c r="H16" i="41" s="1"/>
  <c r="G127" i="36"/>
  <c r="H127" i="36" s="1"/>
  <c r="G41" i="41"/>
  <c r="H41" i="41" s="1"/>
  <c r="G46" i="41"/>
  <c r="H46" i="41" s="1"/>
  <c r="G94" i="36"/>
  <c r="H94" i="36" s="1"/>
  <c r="G31" i="41"/>
  <c r="H31" i="41" s="1"/>
  <c r="G105" i="36"/>
  <c r="H105" i="36" s="1"/>
  <c r="G83" i="36"/>
  <c r="H83" i="36" s="1"/>
  <c r="G61" i="36"/>
  <c r="H61" i="36" s="1"/>
  <c r="G51" i="41"/>
  <c r="H51" i="41" s="1"/>
  <c r="G72" i="36"/>
  <c r="H72" i="36" s="1"/>
  <c r="G61" i="41"/>
  <c r="H61" i="41" s="1"/>
  <c r="G56" i="41"/>
  <c r="H56" i="41" s="1"/>
  <c r="G11" i="41"/>
  <c r="H11" i="41" s="1"/>
  <c r="G50" i="36"/>
  <c r="H50" i="36" s="1"/>
  <c r="G39" i="36"/>
  <c r="H39" i="36" s="1"/>
  <c r="G28" i="36"/>
  <c r="H28" i="36" s="1"/>
  <c r="AB15" i="6"/>
  <c r="AB14" i="6"/>
  <c r="AB13" i="6"/>
  <c r="B18" i="32"/>
  <c r="B18" i="8"/>
  <c r="L18" i="7"/>
  <c r="H18" i="6"/>
  <c r="AI17" i="7"/>
  <c r="AE17" i="7"/>
  <c r="AF17" i="7" s="1"/>
  <c r="AJ17" i="7"/>
  <c r="L7" i="40"/>
  <c r="H8" i="41"/>
  <c r="J44" i="40"/>
  <c r="R19" i="5"/>
  <c r="B18" i="6" s="1"/>
  <c r="S19" i="5"/>
  <c r="J36" i="37"/>
  <c r="J37" i="37"/>
  <c r="J68" i="40"/>
  <c r="J67" i="37"/>
  <c r="J66" i="37"/>
  <c r="J42" i="37"/>
  <c r="J43" i="37"/>
  <c r="J18" i="37"/>
  <c r="J55" i="37"/>
  <c r="J61" i="40"/>
  <c r="J24" i="37"/>
  <c r="J19" i="37"/>
  <c r="J54" i="37"/>
  <c r="J60" i="37"/>
  <c r="J25" i="37"/>
  <c r="J61" i="37"/>
  <c r="L6" i="40"/>
  <c r="G7" i="41"/>
  <c r="H7" i="41" s="1"/>
  <c r="H6" i="41"/>
  <c r="AS14" i="8"/>
  <c r="AT14" i="8" s="1"/>
  <c r="J12" i="52" s="1"/>
  <c r="K12" i="52" s="1"/>
  <c r="AT13" i="8"/>
  <c r="J11" i="52" s="1"/>
  <c r="K11" i="52" s="1"/>
  <c r="AS12" i="8"/>
  <c r="AT12" i="8" s="1"/>
  <c r="J10" i="52" s="1"/>
  <c r="K10" i="52" s="1"/>
  <c r="Q5" i="4"/>
  <c r="AH17" i="4"/>
  <c r="AU58" i="4" l="1"/>
  <c r="AU69" i="4"/>
  <c r="AU55" i="4"/>
  <c r="AU81" i="4"/>
  <c r="AU66" i="4"/>
  <c r="AU47" i="4"/>
  <c r="AU105" i="4"/>
  <c r="AU68" i="4"/>
  <c r="AU101" i="4"/>
  <c r="AU73" i="4"/>
  <c r="AU54" i="4"/>
  <c r="AU51" i="4"/>
  <c r="AU90" i="4"/>
  <c r="AU72" i="4"/>
  <c r="AU67" i="4"/>
  <c r="AU46" i="4"/>
  <c r="AU92" i="4"/>
  <c r="AU52" i="4"/>
  <c r="AU83" i="4"/>
  <c r="AU75" i="4"/>
  <c r="AU45" i="4"/>
  <c r="AU95" i="4"/>
  <c r="AU32" i="4"/>
  <c r="AU104" i="4"/>
  <c r="AU74" i="4"/>
  <c r="AU65" i="4"/>
  <c r="AU88" i="4"/>
  <c r="AU82" i="4"/>
  <c r="AU79" i="4"/>
  <c r="AU70" i="4"/>
  <c r="AU91" i="4"/>
  <c r="AU49" i="4"/>
  <c r="AU56" i="4"/>
  <c r="AU53" i="4"/>
  <c r="AU89" i="4"/>
  <c r="AU44" i="4"/>
  <c r="AU59" i="4"/>
  <c r="AU98" i="4"/>
  <c r="AU100" i="4"/>
  <c r="AU106" i="4"/>
  <c r="AU103" i="4"/>
  <c r="AU33" i="4"/>
  <c r="AU48" i="4"/>
  <c r="AU87" i="4"/>
  <c r="AU42" i="4"/>
  <c r="AU84" i="4"/>
  <c r="AU64" i="4"/>
  <c r="AU86" i="4"/>
  <c r="AU94" i="4"/>
  <c r="AU77" i="4"/>
  <c r="AU60" i="4"/>
  <c r="AU97" i="4"/>
  <c r="AU63" i="4"/>
  <c r="AU99" i="4"/>
  <c r="AU85" i="4"/>
  <c r="AU62" i="4"/>
  <c r="AU71" i="4"/>
  <c r="AU93" i="4"/>
  <c r="AU96" i="4"/>
  <c r="AU43" i="4"/>
  <c r="AU78" i="4"/>
  <c r="AU61" i="4"/>
  <c r="AU31" i="4"/>
  <c r="AU102" i="4"/>
  <c r="AU76" i="4"/>
  <c r="AU57" i="4"/>
  <c r="AU80" i="4"/>
  <c r="AU50" i="4"/>
  <c r="AU29" i="4"/>
  <c r="AU10" i="4"/>
  <c r="AU14" i="4"/>
  <c r="AU21" i="4"/>
  <c r="AU23" i="4"/>
  <c r="AU19" i="4"/>
  <c r="AU8" i="4"/>
  <c r="AU28" i="4"/>
  <c r="AU12" i="4"/>
  <c r="AU37" i="4"/>
  <c r="AU22" i="4"/>
  <c r="AU34" i="4"/>
  <c r="AU40" i="4"/>
  <c r="AU11" i="4"/>
  <c r="AU18" i="4"/>
  <c r="AU25" i="4"/>
  <c r="AU17" i="4"/>
  <c r="AU38" i="4"/>
  <c r="AU30" i="4"/>
  <c r="AU36" i="4"/>
  <c r="AU27" i="4"/>
  <c r="AU13" i="4"/>
  <c r="AU26" i="4"/>
  <c r="AU24" i="4"/>
  <c r="AU41" i="4"/>
  <c r="AU7" i="4"/>
  <c r="AU15" i="4"/>
  <c r="AU16" i="4"/>
  <c r="AU20" i="4"/>
  <c r="AU39" i="4"/>
  <c r="AU9" i="4"/>
  <c r="AU35" i="4"/>
  <c r="AS6" i="4"/>
  <c r="J12" i="30"/>
  <c r="O12" i="30" s="1"/>
  <c r="X14" i="8"/>
  <c r="D14" i="30"/>
  <c r="K14" i="30" s="1"/>
  <c r="P14" i="30" s="1"/>
  <c r="D15" i="30"/>
  <c r="K15" i="30" s="1"/>
  <c r="P15" i="30" s="1"/>
  <c r="X10" i="8"/>
  <c r="G10" i="52"/>
  <c r="D10" i="30"/>
  <c r="K10" i="30" s="1"/>
  <c r="P10" i="30" s="1"/>
  <c r="AC14" i="6"/>
  <c r="AD14" i="6" s="1"/>
  <c r="AY9" i="8"/>
  <c r="L9" i="30" s="1"/>
  <c r="P19" i="6"/>
  <c r="O19" i="6"/>
  <c r="AC15" i="6"/>
  <c r="B15" i="30" s="1"/>
  <c r="AT15" i="8"/>
  <c r="AY15" i="8" s="1"/>
  <c r="L15" i="30" s="1"/>
  <c r="J19" i="8"/>
  <c r="X9" i="8"/>
  <c r="AG15" i="6"/>
  <c r="E13" i="52" s="1"/>
  <c r="AG14" i="6"/>
  <c r="E12" i="52" s="1"/>
  <c r="AX15" i="8"/>
  <c r="F15" i="30" s="1"/>
  <c r="P9" i="30"/>
  <c r="AC13" i="6"/>
  <c r="B13" i="30" s="1"/>
  <c r="H12" i="52"/>
  <c r="H13" i="52"/>
  <c r="C17" i="30"/>
  <c r="X16" i="8"/>
  <c r="X11" i="8"/>
  <c r="X13" i="8"/>
  <c r="H8" i="52"/>
  <c r="X12" i="8"/>
  <c r="G12" i="52"/>
  <c r="Y19" i="6"/>
  <c r="X19" i="6"/>
  <c r="D13" i="30"/>
  <c r="K13" i="30" s="1"/>
  <c r="P13" i="30" s="1"/>
  <c r="AQ16" i="8"/>
  <c r="AT16" i="8" s="1"/>
  <c r="AX16" i="8"/>
  <c r="F16" i="30" s="1"/>
  <c r="AK17" i="8"/>
  <c r="J14" i="30"/>
  <c r="O14" i="30" s="1"/>
  <c r="D16" i="7"/>
  <c r="E16" i="6"/>
  <c r="AB16" i="6" s="1"/>
  <c r="Z21" i="4"/>
  <c r="C15" i="30"/>
  <c r="AG15" i="7"/>
  <c r="G13" i="52" s="1"/>
  <c r="D19" i="7"/>
  <c r="R19" i="6"/>
  <c r="S19" i="6"/>
  <c r="D12" i="30"/>
  <c r="K12" i="30" s="1"/>
  <c r="P12" i="30" s="1"/>
  <c r="D19" i="6"/>
  <c r="N19" i="32"/>
  <c r="I19" i="32"/>
  <c r="O19" i="32"/>
  <c r="D19" i="32"/>
  <c r="I19" i="7"/>
  <c r="AA19" i="7"/>
  <c r="AD19" i="7" s="1"/>
  <c r="AB19" i="7"/>
  <c r="AC28" i="4"/>
  <c r="AC24" i="4"/>
  <c r="H20" i="7" s="1"/>
  <c r="AC22" i="4"/>
  <c r="AC23" i="4"/>
  <c r="AC29" i="4"/>
  <c r="AC25" i="4"/>
  <c r="AC26" i="4"/>
  <c r="AC17" i="4"/>
  <c r="AC11" i="4"/>
  <c r="AC19" i="4"/>
  <c r="AC15" i="4"/>
  <c r="AC12" i="4"/>
  <c r="AC13" i="4"/>
  <c r="AC14" i="4"/>
  <c r="AC18" i="4"/>
  <c r="AL20" i="8" s="1"/>
  <c r="AR20" i="8" s="1"/>
  <c r="AC20" i="4"/>
  <c r="J20" i="8" s="1"/>
  <c r="AC16" i="4"/>
  <c r="I20" i="8" s="1"/>
  <c r="T20" i="8" s="1"/>
  <c r="G16" i="30"/>
  <c r="N16" i="30" s="1"/>
  <c r="L14" i="52"/>
  <c r="G9" i="30"/>
  <c r="N9" i="30" s="1"/>
  <c r="L7" i="52"/>
  <c r="G15" i="30"/>
  <c r="N15" i="30" s="1"/>
  <c r="L13" i="52"/>
  <c r="G14" i="30"/>
  <c r="N14" i="30" s="1"/>
  <c r="L12" i="52"/>
  <c r="AG13" i="6"/>
  <c r="E11" i="52" s="1"/>
  <c r="L10" i="40"/>
  <c r="L9" i="40"/>
  <c r="B9" i="30"/>
  <c r="B10" i="30"/>
  <c r="V17" i="8"/>
  <c r="W17" i="8" s="1"/>
  <c r="AH18" i="4"/>
  <c r="B20" i="8" s="1"/>
  <c r="U18" i="8"/>
  <c r="AW18" i="8"/>
  <c r="E18" i="30" s="1"/>
  <c r="U18" i="32"/>
  <c r="AB37" i="4"/>
  <c r="E19" i="32" s="1"/>
  <c r="M18" i="32"/>
  <c r="H18" i="32"/>
  <c r="C18" i="32"/>
  <c r="S17" i="32"/>
  <c r="V17" i="32" s="1"/>
  <c r="AY14" i="8"/>
  <c r="L14" i="30" s="1"/>
  <c r="AY10" i="8"/>
  <c r="AZ10" i="8" s="1"/>
  <c r="AY11" i="8"/>
  <c r="L11" i="30" s="1"/>
  <c r="AY12" i="8"/>
  <c r="AZ12" i="8" s="1"/>
  <c r="AY13" i="8"/>
  <c r="AZ13" i="8" s="1"/>
  <c r="AG10" i="6"/>
  <c r="E8" i="52" s="1"/>
  <c r="AO8" i="52" s="1"/>
  <c r="AP8" i="52" s="1"/>
  <c r="D11" i="30"/>
  <c r="K11" i="30" s="1"/>
  <c r="P11" i="30" s="1"/>
  <c r="D16" i="30"/>
  <c r="K16" i="30" s="1"/>
  <c r="P16" i="30" s="1"/>
  <c r="C18" i="8"/>
  <c r="S18" i="8" s="1"/>
  <c r="AD11" i="6"/>
  <c r="F18" i="33"/>
  <c r="G18" i="33"/>
  <c r="N20" i="33"/>
  <c r="O20" i="33" s="1"/>
  <c r="C16" i="6"/>
  <c r="Z16" i="6" s="1"/>
  <c r="AD12" i="6"/>
  <c r="C10" i="52" s="1"/>
  <c r="AZ9" i="8"/>
  <c r="M9" i="30" s="1"/>
  <c r="AG17" i="7"/>
  <c r="G15" i="52" s="1"/>
  <c r="I10" i="30"/>
  <c r="B19" i="32"/>
  <c r="L19" i="7"/>
  <c r="H19" i="6"/>
  <c r="B19" i="8"/>
  <c r="AI18" i="7"/>
  <c r="AJ18" i="7"/>
  <c r="AE18" i="7"/>
  <c r="AF18" i="7" s="1"/>
  <c r="R20" i="5"/>
  <c r="B19" i="6" s="1"/>
  <c r="S20" i="5"/>
  <c r="AT6" i="4" l="1"/>
  <c r="AJ5" i="4" s="1"/>
  <c r="J13" i="52"/>
  <c r="K13" i="52" s="1"/>
  <c r="B14" i="30"/>
  <c r="AD15" i="6"/>
  <c r="C13" i="52" s="1"/>
  <c r="AD13" i="6"/>
  <c r="I13" i="30" s="1"/>
  <c r="AJ14" i="6"/>
  <c r="AZ15" i="8"/>
  <c r="M15" i="30" s="1"/>
  <c r="O20" i="6"/>
  <c r="P20" i="6"/>
  <c r="AG9" i="6"/>
  <c r="E7" i="52" s="1"/>
  <c r="AO7" i="52" s="1"/>
  <c r="AP7" i="52" s="1"/>
  <c r="H7" i="52"/>
  <c r="E17" i="6"/>
  <c r="AB17" i="6" s="1"/>
  <c r="AM17" i="8"/>
  <c r="AS17" i="8" s="1"/>
  <c r="AG11" i="6"/>
  <c r="AJ11" i="6" s="1"/>
  <c r="H14" i="52"/>
  <c r="X17" i="8"/>
  <c r="C18" i="30"/>
  <c r="H11" i="52"/>
  <c r="H10" i="52"/>
  <c r="H9" i="52"/>
  <c r="AC16" i="6"/>
  <c r="B16" i="30" s="1"/>
  <c r="Y20" i="6"/>
  <c r="X20" i="6"/>
  <c r="AJ13" i="6"/>
  <c r="H20" i="6"/>
  <c r="J14" i="52"/>
  <c r="K14" i="52" s="1"/>
  <c r="AY16" i="8"/>
  <c r="AZ16" i="8" s="1"/>
  <c r="M16" i="30" s="1"/>
  <c r="AQ17" i="8"/>
  <c r="AK18" i="8"/>
  <c r="AA21" i="4"/>
  <c r="J15" i="30"/>
  <c r="O15" i="30" s="1"/>
  <c r="AF15" i="6"/>
  <c r="AE16" i="7"/>
  <c r="AF16" i="7" s="1"/>
  <c r="AI16" i="7"/>
  <c r="L20" i="7"/>
  <c r="AI20" i="7" s="1"/>
  <c r="AA19" i="6"/>
  <c r="B20" i="32"/>
  <c r="R20" i="6"/>
  <c r="S20" i="6"/>
  <c r="I20" i="32"/>
  <c r="N20" i="32"/>
  <c r="D20" i="32"/>
  <c r="O20" i="32"/>
  <c r="T19" i="32"/>
  <c r="D20" i="6"/>
  <c r="I20" i="7"/>
  <c r="AA20" i="7"/>
  <c r="AD20" i="7" s="1"/>
  <c r="AB20" i="7"/>
  <c r="AJ10" i="6"/>
  <c r="G17" i="30"/>
  <c r="N17" i="30" s="1"/>
  <c r="L15" i="52"/>
  <c r="I11" i="30"/>
  <c r="H11" i="30" s="1"/>
  <c r="C9" i="52"/>
  <c r="AK14" i="6"/>
  <c r="F12" i="52" s="1"/>
  <c r="C12" i="52"/>
  <c r="L12" i="30"/>
  <c r="AZ14" i="8"/>
  <c r="M14" i="30" s="1"/>
  <c r="AZ11" i="8"/>
  <c r="M11" i="30" s="1"/>
  <c r="D17" i="30"/>
  <c r="K17" i="30" s="1"/>
  <c r="P17" i="30" s="1"/>
  <c r="V18" i="8"/>
  <c r="W18" i="8" s="1"/>
  <c r="U19" i="32"/>
  <c r="U20" i="8"/>
  <c r="AW20" i="8"/>
  <c r="E20" i="30" s="1"/>
  <c r="U19" i="8"/>
  <c r="AW19" i="8"/>
  <c r="E19" i="30" s="1"/>
  <c r="S18" i="32"/>
  <c r="V18" i="32" s="1"/>
  <c r="AK10" i="6"/>
  <c r="F8" i="52" s="1"/>
  <c r="AC37" i="4"/>
  <c r="E20" i="32" s="1"/>
  <c r="C19" i="32"/>
  <c r="M19" i="32"/>
  <c r="H19" i="32"/>
  <c r="AG12" i="6"/>
  <c r="E10" i="52" s="1"/>
  <c r="AO10" i="52" s="1"/>
  <c r="AP10" i="52" s="1"/>
  <c r="I9" i="30"/>
  <c r="H9" i="30" s="1"/>
  <c r="AG16" i="6"/>
  <c r="E14" i="52" s="1"/>
  <c r="AF17" i="6"/>
  <c r="D15" i="52" s="1"/>
  <c r="J17" i="30"/>
  <c r="O17" i="30" s="1"/>
  <c r="C19" i="8"/>
  <c r="S19" i="8" s="1"/>
  <c r="F20" i="33"/>
  <c r="G20" i="33"/>
  <c r="N22" i="33"/>
  <c r="O22" i="33" s="1"/>
  <c r="C17" i="6"/>
  <c r="Z17" i="6" s="1"/>
  <c r="H10" i="30"/>
  <c r="I12" i="30"/>
  <c r="M12" i="30"/>
  <c r="I14" i="30"/>
  <c r="AG18" i="7"/>
  <c r="G16" i="52" s="1"/>
  <c r="M10" i="30"/>
  <c r="L10" i="30"/>
  <c r="M13" i="30"/>
  <c r="L13" i="30"/>
  <c r="AI19" i="7"/>
  <c r="AJ19" i="7"/>
  <c r="AE19" i="7"/>
  <c r="AF19" i="7" s="1"/>
  <c r="R21" i="5"/>
  <c r="B20" i="6" s="1"/>
  <c r="S21" i="5"/>
  <c r="AK13" i="6" l="1"/>
  <c r="F11" i="52" s="1"/>
  <c r="I15" i="30"/>
  <c r="H15" i="30" s="1"/>
  <c r="W15" i="30" s="1"/>
  <c r="B18" i="33" s="1"/>
  <c r="E9" i="52"/>
  <c r="AO9" i="52" s="1"/>
  <c r="AP9" i="52" s="1"/>
  <c r="AK15" i="6"/>
  <c r="F13" i="52" s="1"/>
  <c r="D13" i="52"/>
  <c r="AO13" i="52" s="1"/>
  <c r="AP13" i="52" s="1"/>
  <c r="M12" i="52"/>
  <c r="AO12" i="52"/>
  <c r="AP12" i="52" s="1"/>
  <c r="AK9" i="6"/>
  <c r="F7" i="52" s="1"/>
  <c r="AK11" i="6"/>
  <c r="F9" i="52" s="1"/>
  <c r="AJ9" i="6"/>
  <c r="AC17" i="6"/>
  <c r="B17" i="30" s="1"/>
  <c r="C11" i="52"/>
  <c r="AO11" i="52" s="1"/>
  <c r="AP11" i="52" s="1"/>
  <c r="AT17" i="8"/>
  <c r="J15" i="52" s="1"/>
  <c r="K15" i="52" s="1"/>
  <c r="M7" i="52"/>
  <c r="AX17" i="8"/>
  <c r="F17" i="30" s="1"/>
  <c r="E18" i="6"/>
  <c r="AB18" i="6" s="1"/>
  <c r="AM18" i="8"/>
  <c r="AS18" i="8" s="1"/>
  <c r="AG17" i="6"/>
  <c r="E15" i="52" s="1"/>
  <c r="AD16" i="6"/>
  <c r="C14" i="52" s="1"/>
  <c r="M9" i="52"/>
  <c r="H15" i="52"/>
  <c r="M8" i="52"/>
  <c r="C19" i="30"/>
  <c r="X18" i="8"/>
  <c r="M11" i="52"/>
  <c r="L16" i="30"/>
  <c r="AQ18" i="8"/>
  <c r="AK20" i="8"/>
  <c r="AQ20" i="8" s="1"/>
  <c r="AK19" i="8"/>
  <c r="AJ20" i="7"/>
  <c r="AA20" i="6"/>
  <c r="C16" i="30"/>
  <c r="AG16" i="7"/>
  <c r="G14" i="52" s="1"/>
  <c r="AJ15" i="6"/>
  <c r="AC21" i="4"/>
  <c r="AB21" i="4"/>
  <c r="H14" i="30"/>
  <c r="Y14" i="30" s="1"/>
  <c r="H13" i="30"/>
  <c r="Y13" i="30" s="1"/>
  <c r="B14" i="39" s="1"/>
  <c r="J15" i="39" s="1"/>
  <c r="AE20" i="7"/>
  <c r="AF20" i="7" s="1"/>
  <c r="V19" i="8"/>
  <c r="W19" i="8" s="1"/>
  <c r="H12" i="30"/>
  <c r="AB12" i="30" s="1"/>
  <c r="AK12" i="30" s="1"/>
  <c r="T20" i="32"/>
  <c r="U20" i="32"/>
  <c r="G18" i="30"/>
  <c r="N18" i="30" s="1"/>
  <c r="L16" i="52"/>
  <c r="AJ12" i="6"/>
  <c r="M10" i="52"/>
  <c r="P10" i="52" s="1"/>
  <c r="W10" i="30"/>
  <c r="AB11" i="30"/>
  <c r="AO11" i="30" s="1"/>
  <c r="W11" i="30"/>
  <c r="Y9" i="30"/>
  <c r="B6" i="39" s="1"/>
  <c r="W9" i="30"/>
  <c r="Y11" i="30"/>
  <c r="B10" i="39" s="1"/>
  <c r="J11" i="39" s="1"/>
  <c r="X11" i="30"/>
  <c r="B10" i="38" s="1"/>
  <c r="C20" i="32"/>
  <c r="M20" i="32"/>
  <c r="H20" i="32"/>
  <c r="S19" i="32"/>
  <c r="V19" i="32" s="1"/>
  <c r="AK12" i="6"/>
  <c r="F10" i="52" s="1"/>
  <c r="AB9" i="30"/>
  <c r="AF18" i="6"/>
  <c r="D16" i="52" s="1"/>
  <c r="J18" i="30"/>
  <c r="O18" i="30" s="1"/>
  <c r="D18" i="30"/>
  <c r="K18" i="30" s="1"/>
  <c r="Y10" i="30"/>
  <c r="B8" i="39" s="1"/>
  <c r="C20" i="8"/>
  <c r="S20" i="8" s="1"/>
  <c r="V20" i="8" s="1"/>
  <c r="W20" i="8" s="1"/>
  <c r="AB10" i="30"/>
  <c r="AM10" i="30" s="1"/>
  <c r="X10" i="30"/>
  <c r="B8" i="38" s="1"/>
  <c r="X9" i="30"/>
  <c r="B6" i="38" s="1"/>
  <c r="F22" i="33"/>
  <c r="G22" i="33"/>
  <c r="N24" i="33"/>
  <c r="O24" i="33" s="1"/>
  <c r="C18" i="6"/>
  <c r="AG19" i="7"/>
  <c r="G17" i="52" s="1"/>
  <c r="H17" i="36"/>
  <c r="O8" i="52" l="1"/>
  <c r="AC8" i="52" s="1"/>
  <c r="P8" i="52"/>
  <c r="O9" i="52"/>
  <c r="AC9" i="52" s="1"/>
  <c r="P9" i="52"/>
  <c r="O12" i="52"/>
  <c r="AC12" i="52" s="1"/>
  <c r="P12" i="52"/>
  <c r="O7" i="52"/>
  <c r="AC7" i="52" s="1"/>
  <c r="P7" i="52"/>
  <c r="O11" i="52"/>
  <c r="AC11" i="52" s="1"/>
  <c r="P11" i="52"/>
  <c r="AD17" i="6"/>
  <c r="C15" i="52" s="1"/>
  <c r="AO15" i="52" s="1"/>
  <c r="AP15" i="52" s="1"/>
  <c r="M13" i="52"/>
  <c r="AY17" i="8"/>
  <c r="L17" i="30" s="1"/>
  <c r="AJ17" i="6"/>
  <c r="AT18" i="8"/>
  <c r="J16" i="52" s="1"/>
  <c r="K16" i="52" s="1"/>
  <c r="AX18" i="8"/>
  <c r="F18" i="30" s="1"/>
  <c r="E19" i="6"/>
  <c r="AB19" i="6" s="1"/>
  <c r="AM19" i="8"/>
  <c r="AS19" i="8" s="1"/>
  <c r="E20" i="6"/>
  <c r="AB20" i="6" s="1"/>
  <c r="AM20" i="8"/>
  <c r="AS20" i="8" s="1"/>
  <c r="AT20" i="8" s="1"/>
  <c r="I16" i="30"/>
  <c r="C20" i="30"/>
  <c r="H16" i="52"/>
  <c r="M15" i="52"/>
  <c r="X19" i="8"/>
  <c r="O10" i="52"/>
  <c r="AC10" i="52" s="1"/>
  <c r="AZ17" i="8"/>
  <c r="M17" i="30" s="1"/>
  <c r="AQ19" i="8"/>
  <c r="AF16" i="6"/>
  <c r="D14" i="52" s="1"/>
  <c r="AO14" i="52" s="1"/>
  <c r="AP14" i="52" s="1"/>
  <c r="J16" i="30"/>
  <c r="O16" i="30" s="1"/>
  <c r="Y15" i="30"/>
  <c r="B18" i="39" s="1"/>
  <c r="AB15" i="30"/>
  <c r="AM15" i="30" s="1"/>
  <c r="W14" i="30"/>
  <c r="AE14" i="30" s="1"/>
  <c r="X14" i="30"/>
  <c r="B16" i="38" s="1"/>
  <c r="AB14" i="30"/>
  <c r="AL14" i="30" s="1"/>
  <c r="X15" i="30"/>
  <c r="B18" i="38" s="1"/>
  <c r="W13" i="30"/>
  <c r="AE13" i="30" s="1"/>
  <c r="AB13" i="30"/>
  <c r="AN13" i="30" s="1"/>
  <c r="X13" i="30"/>
  <c r="B14" i="38" s="1"/>
  <c r="X12" i="30"/>
  <c r="B12" i="38" s="1"/>
  <c r="AG20" i="7"/>
  <c r="J20" i="30" s="1"/>
  <c r="Y12" i="30"/>
  <c r="B12" i="39" s="1"/>
  <c r="J13" i="39" s="1"/>
  <c r="W12" i="30"/>
  <c r="AE12" i="30" s="1"/>
  <c r="G19" i="30"/>
  <c r="N19" i="30" s="1"/>
  <c r="L17" i="52"/>
  <c r="Z18" i="6"/>
  <c r="AC18" i="6" s="1"/>
  <c r="B6" i="33"/>
  <c r="AN9" i="30"/>
  <c r="AQ11" i="30"/>
  <c r="AK11" i="30"/>
  <c r="AP11" i="30"/>
  <c r="AN11" i="30"/>
  <c r="AL11" i="30"/>
  <c r="AE11" i="30"/>
  <c r="AF11" i="30" s="1"/>
  <c r="AM11" i="30"/>
  <c r="AO12" i="30"/>
  <c r="AM12" i="30"/>
  <c r="B10" i="33"/>
  <c r="AQ12" i="30"/>
  <c r="AN12" i="30"/>
  <c r="AL12" i="30"/>
  <c r="AP12" i="30"/>
  <c r="S20" i="32"/>
  <c r="V20" i="32" s="1"/>
  <c r="X20" i="8"/>
  <c r="AN10" i="30"/>
  <c r="AO9" i="30"/>
  <c r="AK9" i="30"/>
  <c r="AM9" i="30"/>
  <c r="AP9" i="30"/>
  <c r="AQ9" i="30"/>
  <c r="AL9" i="30"/>
  <c r="J9" i="39"/>
  <c r="B16" i="39"/>
  <c r="J7" i="39"/>
  <c r="AL10" i="30"/>
  <c r="AG18" i="6"/>
  <c r="E16" i="52" s="1"/>
  <c r="AP10" i="30"/>
  <c r="AF19" i="6"/>
  <c r="D17" i="52" s="1"/>
  <c r="J19" i="30"/>
  <c r="O19" i="30" s="1"/>
  <c r="D19" i="30"/>
  <c r="K19" i="30" s="1"/>
  <c r="P19" i="30" s="1"/>
  <c r="AE15" i="30"/>
  <c r="AK10" i="30"/>
  <c r="AQ10" i="30"/>
  <c r="AE9" i="30"/>
  <c r="AO10" i="30"/>
  <c r="N26" i="33"/>
  <c r="O26" i="33" s="1"/>
  <c r="C19" i="6"/>
  <c r="Z19" i="6" s="1"/>
  <c r="F24" i="33"/>
  <c r="G24" i="33"/>
  <c r="B8" i="33"/>
  <c r="AE10" i="30"/>
  <c r="O15" i="52" l="1"/>
  <c r="AC15" i="52" s="1"/>
  <c r="P15" i="52"/>
  <c r="O13" i="52"/>
  <c r="AC13" i="52" s="1"/>
  <c r="P13" i="52"/>
  <c r="I17" i="30"/>
  <c r="H17" i="30" s="1"/>
  <c r="W17" i="30" s="1"/>
  <c r="B22" i="33" s="1"/>
  <c r="AK17" i="6"/>
  <c r="F15" i="52" s="1"/>
  <c r="AY18" i="8"/>
  <c r="L18" i="30" s="1"/>
  <c r="O20" i="30"/>
  <c r="AC19" i="6"/>
  <c r="AD19" i="6" s="1"/>
  <c r="C17" i="52" s="1"/>
  <c r="AO17" i="52" s="1"/>
  <c r="AP17" i="52" s="1"/>
  <c r="AX19" i="8"/>
  <c r="F19" i="30" s="1"/>
  <c r="AT19" i="8"/>
  <c r="AY19" i="8" s="1"/>
  <c r="AY20" i="8"/>
  <c r="L20" i="30" s="1"/>
  <c r="J18" i="52"/>
  <c r="K18" i="52" s="1"/>
  <c r="AX20" i="8"/>
  <c r="F20" i="30" s="1"/>
  <c r="AN15" i="30"/>
  <c r="AZ20" i="8"/>
  <c r="M20" i="30" s="1"/>
  <c r="H18" i="52"/>
  <c r="H17" i="52"/>
  <c r="G18" i="52"/>
  <c r="AP15" i="30"/>
  <c r="AO14" i="30"/>
  <c r="AO15" i="30"/>
  <c r="AZ18" i="8"/>
  <c r="M18" i="30" s="1"/>
  <c r="AK14" i="30"/>
  <c r="AQ15" i="30"/>
  <c r="AF14" i="30"/>
  <c r="AG14" i="30" s="1"/>
  <c r="H16" i="30"/>
  <c r="W16" i="30" s="1"/>
  <c r="B20" i="33" s="1"/>
  <c r="M14" i="52"/>
  <c r="P14" i="52" s="1"/>
  <c r="AK16" i="6"/>
  <c r="F14" i="52" s="1"/>
  <c r="AJ16" i="6"/>
  <c r="B16" i="33"/>
  <c r="AL15" i="30"/>
  <c r="AK15" i="30"/>
  <c r="AT14" i="30"/>
  <c r="AX14" i="30" s="1"/>
  <c r="C16" i="33" s="1"/>
  <c r="K17" i="33" s="1"/>
  <c r="AN14" i="30"/>
  <c r="AM14" i="30"/>
  <c r="AF20" i="6"/>
  <c r="D18" i="52" s="1"/>
  <c r="AQ14" i="30"/>
  <c r="AP14" i="30"/>
  <c r="AP13" i="30"/>
  <c r="AF13" i="30"/>
  <c r="C14" i="38" s="1"/>
  <c r="AQ13" i="30"/>
  <c r="AO13" i="30"/>
  <c r="AT13" i="30"/>
  <c r="AX13" i="30" s="1"/>
  <c r="C14" i="33" s="1"/>
  <c r="H15" i="33" s="1"/>
  <c r="B14" i="33"/>
  <c r="AK13" i="30"/>
  <c r="AM13" i="30"/>
  <c r="B12" i="33"/>
  <c r="AL13" i="30"/>
  <c r="AF12" i="30"/>
  <c r="C12" i="38" s="1"/>
  <c r="AG11" i="30"/>
  <c r="C10" i="39" s="1"/>
  <c r="G20" i="30"/>
  <c r="N20" i="30" s="1"/>
  <c r="L18" i="52"/>
  <c r="AT11" i="30"/>
  <c r="AX11" i="30" s="1"/>
  <c r="C10" i="33" s="1"/>
  <c r="I11" i="33" s="1"/>
  <c r="AT9" i="30"/>
  <c r="AX9" i="30" s="1"/>
  <c r="C6" i="33" s="1"/>
  <c r="H6" i="33" s="1"/>
  <c r="AD18" i="6"/>
  <c r="B18" i="30"/>
  <c r="AJ18" i="6"/>
  <c r="AF9" i="30"/>
  <c r="AT12" i="30"/>
  <c r="AX12" i="30" s="1"/>
  <c r="C12" i="33" s="1"/>
  <c r="J17" i="39"/>
  <c r="AF15" i="30"/>
  <c r="AT15" i="30"/>
  <c r="AX15" i="30" s="1"/>
  <c r="C18" i="33" s="1"/>
  <c r="D20" i="30"/>
  <c r="K20" i="30" s="1"/>
  <c r="P20" i="30" s="1"/>
  <c r="AG19" i="6"/>
  <c r="E17" i="52" s="1"/>
  <c r="P18" i="30"/>
  <c r="F26" i="33"/>
  <c r="G26" i="33"/>
  <c r="C20" i="6"/>
  <c r="Z20" i="6" s="1"/>
  <c r="AC20" i="6" s="1"/>
  <c r="B20" i="30" s="1"/>
  <c r="N28" i="33"/>
  <c r="O28" i="33" s="1"/>
  <c r="C10" i="38"/>
  <c r="G11" i="38" s="1"/>
  <c r="AF10" i="30"/>
  <c r="AT10" i="30"/>
  <c r="AX10" i="30" s="1"/>
  <c r="C8" i="33" s="1"/>
  <c r="B19" i="30" l="1"/>
  <c r="J17" i="52"/>
  <c r="K17" i="52" s="1"/>
  <c r="M17" i="52" s="1"/>
  <c r="AH11" i="30"/>
  <c r="AI11" i="30" s="1"/>
  <c r="L19" i="30"/>
  <c r="AZ19" i="8"/>
  <c r="M19" i="30" s="1"/>
  <c r="C16" i="38"/>
  <c r="H17" i="38" s="1"/>
  <c r="Y16" i="30"/>
  <c r="B20" i="39" s="1"/>
  <c r="X16" i="30"/>
  <c r="B20" i="38" s="1"/>
  <c r="AE16" i="30"/>
  <c r="AT16" i="30" s="1"/>
  <c r="AX16" i="30" s="1"/>
  <c r="C20" i="33" s="1"/>
  <c r="AB16" i="30"/>
  <c r="AL16" i="30" s="1"/>
  <c r="AG13" i="30"/>
  <c r="C14" i="39" s="1"/>
  <c r="O14" i="52"/>
  <c r="AC14" i="52" s="1"/>
  <c r="I17" i="33"/>
  <c r="H17" i="33"/>
  <c r="Y17" i="30"/>
  <c r="B22" i="39" s="1"/>
  <c r="I15" i="33"/>
  <c r="K15" i="33"/>
  <c r="AG12" i="30"/>
  <c r="C12" i="39" s="1"/>
  <c r="G13" i="39" s="1"/>
  <c r="AB17" i="30"/>
  <c r="AK17" i="30" s="1"/>
  <c r="X17" i="30"/>
  <c r="B22" i="38" s="1"/>
  <c r="H11" i="33"/>
  <c r="K11" i="33"/>
  <c r="AK18" i="6"/>
  <c r="F16" i="52" s="1"/>
  <c r="C16" i="52"/>
  <c r="AO16" i="52" s="1"/>
  <c r="AP16" i="52" s="1"/>
  <c r="C16" i="39"/>
  <c r="H17" i="39" s="1"/>
  <c r="K7" i="33"/>
  <c r="I18" i="30"/>
  <c r="AH14" i="30"/>
  <c r="AI14" i="30" s="1"/>
  <c r="AJ11" i="30"/>
  <c r="C6" i="38"/>
  <c r="J7" i="38" s="1"/>
  <c r="C8" i="38"/>
  <c r="H9" i="33"/>
  <c r="AG15" i="30"/>
  <c r="C18" i="39" s="1"/>
  <c r="G19" i="39" s="1"/>
  <c r="C18" i="38"/>
  <c r="G19" i="38" s="1"/>
  <c r="AJ19" i="6"/>
  <c r="J11" i="38"/>
  <c r="I13" i="33"/>
  <c r="H13" i="33"/>
  <c r="K13" i="33"/>
  <c r="G15" i="38"/>
  <c r="AG9" i="30"/>
  <c r="C6" i="39" s="1"/>
  <c r="G7" i="39" s="1"/>
  <c r="H11" i="38"/>
  <c r="J19" i="39"/>
  <c r="AE17" i="30"/>
  <c r="AK19" i="6"/>
  <c r="F17" i="52" s="1"/>
  <c r="I19" i="30"/>
  <c r="AG20" i="6"/>
  <c r="J15" i="38"/>
  <c r="H15" i="38"/>
  <c r="AD20" i="6"/>
  <c r="C18" i="52" s="1"/>
  <c r="F28" i="33"/>
  <c r="G28" i="33"/>
  <c r="K19" i="33"/>
  <c r="K9" i="33"/>
  <c r="J13" i="38"/>
  <c r="H13" i="38"/>
  <c r="G13" i="38"/>
  <c r="AG10" i="30"/>
  <c r="I9" i="33"/>
  <c r="I19" i="33"/>
  <c r="H19" i="33"/>
  <c r="O17" i="52" l="1"/>
  <c r="AC17" i="52" s="1"/>
  <c r="P17" i="52"/>
  <c r="AY11" i="30"/>
  <c r="B28" i="36" s="1"/>
  <c r="C34" i="36" s="1"/>
  <c r="J35" i="36" s="1"/>
  <c r="M16" i="52"/>
  <c r="AH12" i="30"/>
  <c r="AI12" i="30" s="1"/>
  <c r="AF16" i="30"/>
  <c r="C20" i="38" s="1"/>
  <c r="AH13" i="30"/>
  <c r="AI13" i="30" s="1"/>
  <c r="AJ13" i="30" s="1"/>
  <c r="AC13" i="30" s="1"/>
  <c r="AS13" i="30" s="1"/>
  <c r="G17" i="38"/>
  <c r="J17" i="38"/>
  <c r="AP16" i="30"/>
  <c r="AN16" i="30"/>
  <c r="AK16" i="30"/>
  <c r="AQ16" i="30"/>
  <c r="AL17" i="30"/>
  <c r="AM16" i="30"/>
  <c r="AO16" i="30"/>
  <c r="AN17" i="30"/>
  <c r="AQ17" i="30"/>
  <c r="G17" i="39"/>
  <c r="H13" i="39"/>
  <c r="AM17" i="30"/>
  <c r="AO17" i="30"/>
  <c r="AP17" i="30"/>
  <c r="H19" i="30"/>
  <c r="W19" i="30" s="1"/>
  <c r="B26" i="33" s="1"/>
  <c r="H18" i="30"/>
  <c r="W18" i="30" s="1"/>
  <c r="B24" i="33" s="1"/>
  <c r="AC11" i="30"/>
  <c r="AJ20" i="6"/>
  <c r="E18" i="52"/>
  <c r="AO18" i="52" s="1"/>
  <c r="AP18" i="52" s="1"/>
  <c r="AJ14" i="30"/>
  <c r="G6" i="38"/>
  <c r="H6" i="38" s="1"/>
  <c r="J6" i="38" s="1"/>
  <c r="G7" i="38"/>
  <c r="H7" i="38"/>
  <c r="H19" i="39"/>
  <c r="AH9" i="30"/>
  <c r="AI9" i="30" s="1"/>
  <c r="AH15" i="30"/>
  <c r="AI15" i="30" s="1"/>
  <c r="AJ15" i="30" s="1"/>
  <c r="AC15" i="30" s="1"/>
  <c r="J19" i="38"/>
  <c r="H19" i="38"/>
  <c r="J21" i="39"/>
  <c r="AH10" i="30"/>
  <c r="C8" i="39"/>
  <c r="AF17" i="30"/>
  <c r="AT17" i="30"/>
  <c r="AX17" i="30" s="1"/>
  <c r="C22" i="33" s="1"/>
  <c r="AK20" i="6"/>
  <c r="F18" i="52" s="1"/>
  <c r="I20" i="30"/>
  <c r="H7" i="39"/>
  <c r="G6" i="39"/>
  <c r="H6" i="39" s="1"/>
  <c r="J6" i="39" s="1"/>
  <c r="N23" i="56" s="1"/>
  <c r="J9" i="38"/>
  <c r="H9" i="38"/>
  <c r="G9" i="38"/>
  <c r="G15" i="39"/>
  <c r="H15" i="39"/>
  <c r="K21" i="33"/>
  <c r="G11" i="39"/>
  <c r="H11" i="39"/>
  <c r="I21" i="33"/>
  <c r="H21" i="33"/>
  <c r="O16" i="52" l="1"/>
  <c r="AC16" i="52" s="1"/>
  <c r="P16" i="52"/>
  <c r="C28" i="36"/>
  <c r="J28" i="36" s="1"/>
  <c r="C30" i="36"/>
  <c r="J31" i="36" s="1"/>
  <c r="C32" i="36"/>
  <c r="J33" i="36" s="1"/>
  <c r="C36" i="36"/>
  <c r="J36" i="36" s="1"/>
  <c r="N22" i="34"/>
  <c r="J22" i="34" s="1"/>
  <c r="N22" i="56"/>
  <c r="M18" i="52"/>
  <c r="AY13" i="30"/>
  <c r="B50" i="36" s="1"/>
  <c r="C52" i="36" s="1"/>
  <c r="J52" i="36" s="1"/>
  <c r="Z13" i="30"/>
  <c r="AA13" i="30" s="1"/>
  <c r="AV13" i="30" s="1"/>
  <c r="D30" i="40" s="1"/>
  <c r="AG16" i="30"/>
  <c r="C20" i="39" s="1"/>
  <c r="G21" i="39" s="1"/>
  <c r="AR13" i="30"/>
  <c r="AZ13" i="30" s="1"/>
  <c r="B26" i="41" s="1"/>
  <c r="C26" i="41" s="1"/>
  <c r="AB19" i="30"/>
  <c r="AN19" i="30" s="1"/>
  <c r="X18" i="30"/>
  <c r="B24" i="38" s="1"/>
  <c r="Y19" i="30"/>
  <c r="B26" i="39" s="1"/>
  <c r="AR15" i="30"/>
  <c r="AS15" i="30"/>
  <c r="Z15" i="30"/>
  <c r="AA15" i="30" s="1"/>
  <c r="AV15" i="30" s="1"/>
  <c r="AY14" i="30"/>
  <c r="B61" i="36" s="1"/>
  <c r="C67" i="36" s="1"/>
  <c r="J67" i="36" s="1"/>
  <c r="AC14" i="30"/>
  <c r="AE18" i="30"/>
  <c r="Y18" i="30"/>
  <c r="B24" i="39" s="1"/>
  <c r="H20" i="30"/>
  <c r="W20" i="30" s="1"/>
  <c r="B28" i="33" s="1"/>
  <c r="X19" i="30"/>
  <c r="B26" i="38" s="1"/>
  <c r="AB18" i="30"/>
  <c r="AL18" i="30" s="1"/>
  <c r="AS11" i="30"/>
  <c r="Z11" i="30"/>
  <c r="AA11" i="30" s="1"/>
  <c r="AV11" i="30" s="1"/>
  <c r="AR11" i="30"/>
  <c r="AY15" i="30"/>
  <c r="B72" i="36" s="1"/>
  <c r="C80" i="36" s="1"/>
  <c r="J80" i="36" s="1"/>
  <c r="G8" i="38"/>
  <c r="G10" i="38" s="1"/>
  <c r="G12" i="38" s="1"/>
  <c r="J34" i="36"/>
  <c r="AJ9" i="30"/>
  <c r="AJ12" i="30"/>
  <c r="AI10" i="30"/>
  <c r="G21" i="38"/>
  <c r="J21" i="38"/>
  <c r="H21" i="38"/>
  <c r="AG17" i="30"/>
  <c r="C22" i="39" s="1"/>
  <c r="H23" i="39" s="1"/>
  <c r="C22" i="38"/>
  <c r="J23" i="39"/>
  <c r="AE19" i="30"/>
  <c r="N23" i="34"/>
  <c r="J23" i="34" s="1"/>
  <c r="K23" i="33"/>
  <c r="H9" i="39"/>
  <c r="G9" i="39"/>
  <c r="G8" i="39"/>
  <c r="I23" i="33"/>
  <c r="H23" i="33"/>
  <c r="O18" i="52" l="1"/>
  <c r="AC18" i="52" s="1"/>
  <c r="P18" i="52"/>
  <c r="J30" i="36"/>
  <c r="J29" i="36"/>
  <c r="J32" i="36"/>
  <c r="J37" i="36"/>
  <c r="C58" i="36"/>
  <c r="J58" i="36" s="1"/>
  <c r="J53" i="36"/>
  <c r="AO19" i="30"/>
  <c r="C54" i="36"/>
  <c r="J54" i="36" s="1"/>
  <c r="C56" i="36"/>
  <c r="J56" i="36" s="1"/>
  <c r="C50" i="36"/>
  <c r="J51" i="36" s="1"/>
  <c r="C30" i="40"/>
  <c r="AU13" i="30"/>
  <c r="D30" i="37" s="1"/>
  <c r="AH16" i="30"/>
  <c r="H21" i="39"/>
  <c r="AP19" i="30"/>
  <c r="AM19" i="30"/>
  <c r="AO18" i="30"/>
  <c r="AQ19" i="30"/>
  <c r="AK19" i="30"/>
  <c r="AL19" i="30"/>
  <c r="AF18" i="30"/>
  <c r="C24" i="38" s="1"/>
  <c r="AU15" i="30"/>
  <c r="C42" i="37" s="1"/>
  <c r="C28" i="41"/>
  <c r="J28" i="41" s="1"/>
  <c r="Y20" i="30"/>
  <c r="B28" i="39" s="1"/>
  <c r="AT18" i="30"/>
  <c r="AX18" i="30" s="1"/>
  <c r="C24" i="33" s="1"/>
  <c r="K25" i="33" s="1"/>
  <c r="X20" i="30"/>
  <c r="B28" i="38" s="1"/>
  <c r="AZ15" i="30"/>
  <c r="B36" i="41" s="1"/>
  <c r="C38" i="41" s="1"/>
  <c r="AQ18" i="30"/>
  <c r="AP18" i="30"/>
  <c r="AK18" i="30"/>
  <c r="AM18" i="30"/>
  <c r="AN18" i="30"/>
  <c r="C63" i="36"/>
  <c r="J64" i="36" s="1"/>
  <c r="C65" i="36"/>
  <c r="J65" i="36" s="1"/>
  <c r="AB20" i="30"/>
  <c r="AP20" i="30" s="1"/>
  <c r="C61" i="36"/>
  <c r="J61" i="36" s="1"/>
  <c r="J68" i="36"/>
  <c r="D42" i="40"/>
  <c r="C42" i="40"/>
  <c r="C69" i="36"/>
  <c r="J69" i="36" s="1"/>
  <c r="J27" i="41"/>
  <c r="J26" i="41"/>
  <c r="AR14" i="30"/>
  <c r="AS14" i="30"/>
  <c r="Z14" i="30"/>
  <c r="AZ11" i="30"/>
  <c r="B16" i="41" s="1"/>
  <c r="C16" i="41" s="1"/>
  <c r="J17" i="41" s="1"/>
  <c r="D18" i="40"/>
  <c r="C18" i="40"/>
  <c r="AU11" i="30"/>
  <c r="D18" i="37" s="1"/>
  <c r="AC12" i="30"/>
  <c r="Z12" i="30" s="1"/>
  <c r="AA12" i="30" s="1"/>
  <c r="AV12" i="30" s="1"/>
  <c r="AY9" i="30"/>
  <c r="B6" i="36" s="1"/>
  <c r="AC9" i="30"/>
  <c r="Z9" i="30" s="1"/>
  <c r="AA9" i="30" s="1"/>
  <c r="J81" i="36"/>
  <c r="C72" i="36"/>
  <c r="J72" i="36" s="1"/>
  <c r="C78" i="36"/>
  <c r="J78" i="36" s="1"/>
  <c r="C74" i="36"/>
  <c r="J75" i="36" s="1"/>
  <c r="C76" i="36"/>
  <c r="J76" i="36" s="1"/>
  <c r="AI16" i="30"/>
  <c r="AH17" i="30"/>
  <c r="H10" i="38"/>
  <c r="J10" i="38" s="1"/>
  <c r="H8" i="38"/>
  <c r="J8" i="38" s="1"/>
  <c r="J38" i="36"/>
  <c r="AY12" i="30"/>
  <c r="B39" i="36" s="1"/>
  <c r="AJ10" i="30"/>
  <c r="G23" i="39"/>
  <c r="H23" i="38"/>
  <c r="G23" i="38"/>
  <c r="J23" i="38"/>
  <c r="H8" i="39"/>
  <c r="J8" i="39" s="1"/>
  <c r="G10" i="39"/>
  <c r="J25" i="39"/>
  <c r="AE20" i="30"/>
  <c r="AF19" i="30"/>
  <c r="H12" i="38"/>
  <c r="J12" i="38" s="1"/>
  <c r="G14" i="38"/>
  <c r="N47" i="40" l="1"/>
  <c r="N46" i="40"/>
  <c r="N43" i="40"/>
  <c r="N45" i="40"/>
  <c r="N44" i="40"/>
  <c r="N43" i="37"/>
  <c r="N46" i="37"/>
  <c r="N45" i="37"/>
  <c r="N44" i="37"/>
  <c r="N23" i="40"/>
  <c r="N19" i="40"/>
  <c r="N22" i="40"/>
  <c r="N21" i="40"/>
  <c r="N20" i="40"/>
  <c r="N31" i="40"/>
  <c r="N34" i="40"/>
  <c r="N33" i="40"/>
  <c r="N32" i="40"/>
  <c r="J59" i="36"/>
  <c r="P26" i="34"/>
  <c r="O26" i="34" s="1"/>
  <c r="P26" i="56"/>
  <c r="N35" i="40"/>
  <c r="J57" i="36"/>
  <c r="J55" i="36"/>
  <c r="AG18" i="30"/>
  <c r="C24" i="39" s="1"/>
  <c r="G25" i="39" s="1"/>
  <c r="J29" i="41"/>
  <c r="C30" i="37"/>
  <c r="J50" i="36"/>
  <c r="N30" i="40"/>
  <c r="AO20" i="30"/>
  <c r="J63" i="36"/>
  <c r="H25" i="33"/>
  <c r="D42" i="37"/>
  <c r="J30" i="41"/>
  <c r="AK20" i="30"/>
  <c r="J70" i="36"/>
  <c r="I25" i="33"/>
  <c r="J62" i="36"/>
  <c r="AQ20" i="30"/>
  <c r="AL20" i="30"/>
  <c r="AN20" i="30"/>
  <c r="AM20" i="30"/>
  <c r="C36" i="41"/>
  <c r="J37" i="41" s="1"/>
  <c r="J66" i="36"/>
  <c r="J38" i="41"/>
  <c r="J39" i="41"/>
  <c r="N42" i="40"/>
  <c r="AA14" i="30"/>
  <c r="AV14" i="30" s="1"/>
  <c r="AU14" i="30"/>
  <c r="AZ14" i="30"/>
  <c r="B31" i="41" s="1"/>
  <c r="J16" i="41"/>
  <c r="C18" i="41"/>
  <c r="J19" i="41" s="1"/>
  <c r="N18" i="40"/>
  <c r="D24" i="40"/>
  <c r="C24" i="40"/>
  <c r="C18" i="37"/>
  <c r="AR12" i="30"/>
  <c r="AS12" i="30"/>
  <c r="AY10" i="30"/>
  <c r="B17" i="36" s="1"/>
  <c r="C21" i="36" s="1"/>
  <c r="J21" i="36" s="1"/>
  <c r="AC10" i="30"/>
  <c r="Z10" i="30" s="1"/>
  <c r="AA10" i="30" s="1"/>
  <c r="AV10" i="30" s="1"/>
  <c r="C12" i="40" s="1"/>
  <c r="C10" i="36"/>
  <c r="J10" i="36" s="1"/>
  <c r="J11" i="36" s="1"/>
  <c r="C12" i="36"/>
  <c r="J12" i="36" s="1"/>
  <c r="J13" i="36" s="1"/>
  <c r="C8" i="36"/>
  <c r="J8" i="36" s="1"/>
  <c r="J9" i="36" s="1"/>
  <c r="C6" i="36"/>
  <c r="J6" i="36" s="1"/>
  <c r="C14" i="36"/>
  <c r="J14" i="36" s="1"/>
  <c r="AS9" i="30"/>
  <c r="AR9" i="30"/>
  <c r="J74" i="36"/>
  <c r="J73" i="36"/>
  <c r="J79" i="36"/>
  <c r="AJ16" i="30"/>
  <c r="J77" i="36"/>
  <c r="AI17" i="30"/>
  <c r="AH18" i="30"/>
  <c r="C45" i="36"/>
  <c r="C47" i="36"/>
  <c r="C39" i="36"/>
  <c r="C43" i="36"/>
  <c r="C41" i="36"/>
  <c r="H25" i="38"/>
  <c r="G25" i="38"/>
  <c r="J25" i="38"/>
  <c r="AG19" i="30"/>
  <c r="AH19" i="30" s="1"/>
  <c r="C26" i="38"/>
  <c r="H14" i="38"/>
  <c r="J14" i="38" s="1"/>
  <c r="G16" i="38"/>
  <c r="G12" i="39"/>
  <c r="H10" i="39"/>
  <c r="J10" i="39" s="1"/>
  <c r="J27" i="39"/>
  <c r="AF20" i="30"/>
  <c r="N22" i="37" l="1"/>
  <c r="N21" i="37"/>
  <c r="N19" i="37"/>
  <c r="N20" i="37"/>
  <c r="N29" i="40"/>
  <c r="N28" i="40"/>
  <c r="N27" i="40"/>
  <c r="N26" i="40"/>
  <c r="N25" i="40"/>
  <c r="N17" i="40"/>
  <c r="N16" i="40"/>
  <c r="N15" i="40"/>
  <c r="N14" i="40"/>
  <c r="N13" i="40"/>
  <c r="N31" i="37"/>
  <c r="N34" i="37"/>
  <c r="N33" i="37"/>
  <c r="N32" i="37"/>
  <c r="J60" i="36"/>
  <c r="H25" i="39"/>
  <c r="O35" i="40"/>
  <c r="J71" i="36"/>
  <c r="J36" i="41"/>
  <c r="J40" i="41" s="1"/>
  <c r="O47" i="40"/>
  <c r="D36" i="40"/>
  <c r="C36" i="40"/>
  <c r="AY16" i="30"/>
  <c r="B83" i="36" s="1"/>
  <c r="C87" i="36" s="1"/>
  <c r="AC16" i="30"/>
  <c r="C31" i="41"/>
  <c r="C33" i="41"/>
  <c r="C28" i="38"/>
  <c r="G29" i="38" s="1"/>
  <c r="C36" i="37"/>
  <c r="D36" i="37"/>
  <c r="J18" i="41"/>
  <c r="J20" i="41" s="1"/>
  <c r="O23" i="40"/>
  <c r="N24" i="40"/>
  <c r="J7" i="36"/>
  <c r="AU12" i="30"/>
  <c r="D24" i="37" s="1"/>
  <c r="AZ12" i="30"/>
  <c r="B21" i="41" s="1"/>
  <c r="C19" i="36"/>
  <c r="J19" i="36" s="1"/>
  <c r="C17" i="36"/>
  <c r="J17" i="36" s="1"/>
  <c r="C25" i="36"/>
  <c r="J25" i="36" s="1"/>
  <c r="C23" i="36"/>
  <c r="J23" i="36" s="1"/>
  <c r="AS10" i="30"/>
  <c r="AR10" i="30"/>
  <c r="J15" i="36"/>
  <c r="AZ9" i="30"/>
  <c r="B6" i="41" s="1"/>
  <c r="AU9" i="30"/>
  <c r="J82" i="36"/>
  <c r="AJ17" i="30"/>
  <c r="AI18" i="30"/>
  <c r="AI19" i="30"/>
  <c r="K13" i="40"/>
  <c r="K19" i="40" s="1"/>
  <c r="K25" i="40" s="1"/>
  <c r="K31" i="40" s="1"/>
  <c r="K37" i="40" s="1"/>
  <c r="K43" i="40" s="1"/>
  <c r="K49" i="40" s="1"/>
  <c r="K55" i="40" s="1"/>
  <c r="I15" i="40"/>
  <c r="I14" i="40"/>
  <c r="I20" i="40" s="1"/>
  <c r="K15" i="40"/>
  <c r="K21" i="40" s="1"/>
  <c r="K27" i="40" s="1"/>
  <c r="K33" i="40" s="1"/>
  <c r="K39" i="40" s="1"/>
  <c r="K45" i="40" s="1"/>
  <c r="K51" i="40" s="1"/>
  <c r="K57" i="40" s="1"/>
  <c r="I13" i="40"/>
  <c r="I16" i="40"/>
  <c r="K14" i="40"/>
  <c r="K20" i="40" s="1"/>
  <c r="K26" i="40" s="1"/>
  <c r="K32" i="40" s="1"/>
  <c r="K38" i="40" s="1"/>
  <c r="K44" i="40" s="1"/>
  <c r="K50" i="40" s="1"/>
  <c r="K56" i="40" s="1"/>
  <c r="K16" i="40"/>
  <c r="K22" i="40" s="1"/>
  <c r="K28" i="40" s="1"/>
  <c r="K34" i="40" s="1"/>
  <c r="K40" i="40" s="1"/>
  <c r="K46" i="40" s="1"/>
  <c r="K52" i="40" s="1"/>
  <c r="K58" i="40" s="1"/>
  <c r="N12" i="40"/>
  <c r="J22" i="36"/>
  <c r="J39" i="36"/>
  <c r="J40" i="36"/>
  <c r="J47" i="36"/>
  <c r="J48" i="36"/>
  <c r="J42" i="36"/>
  <c r="J41" i="36"/>
  <c r="J46" i="36"/>
  <c r="J45" i="36"/>
  <c r="J43" i="36"/>
  <c r="J44" i="36"/>
  <c r="J27" i="38"/>
  <c r="H27" i="38"/>
  <c r="G27" i="38"/>
  <c r="C26" i="39"/>
  <c r="AT19" i="30"/>
  <c r="D12" i="40"/>
  <c r="H16" i="38"/>
  <c r="J16" i="38" s="1"/>
  <c r="G18" i="38"/>
  <c r="H12" i="39"/>
  <c r="J12" i="39" s="1"/>
  <c r="G14" i="39"/>
  <c r="J29" i="39"/>
  <c r="AG20" i="30"/>
  <c r="C28" i="39" s="1"/>
  <c r="G29" i="39" s="1"/>
  <c r="N40" i="37" l="1"/>
  <c r="N39" i="37"/>
  <c r="N38" i="37"/>
  <c r="N37" i="37"/>
  <c r="N41" i="40"/>
  <c r="N40" i="40"/>
  <c r="N39" i="40"/>
  <c r="N38" i="40"/>
  <c r="N37" i="40"/>
  <c r="J16" i="36"/>
  <c r="H29" i="38"/>
  <c r="C85" i="36"/>
  <c r="J85" i="36" s="1"/>
  <c r="C89" i="36"/>
  <c r="J89" i="36" s="1"/>
  <c r="J29" i="38"/>
  <c r="C91" i="36"/>
  <c r="J92" i="36" s="1"/>
  <c r="AS16" i="30"/>
  <c r="AR16" i="30"/>
  <c r="Z16" i="30"/>
  <c r="AC17" i="30"/>
  <c r="J33" i="41"/>
  <c r="J34" i="41"/>
  <c r="N36" i="40"/>
  <c r="C83" i="36"/>
  <c r="J84" i="36" s="1"/>
  <c r="J31" i="41"/>
  <c r="J35" i="41" s="1"/>
  <c r="J32" i="41"/>
  <c r="O29" i="40"/>
  <c r="C24" i="37"/>
  <c r="J24" i="36"/>
  <c r="J20" i="36"/>
  <c r="J18" i="36"/>
  <c r="C21" i="41"/>
  <c r="C23" i="41"/>
  <c r="J26" i="36"/>
  <c r="AU10" i="30"/>
  <c r="AZ10" i="30"/>
  <c r="B11" i="41" s="1"/>
  <c r="D6" i="37"/>
  <c r="C6" i="37"/>
  <c r="C8" i="41"/>
  <c r="C6" i="41"/>
  <c r="AV9" i="30"/>
  <c r="AY17" i="30"/>
  <c r="B94" i="36" s="1"/>
  <c r="C100" i="36" s="1"/>
  <c r="AJ19" i="30"/>
  <c r="J88" i="36"/>
  <c r="J87" i="36"/>
  <c r="AJ18" i="30"/>
  <c r="L13" i="40"/>
  <c r="L15" i="40"/>
  <c r="I16" i="37"/>
  <c r="K14" i="37"/>
  <c r="K20" i="37" s="1"/>
  <c r="K26" i="37" s="1"/>
  <c r="K32" i="37" s="1"/>
  <c r="K38" i="37" s="1"/>
  <c r="K44" i="37" s="1"/>
  <c r="K50" i="37" s="1"/>
  <c r="L20" i="40"/>
  <c r="I26" i="40"/>
  <c r="K16" i="37"/>
  <c r="K22" i="37" s="1"/>
  <c r="K28" i="37" s="1"/>
  <c r="K34" i="37" s="1"/>
  <c r="K40" i="37" s="1"/>
  <c r="K46" i="37" s="1"/>
  <c r="K52" i="37" s="1"/>
  <c r="K58" i="37" s="1"/>
  <c r="I15" i="37"/>
  <c r="I21" i="37" s="1"/>
  <c r="L16" i="40"/>
  <c r="L14" i="40"/>
  <c r="I21" i="40"/>
  <c r="I19" i="40"/>
  <c r="I22" i="40"/>
  <c r="I14" i="37"/>
  <c r="O17" i="40"/>
  <c r="J49" i="36"/>
  <c r="H29" i="39"/>
  <c r="AX19" i="30"/>
  <c r="C26" i="33" s="1"/>
  <c r="H27" i="39"/>
  <c r="G27" i="39"/>
  <c r="AH20" i="30"/>
  <c r="AI20" i="30" s="1"/>
  <c r="AJ20" i="30" s="1"/>
  <c r="H18" i="38"/>
  <c r="J18" i="38" s="1"/>
  <c r="G20" i="38"/>
  <c r="H14" i="39"/>
  <c r="J14" i="39" s="1"/>
  <c r="G16" i="39"/>
  <c r="I7" i="33"/>
  <c r="N7" i="37" l="1"/>
  <c r="N10" i="37"/>
  <c r="N9" i="37"/>
  <c r="N8" i="37"/>
  <c r="N28" i="37"/>
  <c r="N27" i="37"/>
  <c r="N26" i="37"/>
  <c r="N25" i="37"/>
  <c r="J27" i="36"/>
  <c r="N26" i="34"/>
  <c r="J26" i="34" s="1"/>
  <c r="N26" i="56"/>
  <c r="J83" i="36"/>
  <c r="J86" i="36"/>
  <c r="J90" i="36"/>
  <c r="J91" i="36"/>
  <c r="AZ16" i="30"/>
  <c r="B41" i="41" s="1"/>
  <c r="C41" i="41" s="1"/>
  <c r="AS17" i="30"/>
  <c r="AR17" i="30"/>
  <c r="Z17" i="30"/>
  <c r="AA16" i="30"/>
  <c r="AV16" i="30" s="1"/>
  <c r="AU16" i="30"/>
  <c r="AY19" i="30"/>
  <c r="B116" i="36" s="1"/>
  <c r="C124" i="36" s="1"/>
  <c r="AC19" i="30"/>
  <c r="AC20" i="30"/>
  <c r="AY18" i="30"/>
  <c r="B105" i="36" s="1"/>
  <c r="C107" i="36" s="1"/>
  <c r="AC18" i="30"/>
  <c r="O41" i="40"/>
  <c r="J23" i="41"/>
  <c r="J24" i="41"/>
  <c r="J21" i="41"/>
  <c r="J22" i="41"/>
  <c r="C13" i="41"/>
  <c r="C11" i="41"/>
  <c r="D12" i="37"/>
  <c r="C12" i="37"/>
  <c r="J9" i="41"/>
  <c r="J8" i="41"/>
  <c r="J6" i="41"/>
  <c r="J7" i="41"/>
  <c r="N6" i="37"/>
  <c r="C6" i="40"/>
  <c r="D6" i="40"/>
  <c r="C98" i="36"/>
  <c r="J99" i="36" s="1"/>
  <c r="C96" i="36"/>
  <c r="J97" i="36" s="1"/>
  <c r="C102" i="36"/>
  <c r="J102" i="36" s="1"/>
  <c r="C94" i="36"/>
  <c r="J94" i="36" s="1"/>
  <c r="K56" i="37"/>
  <c r="J101" i="36"/>
  <c r="J100" i="36"/>
  <c r="I27" i="37"/>
  <c r="L19" i="40"/>
  <c r="I25" i="40"/>
  <c r="L22" i="40"/>
  <c r="I28" i="40"/>
  <c r="L21" i="40"/>
  <c r="I27" i="40"/>
  <c r="I22" i="37"/>
  <c r="L16" i="37"/>
  <c r="I20" i="37"/>
  <c r="L14" i="37"/>
  <c r="L26" i="40"/>
  <c r="I32" i="40"/>
  <c r="AT20" i="30"/>
  <c r="AX20" i="30" s="1"/>
  <c r="C28" i="33" s="1"/>
  <c r="I29" i="33" s="1"/>
  <c r="I27" i="33"/>
  <c r="K27" i="33"/>
  <c r="H27" i="33"/>
  <c r="G18" i="39"/>
  <c r="H16" i="39"/>
  <c r="J16" i="39" s="1"/>
  <c r="H20" i="38"/>
  <c r="J20" i="38" s="1"/>
  <c r="G22" i="38"/>
  <c r="AY20" i="30"/>
  <c r="B127" i="36" s="1"/>
  <c r="H7" i="33"/>
  <c r="N7" i="40" l="1"/>
  <c r="N10" i="40"/>
  <c r="N9" i="40"/>
  <c r="N8" i="40"/>
  <c r="N16" i="37"/>
  <c r="N15" i="37"/>
  <c r="N14" i="37"/>
  <c r="N13" i="37"/>
  <c r="K12" i="40"/>
  <c r="K18" i="40" s="1"/>
  <c r="K24" i="40" s="1"/>
  <c r="K30" i="40" s="1"/>
  <c r="K36" i="40" s="1"/>
  <c r="K42" i="40" s="1"/>
  <c r="I12" i="40"/>
  <c r="J93" i="36"/>
  <c r="N11" i="37"/>
  <c r="I13" i="37"/>
  <c r="K13" i="37"/>
  <c r="K19" i="37" s="1"/>
  <c r="K25" i="37" s="1"/>
  <c r="K31" i="37" s="1"/>
  <c r="K37" i="37" s="1"/>
  <c r="K43" i="37" s="1"/>
  <c r="C43" i="41"/>
  <c r="J43" i="41" s="1"/>
  <c r="AZ17" i="30"/>
  <c r="B46" i="41" s="1"/>
  <c r="C46" i="41" s="1"/>
  <c r="C122" i="36"/>
  <c r="J122" i="36" s="1"/>
  <c r="C118" i="36"/>
  <c r="J118" i="36" s="1"/>
  <c r="C111" i="36"/>
  <c r="J111" i="36" s="1"/>
  <c r="C120" i="36"/>
  <c r="J121" i="36" s="1"/>
  <c r="C113" i="36"/>
  <c r="J114" i="36" s="1"/>
  <c r="AR18" i="30"/>
  <c r="AS18" i="30"/>
  <c r="Z18" i="30"/>
  <c r="AS20" i="30"/>
  <c r="AR20" i="30"/>
  <c r="Z20" i="30"/>
  <c r="AA20" i="30" s="1"/>
  <c r="C48" i="40"/>
  <c r="D48" i="40"/>
  <c r="AR19" i="30"/>
  <c r="AS19" i="30"/>
  <c r="Z19" i="30"/>
  <c r="AA17" i="30"/>
  <c r="AV17" i="30" s="1"/>
  <c r="AU17" i="30"/>
  <c r="C116" i="36"/>
  <c r="J117" i="36" s="1"/>
  <c r="C105" i="36"/>
  <c r="J106" i="36" s="1"/>
  <c r="C109" i="36"/>
  <c r="J110" i="36" s="1"/>
  <c r="J42" i="41"/>
  <c r="J41" i="41"/>
  <c r="J45" i="41" s="1"/>
  <c r="C48" i="37"/>
  <c r="D48" i="37"/>
  <c r="K12" i="37"/>
  <c r="K18" i="37" s="1"/>
  <c r="K24" i="37" s="1"/>
  <c r="K30" i="37" s="1"/>
  <c r="K36" i="37" s="1"/>
  <c r="K42" i="37" s="1"/>
  <c r="I12" i="37"/>
  <c r="I18" i="37" s="1"/>
  <c r="I24" i="37" s="1"/>
  <c r="I30" i="37" s="1"/>
  <c r="J25" i="41"/>
  <c r="K15" i="37"/>
  <c r="J11" i="41"/>
  <c r="J12" i="41"/>
  <c r="J14" i="41"/>
  <c r="J13" i="41"/>
  <c r="N6" i="40"/>
  <c r="J10" i="41"/>
  <c r="N27" i="56" s="1"/>
  <c r="J98" i="36"/>
  <c r="J96" i="36"/>
  <c r="K64" i="37"/>
  <c r="J95" i="36"/>
  <c r="J103" i="36"/>
  <c r="K62" i="37"/>
  <c r="J124" i="36"/>
  <c r="J125" i="36"/>
  <c r="J107" i="36"/>
  <c r="J108" i="36"/>
  <c r="I6" i="33"/>
  <c r="H8" i="33"/>
  <c r="H10" i="33" s="1"/>
  <c r="H12" i="33" s="1"/>
  <c r="L32" i="40"/>
  <c r="I38" i="40"/>
  <c r="L28" i="40"/>
  <c r="I34" i="40"/>
  <c r="L25" i="40"/>
  <c r="I31" i="40"/>
  <c r="K62" i="40"/>
  <c r="K64" i="40"/>
  <c r="K63" i="40"/>
  <c r="K61" i="40"/>
  <c r="I26" i="37"/>
  <c r="L20" i="37"/>
  <c r="L22" i="37"/>
  <c r="I28" i="37"/>
  <c r="L27" i="40"/>
  <c r="I33" i="40"/>
  <c r="I33" i="37"/>
  <c r="K70" i="37"/>
  <c r="H29" i="33"/>
  <c r="K29" i="33"/>
  <c r="C129" i="36"/>
  <c r="C135" i="36"/>
  <c r="C127" i="36"/>
  <c r="C133" i="36"/>
  <c r="C131" i="36"/>
  <c r="H22" i="38"/>
  <c r="J22" i="38" s="1"/>
  <c r="G24" i="38"/>
  <c r="H18" i="39"/>
  <c r="J18" i="39" s="1"/>
  <c r="G20" i="39"/>
  <c r="N52" i="37" l="1"/>
  <c r="N51" i="37"/>
  <c r="N50" i="37"/>
  <c r="N49" i="37"/>
  <c r="N53" i="40"/>
  <c r="N52" i="40"/>
  <c r="N51" i="40"/>
  <c r="N50" i="40"/>
  <c r="N49" i="40"/>
  <c r="I18" i="40"/>
  <c r="L12" i="40"/>
  <c r="K48" i="40"/>
  <c r="N11" i="40"/>
  <c r="N25" i="56" s="1"/>
  <c r="N24" i="34"/>
  <c r="J24" i="34" s="1"/>
  <c r="N24" i="56"/>
  <c r="K21" i="37"/>
  <c r="L15" i="37"/>
  <c r="K49" i="37"/>
  <c r="I19" i="37"/>
  <c r="L13" i="37"/>
  <c r="K48" i="37"/>
  <c r="AZ20" i="30"/>
  <c r="B61" i="41" s="1"/>
  <c r="C63" i="41" s="1"/>
  <c r="L18" i="37"/>
  <c r="N18" i="37" s="1"/>
  <c r="L24" i="37"/>
  <c r="N24" i="37" s="1"/>
  <c r="J120" i="36"/>
  <c r="L12" i="37"/>
  <c r="N12" i="37" s="1"/>
  <c r="J123" i="36"/>
  <c r="J113" i="36"/>
  <c r="J116" i="36"/>
  <c r="J44" i="41"/>
  <c r="J109" i="36"/>
  <c r="C48" i="41"/>
  <c r="J48" i="41" s="1"/>
  <c r="AZ19" i="30"/>
  <c r="B56" i="41" s="1"/>
  <c r="C56" i="41" s="1"/>
  <c r="AZ18" i="30"/>
  <c r="B51" i="41" s="1"/>
  <c r="C53" i="41" s="1"/>
  <c r="J112" i="36"/>
  <c r="AU20" i="30"/>
  <c r="D72" i="37" s="1"/>
  <c r="J105" i="36"/>
  <c r="J119" i="36"/>
  <c r="D54" i="37"/>
  <c r="C54" i="37"/>
  <c r="J46" i="41"/>
  <c r="J50" i="41" s="1"/>
  <c r="J47" i="41"/>
  <c r="C54" i="40"/>
  <c r="D54" i="40"/>
  <c r="AA19" i="30"/>
  <c r="AV19" i="30" s="1"/>
  <c r="AU19" i="30"/>
  <c r="N48" i="40"/>
  <c r="AA18" i="30"/>
  <c r="AV18" i="30" s="1"/>
  <c r="AU18" i="30"/>
  <c r="J104" i="36"/>
  <c r="J15" i="41"/>
  <c r="N27" i="34"/>
  <c r="J27" i="34" s="1"/>
  <c r="K68" i="37"/>
  <c r="K6" i="33"/>
  <c r="I8" i="33"/>
  <c r="K8" i="33" s="1"/>
  <c r="I39" i="37"/>
  <c r="L33" i="40"/>
  <c r="I39" i="40"/>
  <c r="K69" i="40"/>
  <c r="L26" i="37"/>
  <c r="I32" i="37"/>
  <c r="K70" i="40"/>
  <c r="L31" i="40"/>
  <c r="I37" i="40"/>
  <c r="L34" i="40"/>
  <c r="I40" i="40"/>
  <c r="L28" i="37"/>
  <c r="I34" i="37"/>
  <c r="L38" i="40"/>
  <c r="I44" i="40"/>
  <c r="K68" i="40"/>
  <c r="AV20" i="30"/>
  <c r="D72" i="40" s="1"/>
  <c r="J134" i="36"/>
  <c r="J133" i="36"/>
  <c r="J135" i="36"/>
  <c r="J136" i="36"/>
  <c r="J131" i="36"/>
  <c r="J132" i="36"/>
  <c r="J130" i="36"/>
  <c r="J129" i="36"/>
  <c r="J127" i="36"/>
  <c r="J128" i="36"/>
  <c r="L30" i="37"/>
  <c r="N30" i="37" s="1"/>
  <c r="I36" i="37"/>
  <c r="H20" i="39"/>
  <c r="J20" i="39" s="1"/>
  <c r="G22" i="39"/>
  <c r="H24" i="38"/>
  <c r="J24" i="38" s="1"/>
  <c r="G26" i="38"/>
  <c r="N55" i="37" l="1"/>
  <c r="N58" i="37"/>
  <c r="N57" i="37"/>
  <c r="N56" i="37"/>
  <c r="N58" i="40"/>
  <c r="N57" i="40"/>
  <c r="N55" i="40"/>
  <c r="N56" i="40"/>
  <c r="N59" i="40"/>
  <c r="K54" i="40"/>
  <c r="L18" i="40"/>
  <c r="I24" i="40"/>
  <c r="N25" i="34"/>
  <c r="J25" i="34" s="1"/>
  <c r="N21" i="34"/>
  <c r="J21" i="34" s="1"/>
  <c r="N21" i="56"/>
  <c r="N28" i="56" s="1"/>
  <c r="K27" i="37"/>
  <c r="L21" i="37"/>
  <c r="L19" i="37"/>
  <c r="I25" i="37"/>
  <c r="K55" i="37"/>
  <c r="O17" i="37"/>
  <c r="J115" i="36"/>
  <c r="J126" i="36"/>
  <c r="C61" i="41"/>
  <c r="J62" i="41" s="1"/>
  <c r="K54" i="37"/>
  <c r="C72" i="37"/>
  <c r="J49" i="41"/>
  <c r="C51" i="41"/>
  <c r="J52" i="41" s="1"/>
  <c r="C58" i="41"/>
  <c r="J59" i="41" s="1"/>
  <c r="O53" i="40"/>
  <c r="D60" i="37"/>
  <c r="C60" i="37"/>
  <c r="D66" i="37"/>
  <c r="C66" i="37"/>
  <c r="N54" i="40"/>
  <c r="J64" i="41"/>
  <c r="J63" i="41"/>
  <c r="D60" i="40"/>
  <c r="C60" i="40"/>
  <c r="D66" i="40"/>
  <c r="C66" i="40"/>
  <c r="J53" i="41"/>
  <c r="J54" i="41"/>
  <c r="J57" i="41"/>
  <c r="J56" i="41"/>
  <c r="J60" i="41" s="1"/>
  <c r="J137" i="36"/>
  <c r="K74" i="37"/>
  <c r="L34" i="37"/>
  <c r="I40" i="37"/>
  <c r="L39" i="40"/>
  <c r="I45" i="40"/>
  <c r="L44" i="40"/>
  <c r="I50" i="40"/>
  <c r="L40" i="40"/>
  <c r="I46" i="40"/>
  <c r="L32" i="37"/>
  <c r="I38" i="37"/>
  <c r="I45" i="37"/>
  <c r="L37" i="40"/>
  <c r="I43" i="40"/>
  <c r="C72" i="40"/>
  <c r="H22" i="39"/>
  <c r="J22" i="39" s="1"/>
  <c r="G24" i="39"/>
  <c r="H26" i="38"/>
  <c r="J26" i="38" s="1"/>
  <c r="G28" i="38"/>
  <c r="H28" i="38" s="1"/>
  <c r="J28" i="38" s="1"/>
  <c r="L36" i="37"/>
  <c r="N36" i="37" s="1"/>
  <c r="I42" i="37"/>
  <c r="I10" i="33"/>
  <c r="K10" i="33" s="1"/>
  <c r="K60" i="40" l="1"/>
  <c r="N64" i="40"/>
  <c r="N63" i="40"/>
  <c r="N62" i="40"/>
  <c r="N61" i="40"/>
  <c r="N64" i="37"/>
  <c r="N63" i="37"/>
  <c r="N62" i="37"/>
  <c r="N61" i="37"/>
  <c r="N77" i="40"/>
  <c r="N76" i="40"/>
  <c r="N75" i="40"/>
  <c r="N74" i="40"/>
  <c r="N73" i="40"/>
  <c r="N67" i="37"/>
  <c r="N70" i="37"/>
  <c r="N69" i="37"/>
  <c r="N68" i="37"/>
  <c r="N76" i="37"/>
  <c r="N75" i="37"/>
  <c r="N74" i="37"/>
  <c r="N73" i="37"/>
  <c r="N71" i="40"/>
  <c r="N70" i="40"/>
  <c r="N69" i="40"/>
  <c r="N68" i="40"/>
  <c r="N67" i="40"/>
  <c r="N65" i="40"/>
  <c r="K66" i="40"/>
  <c r="K72" i="40" s="1"/>
  <c r="L24" i="40"/>
  <c r="I30" i="40"/>
  <c r="N28" i="34"/>
  <c r="K33" i="37"/>
  <c r="L27" i="37"/>
  <c r="O23" i="37"/>
  <c r="N23" i="37"/>
  <c r="I31" i="37"/>
  <c r="L25" i="37"/>
  <c r="K61" i="37"/>
  <c r="K67" i="37" s="1"/>
  <c r="K73" i="37" s="1"/>
  <c r="N17" i="37"/>
  <c r="K76" i="37"/>
  <c r="J138" i="36"/>
  <c r="C33" i="47" s="1"/>
  <c r="V20" i="52" s="1"/>
  <c r="J61" i="41"/>
  <c r="J65" i="41" s="1"/>
  <c r="J51" i="41"/>
  <c r="J55" i="41" s="1"/>
  <c r="K60" i="37"/>
  <c r="K66" i="37" s="1"/>
  <c r="K72" i="37" s="1"/>
  <c r="J58" i="41"/>
  <c r="O59" i="40"/>
  <c r="N60" i="40"/>
  <c r="K67" i="40"/>
  <c r="K73" i="40" s="1"/>
  <c r="N66" i="40"/>
  <c r="J30" i="38"/>
  <c r="W24" i="43" s="1"/>
  <c r="K76" i="40"/>
  <c r="K74" i="40"/>
  <c r="K75" i="40"/>
  <c r="L43" i="40"/>
  <c r="I49" i="40"/>
  <c r="L38" i="37"/>
  <c r="I44" i="37"/>
  <c r="L50" i="40"/>
  <c r="I56" i="40"/>
  <c r="L40" i="37"/>
  <c r="I46" i="37"/>
  <c r="I51" i="37"/>
  <c r="L46" i="40"/>
  <c r="I52" i="40"/>
  <c r="L45" i="40"/>
  <c r="I51" i="40"/>
  <c r="N72" i="40"/>
  <c r="I48" i="37"/>
  <c r="L42" i="37"/>
  <c r="N42" i="37" s="1"/>
  <c r="H24" i="39"/>
  <c r="J24" i="39" s="1"/>
  <c r="G26" i="39"/>
  <c r="H14" i="33"/>
  <c r="I12" i="33"/>
  <c r="K12" i="33" s="1"/>
  <c r="C31" i="48" l="1"/>
  <c r="I36" i="40"/>
  <c r="L30" i="40"/>
  <c r="C24" i="35"/>
  <c r="G24" i="35" s="1"/>
  <c r="J22" i="56"/>
  <c r="O29" i="37"/>
  <c r="K39" i="37"/>
  <c r="L33" i="37"/>
  <c r="N29" i="37"/>
  <c r="L31" i="37"/>
  <c r="I37" i="37"/>
  <c r="G32" i="48"/>
  <c r="C44" i="49" s="1"/>
  <c r="G45" i="49" s="1"/>
  <c r="G33" i="47"/>
  <c r="W32" i="43"/>
  <c r="J66" i="41"/>
  <c r="C35" i="47" s="1"/>
  <c r="Z20" i="52" s="1"/>
  <c r="N78" i="40"/>
  <c r="W30" i="43" s="1"/>
  <c r="O71" i="40"/>
  <c r="O65" i="40"/>
  <c r="C25" i="47"/>
  <c r="R20" i="52" s="1"/>
  <c r="R21" i="52" s="1"/>
  <c r="L46" i="37"/>
  <c r="I52" i="37"/>
  <c r="L49" i="40"/>
  <c r="I55" i="40"/>
  <c r="L52" i="40"/>
  <c r="I58" i="40"/>
  <c r="I57" i="37"/>
  <c r="L56" i="40"/>
  <c r="I62" i="40"/>
  <c r="L44" i="37"/>
  <c r="I50" i="37"/>
  <c r="L51" i="40"/>
  <c r="I57" i="40"/>
  <c r="O77" i="40"/>
  <c r="H26" i="39"/>
  <c r="J26" i="39" s="1"/>
  <c r="G28" i="39"/>
  <c r="H28" i="39" s="1"/>
  <c r="J28" i="39" s="1"/>
  <c r="L48" i="37"/>
  <c r="N48" i="37" s="1"/>
  <c r="I54" i="37"/>
  <c r="I14" i="33"/>
  <c r="K14" i="33" s="1"/>
  <c r="H16" i="33"/>
  <c r="J25" i="56" l="1"/>
  <c r="J26" i="56"/>
  <c r="V21" i="52"/>
  <c r="C23" i="48"/>
  <c r="G35" i="47"/>
  <c r="I42" i="40"/>
  <c r="L36" i="40"/>
  <c r="C32" i="35"/>
  <c r="G32" i="35" s="1"/>
  <c r="N35" i="37"/>
  <c r="K45" i="37"/>
  <c r="L39" i="37"/>
  <c r="O35" i="37"/>
  <c r="I43" i="37"/>
  <c r="L37" i="37"/>
  <c r="G34" i="48"/>
  <c r="C48" i="49" s="1"/>
  <c r="G49" i="49" s="1"/>
  <c r="C33" i="48"/>
  <c r="W34" i="43"/>
  <c r="Z21" i="52" s="1"/>
  <c r="C31" i="47"/>
  <c r="U20" i="52" s="1"/>
  <c r="U21" i="52" s="1"/>
  <c r="G25" i="47"/>
  <c r="G24" i="48"/>
  <c r="C28" i="49" s="1"/>
  <c r="G29" i="49" s="1"/>
  <c r="J30" i="39"/>
  <c r="W26" i="43" s="1"/>
  <c r="C30" i="35"/>
  <c r="G30" i="35" s="1"/>
  <c r="L57" i="40"/>
  <c r="I63" i="40"/>
  <c r="L62" i="40"/>
  <c r="I68" i="40"/>
  <c r="L58" i="40"/>
  <c r="I64" i="40"/>
  <c r="L50" i="37"/>
  <c r="I56" i="37"/>
  <c r="I63" i="37"/>
  <c r="L55" i="40"/>
  <c r="I61" i="40"/>
  <c r="L52" i="37"/>
  <c r="I58" i="37"/>
  <c r="L54" i="37"/>
  <c r="N54" i="37" s="1"/>
  <c r="I60" i="37"/>
  <c r="I16" i="33"/>
  <c r="K16" i="33" s="1"/>
  <c r="H18" i="33"/>
  <c r="J23" i="56" l="1"/>
  <c r="C29" i="48"/>
  <c r="L42" i="40"/>
  <c r="I48" i="40"/>
  <c r="C34" i="35"/>
  <c r="G34" i="35" s="1"/>
  <c r="J27" i="56"/>
  <c r="O41" i="37"/>
  <c r="K51" i="37"/>
  <c r="L45" i="37"/>
  <c r="N41" i="37"/>
  <c r="L43" i="37"/>
  <c r="I49" i="37"/>
  <c r="G30" i="48"/>
  <c r="C40" i="49" s="1"/>
  <c r="G41" i="49" s="1"/>
  <c r="G31" i="47"/>
  <c r="C27" i="47"/>
  <c r="S20" i="52" s="1"/>
  <c r="S21" i="52" s="1"/>
  <c r="C26" i="35"/>
  <c r="G26" i="35" s="1"/>
  <c r="L58" i="37"/>
  <c r="I64" i="37"/>
  <c r="I69" i="37"/>
  <c r="L68" i="40"/>
  <c r="I74" i="40"/>
  <c r="L74" i="40" s="1"/>
  <c r="L61" i="40"/>
  <c r="I67" i="40"/>
  <c r="L56" i="37"/>
  <c r="I62" i="37"/>
  <c r="L64" i="40"/>
  <c r="I70" i="40"/>
  <c r="L63" i="40"/>
  <c r="I69" i="40"/>
  <c r="L60" i="37"/>
  <c r="N60" i="37" s="1"/>
  <c r="I66" i="37"/>
  <c r="I18" i="33"/>
  <c r="K18" i="33" s="1"/>
  <c r="H20" i="33"/>
  <c r="G27" i="47" l="1"/>
  <c r="L48" i="40"/>
  <c r="I54" i="40"/>
  <c r="K57" i="37"/>
  <c r="L51" i="37"/>
  <c r="O47" i="37"/>
  <c r="N47" i="37"/>
  <c r="I55" i="37"/>
  <c r="L49" i="37"/>
  <c r="C25" i="48"/>
  <c r="G26" i="48"/>
  <c r="C32" i="49" s="1"/>
  <c r="G33" i="49" s="1"/>
  <c r="L69" i="40"/>
  <c r="I75" i="40"/>
  <c r="L75" i="40" s="1"/>
  <c r="L62" i="37"/>
  <c r="I68" i="37"/>
  <c r="I75" i="37"/>
  <c r="L70" i="40"/>
  <c r="I76" i="40"/>
  <c r="L76" i="40" s="1"/>
  <c r="L67" i="40"/>
  <c r="I73" i="40"/>
  <c r="L73" i="40" s="1"/>
  <c r="L64" i="37"/>
  <c r="I70" i="37"/>
  <c r="L66" i="37"/>
  <c r="N66" i="37" s="1"/>
  <c r="I72" i="37"/>
  <c r="L72" i="37" s="1"/>
  <c r="N72" i="37" s="1"/>
  <c r="I20" i="33"/>
  <c r="K20" i="33" s="1"/>
  <c r="H22" i="33"/>
  <c r="I60" i="40" l="1"/>
  <c r="L54" i="40"/>
  <c r="O53" i="37"/>
  <c r="K63" i="37"/>
  <c r="L57" i="37"/>
  <c r="N53" i="37"/>
  <c r="I61" i="37"/>
  <c r="L55" i="37"/>
  <c r="L68" i="37"/>
  <c r="I74" i="37"/>
  <c r="L74" i="37" s="1"/>
  <c r="L70" i="37"/>
  <c r="I76" i="37"/>
  <c r="L76" i="37" s="1"/>
  <c r="I22" i="33"/>
  <c r="K22" i="33" s="1"/>
  <c r="H24" i="33"/>
  <c r="I66" i="40" l="1"/>
  <c r="L60" i="40"/>
  <c r="N59" i="37"/>
  <c r="K69" i="37"/>
  <c r="L63" i="37"/>
  <c r="O59" i="37"/>
  <c r="I67" i="37"/>
  <c r="L61" i="37"/>
  <c r="I24" i="33"/>
  <c r="K24" i="33" s="1"/>
  <c r="H26" i="33"/>
  <c r="I72" i="40" l="1"/>
  <c r="L72" i="40" s="1"/>
  <c r="L66" i="40"/>
  <c r="O65" i="37"/>
  <c r="K75" i="37"/>
  <c r="L75" i="37" s="1"/>
  <c r="L69" i="37"/>
  <c r="N65" i="37"/>
  <c r="L67" i="37"/>
  <c r="I73" i="37"/>
  <c r="L73" i="37" s="1"/>
  <c r="H28" i="33"/>
  <c r="I28" i="33" s="1"/>
  <c r="K28" i="33" s="1"/>
  <c r="I26" i="33"/>
  <c r="K26" i="33" s="1"/>
  <c r="O77" i="37" l="1"/>
  <c r="O71" i="37"/>
  <c r="N71" i="37"/>
  <c r="N77" i="37"/>
  <c r="K30" i="33"/>
  <c r="W22" i="43" s="1"/>
  <c r="J21" i="56" l="1"/>
  <c r="N78" i="37"/>
  <c r="C29" i="47" s="1"/>
  <c r="T20" i="52" s="1"/>
  <c r="C23" i="47"/>
  <c r="Q20" i="52" s="1"/>
  <c r="Q21" i="52" s="1"/>
  <c r="C39" i="47" l="1"/>
  <c r="C37" i="48" s="1"/>
  <c r="C27" i="48"/>
  <c r="G29" i="47"/>
  <c r="W28" i="43"/>
  <c r="T21" i="52" s="1"/>
  <c r="G28" i="48"/>
  <c r="C36" i="49" s="1"/>
  <c r="G37" i="49" s="1"/>
  <c r="C21" i="48"/>
  <c r="G23" i="47"/>
  <c r="G22" i="48"/>
  <c r="C24" i="49" s="1"/>
  <c r="C56" i="49" l="1"/>
  <c r="G57" i="49" s="1"/>
  <c r="E19" i="49" s="1"/>
  <c r="C28" i="35"/>
  <c r="G28" i="35" s="1"/>
  <c r="J24" i="56"/>
  <c r="J28" i="56" s="1"/>
  <c r="G17" i="56" s="1"/>
  <c r="W36" i="43"/>
  <c r="G39" i="47"/>
  <c r="G38" i="48"/>
  <c r="C23" i="50" s="1"/>
  <c r="D23" i="50" s="1"/>
  <c r="C19" i="52" s="1"/>
  <c r="J28" i="34"/>
  <c r="G17" i="34" s="1"/>
  <c r="C22" i="35"/>
  <c r="G22" i="35" s="1"/>
  <c r="E19" i="47"/>
  <c r="G25" i="49"/>
  <c r="W40" i="43" l="1"/>
  <c r="B17" i="43" s="1"/>
  <c r="C36" i="35"/>
  <c r="G36" i="35"/>
  <c r="E18" i="35" s="1"/>
  <c r="B6" i="40"/>
  <c r="B6" i="37"/>
  <c r="B12" i="40"/>
  <c r="B12" i="37" l="1"/>
  <c r="B18" i="40" l="1"/>
  <c r="B18" i="37"/>
  <c r="B24" i="37" l="1"/>
  <c r="B24" i="40"/>
  <c r="B30" i="40" l="1"/>
  <c r="B30" i="37"/>
  <c r="B36" i="40" l="1"/>
  <c r="B36" i="37"/>
  <c r="B42" i="40" l="1"/>
  <c r="B42" i="37"/>
  <c r="B48" i="37" l="1"/>
  <c r="B48" i="40"/>
  <c r="B54" i="40" l="1"/>
  <c r="B54" i="37"/>
  <c r="B60" i="37" l="1"/>
  <c r="B60" i="40"/>
  <c r="B66" i="40" l="1"/>
  <c r="B66" i="37"/>
  <c r="B72" i="37" l="1"/>
  <c r="B72" i="4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髙木　章友</author>
    <author>平手　英里</author>
  </authors>
  <commentList>
    <comment ref="X4" authorId="0" shapeId="0" xr:uid="{F48E6188-7D37-4631-8DF7-4EB06943C920}">
      <text>
        <r>
          <rPr>
            <sz val="9"/>
            <color indexed="81"/>
            <rFont val="MS P ゴシック"/>
            <family val="3"/>
            <charset val="128"/>
          </rPr>
          <t>個別データからコピペ
園名を修正したら、リストも修正すること。</t>
        </r>
      </text>
    </comment>
    <comment ref="L159" authorId="1" shapeId="0" xr:uid="{898F7E5F-29E9-47BE-A224-5900C98F6618}">
      <text>
        <r>
          <rPr>
            <b/>
            <sz val="9"/>
            <color indexed="81"/>
            <rFont val="MS P ゴシック"/>
            <family val="3"/>
            <charset val="128"/>
          </rPr>
          <t>平手　英里:まだ決まらない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小野　由香里</author>
    <author>最首　康子</author>
    <author>髙木　章友</author>
  </authors>
  <commentList>
    <comment ref="CY12" authorId="0" shapeId="0" xr:uid="{31988D65-6DBA-4AA3-B783-2B9591C63DE7}">
      <text>
        <r>
          <rPr>
            <b/>
            <sz val="9"/>
            <color indexed="81"/>
            <rFont val="MS P ゴシック"/>
            <family val="3"/>
            <charset val="128"/>
          </rPr>
          <t xml:space="preserve">分園無しの表示あるが本園はあり。
→要確認
</t>
        </r>
      </text>
    </comment>
    <comment ref="EI12" authorId="0" shapeId="0" xr:uid="{1EB35AEF-1E31-4077-AFC3-F06B90BC826C}">
      <text>
        <r>
          <rPr>
            <b/>
            <sz val="9"/>
            <color indexed="81"/>
            <rFont val="MS P ゴシック"/>
            <family val="3"/>
            <charset val="128"/>
          </rPr>
          <t xml:space="preserve">分園無しの表示あるが本園はあり。
→要確認
</t>
        </r>
      </text>
    </comment>
    <comment ref="CY39" authorId="0" shapeId="0" xr:uid="{47C82FC5-E592-4EC4-953E-C6CE9C4BE1EC}">
      <text>
        <r>
          <rPr>
            <b/>
            <sz val="9"/>
            <color indexed="81"/>
            <rFont val="MS P ゴシック"/>
            <family val="3"/>
            <charset val="128"/>
          </rPr>
          <t xml:space="preserve">分園無しの表示あるが本園はあり。
→要確認
</t>
        </r>
      </text>
    </comment>
    <comment ref="EI39" authorId="0" shapeId="0" xr:uid="{DE6D8BB6-7356-435D-956F-F7571AB94C37}">
      <text>
        <r>
          <rPr>
            <b/>
            <sz val="9"/>
            <color indexed="81"/>
            <rFont val="MS P ゴシック"/>
            <family val="3"/>
            <charset val="128"/>
          </rPr>
          <t xml:space="preserve">分園無しの表示あるが本園はあり。
→要確認
</t>
        </r>
      </text>
    </comment>
    <comment ref="CK60" authorId="1" shapeId="0" xr:uid="{B84B8E33-5D8E-4CAF-959A-9E2E367905B6}">
      <text>
        <r>
          <rPr>
            <b/>
            <sz val="12"/>
            <color indexed="81"/>
            <rFont val="MS P ゴシック"/>
            <family val="3"/>
            <charset val="128"/>
          </rPr>
          <t xml:space="preserve">医ケアの表示ありだが、児童名の後ろに表示されていないため判断不能
</t>
        </r>
      </text>
    </comment>
    <comment ref="EI65" authorId="0" shapeId="0" xr:uid="{C2C77F0D-4230-415B-BF84-A0E270407232}">
      <text>
        <r>
          <rPr>
            <b/>
            <sz val="9"/>
            <color indexed="81"/>
            <rFont val="MS P ゴシック"/>
            <family val="3"/>
            <charset val="128"/>
          </rPr>
          <t xml:space="preserve">分園無しの表示あるが本園はあり。
→要確認
</t>
        </r>
      </text>
    </comment>
    <comment ref="CY71" authorId="0" shapeId="0" xr:uid="{1698B974-9921-4A17-B61F-4474A10FE117}">
      <text>
        <r>
          <rPr>
            <b/>
            <sz val="9"/>
            <color indexed="81"/>
            <rFont val="MS P ゴシック"/>
            <family val="3"/>
            <charset val="128"/>
          </rPr>
          <t xml:space="preserve">分園無しの表示あるが本園はあり。
→要確認
</t>
        </r>
      </text>
    </comment>
    <comment ref="EI74" authorId="0" shapeId="0" xr:uid="{1B3287D3-C332-4DF8-A132-8A0674DF1DEF}">
      <text>
        <r>
          <rPr>
            <b/>
            <sz val="9"/>
            <color indexed="81"/>
            <rFont val="MS P ゴシック"/>
            <family val="3"/>
            <charset val="128"/>
          </rPr>
          <t xml:space="preserve">分園無しの表示あるが本園はあり。
→要確認
</t>
        </r>
      </text>
    </comment>
    <comment ref="E85" authorId="2" shapeId="0" xr:uid="{58B83685-9A60-4544-8D05-B50B626C6F2C}">
      <text>
        <r>
          <rPr>
            <b/>
            <sz val="9"/>
            <color indexed="81"/>
            <rFont val="MS P ゴシック"/>
            <family val="3"/>
            <charset val="128"/>
          </rPr>
          <t>R6.10.1分園設置</t>
        </r>
      </text>
    </comment>
    <comment ref="CY93" authorId="0" shapeId="0" xr:uid="{AF246D59-CE10-4C5F-95B7-C914A3B82C6E}">
      <text>
        <r>
          <rPr>
            <b/>
            <sz val="9"/>
            <color indexed="81"/>
            <rFont val="MS P ゴシック"/>
            <family val="3"/>
            <charset val="128"/>
          </rPr>
          <t xml:space="preserve">分園無しの表示あるが本園はあり。
→要確認
</t>
        </r>
      </text>
    </comment>
    <comment ref="F179" authorId="2" shapeId="0" xr:uid="{9CB806AB-2D34-4C91-9D64-30C9B9BEB8BF}">
      <text>
        <r>
          <rPr>
            <b/>
            <sz val="9"/>
            <color indexed="81"/>
            <rFont val="MS P ゴシック"/>
            <family val="3"/>
            <charset val="128"/>
          </rPr>
          <t>R6.4.1　90人
R6.7.1　100人
R6.11.1 110人
R7.4.1　120人</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渋谷　賢太</author>
  </authors>
  <commentList>
    <comment ref="F5" authorId="0" shapeId="0" xr:uid="{E3951D33-51A7-451D-8B2F-40B4BF993AF2}">
      <text>
        <r>
          <rPr>
            <b/>
            <sz val="12"/>
            <color indexed="9"/>
            <rFont val="MS P ゴシック"/>
            <family val="3"/>
            <charset val="128"/>
          </rPr>
          <t>このセルも入力が必要です。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渋谷　賢太</author>
  </authors>
  <commentList>
    <comment ref="U22" authorId="0" shapeId="0" xr:uid="{FEDD1894-74A6-40DA-9718-C1F70DA5F30A}">
      <text>
        <r>
          <rPr>
            <b/>
            <sz val="14"/>
            <color indexed="81"/>
            <rFont val="MS P ゴシック"/>
            <family val="3"/>
            <charset val="128"/>
          </rPr>
          <t>渋谷　賢太:</t>
        </r>
        <r>
          <rPr>
            <sz val="14"/>
            <color indexed="81"/>
            <rFont val="MS P ゴシック"/>
            <family val="3"/>
            <charset val="128"/>
          </rPr>
          <t xml:space="preserve">
「請求額＋既交付額」が「交付決定額」を上回る場合は「✕」が表示</t>
        </r>
      </text>
    </comment>
  </commentList>
</comments>
</file>

<file path=xl/sharedStrings.xml><?xml version="1.0" encoding="utf-8"?>
<sst xmlns="http://schemas.openxmlformats.org/spreadsheetml/2006/main" count="24335" uniqueCount="2516">
  <si>
    <t>配置基準改善事業補助金の算定に係る運営状況確認シート</t>
    <rPh sb="0" eb="2">
      <t>ハイチ</t>
    </rPh>
    <rPh sb="2" eb="4">
      <t>キジュン</t>
    </rPh>
    <rPh sb="4" eb="6">
      <t>カイゼン</t>
    </rPh>
    <rPh sb="6" eb="8">
      <t>ジギョウ</t>
    </rPh>
    <rPh sb="8" eb="11">
      <t>ホジョキン</t>
    </rPh>
    <rPh sb="12" eb="14">
      <t>サンテイ</t>
    </rPh>
    <rPh sb="15" eb="16">
      <t>カカ</t>
    </rPh>
    <rPh sb="17" eb="19">
      <t>ウンエイ</t>
    </rPh>
    <rPh sb="19" eb="21">
      <t>ジョウキョウ</t>
    </rPh>
    <rPh sb="21" eb="23">
      <t>カクニン</t>
    </rPh>
    <phoneticPr fontId="1"/>
  </si>
  <si>
    <t>和暦→西暦の変換表</t>
    <rPh sb="0" eb="2">
      <t>ワレキ</t>
    </rPh>
    <rPh sb="3" eb="5">
      <t>セイレキ</t>
    </rPh>
    <rPh sb="6" eb="8">
      <t>ヘンカン</t>
    </rPh>
    <rPh sb="8" eb="9">
      <t>ヒョウ</t>
    </rPh>
    <phoneticPr fontId="1"/>
  </si>
  <si>
    <t>和暦</t>
    <rPh sb="0" eb="2">
      <t>ワレキ</t>
    </rPh>
    <phoneticPr fontId="1"/>
  </si>
  <si>
    <t>西暦</t>
    <rPh sb="0" eb="2">
      <t>セイレキ</t>
    </rPh>
    <phoneticPr fontId="1"/>
  </si>
  <si>
    <t>保育園名</t>
    <rPh sb="0" eb="2">
      <t>ホイク</t>
    </rPh>
    <phoneticPr fontId="1"/>
  </si>
  <si>
    <t>令和</t>
    <rPh sb="0" eb="2">
      <t>レイワ</t>
    </rPh>
    <phoneticPr fontId="1"/>
  </si>
  <si>
    <t>児童の定員</t>
    <rPh sb="0" eb="2">
      <t>ジドウ</t>
    </rPh>
    <rPh sb="3" eb="5">
      <t>テイイン</t>
    </rPh>
    <phoneticPr fontId="1"/>
  </si>
  <si>
    <t>作成担当者</t>
    <rPh sb="0" eb="2">
      <t>サクセイ</t>
    </rPh>
    <rPh sb="2" eb="5">
      <t>タントウシャ</t>
    </rPh>
    <phoneticPr fontId="1"/>
  </si>
  <si>
    <t>氏名</t>
    <rPh sb="0" eb="2">
      <t>シメイ</t>
    </rPh>
    <phoneticPr fontId="1"/>
  </si>
  <si>
    <t>年度</t>
    <rPh sb="0" eb="2">
      <t>ネンド</t>
    </rPh>
    <phoneticPr fontId="1"/>
  </si>
  <si>
    <t>連絡先</t>
    <rPh sb="0" eb="3">
      <t>レンラクサキ</t>
    </rPh>
    <phoneticPr fontId="1"/>
  </si>
  <si>
    <t>処遇改善加算Ⅰの平均勤続年数</t>
    <rPh sb="0" eb="2">
      <t>ショグウ</t>
    </rPh>
    <rPh sb="2" eb="4">
      <t>カイゼン</t>
    </rPh>
    <rPh sb="4" eb="6">
      <t>カサン</t>
    </rPh>
    <rPh sb="8" eb="10">
      <t>ヘイキン</t>
    </rPh>
    <rPh sb="10" eb="12">
      <t>キンゾク</t>
    </rPh>
    <rPh sb="12" eb="14">
      <t>ネンスウ</t>
    </rPh>
    <phoneticPr fontId="1"/>
  </si>
  <si>
    <t>有</t>
    <rPh sb="0" eb="1">
      <t>アリ</t>
    </rPh>
    <phoneticPr fontId="1"/>
  </si>
  <si>
    <t>一般型</t>
    <rPh sb="0" eb="3">
      <t>イッパンガタ</t>
    </rPh>
    <phoneticPr fontId="1"/>
  </si>
  <si>
    <t>無</t>
    <rPh sb="0" eb="1">
      <t>ナシ</t>
    </rPh>
    <phoneticPr fontId="1"/>
  </si>
  <si>
    <t>余裕活用型</t>
    <rPh sb="0" eb="2">
      <t>ヨユウ</t>
    </rPh>
    <rPh sb="2" eb="4">
      <t>カツヨウ</t>
    </rPh>
    <rPh sb="4" eb="5">
      <t>ガタ</t>
    </rPh>
    <phoneticPr fontId="1"/>
  </si>
  <si>
    <t>保育標準時間児童の受け入れ</t>
    <rPh sb="0" eb="2">
      <t>ホイク</t>
    </rPh>
    <rPh sb="2" eb="4">
      <t>ヒョウジュン</t>
    </rPh>
    <rPh sb="4" eb="6">
      <t>ジカン</t>
    </rPh>
    <rPh sb="6" eb="8">
      <t>ジドウ</t>
    </rPh>
    <rPh sb="9" eb="10">
      <t>ウ</t>
    </rPh>
    <rPh sb="11" eb="12">
      <t>イ</t>
    </rPh>
    <phoneticPr fontId="1"/>
  </si>
  <si>
    <t>一時預かり事業について</t>
    <rPh sb="0" eb="2">
      <t>イチジ</t>
    </rPh>
    <rPh sb="2" eb="3">
      <t>アズ</t>
    </rPh>
    <rPh sb="5" eb="7">
      <t>ジギョウ</t>
    </rPh>
    <phoneticPr fontId="1"/>
  </si>
  <si>
    <t>増員</t>
    <rPh sb="0" eb="2">
      <t>ゾウイン</t>
    </rPh>
    <phoneticPr fontId="1"/>
  </si>
  <si>
    <t>実施の有無</t>
    <rPh sb="0" eb="2">
      <t>ジッシ</t>
    </rPh>
    <rPh sb="3" eb="5">
      <t>ウム</t>
    </rPh>
    <phoneticPr fontId="1"/>
  </si>
  <si>
    <t>賃金改善</t>
    <rPh sb="0" eb="2">
      <t>チンギン</t>
    </rPh>
    <rPh sb="2" eb="4">
      <t>カイゼン</t>
    </rPh>
    <phoneticPr fontId="1"/>
  </si>
  <si>
    <t>実施形態</t>
    <rPh sb="0" eb="2">
      <t>ジッシ</t>
    </rPh>
    <rPh sb="2" eb="4">
      <t>ケイタイ</t>
    </rPh>
    <phoneticPr fontId="1"/>
  </si>
  <si>
    <t>1人加配の適用（一般型の場合のみ）</t>
    <rPh sb="1" eb="2">
      <t>ニン</t>
    </rPh>
    <rPh sb="2" eb="4">
      <t>カハイ</t>
    </rPh>
    <rPh sb="5" eb="7">
      <t>テキヨウ</t>
    </rPh>
    <rPh sb="8" eb="11">
      <t>イッパンガタ</t>
    </rPh>
    <rPh sb="12" eb="14">
      <t>バアイ</t>
    </rPh>
    <phoneticPr fontId="1"/>
  </si>
  <si>
    <t>要配慮保育について（職員）</t>
    <rPh sb="0" eb="1">
      <t>ヨウ</t>
    </rPh>
    <rPh sb="1" eb="3">
      <t>ハイリョ</t>
    </rPh>
    <rPh sb="3" eb="5">
      <t>ホイク</t>
    </rPh>
    <rPh sb="10" eb="12">
      <t>ショクイン</t>
    </rPh>
    <phoneticPr fontId="1"/>
  </si>
  <si>
    <t>市による保育士加配人数（合計）</t>
    <rPh sb="0" eb="1">
      <t>シ</t>
    </rPh>
    <rPh sb="4" eb="7">
      <t>ホイクシ</t>
    </rPh>
    <rPh sb="7" eb="9">
      <t>カハイ</t>
    </rPh>
    <rPh sb="9" eb="11">
      <t>ニンズウ</t>
    </rPh>
    <rPh sb="12" eb="14">
      <t>ゴウケイ</t>
    </rPh>
    <phoneticPr fontId="1"/>
  </si>
  <si>
    <t>うち、保育士配置数</t>
    <rPh sb="3" eb="6">
      <t>ホイクシ</t>
    </rPh>
    <rPh sb="6" eb="8">
      <t>ハイチ</t>
    </rPh>
    <rPh sb="8" eb="9">
      <t>スウ</t>
    </rPh>
    <phoneticPr fontId="1"/>
  </si>
  <si>
    <t>うち、医療的ケアに係る看護師等</t>
    <rPh sb="3" eb="6">
      <t>イリョウテキ</t>
    </rPh>
    <rPh sb="9" eb="10">
      <t>カカ</t>
    </rPh>
    <rPh sb="11" eb="14">
      <t>カンゴシ</t>
    </rPh>
    <rPh sb="14" eb="15">
      <t>トウ</t>
    </rPh>
    <phoneticPr fontId="1"/>
  </si>
  <si>
    <t>医療的ケアを要する児童数</t>
    <rPh sb="0" eb="3">
      <t>イリョウテキ</t>
    </rPh>
    <rPh sb="6" eb="7">
      <t>ヨウ</t>
    </rPh>
    <rPh sb="9" eb="11">
      <t>ジドウ</t>
    </rPh>
    <rPh sb="11" eb="12">
      <t>スウ</t>
    </rPh>
    <phoneticPr fontId="1"/>
  </si>
  <si>
    <t>支援センターの実施の有無</t>
    <rPh sb="0" eb="2">
      <t>シエン</t>
    </rPh>
    <rPh sb="7" eb="9">
      <t>ジッシ</t>
    </rPh>
    <rPh sb="10" eb="12">
      <t>ウム</t>
    </rPh>
    <phoneticPr fontId="1"/>
  </si>
  <si>
    <t>主任保育士加算の適用</t>
    <rPh sb="0" eb="2">
      <t>シュニン</t>
    </rPh>
    <rPh sb="2" eb="5">
      <t>ホイクシ</t>
    </rPh>
    <rPh sb="5" eb="7">
      <t>カサン</t>
    </rPh>
    <rPh sb="8" eb="10">
      <t>テキヨウ</t>
    </rPh>
    <phoneticPr fontId="1"/>
  </si>
  <si>
    <t>チーム保育推進加算の適用</t>
    <rPh sb="3" eb="5">
      <t>ホイク</t>
    </rPh>
    <rPh sb="5" eb="7">
      <t>スイシン</t>
    </rPh>
    <rPh sb="7" eb="9">
      <t>カサン</t>
    </rPh>
    <rPh sb="10" eb="12">
      <t>テキヨウ</t>
    </rPh>
    <phoneticPr fontId="1"/>
  </si>
  <si>
    <t>３歳児配置改善加算の適用</t>
    <rPh sb="1" eb="3">
      <t>サイジ</t>
    </rPh>
    <rPh sb="3" eb="5">
      <t>ハイチ</t>
    </rPh>
    <rPh sb="5" eb="7">
      <t>カイゼン</t>
    </rPh>
    <rPh sb="7" eb="9">
      <t>カサン</t>
    </rPh>
    <rPh sb="10" eb="12">
      <t>テキヨウ</t>
    </rPh>
    <phoneticPr fontId="1"/>
  </si>
  <si>
    <t>平成</t>
    <rPh sb="0" eb="2">
      <t>ヘイセイ</t>
    </rPh>
    <phoneticPr fontId="1"/>
  </si>
  <si>
    <t>主任保育士加算の要件（次のうち２以上の要件を満たすこと）</t>
    <rPh sb="0" eb="2">
      <t>シュニン</t>
    </rPh>
    <rPh sb="2" eb="5">
      <t>ホイクシ</t>
    </rPh>
    <rPh sb="5" eb="7">
      <t>カサン</t>
    </rPh>
    <rPh sb="8" eb="10">
      <t>ヨウケン</t>
    </rPh>
    <rPh sb="11" eb="12">
      <t>ツギ</t>
    </rPh>
    <rPh sb="16" eb="18">
      <t>イジョウ</t>
    </rPh>
    <rPh sb="19" eb="21">
      <t>ヨウケン</t>
    </rPh>
    <rPh sb="22" eb="23">
      <t>ミ</t>
    </rPh>
    <phoneticPr fontId="1"/>
  </si>
  <si>
    <t>延長保育事業を実施していること</t>
    <rPh sb="0" eb="2">
      <t>エンチョウ</t>
    </rPh>
    <rPh sb="2" eb="4">
      <t>ホイク</t>
    </rPh>
    <rPh sb="4" eb="6">
      <t>ジギョウ</t>
    </rPh>
    <rPh sb="7" eb="9">
      <t>ジッシ</t>
    </rPh>
    <phoneticPr fontId="1"/>
  </si>
  <si>
    <t>○</t>
    <phoneticPr fontId="1"/>
  </si>
  <si>
    <t>一時預かり事業（一般型）を実施し、月の平均利用児童数が１人以上いること</t>
    <rPh sb="0" eb="2">
      <t>イチジ</t>
    </rPh>
    <rPh sb="2" eb="3">
      <t>アズ</t>
    </rPh>
    <rPh sb="5" eb="7">
      <t>ジギョウ</t>
    </rPh>
    <rPh sb="8" eb="11">
      <t>イッパンガタ</t>
    </rPh>
    <rPh sb="13" eb="15">
      <t>ジッシ</t>
    </rPh>
    <rPh sb="17" eb="18">
      <t>ツキ</t>
    </rPh>
    <rPh sb="19" eb="21">
      <t>ヘイキン</t>
    </rPh>
    <rPh sb="21" eb="23">
      <t>リヨウ</t>
    </rPh>
    <rPh sb="23" eb="25">
      <t>ジドウ</t>
    </rPh>
    <rPh sb="25" eb="26">
      <t>スウ</t>
    </rPh>
    <rPh sb="28" eb="29">
      <t>ニン</t>
    </rPh>
    <rPh sb="29" eb="31">
      <t>イジョウ</t>
    </rPh>
    <phoneticPr fontId="1"/>
  </si>
  <si>
    <t>病児保育事業を実施していること</t>
    <rPh sb="0" eb="2">
      <t>ビョウジ</t>
    </rPh>
    <rPh sb="2" eb="4">
      <t>ホイク</t>
    </rPh>
    <rPh sb="4" eb="6">
      <t>ジギョウ</t>
    </rPh>
    <rPh sb="7" eb="9">
      <t>ジッシ</t>
    </rPh>
    <phoneticPr fontId="1"/>
  </si>
  <si>
    <t>乳児が３人以上利用していること</t>
    <rPh sb="0" eb="2">
      <t>ニュウジ</t>
    </rPh>
    <rPh sb="4" eb="7">
      <t>ニンイジョウ</t>
    </rPh>
    <rPh sb="7" eb="9">
      <t>リヨウ</t>
    </rPh>
    <phoneticPr fontId="1"/>
  </si>
  <si>
    <t>障害児が１人以上利用していること</t>
    <rPh sb="0" eb="2">
      <t>ショウガイ</t>
    </rPh>
    <rPh sb="2" eb="3">
      <t>ジ</t>
    </rPh>
    <rPh sb="5" eb="8">
      <t>ニンイジョウ</t>
    </rPh>
    <rPh sb="8" eb="10">
      <t>リヨウ</t>
    </rPh>
    <phoneticPr fontId="1"/>
  </si>
  <si>
    <t>チーム保育推進加算の要件（次のすべての要件を満たすこと）</t>
    <rPh sb="3" eb="5">
      <t>ホイク</t>
    </rPh>
    <rPh sb="5" eb="7">
      <t>スイシン</t>
    </rPh>
    <rPh sb="7" eb="9">
      <t>カサン</t>
    </rPh>
    <rPh sb="10" eb="12">
      <t>ヨウケン</t>
    </rPh>
    <rPh sb="13" eb="14">
      <t>ツギ</t>
    </rPh>
    <rPh sb="19" eb="21">
      <t>ヨウケン</t>
    </rPh>
    <rPh sb="22" eb="23">
      <t>ミ</t>
    </rPh>
    <phoneticPr fontId="1"/>
  </si>
  <si>
    <t>保育士定数を超えて保育士を配置していること（他の加算との重複不可）</t>
    <rPh sb="0" eb="3">
      <t>ホイクシ</t>
    </rPh>
    <rPh sb="3" eb="5">
      <t>テイスウ</t>
    </rPh>
    <rPh sb="6" eb="7">
      <t>コ</t>
    </rPh>
    <rPh sb="9" eb="12">
      <t>ホイクシ</t>
    </rPh>
    <rPh sb="13" eb="15">
      <t>ハイチ</t>
    </rPh>
    <rPh sb="22" eb="23">
      <t>ホカ</t>
    </rPh>
    <rPh sb="24" eb="26">
      <t>カサン</t>
    </rPh>
    <rPh sb="28" eb="30">
      <t>チョウフク</t>
    </rPh>
    <rPh sb="30" eb="32">
      <t>フカ</t>
    </rPh>
    <phoneticPr fontId="1"/>
  </si>
  <si>
    <t>処遇改善等加算Iの職員の平均勤続年数が１５年以上であること</t>
    <rPh sb="0" eb="2">
      <t>ショグウ</t>
    </rPh>
    <rPh sb="2" eb="4">
      <t>カイゼン</t>
    </rPh>
    <rPh sb="4" eb="5">
      <t>トウ</t>
    </rPh>
    <rPh sb="5" eb="7">
      <t>カサン</t>
    </rPh>
    <rPh sb="9" eb="11">
      <t>ショクイン</t>
    </rPh>
    <rPh sb="12" eb="14">
      <t>ヘイキン</t>
    </rPh>
    <rPh sb="14" eb="16">
      <t>キンゾク</t>
    </rPh>
    <rPh sb="16" eb="18">
      <t>ネンスウ</t>
    </rPh>
    <rPh sb="21" eb="24">
      <t>ネンイジョウ</t>
    </rPh>
    <phoneticPr fontId="1"/>
  </si>
  <si>
    <t>キャリアを積んだチームリーダーの位置づけ当チーム保育体制を整備すること</t>
    <rPh sb="5" eb="6">
      <t>ツ</t>
    </rPh>
    <rPh sb="16" eb="18">
      <t>イチ</t>
    </rPh>
    <rPh sb="20" eb="21">
      <t>トウ</t>
    </rPh>
    <rPh sb="24" eb="26">
      <t>ホイク</t>
    </rPh>
    <rPh sb="26" eb="28">
      <t>タイセイ</t>
    </rPh>
    <rPh sb="29" eb="31">
      <t>セイビ</t>
    </rPh>
    <phoneticPr fontId="1"/>
  </si>
  <si>
    <t>チーム保育推進加算による増収は、保育士の増員や、当該保育所全体の職員の賃金改善に充てること</t>
    <rPh sb="3" eb="5">
      <t>ホイク</t>
    </rPh>
    <rPh sb="5" eb="7">
      <t>スイシン</t>
    </rPh>
    <rPh sb="7" eb="9">
      <t>カサン</t>
    </rPh>
    <rPh sb="12" eb="14">
      <t>ゾウシュウ</t>
    </rPh>
    <rPh sb="16" eb="19">
      <t>ホイクシ</t>
    </rPh>
    <rPh sb="20" eb="22">
      <t>ゾウイン</t>
    </rPh>
    <rPh sb="24" eb="26">
      <t>トウガイ</t>
    </rPh>
    <rPh sb="26" eb="28">
      <t>ホイク</t>
    </rPh>
    <rPh sb="28" eb="29">
      <t>ショ</t>
    </rPh>
    <rPh sb="29" eb="31">
      <t>ゼンタイ</t>
    </rPh>
    <rPh sb="32" eb="34">
      <t>ショクイン</t>
    </rPh>
    <rPh sb="35" eb="37">
      <t>チンギン</t>
    </rPh>
    <rPh sb="37" eb="39">
      <t>カイゼン</t>
    </rPh>
    <rPh sb="40" eb="41">
      <t>ア</t>
    </rPh>
    <phoneticPr fontId="1"/>
  </si>
  <si>
    <t>民間保育施設職員定数及び職員現況調書</t>
    <rPh sb="0" eb="2">
      <t>ミンカン</t>
    </rPh>
    <rPh sb="2" eb="4">
      <t>ホイク</t>
    </rPh>
    <rPh sb="4" eb="6">
      <t>シセツ</t>
    </rPh>
    <rPh sb="6" eb="8">
      <t>ショクイン</t>
    </rPh>
    <rPh sb="8" eb="10">
      <t>テイスウ</t>
    </rPh>
    <rPh sb="10" eb="11">
      <t>オヨ</t>
    </rPh>
    <rPh sb="12" eb="14">
      <t>ショクイン</t>
    </rPh>
    <rPh sb="14" eb="16">
      <t>ゲンキョウ</t>
    </rPh>
    <rPh sb="16" eb="18">
      <t>チョウショ</t>
    </rPh>
    <phoneticPr fontId="6"/>
  </si>
  <si>
    <t>園名</t>
    <rPh sb="0" eb="1">
      <t>エン</t>
    </rPh>
    <rPh sb="1" eb="2">
      <t>メイ</t>
    </rPh>
    <phoneticPr fontId="6"/>
  </si>
  <si>
    <t>氏名</t>
    <rPh sb="0" eb="2">
      <t>シメイ</t>
    </rPh>
    <phoneticPr fontId="6"/>
  </si>
  <si>
    <t>年齢（歳）</t>
    <rPh sb="0" eb="2">
      <t>ネンレイ</t>
    </rPh>
    <rPh sb="3" eb="4">
      <t>サイ</t>
    </rPh>
    <phoneticPr fontId="6"/>
  </si>
  <si>
    <t>保有する資格について</t>
    <rPh sb="0" eb="2">
      <t>ホユウ</t>
    </rPh>
    <rPh sb="4" eb="6">
      <t>シカク</t>
    </rPh>
    <phoneticPr fontId="6"/>
  </si>
  <si>
    <t>採用等</t>
    <rPh sb="0" eb="2">
      <t>サイヨウ</t>
    </rPh>
    <rPh sb="2" eb="3">
      <t>トウ</t>
    </rPh>
    <phoneticPr fontId="6"/>
  </si>
  <si>
    <t>退職等</t>
    <rPh sb="0" eb="2">
      <t>タイショク</t>
    </rPh>
    <rPh sb="2" eb="3">
      <t>トウ</t>
    </rPh>
    <phoneticPr fontId="6"/>
  </si>
  <si>
    <t>主に従事
する業務</t>
    <rPh sb="0" eb="1">
      <t>オモ</t>
    </rPh>
    <rPh sb="2" eb="4">
      <t>ジュウジ</t>
    </rPh>
    <rPh sb="7" eb="9">
      <t>ギョウム</t>
    </rPh>
    <phoneticPr fontId="6"/>
  </si>
  <si>
    <t>雇用形態
（補助金）</t>
    <rPh sb="0" eb="2">
      <t>コヨウ</t>
    </rPh>
    <rPh sb="2" eb="4">
      <t>ケイタイ</t>
    </rPh>
    <rPh sb="6" eb="9">
      <t>ホジョキン</t>
    </rPh>
    <phoneticPr fontId="1"/>
  </si>
  <si>
    <t>要件緩和</t>
    <rPh sb="0" eb="2">
      <t>ヨウケン</t>
    </rPh>
    <rPh sb="2" eb="4">
      <t>カンワ</t>
    </rPh>
    <phoneticPr fontId="1"/>
  </si>
  <si>
    <t>保育士</t>
    <rPh sb="0" eb="3">
      <t>ホイクシ</t>
    </rPh>
    <phoneticPr fontId="6"/>
  </si>
  <si>
    <t>幼稚園教諭</t>
    <rPh sb="0" eb="5">
      <t>ヨウチエンキョウユ</t>
    </rPh>
    <phoneticPr fontId="1"/>
  </si>
  <si>
    <t>小学校教諭</t>
    <rPh sb="0" eb="3">
      <t>ショウガッコウ</t>
    </rPh>
    <rPh sb="3" eb="5">
      <t>キョウユ</t>
    </rPh>
    <phoneticPr fontId="1"/>
  </si>
  <si>
    <t>養護教諭</t>
    <rPh sb="0" eb="2">
      <t>ヨウゴ</t>
    </rPh>
    <rPh sb="2" eb="4">
      <t>キョウユ</t>
    </rPh>
    <phoneticPr fontId="1"/>
  </si>
  <si>
    <t>保健師</t>
    <rPh sb="0" eb="3">
      <t>ホケンシ</t>
    </rPh>
    <phoneticPr fontId="1"/>
  </si>
  <si>
    <t>看護師</t>
    <rPh sb="0" eb="3">
      <t>カンゴシ</t>
    </rPh>
    <phoneticPr fontId="1"/>
  </si>
  <si>
    <t>准看護師</t>
    <rPh sb="0" eb="4">
      <t>ジュンカンゴシ</t>
    </rPh>
    <phoneticPr fontId="1"/>
  </si>
  <si>
    <t>(管理)栄養士</t>
    <rPh sb="1" eb="3">
      <t>カンリ</t>
    </rPh>
    <rPh sb="4" eb="7">
      <t>エイヨウシ</t>
    </rPh>
    <phoneticPr fontId="1"/>
  </si>
  <si>
    <t>調理師</t>
    <rPh sb="0" eb="3">
      <t>チョウリシ</t>
    </rPh>
    <phoneticPr fontId="1"/>
  </si>
  <si>
    <t>年月日</t>
    <rPh sb="0" eb="3">
      <t>ネンガッピ</t>
    </rPh>
    <phoneticPr fontId="1"/>
  </si>
  <si>
    <t>事由</t>
    <rPh sb="0" eb="2">
      <t>ジユウ</t>
    </rPh>
    <phoneticPr fontId="1"/>
  </si>
  <si>
    <t>資格あり</t>
    <rPh sb="0" eb="2">
      <t>シカク</t>
    </rPh>
    <phoneticPr fontId="1"/>
  </si>
  <si>
    <t>資格なし</t>
    <rPh sb="0" eb="2">
      <t>シカク</t>
    </rPh>
    <phoneticPr fontId="1"/>
  </si>
  <si>
    <t>該当</t>
    <rPh sb="0" eb="2">
      <t>ガイトウ</t>
    </rPh>
    <phoneticPr fontId="1"/>
  </si>
  <si>
    <t>国費要件</t>
    <rPh sb="0" eb="2">
      <t>コクヒ</t>
    </rPh>
    <rPh sb="2" eb="4">
      <t>ヨウケン</t>
    </rPh>
    <phoneticPr fontId="1"/>
  </si>
  <si>
    <t>採用</t>
    <rPh sb="0" eb="2">
      <t>サイヨウ</t>
    </rPh>
    <phoneticPr fontId="1"/>
  </si>
  <si>
    <t>園長</t>
    <rPh sb="0" eb="2">
      <t>エンチョウ</t>
    </rPh>
    <phoneticPr fontId="1"/>
  </si>
  <si>
    <t>副園長</t>
    <rPh sb="0" eb="3">
      <t>フクエンチョウ</t>
    </rPh>
    <phoneticPr fontId="1"/>
  </si>
  <si>
    <t>主任</t>
    <rPh sb="0" eb="2">
      <t>シュニン</t>
    </rPh>
    <phoneticPr fontId="1"/>
  </si>
  <si>
    <t>通常保育</t>
    <rPh sb="0" eb="2">
      <t>ツウジョウ</t>
    </rPh>
    <rPh sb="2" eb="4">
      <t>ホイク</t>
    </rPh>
    <phoneticPr fontId="1"/>
  </si>
  <si>
    <t>3歳未満</t>
    <rPh sb="1" eb="4">
      <t>サイミマン</t>
    </rPh>
    <phoneticPr fontId="1"/>
  </si>
  <si>
    <t>基本分</t>
    <rPh sb="0" eb="2">
      <t>キホン</t>
    </rPh>
    <rPh sb="2" eb="3">
      <t>ブン</t>
    </rPh>
    <phoneticPr fontId="1"/>
  </si>
  <si>
    <t>退職</t>
    <rPh sb="0" eb="2">
      <t>タイショク</t>
    </rPh>
    <phoneticPr fontId="1"/>
  </si>
  <si>
    <t>要配慮保育</t>
    <rPh sb="0" eb="1">
      <t>ヨウ</t>
    </rPh>
    <rPh sb="1" eb="3">
      <t>ハイリョ</t>
    </rPh>
    <rPh sb="3" eb="5">
      <t>ホイク</t>
    </rPh>
    <phoneticPr fontId="1"/>
  </si>
  <si>
    <t>要件緩和対象</t>
    <rPh sb="0" eb="2">
      <t>ヨウケン</t>
    </rPh>
    <rPh sb="2" eb="4">
      <t>カンワ</t>
    </rPh>
    <rPh sb="4" eb="6">
      <t>タイショウ</t>
    </rPh>
    <phoneticPr fontId="1"/>
  </si>
  <si>
    <t>給食室（調理）</t>
    <rPh sb="0" eb="3">
      <t>キュウショクシツ</t>
    </rPh>
    <rPh sb="4" eb="6">
      <t>チョウリ</t>
    </rPh>
    <phoneticPr fontId="1"/>
  </si>
  <si>
    <t>計</t>
    <rPh sb="0" eb="1">
      <t>ケイ</t>
    </rPh>
    <phoneticPr fontId="6"/>
  </si>
  <si>
    <t>※　　勤務形態について</t>
    <rPh sb="3" eb="5">
      <t>キンム</t>
    </rPh>
    <rPh sb="5" eb="6">
      <t>ケイ</t>
    </rPh>
    <rPh sb="6" eb="7">
      <t>タイ</t>
    </rPh>
    <phoneticPr fontId="6"/>
  </si>
  <si>
    <t>　　 ： (給付費)園の就業規則で定める常勤時間以上の勤務を行う者</t>
    <rPh sb="6" eb="8">
      <t>キュウフ</t>
    </rPh>
    <rPh sb="8" eb="9">
      <t>ヒ</t>
    </rPh>
    <rPh sb="10" eb="11">
      <t>エン</t>
    </rPh>
    <rPh sb="12" eb="14">
      <t>シュウギョウ</t>
    </rPh>
    <rPh sb="14" eb="16">
      <t>キソク</t>
    </rPh>
    <rPh sb="17" eb="18">
      <t>サダ</t>
    </rPh>
    <rPh sb="20" eb="22">
      <t>ジョウキン</t>
    </rPh>
    <rPh sb="22" eb="24">
      <t>ジカン</t>
    </rPh>
    <rPh sb="24" eb="26">
      <t>イジョウ</t>
    </rPh>
    <rPh sb="27" eb="29">
      <t>キンム</t>
    </rPh>
    <rPh sb="30" eb="31">
      <t>オコナ</t>
    </rPh>
    <rPh sb="32" eb="33">
      <t>モノ</t>
    </rPh>
    <phoneticPr fontId="6"/>
  </si>
  <si>
    <t>　　 ： （給付費）園の就業規則で定める常勤時間未満の勤務を行う者</t>
    <rPh sb="6" eb="8">
      <t>キュウフ</t>
    </rPh>
    <rPh sb="8" eb="9">
      <t>ヒ</t>
    </rPh>
    <rPh sb="10" eb="11">
      <t>エン</t>
    </rPh>
    <rPh sb="12" eb="14">
      <t>シュウギョウ</t>
    </rPh>
    <rPh sb="14" eb="16">
      <t>キソク</t>
    </rPh>
    <rPh sb="17" eb="18">
      <t>サダ</t>
    </rPh>
    <rPh sb="20" eb="22">
      <t>ジョウキン</t>
    </rPh>
    <rPh sb="22" eb="24">
      <t>ジカン</t>
    </rPh>
    <rPh sb="24" eb="26">
      <t>ミマン</t>
    </rPh>
    <rPh sb="27" eb="29">
      <t>キンム</t>
    </rPh>
    <rPh sb="30" eb="31">
      <t>オコナ</t>
    </rPh>
    <rPh sb="32" eb="33">
      <t>モノ</t>
    </rPh>
    <phoneticPr fontId="6"/>
  </si>
  <si>
    <t>系列園から異動</t>
    <rPh sb="0" eb="2">
      <t>ケイレツ</t>
    </rPh>
    <rPh sb="2" eb="3">
      <t>エン</t>
    </rPh>
    <rPh sb="5" eb="7">
      <t>イドウ</t>
    </rPh>
    <phoneticPr fontId="1"/>
  </si>
  <si>
    <t>系列園へ異動</t>
    <rPh sb="0" eb="2">
      <t>ケイレツ</t>
    </rPh>
    <rPh sb="2" eb="3">
      <t>エン</t>
    </rPh>
    <rPh sb="4" eb="6">
      <t>イドウ</t>
    </rPh>
    <phoneticPr fontId="1"/>
  </si>
  <si>
    <t>担当業務変更</t>
    <rPh sb="0" eb="2">
      <t>タントウ</t>
    </rPh>
    <rPh sb="2" eb="4">
      <t>ギョウム</t>
    </rPh>
    <rPh sb="4" eb="6">
      <t>ヘンコウ</t>
    </rPh>
    <phoneticPr fontId="1"/>
  </si>
  <si>
    <t>産・育休復帰</t>
    <rPh sb="0" eb="1">
      <t>サン</t>
    </rPh>
    <rPh sb="2" eb="4">
      <t>イクキュウ</t>
    </rPh>
    <rPh sb="4" eb="6">
      <t>フッキ</t>
    </rPh>
    <phoneticPr fontId="1"/>
  </si>
  <si>
    <t>産・育休取得</t>
    <rPh sb="0" eb="1">
      <t>サン</t>
    </rPh>
    <rPh sb="2" eb="4">
      <t>イクキュウ</t>
    </rPh>
    <rPh sb="4" eb="6">
      <t>シュトク</t>
    </rPh>
    <phoneticPr fontId="1"/>
  </si>
  <si>
    <t>a</t>
    <phoneticPr fontId="1"/>
  </si>
  <si>
    <t>病気・療養等休暇復帰</t>
    <rPh sb="0" eb="2">
      <t>ビョウキ</t>
    </rPh>
    <rPh sb="3" eb="5">
      <t>リョウヨウ</t>
    </rPh>
    <rPh sb="5" eb="6">
      <t>トウ</t>
    </rPh>
    <rPh sb="6" eb="8">
      <t>キュウカ</t>
    </rPh>
    <rPh sb="8" eb="10">
      <t>フッキ</t>
    </rPh>
    <phoneticPr fontId="1"/>
  </si>
  <si>
    <t>病気・療養等休暇取得</t>
    <rPh sb="0" eb="2">
      <t>ビョウキ</t>
    </rPh>
    <rPh sb="3" eb="5">
      <t>リョウヨウ</t>
    </rPh>
    <rPh sb="5" eb="6">
      <t>トウ</t>
    </rPh>
    <rPh sb="6" eb="8">
      <t>キュウカ</t>
    </rPh>
    <rPh sb="8" eb="10">
      <t>シュトク</t>
    </rPh>
    <phoneticPr fontId="1"/>
  </si>
  <si>
    <t>b</t>
    <phoneticPr fontId="1"/>
  </si>
  <si>
    <t>資格取得</t>
    <rPh sb="0" eb="2">
      <t>シカク</t>
    </rPh>
    <rPh sb="2" eb="4">
      <t>シュトク</t>
    </rPh>
    <phoneticPr fontId="1"/>
  </si>
  <si>
    <t>その他</t>
    <rPh sb="2" eb="3">
      <t>タ</t>
    </rPh>
    <phoneticPr fontId="1"/>
  </si>
  <si>
    <t>医療的ケア</t>
    <rPh sb="0" eb="3">
      <t>イリョウテキ</t>
    </rPh>
    <phoneticPr fontId="1"/>
  </si>
  <si>
    <t>c</t>
    <phoneticPr fontId="1"/>
  </si>
  <si>
    <t>d</t>
    <phoneticPr fontId="1"/>
  </si>
  <si>
    <t>准看護師</t>
    <rPh sb="0" eb="1">
      <t>ジュン</t>
    </rPh>
    <rPh sb="1" eb="4">
      <t>カンゴシ</t>
    </rPh>
    <phoneticPr fontId="1"/>
  </si>
  <si>
    <t>e</t>
    <phoneticPr fontId="1"/>
  </si>
  <si>
    <t>f</t>
    <phoneticPr fontId="1"/>
  </si>
  <si>
    <t>g</t>
    <phoneticPr fontId="1"/>
  </si>
  <si>
    <t>h</t>
    <phoneticPr fontId="1"/>
  </si>
  <si>
    <t>１・２歳児</t>
    <rPh sb="3" eb="4">
      <t>サイ</t>
    </rPh>
    <rPh sb="4" eb="5">
      <t>ジ</t>
    </rPh>
    <phoneticPr fontId="1"/>
  </si>
  <si>
    <t>産休明け</t>
    <rPh sb="0" eb="2">
      <t>サンキュウ</t>
    </rPh>
    <rPh sb="2" eb="3">
      <t>ア</t>
    </rPh>
    <phoneticPr fontId="1"/>
  </si>
  <si>
    <t>勤務時間数入力シート</t>
    <rPh sb="0" eb="2">
      <t>キンム</t>
    </rPh>
    <rPh sb="2" eb="4">
      <t>ジカン</t>
    </rPh>
    <rPh sb="4" eb="5">
      <t>スウ</t>
    </rPh>
    <rPh sb="5" eb="7">
      <t>ニュウリョク</t>
    </rPh>
    <phoneticPr fontId="1"/>
  </si>
  <si>
    <t>給付費カウント</t>
    <rPh sb="0" eb="2">
      <t>キュウフ</t>
    </rPh>
    <rPh sb="2" eb="3">
      <t>ヒ</t>
    </rPh>
    <phoneticPr fontId="1"/>
  </si>
  <si>
    <t>職員名</t>
    <rPh sb="0" eb="2">
      <t>ショクイン</t>
    </rPh>
    <rPh sb="2" eb="3">
      <t>メイ</t>
    </rPh>
    <phoneticPr fontId="6"/>
  </si>
  <si>
    <t>作業列</t>
    <rPh sb="0" eb="2">
      <t>サギョウ</t>
    </rPh>
    <rPh sb="2" eb="3">
      <t>レツ</t>
    </rPh>
    <phoneticPr fontId="1"/>
  </si>
  <si>
    <t>→　就業規則に定める月の「常勤時間数」</t>
    <rPh sb="2" eb="4">
      <t>シュウギョウ</t>
    </rPh>
    <rPh sb="4" eb="6">
      <t>キソク</t>
    </rPh>
    <rPh sb="7" eb="8">
      <t>サダ</t>
    </rPh>
    <rPh sb="10" eb="11">
      <t>ツキ</t>
    </rPh>
    <rPh sb="13" eb="15">
      <t>ジョウキン</t>
    </rPh>
    <rPh sb="15" eb="18">
      <t>ジカンスウ</t>
    </rPh>
    <phoneticPr fontId="1"/>
  </si>
  <si>
    <t>↓　労働契約上の就業時間（１カ月あたり）</t>
    <rPh sb="2" eb="4">
      <t>ロウドウ</t>
    </rPh>
    <rPh sb="4" eb="6">
      <t>ケイヤク</t>
    </rPh>
    <rPh sb="6" eb="7">
      <t>ジョウ</t>
    </rPh>
    <rPh sb="8" eb="10">
      <t>シュウギョウ</t>
    </rPh>
    <rPh sb="10" eb="12">
      <t>ジカン</t>
    </rPh>
    <rPh sb="15" eb="16">
      <t>ゲツ</t>
    </rPh>
    <phoneticPr fontId="1"/>
  </si>
  <si>
    <t>千葉市施設型給付対象施設保育士等配置基準改善費算出内訳書（２）</t>
    <rPh sb="0" eb="12">
      <t>＠</t>
    </rPh>
    <rPh sb="12" eb="15">
      <t>ホイクシ</t>
    </rPh>
    <rPh sb="15" eb="16">
      <t>トウ</t>
    </rPh>
    <rPh sb="16" eb="18">
      <t>ハイチ</t>
    </rPh>
    <rPh sb="18" eb="20">
      <t>キジュン</t>
    </rPh>
    <rPh sb="20" eb="23">
      <t>カイゼンヒ</t>
    </rPh>
    <rPh sb="23" eb="25">
      <t>サンシュツ</t>
    </rPh>
    <rPh sb="25" eb="28">
      <t>ウチワケショ</t>
    </rPh>
    <phoneticPr fontId="15"/>
  </si>
  <si>
    <t>（１）各月別入所児童数及び保育士定数（国基準）</t>
    <rPh sb="3" eb="4">
      <t>カク</t>
    </rPh>
    <rPh sb="4" eb="6">
      <t>ツキベツ</t>
    </rPh>
    <rPh sb="6" eb="8">
      <t>ニュウショ</t>
    </rPh>
    <rPh sb="8" eb="10">
      <t>ジドウ</t>
    </rPh>
    <rPh sb="10" eb="11">
      <t>スウ</t>
    </rPh>
    <rPh sb="11" eb="12">
      <t>オヨ</t>
    </rPh>
    <rPh sb="13" eb="16">
      <t>ホイクシ</t>
    </rPh>
    <rPh sb="16" eb="18">
      <t>テイスウ</t>
    </rPh>
    <rPh sb="19" eb="20">
      <t>クニ</t>
    </rPh>
    <rPh sb="20" eb="22">
      <t>キジュン</t>
    </rPh>
    <phoneticPr fontId="15"/>
  </si>
  <si>
    <t>施設名</t>
    <rPh sb="0" eb="2">
      <t>シセツ</t>
    </rPh>
    <rPh sb="2" eb="3">
      <t>メイ</t>
    </rPh>
    <phoneticPr fontId="15"/>
  </si>
  <si>
    <t>（児童定員）</t>
    <rPh sb="1" eb="3">
      <t>ジドウ</t>
    </rPh>
    <rPh sb="3" eb="5">
      <t>テイイン</t>
    </rPh>
    <phoneticPr fontId="15"/>
  </si>
  <si>
    <t>年齢別児童数（受託児童を含む）</t>
    <rPh sb="0" eb="2">
      <t>ネンレイ</t>
    </rPh>
    <rPh sb="2" eb="3">
      <t>ベツ</t>
    </rPh>
    <rPh sb="3" eb="5">
      <t>ジドウ</t>
    </rPh>
    <rPh sb="5" eb="6">
      <t>スウ</t>
    </rPh>
    <rPh sb="7" eb="9">
      <t>ジュタク</t>
    </rPh>
    <rPh sb="9" eb="11">
      <t>ジドウ</t>
    </rPh>
    <rPh sb="12" eb="13">
      <t>フク</t>
    </rPh>
    <phoneticPr fontId="15"/>
  </si>
  <si>
    <t>児童数計</t>
    <rPh sb="0" eb="2">
      <t>ジドウ</t>
    </rPh>
    <rPh sb="2" eb="3">
      <t>スウ</t>
    </rPh>
    <rPh sb="3" eb="4">
      <t>ケイ</t>
    </rPh>
    <phoneticPr fontId="15"/>
  </si>
  <si>
    <t>職員定数（国）
3歳児加算を付けない場合</t>
    <rPh sb="0" eb="2">
      <t>ショクイン</t>
    </rPh>
    <rPh sb="2" eb="4">
      <t>テイスウ</t>
    </rPh>
    <rPh sb="5" eb="6">
      <t>クニ</t>
    </rPh>
    <rPh sb="10" eb="12">
      <t>サイジ</t>
    </rPh>
    <rPh sb="12" eb="14">
      <t>カサン</t>
    </rPh>
    <rPh sb="15" eb="16">
      <t>ツ</t>
    </rPh>
    <rPh sb="19" eb="21">
      <t>バアイ</t>
    </rPh>
    <phoneticPr fontId="15"/>
  </si>
  <si>
    <t>0歳</t>
    <rPh sb="1" eb="2">
      <t>サイ</t>
    </rPh>
    <phoneticPr fontId="15"/>
  </si>
  <si>
    <t>1歳</t>
    <rPh sb="1" eb="2">
      <t>サイ</t>
    </rPh>
    <phoneticPr fontId="15"/>
  </si>
  <si>
    <t>2歳</t>
    <rPh sb="1" eb="2">
      <t>サイ</t>
    </rPh>
    <phoneticPr fontId="15"/>
  </si>
  <si>
    <t>3歳</t>
    <rPh sb="1" eb="2">
      <t>サイ</t>
    </rPh>
    <phoneticPr fontId="15"/>
  </si>
  <si>
    <t>4歳</t>
    <rPh sb="1" eb="2">
      <t>サイ</t>
    </rPh>
    <phoneticPr fontId="15"/>
  </si>
  <si>
    <t>5歳</t>
    <rPh sb="1" eb="2">
      <t>サイ</t>
    </rPh>
    <phoneticPr fontId="15"/>
  </si>
  <si>
    <t>０歳児</t>
    <rPh sb="1" eb="3">
      <t>サイジ</t>
    </rPh>
    <phoneticPr fontId="15"/>
  </si>
  <si>
    <t>１・２歳児</t>
    <rPh sb="3" eb="5">
      <t>サイジ</t>
    </rPh>
    <phoneticPr fontId="15"/>
  </si>
  <si>
    <t>３歳児</t>
    <rPh sb="1" eb="2">
      <t>サイ</t>
    </rPh>
    <rPh sb="2" eb="3">
      <t>ジ</t>
    </rPh>
    <phoneticPr fontId="15"/>
  </si>
  <si>
    <t>４・５歳児</t>
    <rPh sb="3" eb="5">
      <t>サイジ</t>
    </rPh>
    <phoneticPr fontId="15"/>
  </si>
  <si>
    <t>÷３</t>
    <phoneticPr fontId="15"/>
  </si>
  <si>
    <t>÷６</t>
    <phoneticPr fontId="15"/>
  </si>
  <si>
    <t>÷１５</t>
    <phoneticPr fontId="15"/>
  </si>
  <si>
    <t>÷２０</t>
    <phoneticPr fontId="15"/>
  </si>
  <si>
    <t>÷３０</t>
    <phoneticPr fontId="15"/>
  </si>
  <si>
    <t>4月</t>
    <rPh sb="1" eb="2">
      <t>ガツ</t>
    </rPh>
    <phoneticPr fontId="1"/>
  </si>
  <si>
    <t>5月</t>
  </si>
  <si>
    <t>6月</t>
  </si>
  <si>
    <t>7月</t>
  </si>
  <si>
    <t>8月</t>
  </si>
  <si>
    <t>9月</t>
  </si>
  <si>
    <t>10月</t>
  </si>
  <si>
    <t>11月</t>
  </si>
  <si>
    <t>12月</t>
  </si>
  <si>
    <t>1月</t>
  </si>
  <si>
    <t>2月</t>
  </si>
  <si>
    <t>3月</t>
  </si>
  <si>
    <t>(2)　月別配置内訳書　（A)保育士配置</t>
    <rPh sb="4" eb="6">
      <t>ツキベツ</t>
    </rPh>
    <rPh sb="6" eb="8">
      <t>ハイチ</t>
    </rPh>
    <rPh sb="8" eb="11">
      <t>ウチワケショ</t>
    </rPh>
    <rPh sb="15" eb="18">
      <t>ホイクシ</t>
    </rPh>
    <rPh sb="18" eb="20">
      <t>ハイチ</t>
    </rPh>
    <phoneticPr fontId="15"/>
  </si>
  <si>
    <t>園名  　</t>
    <rPh sb="0" eb="1">
      <t>エン</t>
    </rPh>
    <rPh sb="1" eb="2">
      <t>メイ</t>
    </rPh>
    <phoneticPr fontId="15"/>
  </si>
  <si>
    <t>←①シートの施設名に入力すると自動入力されます。</t>
    <rPh sb="6" eb="8">
      <t>シセツ</t>
    </rPh>
    <rPh sb="8" eb="9">
      <t>メイ</t>
    </rPh>
    <rPh sb="10" eb="12">
      <t>ニュウリョク</t>
    </rPh>
    <rPh sb="15" eb="17">
      <t>ジドウ</t>
    </rPh>
    <rPh sb="17" eb="19">
      <t>ニュウリョク</t>
    </rPh>
    <phoneticPr fontId="1"/>
  </si>
  <si>
    <t>月</t>
    <rPh sb="0" eb="1">
      <t>ツキ</t>
    </rPh>
    <phoneticPr fontId="15"/>
  </si>
  <si>
    <r>
      <t>職員定数　</t>
    </r>
    <r>
      <rPr>
        <sz val="14"/>
        <rFont val="ＭＳ Ｐゴシック"/>
        <family val="3"/>
        <charset val="128"/>
      </rPr>
      <t>Ａ</t>
    </r>
    <rPh sb="0" eb="2">
      <t>ショクイン</t>
    </rPh>
    <rPh sb="2" eb="4">
      <t>テイスウ</t>
    </rPh>
    <phoneticPr fontId="15"/>
  </si>
  <si>
    <t>保育士の確保数（※２）</t>
    <rPh sb="0" eb="3">
      <t>ホイクシ</t>
    </rPh>
    <rPh sb="4" eb="6">
      <t>カクホ</t>
    </rPh>
    <rPh sb="6" eb="7">
      <t>スウ</t>
    </rPh>
    <phoneticPr fontId="1"/>
  </si>
  <si>
    <t>就業規則で定める月の常勤時間数</t>
    <rPh sb="0" eb="2">
      <t>シュウギョウ</t>
    </rPh>
    <rPh sb="2" eb="4">
      <t>キソク</t>
    </rPh>
    <rPh sb="5" eb="6">
      <t>サダ</t>
    </rPh>
    <rPh sb="8" eb="9">
      <t>ツキ</t>
    </rPh>
    <rPh sb="10" eb="12">
      <t>ジョウキン</t>
    </rPh>
    <rPh sb="12" eb="14">
      <t>ジカン</t>
    </rPh>
    <rPh sb="14" eb="15">
      <t>スウ</t>
    </rPh>
    <phoneticPr fontId="15"/>
  </si>
  <si>
    <t>保育士配置</t>
    <rPh sb="0" eb="5">
      <t>ホイクシハイチ</t>
    </rPh>
    <phoneticPr fontId="15"/>
  </si>
  <si>
    <t>加配数</t>
    <rPh sb="0" eb="1">
      <t>カ</t>
    </rPh>
    <rPh sb="1" eb="2">
      <t>ハイ</t>
    </rPh>
    <rPh sb="2" eb="3">
      <t>スウ</t>
    </rPh>
    <phoneticPr fontId="15"/>
  </si>
  <si>
    <t>B表</t>
    <rPh sb="1" eb="2">
      <t>ヒョウ</t>
    </rPh>
    <phoneticPr fontId="1"/>
  </si>
  <si>
    <t>C表</t>
    <rPh sb="1" eb="2">
      <t>ヒョウ</t>
    </rPh>
    <phoneticPr fontId="1"/>
  </si>
  <si>
    <t>E</t>
    <phoneticPr fontId="15"/>
  </si>
  <si>
    <t>雇用人数</t>
    <rPh sb="0" eb="2">
      <t>コヨウ</t>
    </rPh>
    <rPh sb="2" eb="4">
      <t>ニンズウ</t>
    </rPh>
    <phoneticPr fontId="15"/>
  </si>
  <si>
    <t>主任
保育士</t>
    <rPh sb="0" eb="2">
      <t>シュニン</t>
    </rPh>
    <rPh sb="3" eb="6">
      <t>ホイクシ</t>
    </rPh>
    <phoneticPr fontId="15"/>
  </si>
  <si>
    <t>一時預かり</t>
    <rPh sb="0" eb="2">
      <t>イチジ</t>
    </rPh>
    <rPh sb="2" eb="3">
      <t>アズ</t>
    </rPh>
    <phoneticPr fontId="15"/>
  </si>
  <si>
    <t>チーム保育推進加算</t>
    <rPh sb="3" eb="5">
      <t>ホイク</t>
    </rPh>
    <rPh sb="5" eb="7">
      <t>スイシン</t>
    </rPh>
    <rPh sb="7" eb="9">
      <t>カサン</t>
    </rPh>
    <phoneticPr fontId="15"/>
  </si>
  <si>
    <t>支援センター</t>
    <rPh sb="0" eb="2">
      <t>シエン</t>
    </rPh>
    <phoneticPr fontId="15"/>
  </si>
  <si>
    <t>その他</t>
    <phoneticPr fontId="15"/>
  </si>
  <si>
    <t>通常保育</t>
    <rPh sb="0" eb="2">
      <t>ツウジョウ</t>
    </rPh>
    <rPh sb="2" eb="4">
      <t>ホイク</t>
    </rPh>
    <phoneticPr fontId="15"/>
  </si>
  <si>
    <t>要件緩和の算定可能数</t>
    <phoneticPr fontId="1"/>
  </si>
  <si>
    <t>保健師・看護師・准看護師の算定可能数</t>
    <rPh sb="0" eb="3">
      <t>ホケンシ</t>
    </rPh>
    <rPh sb="4" eb="7">
      <t>カンゴシ</t>
    </rPh>
    <rPh sb="8" eb="12">
      <t>ジュンカンゴシ</t>
    </rPh>
    <phoneticPr fontId="1"/>
  </si>
  <si>
    <t xml:space="preserve">配置の状況  </t>
    <rPh sb="0" eb="2">
      <t>ハイチ</t>
    </rPh>
    <rPh sb="3" eb="5">
      <t>ジョウキョウ</t>
    </rPh>
    <phoneticPr fontId="15"/>
  </si>
  <si>
    <t>正規職員</t>
    <rPh sb="0" eb="2">
      <t>セイキ</t>
    </rPh>
    <rPh sb="2" eb="4">
      <t>ショクイン</t>
    </rPh>
    <phoneticPr fontId="15"/>
  </si>
  <si>
    <t>常勤的非常勤</t>
    <rPh sb="0" eb="3">
      <t>ジョウキンテキ</t>
    </rPh>
    <rPh sb="3" eb="6">
      <t>ヒジョウキン</t>
    </rPh>
    <phoneticPr fontId="15"/>
  </si>
  <si>
    <t>短時間非常勤の時間数計（※２）</t>
    <rPh sb="0" eb="3">
      <t>タンジカン</t>
    </rPh>
    <rPh sb="3" eb="6">
      <t>ヒジョウキン</t>
    </rPh>
    <rPh sb="7" eb="10">
      <t>ジカンスウ</t>
    </rPh>
    <rPh sb="10" eb="11">
      <t>ケイ</t>
    </rPh>
    <phoneticPr fontId="15"/>
  </si>
  <si>
    <t>常勤の者</t>
    <rPh sb="0" eb="2">
      <t>ジョウキン</t>
    </rPh>
    <rPh sb="3" eb="4">
      <t>モノ</t>
    </rPh>
    <phoneticPr fontId="1"/>
  </si>
  <si>
    <t>非常勤の者（時間数）</t>
    <rPh sb="0" eb="3">
      <t>ヒジョウキン</t>
    </rPh>
    <rPh sb="4" eb="5">
      <t>モノ</t>
    </rPh>
    <rPh sb="6" eb="9">
      <t>ジカンスウ</t>
    </rPh>
    <phoneticPr fontId="15"/>
  </si>
  <si>
    <t>（所長設置加算該当保育園のみ）</t>
    <rPh sb="1" eb="3">
      <t>ショチョウ</t>
    </rPh>
    <rPh sb="3" eb="5">
      <t>セッチ</t>
    </rPh>
    <rPh sb="5" eb="7">
      <t>カサン</t>
    </rPh>
    <rPh sb="7" eb="9">
      <t>ガイトウ</t>
    </rPh>
    <rPh sb="9" eb="12">
      <t>ホイクエン</t>
    </rPh>
    <phoneticPr fontId="15"/>
  </si>
  <si>
    <t>（主任専任加算該当保育園のみ）</t>
    <rPh sb="1" eb="3">
      <t>シュニン</t>
    </rPh>
    <rPh sb="3" eb="5">
      <t>センニン</t>
    </rPh>
    <rPh sb="5" eb="7">
      <t>カサン</t>
    </rPh>
    <rPh sb="7" eb="9">
      <t>ガイトウ</t>
    </rPh>
    <rPh sb="9" eb="12">
      <t>ホイクエン</t>
    </rPh>
    <phoneticPr fontId="15"/>
  </si>
  <si>
    <t>常勤的非常勤・嘱託常勤</t>
    <rPh sb="0" eb="3">
      <t>ジョウキンテキ</t>
    </rPh>
    <rPh sb="3" eb="6">
      <t>ヒジョウキン</t>
    </rPh>
    <rPh sb="7" eb="9">
      <t>ショクタク</t>
    </rPh>
    <rPh sb="9" eb="11">
      <t>ジョウキン</t>
    </rPh>
    <phoneticPr fontId="15"/>
  </si>
  <si>
    <t>短時間非常勤等
の時間数</t>
    <rPh sb="0" eb="3">
      <t>タンジカン</t>
    </rPh>
    <rPh sb="3" eb="6">
      <t>ヒジョウキン</t>
    </rPh>
    <rPh sb="6" eb="7">
      <t>トウ</t>
    </rPh>
    <rPh sb="9" eb="12">
      <t>ジカンスウ</t>
    </rPh>
    <phoneticPr fontId="15"/>
  </si>
  <si>
    <t>短時間非常勤（常勤換算）</t>
    <rPh sb="0" eb="3">
      <t>タンジカン</t>
    </rPh>
    <rPh sb="3" eb="6">
      <t>ヒジョウキン</t>
    </rPh>
    <rPh sb="7" eb="9">
      <t>ジョウキン</t>
    </rPh>
    <rPh sb="9" eb="11">
      <t>カンサン</t>
    </rPh>
    <phoneticPr fontId="15"/>
  </si>
  <si>
    <r>
      <t>計　　　</t>
    </r>
    <r>
      <rPr>
        <sz val="14"/>
        <rFont val="ＭＳ Ｐゴシック"/>
        <family val="3"/>
        <charset val="128"/>
      </rPr>
      <t>Ｂ</t>
    </r>
    <rPh sb="0" eb="1">
      <t>ケイ</t>
    </rPh>
    <phoneticPr fontId="15"/>
  </si>
  <si>
    <t>定数の充足状況
（不足数）</t>
    <rPh sb="0" eb="2">
      <t>テイスウ</t>
    </rPh>
    <rPh sb="3" eb="5">
      <t>ジュウソク</t>
    </rPh>
    <rPh sb="5" eb="7">
      <t>ジョウキョウ</t>
    </rPh>
    <rPh sb="9" eb="11">
      <t>フソク</t>
    </rPh>
    <rPh sb="11" eb="12">
      <t>スウ</t>
    </rPh>
    <phoneticPr fontId="1"/>
  </si>
  <si>
    <t>補助金対象者数
（支給可否）</t>
    <rPh sb="0" eb="2">
      <t>ホジョ</t>
    </rPh>
    <rPh sb="2" eb="3">
      <t>キン</t>
    </rPh>
    <rPh sb="3" eb="5">
      <t>タイショウ</t>
    </rPh>
    <rPh sb="5" eb="6">
      <t>シャ</t>
    </rPh>
    <rPh sb="6" eb="7">
      <t>スウ</t>
    </rPh>
    <rPh sb="9" eb="11">
      <t>シキュウ</t>
    </rPh>
    <rPh sb="11" eb="13">
      <t>カヒ</t>
    </rPh>
    <phoneticPr fontId="1"/>
  </si>
  <si>
    <t>（※１）</t>
  </si>
  <si>
    <t>Ｃ</t>
    <phoneticPr fontId="15"/>
  </si>
  <si>
    <t>定数参入可能数</t>
    <rPh sb="0" eb="2">
      <t>テイスウ</t>
    </rPh>
    <rPh sb="2" eb="4">
      <t>サンニュウ</t>
    </rPh>
    <rPh sb="4" eb="6">
      <t>カノウ</t>
    </rPh>
    <rPh sb="6" eb="7">
      <t>スウ</t>
    </rPh>
    <phoneticPr fontId="15"/>
  </si>
  <si>
    <t>加配数</t>
    <rPh sb="0" eb="2">
      <t>カハイ</t>
    </rPh>
    <rPh sb="2" eb="3">
      <t>スウ</t>
    </rPh>
    <phoneticPr fontId="1"/>
  </si>
  <si>
    <t>ａ</t>
    <phoneticPr fontId="15"/>
  </si>
  <si>
    <t>ｂ</t>
    <phoneticPr fontId="15"/>
  </si>
  <si>
    <t>ｃ</t>
    <phoneticPr fontId="15"/>
  </si>
  <si>
    <t>d</t>
  </si>
  <si>
    <t>e</t>
  </si>
  <si>
    <t>★</t>
    <phoneticPr fontId="15"/>
  </si>
  <si>
    <t>f</t>
  </si>
  <si>
    <t>g</t>
  </si>
  <si>
    <t>h</t>
  </si>
  <si>
    <t>i</t>
  </si>
  <si>
    <t>j</t>
  </si>
  <si>
    <t>ｎ</t>
  </si>
  <si>
    <t>o</t>
  </si>
  <si>
    <t>p</t>
  </si>
  <si>
    <t>q</t>
  </si>
  <si>
    <t>r</t>
  </si>
  <si>
    <t>s</t>
  </si>
  <si>
    <t>t</t>
  </si>
  <si>
    <t>u</t>
  </si>
  <si>
    <t>v</t>
  </si>
  <si>
    <t>w</t>
  </si>
  <si>
    <t>x</t>
  </si>
  <si>
    <t>y</t>
  </si>
  <si>
    <t>ｚ</t>
    <phoneticPr fontId="15"/>
  </si>
  <si>
    <t>aa</t>
    <phoneticPr fontId="15"/>
  </si>
  <si>
    <t>ab</t>
    <phoneticPr fontId="1"/>
  </si>
  <si>
    <t>（B-A)</t>
    <phoneticPr fontId="1"/>
  </si>
  <si>
    <t>※１</t>
    <phoneticPr fontId="15"/>
  </si>
  <si>
    <t>　　Ａは「各月別入所児童数及び保育士定数」のＡと同じです。</t>
    <phoneticPr fontId="15"/>
  </si>
  <si>
    <t>※２</t>
    <phoneticPr fontId="15"/>
  </si>
  <si>
    <t>　　主任保育士、一時預かり、障害児保育、その他（支援センター、チーム保育推進加算等）に従事する保育士を含んだ人数。</t>
    <rPh sb="2" eb="4">
      <t>シュニン</t>
    </rPh>
    <rPh sb="4" eb="7">
      <t>ホイクシ</t>
    </rPh>
    <rPh sb="8" eb="10">
      <t>イチジ</t>
    </rPh>
    <rPh sb="10" eb="11">
      <t>アズ</t>
    </rPh>
    <rPh sb="14" eb="17">
      <t>ショウガイジ</t>
    </rPh>
    <rPh sb="17" eb="19">
      <t>ホイク</t>
    </rPh>
    <rPh sb="22" eb="23">
      <t>タ</t>
    </rPh>
    <rPh sb="24" eb="26">
      <t>シエン</t>
    </rPh>
    <rPh sb="34" eb="36">
      <t>ホイク</t>
    </rPh>
    <rPh sb="36" eb="38">
      <t>スイシン</t>
    </rPh>
    <rPh sb="38" eb="40">
      <t>カサン</t>
    </rPh>
    <rPh sb="40" eb="41">
      <t>トウ</t>
    </rPh>
    <rPh sb="43" eb="45">
      <t>ジュウジ</t>
    </rPh>
    <rPh sb="47" eb="50">
      <t>ホイクシ</t>
    </rPh>
    <rPh sb="51" eb="52">
      <t>フク</t>
    </rPh>
    <rPh sb="54" eb="56">
      <t>ニンズウ</t>
    </rPh>
    <phoneticPr fontId="15"/>
  </si>
  <si>
    <t>※３</t>
    <phoneticPr fontId="15"/>
  </si>
  <si>
    <t>(2)　月別配置内訳書　（B)要件緩和職員配置</t>
    <rPh sb="4" eb="6">
      <t>ツキベツ</t>
    </rPh>
    <rPh sb="6" eb="8">
      <t>ハイチ</t>
    </rPh>
    <rPh sb="8" eb="11">
      <t>ウチワケショ</t>
    </rPh>
    <rPh sb="15" eb="17">
      <t>ヨウケン</t>
    </rPh>
    <rPh sb="17" eb="19">
      <t>カンワ</t>
    </rPh>
    <rPh sb="19" eb="21">
      <t>ショクイン</t>
    </rPh>
    <rPh sb="21" eb="23">
      <t>ハイチ</t>
    </rPh>
    <phoneticPr fontId="15"/>
  </si>
  <si>
    <t>要件緩和対象職員</t>
    <rPh sb="0" eb="2">
      <t>ヨウケン</t>
    </rPh>
    <rPh sb="2" eb="4">
      <t>カンワ</t>
    </rPh>
    <rPh sb="4" eb="6">
      <t>タイショウ</t>
    </rPh>
    <rPh sb="6" eb="8">
      <t>ショクイン</t>
    </rPh>
    <phoneticPr fontId="15"/>
  </si>
  <si>
    <t>配置状況</t>
    <rPh sb="0" eb="2">
      <t>ハイチ</t>
    </rPh>
    <rPh sb="2" eb="4">
      <t>ジョウキョウ</t>
    </rPh>
    <phoneticPr fontId="1"/>
  </si>
  <si>
    <t>計Bの内訳</t>
    <rPh sb="0" eb="1">
      <t>ケイ</t>
    </rPh>
    <rPh sb="3" eb="5">
      <t>ウチワケ</t>
    </rPh>
    <phoneticPr fontId="1"/>
  </si>
  <si>
    <t>幼稚園教諭・小学校教諭・養護教諭</t>
    <rPh sb="0" eb="3">
      <t>ヨウチエン</t>
    </rPh>
    <rPh sb="3" eb="5">
      <t>キョウユ</t>
    </rPh>
    <rPh sb="6" eb="9">
      <t>ショウガッコウ</t>
    </rPh>
    <rPh sb="9" eb="11">
      <t>キョウユ</t>
    </rPh>
    <rPh sb="12" eb="14">
      <t>ヨウゴ</t>
    </rPh>
    <rPh sb="14" eb="16">
      <t>キョウユ</t>
    </rPh>
    <phoneticPr fontId="15"/>
  </si>
  <si>
    <t>その他市長が認める者</t>
    <rPh sb="2" eb="3">
      <t>タ</t>
    </rPh>
    <rPh sb="3" eb="5">
      <t>シチョウ</t>
    </rPh>
    <rPh sb="6" eb="7">
      <t>ミト</t>
    </rPh>
    <rPh sb="9" eb="10">
      <t>モノ</t>
    </rPh>
    <phoneticPr fontId="1"/>
  </si>
  <si>
    <t>（A表へ転記）</t>
    <rPh sb="2" eb="3">
      <t>ヒョウ</t>
    </rPh>
    <rPh sb="4" eb="6">
      <t>テンキ</t>
    </rPh>
    <phoneticPr fontId="1"/>
  </si>
  <si>
    <t>正規職員</t>
    <rPh sb="0" eb="2">
      <t>セイキ</t>
    </rPh>
    <rPh sb="2" eb="4">
      <t>ショクイン</t>
    </rPh>
    <phoneticPr fontId="1"/>
  </si>
  <si>
    <t>常勤的非常勤</t>
    <rPh sb="0" eb="3">
      <t>ジョウキンテキ</t>
    </rPh>
    <rPh sb="3" eb="6">
      <t>ヒジョウキン</t>
    </rPh>
    <phoneticPr fontId="1"/>
  </si>
  <si>
    <t>短時間の時間数計</t>
    <rPh sb="0" eb="3">
      <t>タンジカン</t>
    </rPh>
    <rPh sb="4" eb="7">
      <t>ジカンスウ</t>
    </rPh>
    <rPh sb="7" eb="8">
      <t>ケイ</t>
    </rPh>
    <phoneticPr fontId="1"/>
  </si>
  <si>
    <t>i</t>
    <phoneticPr fontId="15"/>
  </si>
  <si>
    <t>j</t>
    <phoneticPr fontId="1"/>
  </si>
  <si>
    <t>k</t>
    <phoneticPr fontId="15"/>
  </si>
  <si>
    <t>l</t>
    <phoneticPr fontId="15"/>
  </si>
  <si>
    <t>m</t>
    <phoneticPr fontId="15"/>
  </si>
  <si>
    <t>q</t>
    <phoneticPr fontId="15"/>
  </si>
  <si>
    <t>r</t>
    <phoneticPr fontId="15"/>
  </si>
  <si>
    <t>s</t>
    <phoneticPr fontId="15"/>
  </si>
  <si>
    <t>t</t>
    <phoneticPr fontId="1"/>
  </si>
  <si>
    <t>u</t>
    <phoneticPr fontId="1"/>
  </si>
  <si>
    <t>v</t>
    <phoneticPr fontId="1"/>
  </si>
  <si>
    <t>w</t>
    <phoneticPr fontId="15"/>
  </si>
  <si>
    <t>x</t>
    <phoneticPr fontId="15"/>
  </si>
  <si>
    <t>y</t>
    <phoneticPr fontId="15"/>
  </si>
  <si>
    <t>z</t>
    <phoneticPr fontId="1"/>
  </si>
  <si>
    <t>aa</t>
    <phoneticPr fontId="1"/>
  </si>
  <si>
    <t>ac</t>
    <phoneticPr fontId="15"/>
  </si>
  <si>
    <t>ad</t>
    <phoneticPr fontId="15"/>
  </si>
  <si>
    <t>ae</t>
    <phoneticPr fontId="15"/>
  </si>
  <si>
    <t>保健師の確保数</t>
    <rPh sb="0" eb="3">
      <t>ホケンシ</t>
    </rPh>
    <rPh sb="4" eb="6">
      <t>カクホ</t>
    </rPh>
    <rPh sb="6" eb="7">
      <t>スウ</t>
    </rPh>
    <phoneticPr fontId="1"/>
  </si>
  <si>
    <t>看護師の確保数</t>
    <rPh sb="0" eb="3">
      <t>カンゴシ</t>
    </rPh>
    <rPh sb="4" eb="6">
      <t>カクホ</t>
    </rPh>
    <rPh sb="6" eb="7">
      <t>スウ</t>
    </rPh>
    <phoneticPr fontId="1"/>
  </si>
  <si>
    <t>准看護師の確保数</t>
    <rPh sb="0" eb="4">
      <t>ジュンカンゴシ</t>
    </rPh>
    <rPh sb="5" eb="7">
      <t>カクホ</t>
    </rPh>
    <rPh sb="7" eb="8">
      <t>スウ</t>
    </rPh>
    <phoneticPr fontId="1"/>
  </si>
  <si>
    <t>計Bの
内訳</t>
    <rPh sb="0" eb="1">
      <t>ケイ</t>
    </rPh>
    <rPh sb="4" eb="6">
      <t>ウチワケ</t>
    </rPh>
    <phoneticPr fontId="1"/>
  </si>
  <si>
    <t>調理員等定数</t>
    <rPh sb="0" eb="3">
      <t>チョウリイン</t>
    </rPh>
    <rPh sb="3" eb="4">
      <t>トウ</t>
    </rPh>
    <rPh sb="4" eb="6">
      <t>テイスウ</t>
    </rPh>
    <phoneticPr fontId="15"/>
  </si>
  <si>
    <t>（管理）栄養士の確保数</t>
    <rPh sb="1" eb="3">
      <t>カンリ</t>
    </rPh>
    <rPh sb="4" eb="7">
      <t>エイヨウシ</t>
    </rPh>
    <rPh sb="8" eb="10">
      <t>カクホ</t>
    </rPh>
    <rPh sb="10" eb="11">
      <t>スウ</t>
    </rPh>
    <phoneticPr fontId="1"/>
  </si>
  <si>
    <t>調理師の確保数</t>
    <rPh sb="0" eb="3">
      <t>チョウリシ</t>
    </rPh>
    <rPh sb="4" eb="6">
      <t>カクホ</t>
    </rPh>
    <rPh sb="6" eb="7">
      <t>スウ</t>
    </rPh>
    <phoneticPr fontId="1"/>
  </si>
  <si>
    <t>その他調理員の確保数</t>
    <rPh sb="2" eb="3">
      <t>タ</t>
    </rPh>
    <rPh sb="3" eb="6">
      <t>チョウリイン</t>
    </rPh>
    <rPh sb="7" eb="9">
      <t>カクホ</t>
    </rPh>
    <rPh sb="9" eb="10">
      <t>スウ</t>
    </rPh>
    <phoneticPr fontId="1"/>
  </si>
  <si>
    <t>配置数合計</t>
    <rPh sb="0" eb="2">
      <t>ハイチ</t>
    </rPh>
    <rPh sb="2" eb="3">
      <t>スウ</t>
    </rPh>
    <rPh sb="3" eb="5">
      <t>ゴウケイ</t>
    </rPh>
    <phoneticPr fontId="15"/>
  </si>
  <si>
    <t>短時間非常勤
（常勤換算）</t>
    <rPh sb="0" eb="3">
      <t>タンジカン</t>
    </rPh>
    <rPh sb="3" eb="6">
      <t>ヒジョウキン</t>
    </rPh>
    <rPh sb="8" eb="10">
      <t>ジョウキン</t>
    </rPh>
    <rPh sb="10" eb="12">
      <t>カンサン</t>
    </rPh>
    <phoneticPr fontId="15"/>
  </si>
  <si>
    <t>（A表へ
転記）</t>
    <rPh sb="2" eb="3">
      <t>ヒョウ</t>
    </rPh>
    <rPh sb="5" eb="7">
      <t>テンキ</t>
    </rPh>
    <phoneticPr fontId="1"/>
  </si>
  <si>
    <t>短時間非常勤職員の時間数計（※２）</t>
    <rPh sb="0" eb="3">
      <t>タンジカン</t>
    </rPh>
    <rPh sb="3" eb="6">
      <t>ヒジョウキン</t>
    </rPh>
    <rPh sb="6" eb="8">
      <t>ショクイン</t>
    </rPh>
    <rPh sb="9" eb="12">
      <t>ジカンスウ</t>
    </rPh>
    <rPh sb="12" eb="13">
      <t>ケイ</t>
    </rPh>
    <phoneticPr fontId="15"/>
  </si>
  <si>
    <t>計</t>
    <rPh sb="0" eb="1">
      <t>ケイ</t>
    </rPh>
    <phoneticPr fontId="15"/>
  </si>
  <si>
    <t>a</t>
    <phoneticPr fontId="15"/>
  </si>
  <si>
    <t>b</t>
    <phoneticPr fontId="15"/>
  </si>
  <si>
    <t>c</t>
    <phoneticPr fontId="15"/>
  </si>
  <si>
    <t>i</t>
    <phoneticPr fontId="1"/>
  </si>
  <si>
    <t>k</t>
    <phoneticPr fontId="1"/>
  </si>
  <si>
    <t>l</t>
    <phoneticPr fontId="1"/>
  </si>
  <si>
    <t>m</t>
    <phoneticPr fontId="1"/>
  </si>
  <si>
    <t>n</t>
    <phoneticPr fontId="1"/>
  </si>
  <si>
    <t>o</t>
    <phoneticPr fontId="1"/>
  </si>
  <si>
    <t>p</t>
    <phoneticPr fontId="1"/>
  </si>
  <si>
    <t>t</t>
    <phoneticPr fontId="15"/>
  </si>
  <si>
    <t>u</t>
    <phoneticPr fontId="15"/>
  </si>
  <si>
    <t>v</t>
    <phoneticPr fontId="15"/>
  </si>
  <si>
    <t>千葉市施設型給付対象施設保育士等配置基準改善費算出内訳書（３）</t>
    <rPh sb="0" eb="12">
      <t>＠</t>
    </rPh>
    <rPh sb="12" eb="15">
      <t>ホイクシ</t>
    </rPh>
    <rPh sb="15" eb="16">
      <t>トウ</t>
    </rPh>
    <rPh sb="16" eb="18">
      <t>ハイチ</t>
    </rPh>
    <rPh sb="18" eb="20">
      <t>キジュン</t>
    </rPh>
    <rPh sb="20" eb="23">
      <t>カイゼンヒ</t>
    </rPh>
    <rPh sb="23" eb="25">
      <t>サンシュツ</t>
    </rPh>
    <rPh sb="25" eb="28">
      <t>ウチワケショ</t>
    </rPh>
    <phoneticPr fontId="15"/>
  </si>
  <si>
    <t>１．</t>
    <phoneticPr fontId="1"/>
  </si>
  <si>
    <t>対象者名</t>
    <rPh sb="0" eb="3">
      <t>タイショウシャ</t>
    </rPh>
    <rPh sb="3" eb="4">
      <t>メイ</t>
    </rPh>
    <phoneticPr fontId="1"/>
  </si>
  <si>
    <t>雇用形態</t>
    <rPh sb="0" eb="2">
      <t>コヨウ</t>
    </rPh>
    <rPh sb="2" eb="4">
      <t>ケイタイ</t>
    </rPh>
    <phoneticPr fontId="1"/>
  </si>
  <si>
    <t>就労時間</t>
    <rPh sb="0" eb="2">
      <t>シュウロウ</t>
    </rPh>
    <rPh sb="2" eb="4">
      <t>ジカン</t>
    </rPh>
    <phoneticPr fontId="1"/>
  </si>
  <si>
    <t>賃金単価</t>
    <rPh sb="0" eb="2">
      <t>チンギン</t>
    </rPh>
    <rPh sb="2" eb="4">
      <t>タンカ</t>
    </rPh>
    <phoneticPr fontId="1"/>
  </si>
  <si>
    <t>対象経費</t>
    <rPh sb="0" eb="2">
      <t>タイショウ</t>
    </rPh>
    <rPh sb="2" eb="4">
      <t>ケイヒ</t>
    </rPh>
    <phoneticPr fontId="1"/>
  </si>
  <si>
    <t>補助単価</t>
    <rPh sb="0" eb="2">
      <t>ホジョ</t>
    </rPh>
    <rPh sb="2" eb="4">
      <t>タンカ</t>
    </rPh>
    <phoneticPr fontId="1"/>
  </si>
  <si>
    <t>補助額</t>
    <rPh sb="0" eb="2">
      <t>ホジョ</t>
    </rPh>
    <rPh sb="2" eb="3">
      <t>ガク</t>
    </rPh>
    <phoneticPr fontId="1"/>
  </si>
  <si>
    <t>取得IDX</t>
    <rPh sb="0" eb="2">
      <t>シュトク</t>
    </rPh>
    <phoneticPr fontId="1"/>
  </si>
  <si>
    <t>短時間非常勤</t>
  </si>
  <si>
    <t>予備1</t>
    <rPh sb="0" eb="2">
      <t>ヨビ</t>
    </rPh>
    <phoneticPr fontId="1"/>
  </si>
  <si>
    <t>計</t>
    <rPh sb="0" eb="1">
      <t>ケイ</t>
    </rPh>
    <phoneticPr fontId="1"/>
  </si>
  <si>
    <t>２．</t>
    <phoneticPr fontId="1"/>
  </si>
  <si>
    <t>千葉市施設型給付対象施設保育士等配置基準改善費算出内訳書（４）</t>
    <rPh sb="0" eb="12">
      <t>＠</t>
    </rPh>
    <rPh sb="12" eb="15">
      <t>ホイクシ</t>
    </rPh>
    <rPh sb="15" eb="16">
      <t>トウ</t>
    </rPh>
    <rPh sb="16" eb="18">
      <t>ハイチ</t>
    </rPh>
    <rPh sb="18" eb="20">
      <t>キジュン</t>
    </rPh>
    <rPh sb="20" eb="23">
      <t>カイゼンヒ</t>
    </rPh>
    <rPh sb="23" eb="25">
      <t>サンシュツ</t>
    </rPh>
    <rPh sb="25" eb="28">
      <t>ウチワケショ</t>
    </rPh>
    <phoneticPr fontId="15"/>
  </si>
  <si>
    <t>３．</t>
    <phoneticPr fontId="1"/>
  </si>
  <si>
    <t>千葉市施設型給付対象施設保育士等配置基準改善費算出内訳書（５）</t>
    <rPh sb="0" eb="12">
      <t>＠</t>
    </rPh>
    <rPh sb="12" eb="15">
      <t>ホイクシ</t>
    </rPh>
    <rPh sb="15" eb="16">
      <t>トウ</t>
    </rPh>
    <rPh sb="16" eb="18">
      <t>ハイチ</t>
    </rPh>
    <rPh sb="18" eb="20">
      <t>キジュン</t>
    </rPh>
    <rPh sb="20" eb="23">
      <t>カイゼンヒ</t>
    </rPh>
    <rPh sb="23" eb="25">
      <t>サンシュツ</t>
    </rPh>
    <rPh sb="25" eb="28">
      <t>ウチワケショ</t>
    </rPh>
    <phoneticPr fontId="15"/>
  </si>
  <si>
    <t>４．</t>
    <phoneticPr fontId="1"/>
  </si>
  <si>
    <t>千葉市施設型給付対象施設保育士等配置基準改善費算出内訳書（６）</t>
    <rPh sb="0" eb="12">
      <t>＠</t>
    </rPh>
    <rPh sb="12" eb="15">
      <t>ホイクシ</t>
    </rPh>
    <rPh sb="15" eb="16">
      <t>トウ</t>
    </rPh>
    <rPh sb="16" eb="18">
      <t>ハイチ</t>
    </rPh>
    <rPh sb="18" eb="20">
      <t>キジュン</t>
    </rPh>
    <rPh sb="20" eb="23">
      <t>カイゼンヒ</t>
    </rPh>
    <rPh sb="23" eb="25">
      <t>サンシュツ</t>
    </rPh>
    <rPh sb="25" eb="28">
      <t>ウチワケショ</t>
    </rPh>
    <phoneticPr fontId="15"/>
  </si>
  <si>
    <t>５．</t>
    <phoneticPr fontId="1"/>
  </si>
  <si>
    <t>４月　小計</t>
    <rPh sb="1" eb="2">
      <t>ガツ</t>
    </rPh>
    <rPh sb="3" eb="5">
      <t>ショウケイ</t>
    </rPh>
    <phoneticPr fontId="1"/>
  </si>
  <si>
    <t>-</t>
    <phoneticPr fontId="1"/>
  </si>
  <si>
    <t>５月　小計</t>
    <rPh sb="1" eb="2">
      <t>ガツ</t>
    </rPh>
    <rPh sb="3" eb="5">
      <t>ショウケイ</t>
    </rPh>
    <phoneticPr fontId="1"/>
  </si>
  <si>
    <t>６月　小計</t>
    <rPh sb="1" eb="2">
      <t>ガツ</t>
    </rPh>
    <rPh sb="3" eb="5">
      <t>ショウケイ</t>
    </rPh>
    <phoneticPr fontId="1"/>
  </si>
  <si>
    <t>７月　小計</t>
    <rPh sb="1" eb="2">
      <t>ガツ</t>
    </rPh>
    <rPh sb="3" eb="5">
      <t>ショウケイ</t>
    </rPh>
    <phoneticPr fontId="1"/>
  </si>
  <si>
    <t>８月　小計</t>
    <rPh sb="1" eb="2">
      <t>ガツ</t>
    </rPh>
    <rPh sb="3" eb="5">
      <t>ショウケイ</t>
    </rPh>
    <phoneticPr fontId="1"/>
  </si>
  <si>
    <t>９月　小計</t>
    <rPh sb="1" eb="2">
      <t>ガツ</t>
    </rPh>
    <rPh sb="3" eb="5">
      <t>ショウケイ</t>
    </rPh>
    <phoneticPr fontId="1"/>
  </si>
  <si>
    <t>１０月　小計</t>
    <rPh sb="2" eb="3">
      <t>ガツ</t>
    </rPh>
    <rPh sb="4" eb="6">
      <t>ショウケイ</t>
    </rPh>
    <phoneticPr fontId="1"/>
  </si>
  <si>
    <t>１１月　小計</t>
    <rPh sb="2" eb="3">
      <t>ガツ</t>
    </rPh>
    <rPh sb="4" eb="6">
      <t>ショウケイ</t>
    </rPh>
    <phoneticPr fontId="1"/>
  </si>
  <si>
    <t>１２月　小計</t>
    <rPh sb="2" eb="3">
      <t>ガツ</t>
    </rPh>
    <rPh sb="4" eb="6">
      <t>ショウケイ</t>
    </rPh>
    <phoneticPr fontId="1"/>
  </si>
  <si>
    <t>１月　小計</t>
    <rPh sb="1" eb="2">
      <t>ガツ</t>
    </rPh>
    <rPh sb="3" eb="5">
      <t>ショウケイ</t>
    </rPh>
    <phoneticPr fontId="1"/>
  </si>
  <si>
    <t>２月　小計</t>
    <rPh sb="1" eb="2">
      <t>ガツ</t>
    </rPh>
    <rPh sb="3" eb="5">
      <t>ショウケイ</t>
    </rPh>
    <phoneticPr fontId="1"/>
  </si>
  <si>
    <t>３月　小計</t>
    <rPh sb="1" eb="2">
      <t>ガツ</t>
    </rPh>
    <rPh sb="3" eb="5">
      <t>ショウケイ</t>
    </rPh>
    <phoneticPr fontId="1"/>
  </si>
  <si>
    <t>千葉市施設型給付対象施設保育士等配置基準改善費算出内訳書（７）</t>
    <rPh sb="0" eb="12">
      <t>＠</t>
    </rPh>
    <rPh sb="12" eb="15">
      <t>ホイクシ</t>
    </rPh>
    <rPh sb="15" eb="16">
      <t>トウ</t>
    </rPh>
    <rPh sb="16" eb="18">
      <t>ハイチ</t>
    </rPh>
    <rPh sb="18" eb="20">
      <t>キジュン</t>
    </rPh>
    <rPh sb="20" eb="23">
      <t>カイゼンヒ</t>
    </rPh>
    <rPh sb="23" eb="25">
      <t>サンシュツ</t>
    </rPh>
    <rPh sb="25" eb="28">
      <t>ウチワケショ</t>
    </rPh>
    <phoneticPr fontId="15"/>
  </si>
  <si>
    <t>６．</t>
    <phoneticPr fontId="1"/>
  </si>
  <si>
    <t>勤務日数</t>
    <rPh sb="0" eb="2">
      <t>キンム</t>
    </rPh>
    <rPh sb="2" eb="4">
      <t>ニッスウ</t>
    </rPh>
    <phoneticPr fontId="1"/>
  </si>
  <si>
    <t>交通費単価</t>
    <rPh sb="0" eb="3">
      <t>コウツウヒ</t>
    </rPh>
    <rPh sb="3" eb="5">
      <t>タンカ</t>
    </rPh>
    <phoneticPr fontId="1"/>
  </si>
  <si>
    <t xml:space="preserve"> </t>
    <phoneticPr fontId="6"/>
  </si>
  <si>
    <t>円</t>
    <rPh sb="0" eb="1">
      <t>エン</t>
    </rPh>
    <phoneticPr fontId="6"/>
  </si>
  <si>
    <t>種目</t>
    <rPh sb="0" eb="2">
      <t>シュモク</t>
    </rPh>
    <phoneticPr fontId="6"/>
  </si>
  <si>
    <t>円</t>
    <rPh sb="0" eb="1">
      <t>エン</t>
    </rPh>
    <phoneticPr fontId="29"/>
  </si>
  <si>
    <t>合 計</t>
    <phoneticPr fontId="29"/>
  </si>
  <si>
    <t>補助金の交付決定額</t>
    <rPh sb="0" eb="3">
      <t>ホジョキン</t>
    </rPh>
    <rPh sb="4" eb="6">
      <t>コウフ</t>
    </rPh>
    <rPh sb="6" eb="8">
      <t>ケッテイ</t>
    </rPh>
    <rPh sb="8" eb="9">
      <t>ガク</t>
    </rPh>
    <phoneticPr fontId="29"/>
  </si>
  <si>
    <t>調理員</t>
    <rPh sb="0" eb="3">
      <t>チョウリイン</t>
    </rPh>
    <phoneticPr fontId="1"/>
  </si>
  <si>
    <t>補助金の既交付額</t>
    <rPh sb="0" eb="3">
      <t>ホジョキン</t>
    </rPh>
    <rPh sb="4" eb="5">
      <t>キ</t>
    </rPh>
    <rPh sb="5" eb="8">
      <t>コウフガク</t>
    </rPh>
    <phoneticPr fontId="29"/>
  </si>
  <si>
    <t>法人名</t>
    <rPh sb="0" eb="2">
      <t>ホウジン</t>
    </rPh>
    <rPh sb="2" eb="3">
      <t>メイ</t>
    </rPh>
    <phoneticPr fontId="15"/>
  </si>
  <si>
    <t>代表者職氏名</t>
    <rPh sb="0" eb="3">
      <t>ダイヒョウシャ</t>
    </rPh>
    <rPh sb="3" eb="4">
      <t>ショク</t>
    </rPh>
    <rPh sb="4" eb="6">
      <t>シメイ</t>
    </rPh>
    <phoneticPr fontId="15"/>
  </si>
  <si>
    <t>確認・修正等を要する箇所一覧</t>
    <rPh sb="0" eb="2">
      <t>カクニン</t>
    </rPh>
    <rPh sb="3" eb="5">
      <t>シュウセイ</t>
    </rPh>
    <rPh sb="5" eb="6">
      <t>トウ</t>
    </rPh>
    <rPh sb="7" eb="8">
      <t>ヨウ</t>
    </rPh>
    <rPh sb="10" eb="12">
      <t>カショ</t>
    </rPh>
    <rPh sb="12" eb="14">
      <t>イチラン</t>
    </rPh>
    <phoneticPr fontId="1"/>
  </si>
  <si>
    <t>（依頼内容）</t>
    <rPh sb="1" eb="3">
      <t>イライ</t>
    </rPh>
    <rPh sb="3" eb="5">
      <t>ナイヨウ</t>
    </rPh>
    <phoneticPr fontId="1"/>
  </si>
  <si>
    <t>・記載内容に疑義があり、確認・修正を依頼するもの　　</t>
    <phoneticPr fontId="1"/>
  </si>
  <si>
    <t>→　記載内容の確認・修正をお願いします。</t>
    <phoneticPr fontId="1"/>
  </si>
  <si>
    <t>・記載内容の誤りに対し修正したもの　　</t>
    <phoneticPr fontId="1"/>
  </si>
  <si>
    <t>・修正完了後、再度全体の整合の確認をお願いします。</t>
    <rPh sb="1" eb="3">
      <t>シュウセイ</t>
    </rPh>
    <rPh sb="3" eb="5">
      <t>カンリョウ</t>
    </rPh>
    <rPh sb="5" eb="6">
      <t>ゴ</t>
    </rPh>
    <rPh sb="7" eb="9">
      <t>サイド</t>
    </rPh>
    <rPh sb="9" eb="11">
      <t>ゼンタイ</t>
    </rPh>
    <rPh sb="12" eb="14">
      <t>セイゴウ</t>
    </rPh>
    <rPh sb="15" eb="17">
      <t>カクニン</t>
    </rPh>
    <rPh sb="19" eb="20">
      <t>ネガ</t>
    </rPh>
    <phoneticPr fontId="1"/>
  </si>
  <si>
    <t>確認等箇所</t>
    <rPh sb="0" eb="2">
      <t>カクニン</t>
    </rPh>
    <rPh sb="2" eb="3">
      <t>トウ</t>
    </rPh>
    <rPh sb="3" eb="5">
      <t>カショ</t>
    </rPh>
    <phoneticPr fontId="1"/>
  </si>
  <si>
    <t>内容</t>
    <rPh sb="0" eb="2">
      <t>ナイヨウ</t>
    </rPh>
    <phoneticPr fontId="1"/>
  </si>
  <si>
    <t>シート名</t>
    <rPh sb="3" eb="4">
      <t>メイ</t>
    </rPh>
    <phoneticPr fontId="1"/>
  </si>
  <si>
    <t>記載内容に疑義があり、確認・修正を依頼するもの</t>
    <rPh sb="0" eb="2">
      <t>キサイ</t>
    </rPh>
    <rPh sb="2" eb="4">
      <t>ナイヨウ</t>
    </rPh>
    <rPh sb="5" eb="7">
      <t>ギギ</t>
    </rPh>
    <rPh sb="11" eb="13">
      <t>カクニン</t>
    </rPh>
    <rPh sb="14" eb="16">
      <t>シュウセイ</t>
    </rPh>
    <rPh sb="17" eb="19">
      <t>イライ</t>
    </rPh>
    <phoneticPr fontId="1"/>
  </si>
  <si>
    <t>記載内容の誤りに対し修正したもの</t>
    <rPh sb="0" eb="2">
      <t>キサイ</t>
    </rPh>
    <rPh sb="2" eb="4">
      <t>ナイヨウ</t>
    </rPh>
    <rPh sb="5" eb="6">
      <t>アヤマ</t>
    </rPh>
    <rPh sb="8" eb="9">
      <t>タイ</t>
    </rPh>
    <rPh sb="10" eb="12">
      <t>シュウセイ</t>
    </rPh>
    <phoneticPr fontId="1"/>
  </si>
  <si>
    <t>①基本情報</t>
    <rPh sb="1" eb="3">
      <t>キホン</t>
    </rPh>
    <rPh sb="3" eb="5">
      <t>ジョウホウ</t>
    </rPh>
    <phoneticPr fontId="1"/>
  </si>
  <si>
    <t>②-1職員名簿</t>
    <rPh sb="3" eb="5">
      <t>ショクイン</t>
    </rPh>
    <rPh sb="5" eb="7">
      <t>メイボ</t>
    </rPh>
    <phoneticPr fontId="1"/>
  </si>
  <si>
    <t>②-2勤務時間数入力</t>
    <rPh sb="3" eb="5">
      <t>キンム</t>
    </rPh>
    <rPh sb="5" eb="7">
      <t>ジカン</t>
    </rPh>
    <rPh sb="7" eb="8">
      <t>スウ</t>
    </rPh>
    <rPh sb="8" eb="10">
      <t>ニュウリョク</t>
    </rPh>
    <phoneticPr fontId="1"/>
  </si>
  <si>
    <t>③児童数及び保育士定数 (2)-(1)</t>
    <phoneticPr fontId="1"/>
  </si>
  <si>
    <t>④-1月別配置内訳書(2)-(2)-(A)</t>
    <phoneticPr fontId="1"/>
  </si>
  <si>
    <t>④-2月別配置内訳書(2)-(2)-(B)</t>
    <phoneticPr fontId="1"/>
  </si>
  <si>
    <t>常勤時間数</t>
  </si>
  <si>
    <t>○職員現況調書の記載方法</t>
    <rPh sb="1" eb="3">
      <t>ショクイン</t>
    </rPh>
    <rPh sb="3" eb="5">
      <t>ゲンキョウ</t>
    </rPh>
    <rPh sb="5" eb="7">
      <t>チョウショ</t>
    </rPh>
    <rPh sb="8" eb="10">
      <t>キサイ</t>
    </rPh>
    <rPh sb="10" eb="12">
      <t>ホウホウ</t>
    </rPh>
    <phoneticPr fontId="1"/>
  </si>
  <si>
    <t>項目</t>
    <rPh sb="0" eb="2">
      <t>コウモク</t>
    </rPh>
    <phoneticPr fontId="1"/>
  </si>
  <si>
    <t>記載方法</t>
    <rPh sb="0" eb="2">
      <t>キサイ</t>
    </rPh>
    <rPh sb="2" eb="4">
      <t>ホウホウ</t>
    </rPh>
    <phoneticPr fontId="1"/>
  </si>
  <si>
    <t>B列</t>
    <rPh sb="1" eb="2">
      <t>レツ</t>
    </rPh>
    <phoneticPr fontId="1"/>
  </si>
  <si>
    <t>職種をプルダウンメニューから選択してください。</t>
    <rPh sb="0" eb="2">
      <t>ショクシュ</t>
    </rPh>
    <rPh sb="14" eb="16">
      <t>センタク</t>
    </rPh>
    <phoneticPr fontId="1"/>
  </si>
  <si>
    <t>C列</t>
    <rPh sb="1" eb="2">
      <t>レツ</t>
    </rPh>
    <phoneticPr fontId="1"/>
  </si>
  <si>
    <t>D列</t>
    <rPh sb="1" eb="2">
      <t>レツ</t>
    </rPh>
    <phoneticPr fontId="1"/>
  </si>
  <si>
    <t>E列</t>
    <rPh sb="1" eb="2">
      <t>レツ</t>
    </rPh>
    <phoneticPr fontId="1"/>
  </si>
  <si>
    <t>職員の氏名を記載してください。</t>
    <rPh sb="0" eb="2">
      <t>ショクイン</t>
    </rPh>
    <rPh sb="3" eb="5">
      <t>シメイ</t>
    </rPh>
    <rPh sb="6" eb="8">
      <t>キサイ</t>
    </rPh>
    <phoneticPr fontId="1"/>
  </si>
  <si>
    <t>F列</t>
    <rPh sb="1" eb="2">
      <t>レツ</t>
    </rPh>
    <phoneticPr fontId="1"/>
  </si>
  <si>
    <t>職員の性別を記選択してください。</t>
    <rPh sb="0" eb="2">
      <t>ショクイン</t>
    </rPh>
    <rPh sb="3" eb="5">
      <t>セイベツ</t>
    </rPh>
    <rPh sb="6" eb="7">
      <t>キ</t>
    </rPh>
    <rPh sb="7" eb="9">
      <t>センタク</t>
    </rPh>
    <phoneticPr fontId="1"/>
  </si>
  <si>
    <t>G列</t>
    <rPh sb="1" eb="2">
      <t>レツ</t>
    </rPh>
    <phoneticPr fontId="1"/>
  </si>
  <si>
    <t>職員の年齢を記載してください。</t>
    <rPh sb="0" eb="2">
      <t>ショクイン</t>
    </rPh>
    <rPh sb="3" eb="5">
      <t>ネンレイ</t>
    </rPh>
    <rPh sb="6" eb="8">
      <t>キサイ</t>
    </rPh>
    <phoneticPr fontId="1"/>
  </si>
  <si>
    <t>H～P列</t>
    <rPh sb="3" eb="4">
      <t>レツ</t>
    </rPh>
    <phoneticPr fontId="1"/>
  </si>
  <si>
    <t>Q列</t>
    <rPh sb="1" eb="2">
      <t>レツ</t>
    </rPh>
    <phoneticPr fontId="1"/>
  </si>
  <si>
    <t>H～P列に記載のもの以外で、特筆すべき資格を有する場合、記載してください。</t>
    <rPh sb="3" eb="4">
      <t>レツ</t>
    </rPh>
    <rPh sb="5" eb="7">
      <t>キサイ</t>
    </rPh>
    <rPh sb="10" eb="12">
      <t>イガイ</t>
    </rPh>
    <rPh sb="14" eb="16">
      <t>トクヒツ</t>
    </rPh>
    <rPh sb="19" eb="21">
      <t>シカク</t>
    </rPh>
    <rPh sb="22" eb="23">
      <t>ユウ</t>
    </rPh>
    <rPh sb="25" eb="27">
      <t>バアイ</t>
    </rPh>
    <rPh sb="28" eb="30">
      <t>キサイ</t>
    </rPh>
    <phoneticPr fontId="1"/>
  </si>
  <si>
    <t>R列</t>
    <rPh sb="1" eb="2">
      <t>レツ</t>
    </rPh>
    <phoneticPr fontId="1"/>
  </si>
  <si>
    <t>要件緩和の適用開始となった日付を入力してください。</t>
    <rPh sb="0" eb="2">
      <t>ヨウケン</t>
    </rPh>
    <rPh sb="2" eb="4">
      <t>カンワ</t>
    </rPh>
    <rPh sb="5" eb="7">
      <t>テキヨウ</t>
    </rPh>
    <rPh sb="7" eb="9">
      <t>カイシ</t>
    </rPh>
    <rPh sb="13" eb="15">
      <t>ヒヅケ</t>
    </rPh>
    <rPh sb="16" eb="18">
      <t>ニュウリョク</t>
    </rPh>
    <phoneticPr fontId="1"/>
  </si>
  <si>
    <t>S列</t>
    <rPh sb="1" eb="2">
      <t>レツ</t>
    </rPh>
    <phoneticPr fontId="1"/>
  </si>
  <si>
    <t>新規採用、系列園からの異動、担当業務の変更等、新たに業務に就くこととなった日を記載してください。</t>
    <rPh sb="0" eb="2">
      <t>シンキ</t>
    </rPh>
    <rPh sb="2" eb="4">
      <t>サイヨウ</t>
    </rPh>
    <rPh sb="5" eb="7">
      <t>ケイレツ</t>
    </rPh>
    <rPh sb="7" eb="8">
      <t>エン</t>
    </rPh>
    <rPh sb="11" eb="13">
      <t>イドウ</t>
    </rPh>
    <rPh sb="14" eb="16">
      <t>タントウ</t>
    </rPh>
    <rPh sb="16" eb="18">
      <t>ギョウム</t>
    </rPh>
    <rPh sb="19" eb="21">
      <t>ヘンコウ</t>
    </rPh>
    <rPh sb="21" eb="22">
      <t>トウ</t>
    </rPh>
    <rPh sb="23" eb="24">
      <t>アラ</t>
    </rPh>
    <rPh sb="26" eb="28">
      <t>ギョウム</t>
    </rPh>
    <rPh sb="29" eb="30">
      <t>ツ</t>
    </rPh>
    <rPh sb="37" eb="38">
      <t>ヒ</t>
    </rPh>
    <rPh sb="39" eb="41">
      <t>キサイ</t>
    </rPh>
    <phoneticPr fontId="1"/>
  </si>
  <si>
    <t>T列</t>
    <rPh sb="1" eb="2">
      <t>レツ</t>
    </rPh>
    <phoneticPr fontId="1"/>
  </si>
  <si>
    <t>S列に記載することとなった事由をプルダウンメニューから選択してください。</t>
    <rPh sb="1" eb="2">
      <t>レツ</t>
    </rPh>
    <rPh sb="3" eb="5">
      <t>キサイ</t>
    </rPh>
    <rPh sb="13" eb="15">
      <t>ジユウ</t>
    </rPh>
    <rPh sb="27" eb="29">
      <t>センタク</t>
    </rPh>
    <phoneticPr fontId="1"/>
  </si>
  <si>
    <t>U列</t>
    <rPh sb="1" eb="2">
      <t>レツ</t>
    </rPh>
    <phoneticPr fontId="1"/>
  </si>
  <si>
    <t>退職、系列園への異動、担当業務の変更等、現在の業務を離れることとなった日を記載してください。</t>
    <rPh sb="0" eb="2">
      <t>タイショク</t>
    </rPh>
    <rPh sb="3" eb="5">
      <t>ケイレツ</t>
    </rPh>
    <rPh sb="5" eb="6">
      <t>エン</t>
    </rPh>
    <rPh sb="8" eb="10">
      <t>イドウ</t>
    </rPh>
    <rPh sb="11" eb="13">
      <t>タントウ</t>
    </rPh>
    <rPh sb="13" eb="15">
      <t>ギョウム</t>
    </rPh>
    <rPh sb="16" eb="18">
      <t>ヘンコウ</t>
    </rPh>
    <rPh sb="18" eb="19">
      <t>トウ</t>
    </rPh>
    <rPh sb="20" eb="22">
      <t>ゲンザイ</t>
    </rPh>
    <rPh sb="23" eb="25">
      <t>ギョウム</t>
    </rPh>
    <rPh sb="26" eb="27">
      <t>ハナ</t>
    </rPh>
    <rPh sb="35" eb="36">
      <t>ヒ</t>
    </rPh>
    <rPh sb="37" eb="39">
      <t>キサイ</t>
    </rPh>
    <phoneticPr fontId="1"/>
  </si>
  <si>
    <t>V列</t>
    <rPh sb="1" eb="2">
      <t>レツ</t>
    </rPh>
    <phoneticPr fontId="1"/>
  </si>
  <si>
    <t>U列に記載することとなった事由をプルダウンメニューから選択してください。</t>
    <rPh sb="1" eb="2">
      <t>レツ</t>
    </rPh>
    <rPh sb="3" eb="5">
      <t>キサイ</t>
    </rPh>
    <rPh sb="13" eb="15">
      <t>ジユウ</t>
    </rPh>
    <rPh sb="27" eb="29">
      <t>センタク</t>
    </rPh>
    <phoneticPr fontId="1"/>
  </si>
  <si>
    <t>W列</t>
    <rPh sb="1" eb="2">
      <t>レツ</t>
    </rPh>
    <phoneticPr fontId="1"/>
  </si>
  <si>
    <t>○勤務時間入力シートの記載方法</t>
    <rPh sb="1" eb="3">
      <t>キンム</t>
    </rPh>
    <rPh sb="3" eb="5">
      <t>ジカン</t>
    </rPh>
    <rPh sb="5" eb="7">
      <t>ニュウリョク</t>
    </rPh>
    <rPh sb="11" eb="13">
      <t>キサイ</t>
    </rPh>
    <rPh sb="13" eb="15">
      <t>ホウホウ</t>
    </rPh>
    <phoneticPr fontId="1"/>
  </si>
  <si>
    <t>各園が就業規則に定める月ごとの「常勤時間数」を記載してください。
各月ごとに「常勤時間数」が変動する場合は、上書き修正してください。</t>
    <rPh sb="0" eb="2">
      <t>カクエン</t>
    </rPh>
    <rPh sb="3" eb="5">
      <t>シュウギョウ</t>
    </rPh>
    <rPh sb="5" eb="7">
      <t>キソク</t>
    </rPh>
    <rPh sb="8" eb="9">
      <t>サダ</t>
    </rPh>
    <rPh sb="11" eb="12">
      <t>ツキ</t>
    </rPh>
    <rPh sb="16" eb="18">
      <t>ジョウキン</t>
    </rPh>
    <rPh sb="18" eb="21">
      <t>ジカンスウ</t>
    </rPh>
    <rPh sb="23" eb="25">
      <t>キサイ</t>
    </rPh>
    <rPh sb="33" eb="34">
      <t>カク</t>
    </rPh>
    <rPh sb="34" eb="35">
      <t>ツキ</t>
    </rPh>
    <rPh sb="39" eb="41">
      <t>ジョウキン</t>
    </rPh>
    <rPh sb="41" eb="44">
      <t>ジカンスウ</t>
    </rPh>
    <rPh sb="46" eb="48">
      <t>ヘンドウ</t>
    </rPh>
    <rPh sb="50" eb="52">
      <t>バアイ</t>
    </rPh>
    <rPh sb="54" eb="56">
      <t>ウワガ</t>
    </rPh>
    <rPh sb="57" eb="59">
      <t>シュウセイ</t>
    </rPh>
    <phoneticPr fontId="1"/>
  </si>
  <si>
    <t>E列</t>
    <rPh sb="1" eb="2">
      <t>レツ</t>
    </rPh>
    <phoneticPr fontId="1"/>
  </si>
  <si>
    <t>このシートの取り扱いについて</t>
    <rPh sb="6" eb="7">
      <t>ト</t>
    </rPh>
    <rPh sb="8" eb="9">
      <t>アツカ</t>
    </rPh>
    <phoneticPr fontId="1"/>
  </si>
  <si>
    <t>・このシートの内容を修正したい場合は、「②-1職員名簿」、「②-2勤務時間数入力のシート」を修正してください。</t>
    <rPh sb="7" eb="9">
      <t>ナイヨウ</t>
    </rPh>
    <rPh sb="10" eb="12">
      <t>シュウセイ</t>
    </rPh>
    <rPh sb="15" eb="17">
      <t>バアイ</t>
    </rPh>
    <rPh sb="46" eb="48">
      <t>シュウセイ</t>
    </rPh>
    <phoneticPr fontId="1"/>
  </si>
  <si>
    <t>・②-1職員名簿、②-2勤務時間数入力のシートから必要事項を転記していますので、記載する必要はありません。</t>
    <rPh sb="4" eb="6">
      <t>ショクイン</t>
    </rPh>
    <rPh sb="6" eb="8">
      <t>メイボ</t>
    </rPh>
    <rPh sb="12" eb="14">
      <t>キンム</t>
    </rPh>
    <rPh sb="14" eb="16">
      <t>ジカン</t>
    </rPh>
    <rPh sb="16" eb="17">
      <t>スウ</t>
    </rPh>
    <rPh sb="17" eb="19">
      <t>ニュウリョク</t>
    </rPh>
    <rPh sb="25" eb="27">
      <t>ヒツヨウ</t>
    </rPh>
    <rPh sb="27" eb="29">
      <t>ジコウ</t>
    </rPh>
    <rPh sb="30" eb="32">
      <t>テンキ</t>
    </rPh>
    <phoneticPr fontId="1"/>
  </si>
  <si>
    <t>・記載されている内容の確認をお願いします。</t>
    <rPh sb="1" eb="3">
      <t>キサイ</t>
    </rPh>
    <rPh sb="8" eb="10">
      <t>ナイヨウ</t>
    </rPh>
    <rPh sb="11" eb="13">
      <t>カクニン</t>
    </rPh>
    <rPh sb="15" eb="16">
      <t>ネガ</t>
    </rPh>
    <phoneticPr fontId="1"/>
  </si>
  <si>
    <t>○このシートの記載方法</t>
    <rPh sb="7" eb="9">
      <t>キサイ</t>
    </rPh>
    <rPh sb="9" eb="11">
      <t>ホウホウ</t>
    </rPh>
    <phoneticPr fontId="1"/>
  </si>
  <si>
    <t>・B列に「1」が表示されている月が補助対象となります。</t>
    <rPh sb="2" eb="3">
      <t>レツ</t>
    </rPh>
    <rPh sb="8" eb="10">
      <t>ヒョウジ</t>
    </rPh>
    <rPh sb="15" eb="16">
      <t>ツキ</t>
    </rPh>
    <rPh sb="17" eb="19">
      <t>ホジョ</t>
    </rPh>
    <rPh sb="19" eb="21">
      <t>タイショウ</t>
    </rPh>
    <phoneticPr fontId="1"/>
  </si>
  <si>
    <t>「賃金単価を記載」と表示されているセルに、職員の賃金単価を記載してください（非常勤職員のみ）。</t>
    <rPh sb="10" eb="12">
      <t>ヒョウジ</t>
    </rPh>
    <rPh sb="21" eb="23">
      <t>ショクイン</t>
    </rPh>
    <rPh sb="24" eb="26">
      <t>チンギン</t>
    </rPh>
    <rPh sb="26" eb="28">
      <t>タンカ</t>
    </rPh>
    <rPh sb="29" eb="31">
      <t>キサイ</t>
    </rPh>
    <rPh sb="38" eb="41">
      <t>ヒジョウキン</t>
    </rPh>
    <rPh sb="41" eb="43">
      <t>ショクイン</t>
    </rPh>
    <phoneticPr fontId="1"/>
  </si>
  <si>
    <t>・B列に表示されている人数が補助対象となります。</t>
    <rPh sb="2" eb="3">
      <t>レツ</t>
    </rPh>
    <rPh sb="4" eb="6">
      <t>ヒョウジ</t>
    </rPh>
    <rPh sb="11" eb="13">
      <t>ニンズウ</t>
    </rPh>
    <rPh sb="14" eb="16">
      <t>ホジョ</t>
    </rPh>
    <rPh sb="16" eb="18">
      <t>タイショウ</t>
    </rPh>
    <phoneticPr fontId="1"/>
  </si>
  <si>
    <t>・C列に表示されている人数が補助対象となります。</t>
    <rPh sb="2" eb="3">
      <t>レツ</t>
    </rPh>
    <rPh sb="4" eb="6">
      <t>ヒョウジ</t>
    </rPh>
    <rPh sb="11" eb="13">
      <t>ニンズウ</t>
    </rPh>
    <rPh sb="14" eb="16">
      <t>ホジョ</t>
    </rPh>
    <rPh sb="16" eb="18">
      <t>タイショウ</t>
    </rPh>
    <phoneticPr fontId="1"/>
  </si>
  <si>
    <t>「勤務日数を記載（定期利用の場合、1と記載)」と表示されているセルに、職員の勤務日数を記載してください（非常勤職員のみ）。
通勤に定期券を利用する者については、便宜上「1」を記載してください。</t>
    <rPh sb="24" eb="26">
      <t>ヒョウジ</t>
    </rPh>
    <rPh sb="35" eb="37">
      <t>ショクイン</t>
    </rPh>
    <rPh sb="38" eb="40">
      <t>キンム</t>
    </rPh>
    <rPh sb="40" eb="42">
      <t>ニッスウ</t>
    </rPh>
    <rPh sb="43" eb="45">
      <t>キサイ</t>
    </rPh>
    <rPh sb="52" eb="55">
      <t>ヒジョウキン</t>
    </rPh>
    <rPh sb="55" eb="57">
      <t>ショクイン</t>
    </rPh>
    <rPh sb="62" eb="64">
      <t>ツウキン</t>
    </rPh>
    <rPh sb="65" eb="68">
      <t>テイキケン</t>
    </rPh>
    <rPh sb="69" eb="71">
      <t>リヨウ</t>
    </rPh>
    <rPh sb="73" eb="74">
      <t>モノ</t>
    </rPh>
    <rPh sb="80" eb="82">
      <t>ベンギ</t>
    </rPh>
    <rPh sb="82" eb="83">
      <t>ジョウ</t>
    </rPh>
    <rPh sb="87" eb="89">
      <t>キサイ</t>
    </rPh>
    <phoneticPr fontId="1"/>
  </si>
  <si>
    <t>I列</t>
    <rPh sb="1" eb="2">
      <t>レツ</t>
    </rPh>
    <phoneticPr fontId="1"/>
  </si>
  <si>
    <t>「日額の交通費を記載（定期利用の場合は月額)」と表示されているセルに、職員の交通費を記載してください（非常勤職員のみ）。
通勤に定期券を利用する者については、定期券の金額（1カ月分）を記載してください。</t>
    <rPh sb="24" eb="26">
      <t>ヒョウジ</t>
    </rPh>
    <rPh sb="35" eb="37">
      <t>ショクイン</t>
    </rPh>
    <rPh sb="38" eb="41">
      <t>コウツウヒ</t>
    </rPh>
    <rPh sb="42" eb="44">
      <t>キサイ</t>
    </rPh>
    <rPh sb="51" eb="54">
      <t>ヒジョウキン</t>
    </rPh>
    <rPh sb="54" eb="56">
      <t>ショクイン</t>
    </rPh>
    <rPh sb="61" eb="63">
      <t>ツウキン</t>
    </rPh>
    <rPh sb="64" eb="67">
      <t>テイキケン</t>
    </rPh>
    <rPh sb="68" eb="70">
      <t>リヨウ</t>
    </rPh>
    <rPh sb="72" eb="73">
      <t>モノ</t>
    </rPh>
    <rPh sb="79" eb="82">
      <t>テイキケン</t>
    </rPh>
    <rPh sb="83" eb="85">
      <t>キンガク</t>
    </rPh>
    <rPh sb="88" eb="89">
      <t>ゲツ</t>
    </rPh>
    <rPh sb="89" eb="90">
      <t>ブン</t>
    </rPh>
    <rPh sb="92" eb="94">
      <t>キサイ</t>
    </rPh>
    <phoneticPr fontId="1"/>
  </si>
  <si>
    <t>介護・看護休暇取得</t>
    <rPh sb="0" eb="2">
      <t>カイゴ</t>
    </rPh>
    <rPh sb="3" eb="5">
      <t>カンゴ</t>
    </rPh>
    <rPh sb="5" eb="7">
      <t>キュウカ</t>
    </rPh>
    <rPh sb="7" eb="9">
      <t>シュトク</t>
    </rPh>
    <phoneticPr fontId="1"/>
  </si>
  <si>
    <t>介護・看護休暇復帰</t>
    <rPh sb="0" eb="2">
      <t>カイゴ</t>
    </rPh>
    <rPh sb="3" eb="5">
      <t>カンゴ</t>
    </rPh>
    <rPh sb="5" eb="7">
      <t>キュウカ</t>
    </rPh>
    <rPh sb="7" eb="9">
      <t>フッキ</t>
    </rPh>
    <phoneticPr fontId="1"/>
  </si>
  <si>
    <t>-</t>
    <phoneticPr fontId="1"/>
  </si>
  <si>
    <t>延長保育</t>
    <rPh sb="0" eb="2">
      <t>エンチョウ</t>
    </rPh>
    <rPh sb="2" eb="4">
      <t>ホイク</t>
    </rPh>
    <phoneticPr fontId="1"/>
  </si>
  <si>
    <t>勤務形態変更</t>
    <rPh sb="0" eb="2">
      <t>キンム</t>
    </rPh>
    <rPh sb="2" eb="4">
      <t>ケイタイ</t>
    </rPh>
    <rPh sb="4" eb="6">
      <t>ヘンコウ</t>
    </rPh>
    <phoneticPr fontId="1"/>
  </si>
  <si>
    <t>D3セル</t>
    <phoneticPr fontId="1"/>
  </si>
  <si>
    <t>年度（和暦）を「数字のみ」入力してください。</t>
    <rPh sb="0" eb="2">
      <t>ネンド</t>
    </rPh>
    <rPh sb="3" eb="5">
      <t>ワレキ</t>
    </rPh>
    <rPh sb="8" eb="10">
      <t>スウジ</t>
    </rPh>
    <rPh sb="13" eb="15">
      <t>ニュウリョク</t>
    </rPh>
    <phoneticPr fontId="1"/>
  </si>
  <si>
    <t>年</t>
    <rPh sb="0" eb="1">
      <t>ネン</t>
    </rPh>
    <phoneticPr fontId="1"/>
  </si>
  <si>
    <t>入力担当者の氏名を入力してください。</t>
    <rPh sb="0" eb="2">
      <t>ニュウリョク</t>
    </rPh>
    <rPh sb="2" eb="5">
      <t>タントウシャ</t>
    </rPh>
    <rPh sb="6" eb="8">
      <t>シメイ</t>
    </rPh>
    <rPh sb="9" eb="11">
      <t>ニュウリョク</t>
    </rPh>
    <phoneticPr fontId="1"/>
  </si>
  <si>
    <t>一時預かり事業の実施の有無を選択してください。</t>
    <rPh sb="0" eb="2">
      <t>イチジ</t>
    </rPh>
    <rPh sb="2" eb="3">
      <t>アズ</t>
    </rPh>
    <rPh sb="5" eb="7">
      <t>ジギョウ</t>
    </rPh>
    <rPh sb="8" eb="10">
      <t>ジッシ</t>
    </rPh>
    <rPh sb="11" eb="13">
      <t>ウム</t>
    </rPh>
    <rPh sb="14" eb="16">
      <t>センタク</t>
    </rPh>
    <phoneticPr fontId="1"/>
  </si>
  <si>
    <t>保育標準時間児童の受け入れの有無を選択してください。</t>
    <rPh sb="14" eb="16">
      <t>ウム</t>
    </rPh>
    <rPh sb="17" eb="19">
      <t>センタク</t>
    </rPh>
    <phoneticPr fontId="1"/>
  </si>
  <si>
    <t>一時預かり事業を実施する場合の実施形態を選択してください。</t>
    <rPh sb="0" eb="2">
      <t>イチジ</t>
    </rPh>
    <rPh sb="2" eb="3">
      <t>アズ</t>
    </rPh>
    <rPh sb="5" eb="7">
      <t>ジギョウ</t>
    </rPh>
    <rPh sb="8" eb="10">
      <t>ジッシ</t>
    </rPh>
    <rPh sb="12" eb="14">
      <t>バアイ</t>
    </rPh>
    <rPh sb="15" eb="17">
      <t>ジッシ</t>
    </rPh>
    <rPh sb="17" eb="19">
      <t>ケイタイ</t>
    </rPh>
    <rPh sb="20" eb="22">
      <t>センタク</t>
    </rPh>
    <phoneticPr fontId="1"/>
  </si>
  <si>
    <t>一時預かり事業を「一般型」で実施する場合、1人加配の適用の有無を選択してください。</t>
    <rPh sb="0" eb="2">
      <t>イチジ</t>
    </rPh>
    <rPh sb="2" eb="3">
      <t>アズ</t>
    </rPh>
    <rPh sb="5" eb="7">
      <t>ジギョウ</t>
    </rPh>
    <rPh sb="9" eb="12">
      <t>イッパンガタ</t>
    </rPh>
    <rPh sb="14" eb="16">
      <t>ジッシ</t>
    </rPh>
    <rPh sb="18" eb="20">
      <t>バアイ</t>
    </rPh>
    <rPh sb="22" eb="23">
      <t>ニン</t>
    </rPh>
    <rPh sb="23" eb="25">
      <t>カハイ</t>
    </rPh>
    <rPh sb="26" eb="28">
      <t>テキヨウ</t>
    </rPh>
    <rPh sb="29" eb="31">
      <t>ウム</t>
    </rPh>
    <rPh sb="32" eb="34">
      <t>センタク</t>
    </rPh>
    <phoneticPr fontId="1"/>
  </si>
  <si>
    <t>医療的ケア児受け入れに係る保健師・看護師・准看護師の加配数を入力してください。
単位（人）は入力不要です。</t>
    <rPh sb="0" eb="3">
      <t>イリョウテキ</t>
    </rPh>
    <rPh sb="5" eb="6">
      <t>ジ</t>
    </rPh>
    <rPh sb="6" eb="7">
      <t>ウ</t>
    </rPh>
    <rPh sb="8" eb="9">
      <t>イ</t>
    </rPh>
    <rPh sb="11" eb="12">
      <t>カカ</t>
    </rPh>
    <rPh sb="13" eb="16">
      <t>ホケンシ</t>
    </rPh>
    <rPh sb="17" eb="20">
      <t>カンゴシ</t>
    </rPh>
    <rPh sb="21" eb="25">
      <t>ジュンカンゴシ</t>
    </rPh>
    <rPh sb="26" eb="28">
      <t>カハイ</t>
    </rPh>
    <rPh sb="28" eb="29">
      <t>スウ</t>
    </rPh>
    <rPh sb="30" eb="32">
      <t>ニュウリョク</t>
    </rPh>
    <rPh sb="40" eb="42">
      <t>タンイ</t>
    </rPh>
    <rPh sb="43" eb="44">
      <t>ニン</t>
    </rPh>
    <rPh sb="46" eb="48">
      <t>ニュウリョク</t>
    </rPh>
    <rPh sb="48" eb="50">
      <t>フヨウ</t>
    </rPh>
    <phoneticPr fontId="1"/>
  </si>
  <si>
    <t>要配慮児受け入れに係る加配保育士数を入力してください。
単位（人）は入力不要です。</t>
    <rPh sb="0" eb="1">
      <t>ヨウ</t>
    </rPh>
    <rPh sb="1" eb="3">
      <t>ハイリョ</t>
    </rPh>
    <rPh sb="3" eb="4">
      <t>ジ</t>
    </rPh>
    <rPh sb="4" eb="5">
      <t>ウ</t>
    </rPh>
    <rPh sb="6" eb="7">
      <t>イ</t>
    </rPh>
    <rPh sb="9" eb="10">
      <t>カカ</t>
    </rPh>
    <rPh sb="11" eb="13">
      <t>カハイ</t>
    </rPh>
    <rPh sb="13" eb="16">
      <t>ホイクシ</t>
    </rPh>
    <rPh sb="16" eb="17">
      <t>スウ</t>
    </rPh>
    <rPh sb="18" eb="20">
      <t>ニュウリョク</t>
    </rPh>
    <rPh sb="28" eb="30">
      <t>タンイ</t>
    </rPh>
    <rPh sb="31" eb="32">
      <t>ニン</t>
    </rPh>
    <rPh sb="34" eb="36">
      <t>ニュウリョク</t>
    </rPh>
    <rPh sb="36" eb="38">
      <t>フヨウ</t>
    </rPh>
    <phoneticPr fontId="1"/>
  </si>
  <si>
    <t>医療的ケア児の受入数を入力してください。
単位（人）は入力不要です。</t>
    <rPh sb="0" eb="3">
      <t>イリョウテキ</t>
    </rPh>
    <rPh sb="5" eb="6">
      <t>ジ</t>
    </rPh>
    <rPh sb="7" eb="10">
      <t>ウケイレスウ</t>
    </rPh>
    <rPh sb="11" eb="13">
      <t>ニュウリョク</t>
    </rPh>
    <rPh sb="21" eb="23">
      <t>タンイ</t>
    </rPh>
    <rPh sb="24" eb="25">
      <t>ニン</t>
    </rPh>
    <rPh sb="27" eb="29">
      <t>ニュウリョク</t>
    </rPh>
    <rPh sb="29" eb="31">
      <t>フヨウ</t>
    </rPh>
    <phoneticPr fontId="1"/>
  </si>
  <si>
    <t>支援センターの実施の有無を選択してください。</t>
    <rPh sb="0" eb="2">
      <t>シエン</t>
    </rPh>
    <rPh sb="7" eb="9">
      <t>ジッシ</t>
    </rPh>
    <rPh sb="10" eb="12">
      <t>ウム</t>
    </rPh>
    <rPh sb="13" eb="15">
      <t>センタク</t>
    </rPh>
    <phoneticPr fontId="1"/>
  </si>
  <si>
    <t>入所児童特別加算の対象職員数を入力してください。
単位（人）は入力不要です。</t>
    <rPh sb="0" eb="2">
      <t>ニュウショ</t>
    </rPh>
    <rPh sb="2" eb="4">
      <t>ジドウ</t>
    </rPh>
    <rPh sb="4" eb="6">
      <t>トクベツ</t>
    </rPh>
    <rPh sb="6" eb="8">
      <t>カサン</t>
    </rPh>
    <rPh sb="9" eb="11">
      <t>タイショウ</t>
    </rPh>
    <rPh sb="11" eb="13">
      <t>ショクイン</t>
    </rPh>
    <rPh sb="13" eb="14">
      <t>スウ</t>
    </rPh>
    <rPh sb="15" eb="17">
      <t>ニュウリョク</t>
    </rPh>
    <rPh sb="25" eb="27">
      <t>タンイ</t>
    </rPh>
    <rPh sb="28" eb="29">
      <t>ニン</t>
    </rPh>
    <rPh sb="31" eb="35">
      <t>ニュウリョクフヨウ</t>
    </rPh>
    <phoneticPr fontId="1"/>
  </si>
  <si>
    <t>主任保育士加算適用の有無を選択してください。</t>
    <rPh sb="0" eb="2">
      <t>シュニン</t>
    </rPh>
    <rPh sb="2" eb="5">
      <t>ホイクシ</t>
    </rPh>
    <rPh sb="5" eb="7">
      <t>カサン</t>
    </rPh>
    <rPh sb="7" eb="9">
      <t>テキヨウ</t>
    </rPh>
    <rPh sb="10" eb="12">
      <t>ウム</t>
    </rPh>
    <rPh sb="13" eb="15">
      <t>センタク</t>
    </rPh>
    <phoneticPr fontId="1"/>
  </si>
  <si>
    <t>チーム保育推進加算適用の有無を選択してください。</t>
    <rPh sb="3" eb="5">
      <t>ホイク</t>
    </rPh>
    <rPh sb="5" eb="7">
      <t>スイシン</t>
    </rPh>
    <rPh sb="7" eb="9">
      <t>カサン</t>
    </rPh>
    <rPh sb="9" eb="11">
      <t>テキヨウ</t>
    </rPh>
    <rPh sb="12" eb="14">
      <t>ウム</t>
    </rPh>
    <rPh sb="15" eb="17">
      <t>センタク</t>
    </rPh>
    <phoneticPr fontId="1"/>
  </si>
  <si>
    <t>チーム保育推進加算が適用される場合、その使途を選択してください。</t>
    <rPh sb="3" eb="9">
      <t>ホイクスイシンカサン</t>
    </rPh>
    <rPh sb="10" eb="12">
      <t>テキヨウ</t>
    </rPh>
    <rPh sb="15" eb="17">
      <t>バアイ</t>
    </rPh>
    <rPh sb="20" eb="22">
      <t>シト</t>
    </rPh>
    <rPh sb="23" eb="25">
      <t>センタク</t>
    </rPh>
    <phoneticPr fontId="1"/>
  </si>
  <si>
    <t>3歳児配置改善加算適用の有無を選択してください。</t>
    <rPh sb="1" eb="3">
      <t>サイジ</t>
    </rPh>
    <rPh sb="3" eb="5">
      <t>ハイチ</t>
    </rPh>
    <rPh sb="5" eb="7">
      <t>カイゼン</t>
    </rPh>
    <rPh sb="7" eb="9">
      <t>カサン</t>
    </rPh>
    <rPh sb="9" eb="11">
      <t>テキヨウ</t>
    </rPh>
    <rPh sb="12" eb="14">
      <t>ウム</t>
    </rPh>
    <rPh sb="15" eb="17">
      <t>センタク</t>
    </rPh>
    <phoneticPr fontId="1"/>
  </si>
  <si>
    <t>各園が定める常勤時間が確認できる就業規則を添付してください。</t>
    <rPh sb="0" eb="2">
      <t>カクエン</t>
    </rPh>
    <rPh sb="3" eb="4">
      <t>サダ</t>
    </rPh>
    <rPh sb="6" eb="8">
      <t>ジョウキン</t>
    </rPh>
    <rPh sb="8" eb="10">
      <t>ジカン</t>
    </rPh>
    <rPh sb="11" eb="13">
      <t>カクニン</t>
    </rPh>
    <phoneticPr fontId="1"/>
  </si>
  <si>
    <t>正規職員「以外」の職員を補助事業の対象者とする場合には、雇用調書を提出してください。</t>
    <phoneticPr fontId="1"/>
  </si>
  <si>
    <t>（雇用調書に変えて、労働契約書（写）の提出でも結構です。）</t>
    <rPh sb="23" eb="25">
      <t>ケッコウ</t>
    </rPh>
    <phoneticPr fontId="1"/>
  </si>
  <si>
    <t>項目</t>
    <rPh sb="0" eb="2">
      <t>コウモク</t>
    </rPh>
    <phoneticPr fontId="1"/>
  </si>
  <si>
    <t>・対象職員：正規職員、常勤的非常勤、短時間非常勤</t>
    <rPh sb="1" eb="3">
      <t>タイショウ</t>
    </rPh>
    <rPh sb="3" eb="5">
      <t>ショクイン</t>
    </rPh>
    <rPh sb="6" eb="8">
      <t>セイキ</t>
    </rPh>
    <rPh sb="8" eb="10">
      <t>ショクイン</t>
    </rPh>
    <rPh sb="11" eb="14">
      <t>ジョウキンテキ</t>
    </rPh>
    <rPh sb="14" eb="17">
      <t>ヒジョウキン</t>
    </rPh>
    <rPh sb="18" eb="21">
      <t>タンジカン</t>
    </rPh>
    <rPh sb="21" eb="24">
      <t>ヒジョウキン</t>
    </rPh>
    <phoneticPr fontId="1"/>
  </si>
  <si>
    <t>定員90人以下の場合1人加算
 (b)</t>
    <rPh sb="0" eb="2">
      <t>テイイン</t>
    </rPh>
    <rPh sb="4" eb="5">
      <t>ニン</t>
    </rPh>
    <rPh sb="5" eb="7">
      <t>イカ</t>
    </rPh>
    <rPh sb="8" eb="10">
      <t>バアイ</t>
    </rPh>
    <rPh sb="10" eb="12">
      <t>ヒトリ</t>
    </rPh>
    <rPh sb="12" eb="14">
      <t>カサン</t>
    </rPh>
    <phoneticPr fontId="15"/>
  </si>
  <si>
    <t>必要保育士数計算(a)
(小数点以下第二位を切り捨て)</t>
    <rPh sb="0" eb="2">
      <t>ヒツヨウ</t>
    </rPh>
    <rPh sb="2" eb="5">
      <t>ホイクシ</t>
    </rPh>
    <rPh sb="5" eb="6">
      <t>スウ</t>
    </rPh>
    <rPh sb="6" eb="8">
      <t>ケイサン</t>
    </rPh>
    <phoneticPr fontId="15"/>
  </si>
  <si>
    <t>給付費上措置されている1人加配
　( ｃ)</t>
    <rPh sb="0" eb="2">
      <t>キュウフ</t>
    </rPh>
    <rPh sb="2" eb="3">
      <t>ヒ</t>
    </rPh>
    <rPh sb="3" eb="4">
      <t>ジョウ</t>
    </rPh>
    <rPh sb="4" eb="6">
      <t>ソチ</t>
    </rPh>
    <rPh sb="12" eb="13">
      <t>ニン</t>
    </rPh>
    <rPh sb="13" eb="15">
      <t>カハイ</t>
    </rPh>
    <phoneticPr fontId="15"/>
  </si>
  <si>
    <r>
      <t xml:space="preserve">保育士定数（国）
Ａ
</t>
    </r>
    <r>
      <rPr>
        <sz val="9"/>
        <rFont val="ＭＳ Ｐゴシック"/>
        <family val="3"/>
        <charset val="128"/>
      </rPr>
      <t>(a)+(b)+(c)の小数点以下第一位を四捨五入した数</t>
    </r>
    <rPh sb="0" eb="3">
      <t>ホイクシ</t>
    </rPh>
    <rPh sb="3" eb="5">
      <t>テイスウ</t>
    </rPh>
    <rPh sb="6" eb="7">
      <t>クニ</t>
    </rPh>
    <phoneticPr fontId="15"/>
  </si>
  <si>
    <t>１　入力部分</t>
    <rPh sb="2" eb="4">
      <t>ニュウリョク</t>
    </rPh>
    <rPh sb="4" eb="6">
      <t>ブブン</t>
    </rPh>
    <phoneticPr fontId="1"/>
  </si>
  <si>
    <t>（１）データ提出期限</t>
    <rPh sb="6" eb="8">
      <t>テイシュツ</t>
    </rPh>
    <rPh sb="8" eb="10">
      <t>キゲン</t>
    </rPh>
    <phoneticPr fontId="1"/>
  </si>
  <si>
    <t>提出先</t>
    <rPh sb="0" eb="2">
      <t>テイシュツ</t>
    </rPh>
    <rPh sb="2" eb="3">
      <t>サキ</t>
    </rPh>
    <phoneticPr fontId="1"/>
  </si>
  <si>
    <t>〒260-8722　千葉市中央区千葉港２－１　千葉中央CC９F</t>
    <rPh sb="10" eb="13">
      <t>チバシ</t>
    </rPh>
    <rPh sb="13" eb="16">
      <t>チュウオウク</t>
    </rPh>
    <rPh sb="16" eb="19">
      <t>チバミナト</t>
    </rPh>
    <rPh sb="23" eb="25">
      <t>チバ</t>
    </rPh>
    <rPh sb="25" eb="27">
      <t>チュウオウ</t>
    </rPh>
    <phoneticPr fontId="1"/>
  </si>
  <si>
    <t>TEL ０４３－２４５－５７２９ 　FAX０４３－２４５－５８９４</t>
    <phoneticPr fontId="1"/>
  </si>
  <si>
    <t>千葉市こども未来局こども未来部幼保運営課</t>
    <phoneticPr fontId="1"/>
  </si>
  <si>
    <t>unei-josei@city.chiba.lg.jp</t>
    <phoneticPr fontId="1"/>
  </si>
  <si>
    <t>e-mail:</t>
    <phoneticPr fontId="1"/>
  </si>
  <si>
    <t>項目・セル等</t>
    <rPh sb="0" eb="2">
      <t>コウモク</t>
    </rPh>
    <rPh sb="5" eb="6">
      <t>トウ</t>
    </rPh>
    <phoneticPr fontId="1"/>
  </si>
  <si>
    <t>正規職員「以外」の職員については、補助事業の対象者となる場合には雇用契約内容証明書を作成し、提出すること。</t>
    <rPh sb="0" eb="2">
      <t>セイキ</t>
    </rPh>
    <rPh sb="2" eb="4">
      <t>ショクイン</t>
    </rPh>
    <rPh sb="5" eb="7">
      <t>イガイ</t>
    </rPh>
    <rPh sb="9" eb="11">
      <t>ショクイン</t>
    </rPh>
    <rPh sb="17" eb="19">
      <t>ホジョ</t>
    </rPh>
    <rPh sb="19" eb="21">
      <t>ジギョウ</t>
    </rPh>
    <rPh sb="22" eb="25">
      <t>タイショウシャ</t>
    </rPh>
    <rPh sb="28" eb="30">
      <t>バアイ</t>
    </rPh>
    <rPh sb="32" eb="34">
      <t>コヨウ</t>
    </rPh>
    <rPh sb="34" eb="36">
      <t>ケイヤク</t>
    </rPh>
    <rPh sb="36" eb="38">
      <t>ナイヨウ</t>
    </rPh>
    <rPh sb="38" eb="40">
      <t>ショウメイ</t>
    </rPh>
    <rPh sb="40" eb="41">
      <t>ショ</t>
    </rPh>
    <rPh sb="42" eb="44">
      <t>サクセイ</t>
    </rPh>
    <rPh sb="46" eb="48">
      <t>テイシュツ</t>
    </rPh>
    <phoneticPr fontId="1"/>
  </si>
  <si>
    <t>※雇用契約内容証明書に代えて、労働契約書（写）の提出でも可。</t>
    <rPh sb="1" eb="3">
      <t>コヨウ</t>
    </rPh>
    <rPh sb="3" eb="5">
      <t>ケイヤク</t>
    </rPh>
    <rPh sb="5" eb="7">
      <t>ナイヨウ</t>
    </rPh>
    <rPh sb="7" eb="9">
      <t>ショウメイ</t>
    </rPh>
    <rPh sb="9" eb="10">
      <t>ショ</t>
    </rPh>
    <rPh sb="11" eb="12">
      <t>カ</t>
    </rPh>
    <rPh sb="15" eb="17">
      <t>ロウドウ</t>
    </rPh>
    <rPh sb="17" eb="19">
      <t>ケイヤク</t>
    </rPh>
    <rPh sb="19" eb="20">
      <t>ショ</t>
    </rPh>
    <rPh sb="21" eb="22">
      <t>ウツ</t>
    </rPh>
    <rPh sb="24" eb="26">
      <t>テイシュツ</t>
    </rPh>
    <rPh sb="28" eb="29">
      <t>カ</t>
    </rPh>
    <phoneticPr fontId="1"/>
  </si>
  <si>
    <t>ab</t>
  </si>
  <si>
    <t>ac</t>
  </si>
  <si>
    <t>ad</t>
  </si>
  <si>
    <t>ae</t>
  </si>
  <si>
    <t>af</t>
  </si>
  <si>
    <t>ag</t>
  </si>
  <si>
    <t>ah</t>
  </si>
  <si>
    <t>ai</t>
  </si>
  <si>
    <t>aj</t>
  </si>
  <si>
    <t>ak</t>
  </si>
  <si>
    <t>al</t>
  </si>
  <si>
    <t>am</t>
  </si>
  <si>
    <t>an</t>
  </si>
  <si>
    <t>ao</t>
    <phoneticPr fontId="1"/>
  </si>
  <si>
    <t>園長</t>
    <rPh sb="0" eb="2">
      <t>エンチョウ</t>
    </rPh>
    <phoneticPr fontId="1"/>
  </si>
  <si>
    <t>区　名</t>
    <rPh sb="0" eb="1">
      <t>ク</t>
    </rPh>
    <rPh sb="2" eb="3">
      <t>メイ</t>
    </rPh>
    <phoneticPr fontId="2"/>
  </si>
  <si>
    <t>区　分</t>
    <rPh sb="0" eb="1">
      <t>ク</t>
    </rPh>
    <rPh sb="2" eb="3">
      <t>ブン</t>
    </rPh>
    <phoneticPr fontId="2"/>
  </si>
  <si>
    <t>中央区</t>
    <rPh sb="0" eb="3">
      <t>チュウオウク</t>
    </rPh>
    <phoneticPr fontId="48"/>
  </si>
  <si>
    <t>花見川区</t>
    <rPh sb="0" eb="3">
      <t>ハナミガワ</t>
    </rPh>
    <rPh sb="3" eb="4">
      <t>ク</t>
    </rPh>
    <phoneticPr fontId="48"/>
  </si>
  <si>
    <t>稲毛区</t>
    <rPh sb="0" eb="2">
      <t>イナゲ</t>
    </rPh>
    <rPh sb="2" eb="3">
      <t>ク</t>
    </rPh>
    <phoneticPr fontId="48"/>
  </si>
  <si>
    <t>若葉区</t>
    <rPh sb="0" eb="2">
      <t>ワカバ</t>
    </rPh>
    <rPh sb="2" eb="3">
      <t>ク</t>
    </rPh>
    <phoneticPr fontId="48"/>
  </si>
  <si>
    <t>緑区</t>
    <rPh sb="0" eb="1">
      <t>ミドリ</t>
    </rPh>
    <rPh sb="1" eb="2">
      <t>ク</t>
    </rPh>
    <phoneticPr fontId="48"/>
  </si>
  <si>
    <t>美浜区</t>
    <rPh sb="0" eb="2">
      <t>ミハマ</t>
    </rPh>
    <rPh sb="2" eb="3">
      <t>ク</t>
    </rPh>
    <phoneticPr fontId="48"/>
  </si>
  <si>
    <t>幼稚園型認定こども園</t>
  </si>
  <si>
    <t>院内保育園</t>
  </si>
  <si>
    <t>認定こども園　葵幼稚園</t>
  </si>
  <si>
    <t>幼保連携型認定こども園　植草学園大学附属弁天こども園</t>
  </si>
  <si>
    <t>みどり保育園</t>
  </si>
  <si>
    <t>認定こども園　さつきが丘幼稚園</t>
  </si>
  <si>
    <t>稲毛保育園</t>
  </si>
  <si>
    <t>認定こども園　小ばと幼稚園</t>
  </si>
  <si>
    <t>幼保連携型認定こども園　ウィズダムナーサリースクール</t>
  </si>
  <si>
    <t>旭ヶ丘保育園</t>
  </si>
  <si>
    <t>認定こども園　みつわ台幼稚園</t>
  </si>
  <si>
    <t>わかくさ保育園</t>
  </si>
  <si>
    <t>認定こども園　ほまれ幼稚園</t>
  </si>
  <si>
    <t>認定こども園　白梅幼稚園</t>
  </si>
  <si>
    <t>認定こども園　かしの木学園　かしの木園</t>
  </si>
  <si>
    <t>認定こども園　かしの木学園　カトライア・キンダーガルテン</t>
  </si>
  <si>
    <t>若梅保育園</t>
  </si>
  <si>
    <t>認定こども園　あいりす幼稚園</t>
  </si>
  <si>
    <t>幼保連携型認定こども園　幕張海浜こども園</t>
  </si>
  <si>
    <t>今井保育園</t>
  </si>
  <si>
    <t>認定こども園　仁戸名幼稚園</t>
  </si>
  <si>
    <t>認定こども園　はまの幼稚園</t>
  </si>
  <si>
    <t>ちどり保育園</t>
  </si>
  <si>
    <t>認定こども園　まこと第三幼稚園</t>
  </si>
  <si>
    <t>作草部保育園</t>
  </si>
  <si>
    <t>認定こども園　稲毛すみれ幼稚園</t>
  </si>
  <si>
    <t>若竹保育園</t>
  </si>
  <si>
    <t>おゆみ野保育園</t>
  </si>
  <si>
    <t>認定こども園　鏡戸幼稚園</t>
  </si>
  <si>
    <t>認定こども園　キッズビレッジ</t>
  </si>
  <si>
    <t>チューリップ保育園</t>
  </si>
  <si>
    <t>認定こども園　高洲幼稚園</t>
  </si>
  <si>
    <t>幼保連携型認定こども園　打瀬保育園</t>
  </si>
  <si>
    <t>千葉寺保育園</t>
  </si>
  <si>
    <t>認定こども園　ひまわり幼稚園</t>
  </si>
  <si>
    <t>幕張いもっこ保育園</t>
  </si>
  <si>
    <t>認定こども園　まこと第二幼稚園</t>
  </si>
  <si>
    <t>南小中台保育園</t>
  </si>
  <si>
    <t>認定こども園　山王幼稚園</t>
  </si>
  <si>
    <t>みつわ台保育園</t>
  </si>
  <si>
    <t>ナーセリー鏡戸</t>
  </si>
  <si>
    <t>認定こども園　明徳土気こども園</t>
  </si>
  <si>
    <t>まどか保育園</t>
  </si>
  <si>
    <t>認定こども園　高浜幼稚園</t>
  </si>
  <si>
    <t>幼保連携型認定こども園　千葉女子専門学校附属聖こども園</t>
  </si>
  <si>
    <t>慈光保育園</t>
  </si>
  <si>
    <t>認定こども園　千葉明徳短期大学附属幼稚園</t>
  </si>
  <si>
    <t>幕張本郷きらきら保育園</t>
  </si>
  <si>
    <t>認定こども園　花見川ちぐさ幼稚園</t>
  </si>
  <si>
    <t>山王保育園</t>
  </si>
  <si>
    <t>認定こども園　土岐幼稚園</t>
  </si>
  <si>
    <t>たいよう保育園</t>
  </si>
  <si>
    <t>ふたば保育園</t>
  </si>
  <si>
    <t>なぎさ保育園</t>
  </si>
  <si>
    <t>認定こども園　千葉さざなみ幼稚園</t>
  </si>
  <si>
    <t>松ケ丘保育園</t>
  </si>
  <si>
    <t>認定こども園　登戸幼稚園</t>
  </si>
  <si>
    <t>泉保育園</t>
  </si>
  <si>
    <t>チャイルド・ガーデン保育園</t>
  </si>
  <si>
    <t>すずらん保育園</t>
  </si>
  <si>
    <t>明和輝保育園</t>
  </si>
  <si>
    <t>もみじ保育園</t>
  </si>
  <si>
    <t>認定こども園　真砂幼稚園</t>
  </si>
  <si>
    <t>ひなたぼっこ保育園</t>
  </si>
  <si>
    <t>認定こども園　松ヶ丘幼稚園</t>
  </si>
  <si>
    <t>新検見川すきっぷ保育園</t>
  </si>
  <si>
    <t>いなほ保育園</t>
  </si>
  <si>
    <t>キッズマーム保育園</t>
  </si>
  <si>
    <t>グレース保育園</t>
  </si>
  <si>
    <t>みらい保育園</t>
  </si>
  <si>
    <t>認定こども園　植草学園大学附属美浜幼稚園</t>
  </si>
  <si>
    <t>はまかぜ保育園</t>
  </si>
  <si>
    <t>認定こども園　都幼稚園</t>
  </si>
  <si>
    <t>幕張本郷ナーサリー</t>
  </si>
  <si>
    <t>稲毛すきっぷ保育園</t>
  </si>
  <si>
    <t>千葉聖心保育園</t>
  </si>
  <si>
    <t>真生保育園</t>
  </si>
  <si>
    <t>アスク海浜幕張保育園</t>
  </si>
  <si>
    <t>認定こども園　千葉敬愛短期大学附属幼稚園</t>
  </si>
  <si>
    <t>明徳浜野駅保育園</t>
  </si>
  <si>
    <t>ほのぼのたんぽぽほいくえん</t>
  </si>
  <si>
    <t>稲毛ひだまり保育園</t>
  </si>
  <si>
    <t>都賀保育園</t>
  </si>
  <si>
    <t>スクルドエンジェル保育園幕張園</t>
  </si>
  <si>
    <t>ミルキーホーム都賀園</t>
  </si>
  <si>
    <t>おゆみ野すきっぷ保育園</t>
  </si>
  <si>
    <t>いろは保育園</t>
  </si>
  <si>
    <t>ししの子保育園</t>
  </si>
  <si>
    <t>まほろばのお日さま保育園</t>
  </si>
  <si>
    <t>たかし保育園稲毛海岸</t>
  </si>
  <si>
    <t>ローゼンそが保育園</t>
  </si>
  <si>
    <t>ぴょんぴょん保育園</t>
  </si>
  <si>
    <t>アストロナーサリー小仲台</t>
  </si>
  <si>
    <t>マミー＆ミー西都賀保育園</t>
  </si>
  <si>
    <t>美光保育園</t>
  </si>
  <si>
    <t>第２幕張海浜保育園</t>
  </si>
  <si>
    <t>幕張本郷すきっぷ保育園</t>
  </si>
  <si>
    <t>若葉保育園</t>
  </si>
  <si>
    <t>あおぞら保育園</t>
  </si>
  <si>
    <t>なのはな保育園</t>
  </si>
  <si>
    <t>ピラミッドメソッド千葉保育園</t>
  </si>
  <si>
    <t>花見川さくら学園保育園</t>
  </si>
  <si>
    <t>アストロキャンプ稲毛東保育園</t>
  </si>
  <si>
    <t>都賀せいわ保育園</t>
  </si>
  <si>
    <t>テンダーラビング保育園誉田</t>
  </si>
  <si>
    <t>キッズガーデン海浜幕張保育園</t>
  </si>
  <si>
    <t>ルーチェ保育園千葉新田町</t>
  </si>
  <si>
    <t>日乃出保育園</t>
  </si>
  <si>
    <t>スクルドエンジェル保育園稲毛園</t>
  </si>
  <si>
    <t>やまどり保育園</t>
  </si>
  <si>
    <t>誉田おもいやり保育園</t>
  </si>
  <si>
    <t>童夢ガーデンＷＢＧ保育園</t>
  </si>
  <si>
    <t>ふぇりーちぇほいくえん</t>
  </si>
  <si>
    <t>検見川わくわく保育園</t>
  </si>
  <si>
    <t>ＫＯＲＵ保育園</t>
  </si>
  <si>
    <t>マリア保育園</t>
  </si>
  <si>
    <t>さくらんぼ保育園</t>
  </si>
  <si>
    <t>京進のほいくえん　HOPPA幕張ベイパーク</t>
  </si>
  <si>
    <t>寒川保育園</t>
  </si>
  <si>
    <t>キートスチャイルドケア幕張本郷</t>
  </si>
  <si>
    <t>稲毛こどもの木保育園</t>
  </si>
  <si>
    <t>キートスチャイルドケア桜木</t>
  </si>
  <si>
    <t>げんき保育園</t>
  </si>
  <si>
    <t>京進のほいくえんＨＯＰＰＡ幕張町5丁目</t>
  </si>
  <si>
    <t>稲毛キッズマーム保育園</t>
  </si>
  <si>
    <t>小倉台　いろは保育園</t>
  </si>
  <si>
    <t>マミー＆ミーおゆみ野保育園</t>
  </si>
  <si>
    <t>本千葉エンゼルホーム保育園</t>
  </si>
  <si>
    <t>京進のほいくえんＨＯＰＰＡ幕張本郷駅前</t>
  </si>
  <si>
    <t>キートスチャイルドケア園生町</t>
  </si>
  <si>
    <t>つぐみ保育園</t>
  </si>
  <si>
    <t>かるがも保育園　おゆみ野園</t>
  </si>
  <si>
    <t>キートスチャイルドケア新田町</t>
  </si>
  <si>
    <t>千葉検見川雲母保育園</t>
  </si>
  <si>
    <t>千葉稲毛雲母保育園</t>
  </si>
  <si>
    <t>みつばち保育園　若葉</t>
  </si>
  <si>
    <t>そが中央保育園</t>
  </si>
  <si>
    <t>かえで保育園幕張本郷</t>
  </si>
  <si>
    <t>ナーサリーホーム園生保育園</t>
  </si>
  <si>
    <t>アンファンジュール保育園おゆみ野</t>
  </si>
  <si>
    <t>すえひろ保育園</t>
  </si>
  <si>
    <t>すまいるキャンディ保育園</t>
  </si>
  <si>
    <t>小ばと会なでしこ保育園</t>
  </si>
  <si>
    <t>ぽかぽか保育園おてんとさん</t>
  </si>
  <si>
    <t>千葉こども保育園</t>
  </si>
  <si>
    <t>かえで保育園幕張本郷６丁目</t>
  </si>
  <si>
    <t>作草部アーク保育園</t>
  </si>
  <si>
    <t>ドルフィンキッズ保育園</t>
  </si>
  <si>
    <t>にじのいろ保育園</t>
  </si>
  <si>
    <t>ししの子保育園　小中台町</t>
  </si>
  <si>
    <t>あすみ東保育園</t>
  </si>
  <si>
    <t>植草学園千葉駅保育園</t>
  </si>
  <si>
    <t>かえで保育園まくはり</t>
  </si>
  <si>
    <t>ナーサリーホーム小仲台</t>
  </si>
  <si>
    <t>キートスチャイルドケアおゆみ野南</t>
  </si>
  <si>
    <t>大森保育園</t>
  </si>
  <si>
    <t>かえで保育園はなぞの</t>
  </si>
  <si>
    <t>認可保育園　みどりまち</t>
  </si>
  <si>
    <t>東千葉雲母保育園</t>
  </si>
  <si>
    <t>希望の子保育園</t>
  </si>
  <si>
    <t>アストロベースキャンプ保育園</t>
  </si>
  <si>
    <t>レイモンド汐見丘保育園</t>
  </si>
  <si>
    <t>子どものまきば保育園</t>
  </si>
  <si>
    <t>K's garden蘇我保育園</t>
  </si>
  <si>
    <t>かるがも保育園　鎌取園</t>
  </si>
  <si>
    <t>ほしのこ保育園</t>
  </si>
  <si>
    <t>クニナたかだの森保育園</t>
  </si>
  <si>
    <t>椿森保育園</t>
  </si>
  <si>
    <t>アンファンジュール保育園弁天</t>
  </si>
  <si>
    <t>京進のほいくえんHOPPAガーデンビュー千葉駅前</t>
  </si>
  <si>
    <t>１　民間保育園</t>
    <rPh sb="2" eb="7">
      <t>ミンカン</t>
    </rPh>
    <rPh sb="4" eb="7">
      <t>ホイクエン</t>
    </rPh>
    <phoneticPr fontId="15"/>
  </si>
  <si>
    <t>№</t>
    <phoneticPr fontId="15"/>
  </si>
  <si>
    <t>通し
番号</t>
    <rPh sb="0" eb="1">
      <t>トオ</t>
    </rPh>
    <rPh sb="3" eb="5">
      <t>バンゴウ</t>
    </rPh>
    <phoneticPr fontId="1"/>
  </si>
  <si>
    <t>施    設    名</t>
    <phoneticPr fontId="15"/>
  </si>
  <si>
    <t>0003002</t>
  </si>
  <si>
    <t>0003003</t>
  </si>
  <si>
    <t>0003004</t>
  </si>
  <si>
    <t>0003005</t>
  </si>
  <si>
    <t>0003006</t>
  </si>
  <si>
    <t>0003007</t>
  </si>
  <si>
    <t>0003008</t>
  </si>
  <si>
    <t>0003009</t>
  </si>
  <si>
    <t>0003010</t>
  </si>
  <si>
    <t>0003011</t>
  </si>
  <si>
    <t>0003012</t>
  </si>
  <si>
    <t>0003014</t>
  </si>
  <si>
    <t>0003015</t>
  </si>
  <si>
    <t>0003016</t>
  </si>
  <si>
    <t>0003017</t>
  </si>
  <si>
    <t>0003018</t>
  </si>
  <si>
    <t>0003019</t>
  </si>
  <si>
    <t>0003020</t>
  </si>
  <si>
    <t>0003021</t>
  </si>
  <si>
    <t>0003022</t>
  </si>
  <si>
    <t>0003023</t>
  </si>
  <si>
    <t>0003024</t>
  </si>
  <si>
    <t>0003025</t>
  </si>
  <si>
    <t>0003028</t>
  </si>
  <si>
    <t>0003029</t>
  </si>
  <si>
    <t>0003030</t>
  </si>
  <si>
    <t>0003032</t>
  </si>
  <si>
    <t>0003033</t>
  </si>
  <si>
    <t>1210543</t>
  </si>
  <si>
    <t>0003037</t>
  </si>
  <si>
    <t>0003038</t>
  </si>
  <si>
    <t>0003039</t>
  </si>
  <si>
    <t>0003040</t>
  </si>
  <si>
    <t>0003041</t>
  </si>
  <si>
    <t>0003042</t>
  </si>
  <si>
    <t>0003043</t>
  </si>
  <si>
    <t>0003044</t>
  </si>
  <si>
    <t>0003045</t>
  </si>
  <si>
    <t>0003046</t>
  </si>
  <si>
    <t>0003047</t>
  </si>
  <si>
    <t>0003048</t>
  </si>
  <si>
    <t>0003049</t>
  </si>
  <si>
    <t>0003050</t>
  </si>
  <si>
    <t>0003051</t>
  </si>
  <si>
    <t>0003052</t>
  </si>
  <si>
    <t>0003054</t>
  </si>
  <si>
    <t>0003055</t>
  </si>
  <si>
    <t>0003056</t>
  </si>
  <si>
    <t>0003058</t>
  </si>
  <si>
    <t>0003059</t>
  </si>
  <si>
    <t>0003060</t>
  </si>
  <si>
    <t>0003061</t>
  </si>
  <si>
    <t>0003062</t>
  </si>
  <si>
    <t>0003063</t>
  </si>
  <si>
    <t>0003064</t>
  </si>
  <si>
    <t>0003065</t>
  </si>
  <si>
    <t>0003066</t>
  </si>
  <si>
    <t>0003067</t>
  </si>
  <si>
    <t>0003068</t>
  </si>
  <si>
    <t>0003069</t>
  </si>
  <si>
    <t>0003070</t>
  </si>
  <si>
    <t>0003071</t>
  </si>
  <si>
    <t>1210012</t>
  </si>
  <si>
    <t>1210013</t>
  </si>
  <si>
    <t>1210014</t>
  </si>
  <si>
    <t>1210015</t>
  </si>
  <si>
    <t>1210016</t>
  </si>
  <si>
    <t>1210017</t>
  </si>
  <si>
    <t>1210018</t>
  </si>
  <si>
    <t>1210019</t>
  </si>
  <si>
    <t>1210020</t>
  </si>
  <si>
    <t>1210021</t>
  </si>
  <si>
    <t>1210022</t>
  </si>
  <si>
    <t>1210031</t>
  </si>
  <si>
    <t>1210035</t>
  </si>
  <si>
    <t>1210109</t>
  </si>
  <si>
    <t>1210110</t>
  </si>
  <si>
    <t>1210111</t>
  </si>
  <si>
    <t>1210112</t>
  </si>
  <si>
    <t>1210114</t>
  </si>
  <si>
    <t>1210115</t>
  </si>
  <si>
    <t>1210120</t>
  </si>
  <si>
    <t>1210121</t>
  </si>
  <si>
    <t>1210133</t>
  </si>
  <si>
    <t>1210136</t>
  </si>
  <si>
    <t>1210162</t>
  </si>
  <si>
    <t>1210201</t>
  </si>
  <si>
    <t>1210224</t>
  </si>
  <si>
    <t>1210225</t>
  </si>
  <si>
    <t>1210226</t>
  </si>
  <si>
    <t>1210227</t>
  </si>
  <si>
    <t>1210228</t>
  </si>
  <si>
    <t>1210229</t>
  </si>
  <si>
    <t>1210230</t>
  </si>
  <si>
    <t>1210231</t>
  </si>
  <si>
    <t>1210232</t>
  </si>
  <si>
    <t>1210233</t>
  </si>
  <si>
    <t>1210234</t>
  </si>
  <si>
    <t>1210235</t>
  </si>
  <si>
    <t>1210236</t>
  </si>
  <si>
    <t>1210542</t>
  </si>
  <si>
    <t>1210328</t>
  </si>
  <si>
    <t>1210332</t>
  </si>
  <si>
    <t>1210333</t>
  </si>
  <si>
    <t>1210334</t>
  </si>
  <si>
    <t>1210335</t>
  </si>
  <si>
    <t>1210336</t>
  </si>
  <si>
    <t>1210400</t>
  </si>
  <si>
    <t>1210344</t>
  </si>
  <si>
    <t>1210346</t>
  </si>
  <si>
    <t>1210347</t>
  </si>
  <si>
    <t>1210348</t>
  </si>
  <si>
    <t>1210352</t>
  </si>
  <si>
    <t>1210353</t>
  </si>
  <si>
    <t>1210401</t>
  </si>
  <si>
    <t>1210355</t>
  </si>
  <si>
    <t>1210494</t>
  </si>
  <si>
    <t>1210495</t>
  </si>
  <si>
    <t>1210496</t>
  </si>
  <si>
    <t>1210497</t>
  </si>
  <si>
    <t>1210498</t>
  </si>
  <si>
    <t>1210499</t>
  </si>
  <si>
    <t>1210500</t>
  </si>
  <si>
    <t>1210501</t>
  </si>
  <si>
    <t>1210502</t>
  </si>
  <si>
    <t>1210503</t>
  </si>
  <si>
    <t>1210504</t>
  </si>
  <si>
    <t>1210505</t>
  </si>
  <si>
    <t>1210506</t>
  </si>
  <si>
    <t>1210507</t>
  </si>
  <si>
    <t>1210508</t>
  </si>
  <si>
    <t>1210510</t>
  </si>
  <si>
    <t>1210532</t>
  </si>
  <si>
    <t>1210512</t>
  </si>
  <si>
    <t>1210535</t>
  </si>
  <si>
    <t>1210581</t>
  </si>
  <si>
    <t>1210582</t>
  </si>
  <si>
    <t>1210583</t>
  </si>
  <si>
    <t>1210584</t>
  </si>
  <si>
    <t>1210585</t>
  </si>
  <si>
    <t>1210586</t>
  </si>
  <si>
    <t>1210587</t>
  </si>
  <si>
    <t>1210588</t>
  </si>
  <si>
    <t>1210608</t>
  </si>
  <si>
    <t>1210675</t>
  </si>
  <si>
    <t>交付決定額</t>
    <rPh sb="0" eb="2">
      <t>コウフ</t>
    </rPh>
    <rPh sb="2" eb="4">
      <t>ケッテイ</t>
    </rPh>
    <rPh sb="4" eb="5">
      <t>ガク</t>
    </rPh>
    <phoneticPr fontId="1"/>
  </si>
  <si>
    <t>交付決定日</t>
    <rPh sb="0" eb="2">
      <t>コウフ</t>
    </rPh>
    <rPh sb="2" eb="4">
      <t>ケッテイ</t>
    </rPh>
    <rPh sb="4" eb="5">
      <t>ビ</t>
    </rPh>
    <phoneticPr fontId="1"/>
  </si>
  <si>
    <t>概算払日1</t>
    <rPh sb="0" eb="2">
      <t>ガイサン</t>
    </rPh>
    <rPh sb="2" eb="3">
      <t>バラ</t>
    </rPh>
    <rPh sb="3" eb="4">
      <t>ヒ</t>
    </rPh>
    <phoneticPr fontId="1"/>
  </si>
  <si>
    <t>概算払日2</t>
    <rPh sb="0" eb="2">
      <t>ガイサン</t>
    </rPh>
    <rPh sb="2" eb="3">
      <t>バラ</t>
    </rPh>
    <rPh sb="3" eb="4">
      <t>ヒ</t>
    </rPh>
    <phoneticPr fontId="1"/>
  </si>
  <si>
    <t>（福）千葉愛育会</t>
  </si>
  <si>
    <t>理事長</t>
  </si>
  <si>
    <t>日高　正和</t>
  </si>
  <si>
    <t>千葉市中央区院内2-5-6</t>
  </si>
  <si>
    <t>（福）桜育心福祉会</t>
  </si>
  <si>
    <t>（学）城徳学園</t>
  </si>
  <si>
    <t>相原　美惠子</t>
  </si>
  <si>
    <t>千葉市美浜区磯辺7丁目16-1</t>
  </si>
  <si>
    <t>（福）八越会</t>
  </si>
  <si>
    <t>吉岡　正夫</t>
  </si>
  <si>
    <t>千葉市花見川区検見川町3-331-4</t>
  </si>
  <si>
    <t>（福）いまい福祉会</t>
  </si>
  <si>
    <t>大森　喜久代</t>
  </si>
  <si>
    <t>千葉市中央区今井2-12-7</t>
  </si>
  <si>
    <t>（福）若葉福祉会</t>
  </si>
  <si>
    <t>山﨑　淳一</t>
  </si>
  <si>
    <t>千葉市若葉区若松町３３６</t>
  </si>
  <si>
    <t>（福）千葉寺福祉会</t>
  </si>
  <si>
    <t>岡本　博幸</t>
  </si>
  <si>
    <t>千葉市中央区末広4-17-3</t>
  </si>
  <si>
    <t>（福）龍澤園</t>
  </si>
  <si>
    <t>千葉市中央区大巌寺町457-5</t>
  </si>
  <si>
    <t>（福）富岳会</t>
  </si>
  <si>
    <t>吉江　規隆</t>
  </si>
  <si>
    <t>千葉市美浜区高洲４－５－９</t>
  </si>
  <si>
    <t>（福）聖心福祉会</t>
  </si>
  <si>
    <t>藤井　二佐枝</t>
  </si>
  <si>
    <t>千葉市美浜区真砂3-15-14</t>
  </si>
  <si>
    <t>（福）豊福祉会</t>
  </si>
  <si>
    <t>御園　愛子</t>
  </si>
  <si>
    <t>千葉市若葉区みつわ台5-8-8</t>
  </si>
  <si>
    <t>（福）高洲福祉会</t>
  </si>
  <si>
    <t>樋口　正春</t>
  </si>
  <si>
    <t>千葉市美浜区高洲1-15-2</t>
  </si>
  <si>
    <t>（福）如水福祉会</t>
  </si>
  <si>
    <t>行木　道嗣</t>
  </si>
  <si>
    <t>千葉市緑区大椎町1199-2</t>
  </si>
  <si>
    <t>（福）千葉福祉会</t>
  </si>
  <si>
    <t>千葉市若葉区みつわ台3-12-1</t>
  </si>
  <si>
    <t>（福）清流福祉会</t>
  </si>
  <si>
    <t>渡辺　光範</t>
  </si>
  <si>
    <t>千葉市中央区松ケ丘町563-1</t>
  </si>
  <si>
    <t>（福）扶葉福祉会</t>
  </si>
  <si>
    <t>木村　秀二</t>
  </si>
  <si>
    <t>千葉市稲毛区作草部町698-3</t>
  </si>
  <si>
    <t>（福）精粋福祉会</t>
  </si>
  <si>
    <t>赤塚　美枝子</t>
  </si>
  <si>
    <t>千葉市若葉区若松町2106-3</t>
  </si>
  <si>
    <t>（福）愛誠福祉会</t>
  </si>
  <si>
    <t>森田　昭雄</t>
  </si>
  <si>
    <t>千葉市美浜区高浜4-4-1</t>
  </si>
  <si>
    <t>（福）南小中台福祉会</t>
  </si>
  <si>
    <t>原　八代重</t>
  </si>
  <si>
    <t>千葉市稲毛区小仲台8-21-1</t>
  </si>
  <si>
    <t>（福）光楓福祉会</t>
  </si>
  <si>
    <t>千葉市美浜区磯辺5-14-5</t>
  </si>
  <si>
    <t>（福）おゆみ野福祉会</t>
  </si>
  <si>
    <t>長谷川　光男</t>
  </si>
  <si>
    <t>千葉市緑区おゆみ野２－７</t>
  </si>
  <si>
    <t>（福）鏡明福祉会</t>
  </si>
  <si>
    <t>片岡  美子</t>
  </si>
  <si>
    <t>千葉市緑区あすみが丘4-21-1</t>
  </si>
  <si>
    <t>（福）あかね福祉会</t>
  </si>
  <si>
    <t>篠原　昌敏</t>
  </si>
  <si>
    <t>（福）健善富会</t>
  </si>
  <si>
    <t>千葉市緑区おゆみ野中央７丁目３０</t>
  </si>
  <si>
    <t>（福）豊樹園</t>
  </si>
  <si>
    <t>伊藤　政義</t>
  </si>
  <si>
    <t>千葉市稲毛区山王町153-16</t>
  </si>
  <si>
    <t>（学）誠真学園</t>
  </si>
  <si>
    <t>中村　喜一郎</t>
  </si>
  <si>
    <t>千葉市稲毛区小仲台8-20-1</t>
  </si>
  <si>
    <t>（福）小ばと会</t>
  </si>
  <si>
    <t>村松　重彦</t>
  </si>
  <si>
    <t>千葉市緑区おゆみ野中央2-7-7</t>
  </si>
  <si>
    <t>髙橋　進一</t>
  </si>
  <si>
    <t>千葉市中央区新町17-12</t>
  </si>
  <si>
    <t>代表理事</t>
  </si>
  <si>
    <t>千葉市中央区新宿２－５－１３　アスセナビル２階</t>
  </si>
  <si>
    <t>千葉市中央区中央港1-24-14 シースケープ千葉みなと1階</t>
  </si>
  <si>
    <t>（株）こどもの森</t>
  </si>
  <si>
    <t>代表取締役</t>
  </si>
  <si>
    <t>久芳　敬裕</t>
  </si>
  <si>
    <t>東京都国分寺市光町2-5-1</t>
  </si>
  <si>
    <t>代表取締役社長</t>
  </si>
  <si>
    <t>西村　政雄</t>
  </si>
  <si>
    <t>千葉市若葉区西都賀3-17-12</t>
  </si>
  <si>
    <t>名古屋市東区葵3-15-31千種ニュータワービル17階</t>
  </si>
  <si>
    <t>（学）千葉明徳学園</t>
  </si>
  <si>
    <t>福中　儀明</t>
  </si>
  <si>
    <t>千葉市中央区南生実町1412番地</t>
  </si>
  <si>
    <t>（福）まくはり福志会</t>
  </si>
  <si>
    <t>志村　学</t>
  </si>
  <si>
    <t>千葉市花見川区幕張町4-608-1</t>
  </si>
  <si>
    <t>（株）俊英館</t>
  </si>
  <si>
    <t>田村　幸之</t>
  </si>
  <si>
    <t>東京都板橋区小茂根4-9-2　セガミビル3F</t>
  </si>
  <si>
    <t>（福）弘恕会</t>
  </si>
  <si>
    <t>森島　弘道</t>
  </si>
  <si>
    <t>千葉市若葉区みつわ台３－６</t>
  </si>
  <si>
    <t>（有）もっくもっく</t>
  </si>
  <si>
    <t>河口　知子</t>
  </si>
  <si>
    <t>浦安市北栄1丁目11-24　第2吉田ビル3F</t>
  </si>
  <si>
    <t>（福）大きな家族</t>
  </si>
  <si>
    <t>間山　有子</t>
  </si>
  <si>
    <t>千葉市中央区問屋町13-5</t>
  </si>
  <si>
    <t>迫田　健太郎</t>
  </si>
  <si>
    <t>（福）千葉県福祉援護会</t>
  </si>
  <si>
    <t>東京都品川区西五反田２－１１－８ 学研ビル</t>
  </si>
  <si>
    <t>（福）茂原高師保育園</t>
  </si>
  <si>
    <t>東京都江戸川区中葛西３丁目３７番４号</t>
  </si>
  <si>
    <t>大溝　廣子</t>
  </si>
  <si>
    <t>千葉市花見川区幕張本郷６丁目２１－２０</t>
  </si>
  <si>
    <t>（福）中央総合福祉会</t>
  </si>
  <si>
    <t>岩館　秀</t>
  </si>
  <si>
    <t>千葉市若葉区都賀５丁目１番１１号</t>
  </si>
  <si>
    <t>森　信介</t>
  </si>
  <si>
    <t>（福）愛の園福祉会</t>
  </si>
  <si>
    <t>堀口　路加</t>
  </si>
  <si>
    <t>八千代市米本1359　米本団地4街区39棟</t>
  </si>
  <si>
    <t>太田　明子</t>
  </si>
  <si>
    <t>東京都渋谷区恵比寿西2-4-5星ビル4階</t>
  </si>
  <si>
    <t>長澤　宏昭</t>
  </si>
  <si>
    <t>岩根　健二</t>
  </si>
  <si>
    <t>千葉市花見川区幕張本郷2-21-3</t>
  </si>
  <si>
    <t>（有）鎌野</t>
  </si>
  <si>
    <t>鎌野　郁美</t>
  </si>
  <si>
    <t>千葉市中央区白旗3-1-4</t>
  </si>
  <si>
    <t>（福）宙福祉会</t>
  </si>
  <si>
    <t>大場　義之</t>
  </si>
  <si>
    <t>千葉市稲毛区稲毛東4-2-21</t>
  </si>
  <si>
    <t>小関　伸哉</t>
  </si>
  <si>
    <t>千葉市緑区鎌取町273-146</t>
  </si>
  <si>
    <t>柚上　啓子</t>
  </si>
  <si>
    <t>（福）おもいやり福祉会</t>
  </si>
  <si>
    <t>市原市瀬又字傾城谷507</t>
  </si>
  <si>
    <t>（福）笑顔の会</t>
  </si>
  <si>
    <t>久恒　依里</t>
  </si>
  <si>
    <t>千葉市花見川区幕張本郷1-20-9</t>
  </si>
  <si>
    <t>貞松　成</t>
  </si>
  <si>
    <t>東京都墨田区錦糸１－２－１</t>
  </si>
  <si>
    <t>（福）穏寿会</t>
  </si>
  <si>
    <t>千葉市緑区高田町1084</t>
  </si>
  <si>
    <t>代表社員</t>
  </si>
  <si>
    <t>坂倉　誠一郎</t>
  </si>
  <si>
    <t>千葉市緑区おゆみ野3-14-7　ネオステージおゆみ野壱番館403号</t>
  </si>
  <si>
    <t>（株）SPINALDESIGN</t>
  </si>
  <si>
    <t>山﨑　厚子</t>
  </si>
  <si>
    <t>習志野市奏の杜3-14-9</t>
  </si>
  <si>
    <t>滝瀬　雅子</t>
  </si>
  <si>
    <t>東京都八王子市明神町4丁目7番3号　やまとビル6階</t>
  </si>
  <si>
    <t>（株）かるがも</t>
  </si>
  <si>
    <t>目片　智恵美</t>
  </si>
  <si>
    <t>薮﨑　流美子</t>
  </si>
  <si>
    <t>千葉市美浜区幸町1丁目21－8　パルスクエア千葉203</t>
  </si>
  <si>
    <t>岡崎　玲子</t>
  </si>
  <si>
    <t>柏市増尾台3丁目6番41号</t>
  </si>
  <si>
    <t>（株）ぴょんぴょん</t>
  </si>
  <si>
    <t>矢島　隆志</t>
  </si>
  <si>
    <t>千葉市花見川区作新台1‐6‐11</t>
  </si>
  <si>
    <t>（株）笑福</t>
  </si>
  <si>
    <t>橘原　隆之</t>
  </si>
  <si>
    <t>千葉市若葉区みつわ台5-21-14</t>
  </si>
  <si>
    <t>日向　高志</t>
  </si>
  <si>
    <t>千葉市中央区登戸１－２６－１　朝日生命千葉登戸ビル１０階</t>
  </si>
  <si>
    <t>田村幸之</t>
  </si>
  <si>
    <t>鳥山　弘章</t>
  </si>
  <si>
    <t>千葉市若葉区都賀2-12-11</t>
  </si>
  <si>
    <t>（福）さくら学園</t>
  </si>
  <si>
    <t>鈴木　信吾</t>
  </si>
  <si>
    <t>千葉市花見川区花島町４３０－３５</t>
  </si>
  <si>
    <t>（福）末広会</t>
  </si>
  <si>
    <t>大川　忠夫</t>
  </si>
  <si>
    <t>千葉市中央区末広４－２１－４</t>
  </si>
  <si>
    <t>（学）三幸学園</t>
  </si>
  <si>
    <t>昼間　一彦</t>
  </si>
  <si>
    <t>東京都文京区本郷３－２３－１６</t>
  </si>
  <si>
    <t>（株）新星</t>
  </si>
  <si>
    <t>島﨑　信雄</t>
  </si>
  <si>
    <t>千葉市中央区末広２－１２－１７</t>
  </si>
  <si>
    <t>（特非）子育て110番</t>
  </si>
  <si>
    <t>理事</t>
  </si>
  <si>
    <t>山本　岳</t>
  </si>
  <si>
    <t>千葉市花見川区長作町８</t>
  </si>
  <si>
    <t>（株）KORU</t>
  </si>
  <si>
    <t>横土　ノリ子</t>
  </si>
  <si>
    <t>千葉市稲毛区小仲台２－８－２５　第８横土ビル１階</t>
  </si>
  <si>
    <t>（株）秀蹊</t>
  </si>
  <si>
    <t>田中　秀彦</t>
  </si>
  <si>
    <t>千葉市若葉区都賀４－１３－３</t>
  </si>
  <si>
    <t>千葉市若葉区都賀２－１２－１１</t>
  </si>
  <si>
    <t>（株）こどもの木</t>
  </si>
  <si>
    <t>島貫　征之</t>
  </si>
  <si>
    <t>（株）生活設計</t>
  </si>
  <si>
    <t>井手　健二郎</t>
  </si>
  <si>
    <t>八千代市勝田１２６０－５</t>
  </si>
  <si>
    <t>（同）aim</t>
  </si>
  <si>
    <t>宮本　伸士</t>
  </si>
  <si>
    <t>千葉市中央区登戸１－１１－１８　第二潮ビル１階</t>
  </si>
  <si>
    <t>（学）植草学園</t>
  </si>
  <si>
    <t>植草　和典</t>
  </si>
  <si>
    <t>千葉市中央区弁天２－８－９</t>
  </si>
  <si>
    <t>京都府京都市下京区烏丸通五条下る大坂町３８２－１</t>
  </si>
  <si>
    <t>村越　秀男</t>
  </si>
  <si>
    <t>東京都中央区銀座７丁目１６－１２　G-７ビルディング</t>
  </si>
  <si>
    <t>（株）かえで</t>
  </si>
  <si>
    <t>小林　尚司</t>
  </si>
  <si>
    <t>千葉市花見川区幕張町５丁目４９８番２号</t>
  </si>
  <si>
    <t>千葉市花見川区検見川町３－３２６－３</t>
  </si>
  <si>
    <t>千葉市若葉区西都賀３－１７－１２</t>
  </si>
  <si>
    <t>依田　和孝</t>
  </si>
  <si>
    <t>千葉市稲毛区稲毛東２－１４－１２</t>
  </si>
  <si>
    <t>（有）朱華</t>
  </si>
  <si>
    <t>高橋　久美子</t>
  </si>
  <si>
    <t>千葉市緑区あすみが丘４－２８－７</t>
  </si>
  <si>
    <t>長谷川　郁代</t>
  </si>
  <si>
    <t>千葉市緑区おゆみ野３－３９－１　セントアベニュー１０２</t>
  </si>
  <si>
    <t>佐々木　豊</t>
  </si>
  <si>
    <t>千葉市緑区おゆみ野2丁目７</t>
  </si>
  <si>
    <t>（福）檸檬会</t>
  </si>
  <si>
    <t>醍醐　優子</t>
  </si>
  <si>
    <t>千葉市中央区松波1丁目19番８　プリマベーラ弐番館１階</t>
  </si>
  <si>
    <t>千葉市中央区白旗３丁目１－４</t>
  </si>
  <si>
    <t>千葉市若葉区みつわ台３丁目６番</t>
  </si>
  <si>
    <t>千葉市中央区登戸1丁目２６－１　朝日生命千葉登戸ビル１０階</t>
  </si>
  <si>
    <t>千葉市中央区問屋町１３－５</t>
  </si>
  <si>
    <t>千葉市若葉区都賀2丁目１２－１１</t>
  </si>
  <si>
    <t>ミュラー　道代</t>
  </si>
  <si>
    <t>千葉市若葉区桜木北2丁目10番6号</t>
  </si>
  <si>
    <t>（株）GOLDLUYS</t>
  </si>
  <si>
    <t>粒良　知史</t>
  </si>
  <si>
    <t>千葉市緑区あすみが丘東４丁目９番地２</t>
  </si>
  <si>
    <t>（株）HOPPA</t>
  </si>
  <si>
    <t>西村　麻衣</t>
  </si>
  <si>
    <t>星　恵子</t>
  </si>
  <si>
    <t>星野　満美</t>
  </si>
  <si>
    <t>東京都渋谷区東３丁目１９－８　Ｓｔａｒｆｉｅｌｄ　１Ｆ</t>
  </si>
  <si>
    <t>理事長</t>
    <rPh sb="0" eb="3">
      <t>リジチョウ</t>
    </rPh>
    <phoneticPr fontId="4"/>
  </si>
  <si>
    <t>更新日</t>
    <rPh sb="0" eb="3">
      <t>コウシンビ</t>
    </rPh>
    <phoneticPr fontId="1"/>
  </si>
  <si>
    <t>総数</t>
    <rPh sb="0" eb="2">
      <t>ソウスウ</t>
    </rPh>
    <phoneticPr fontId="1"/>
  </si>
  <si>
    <t>決定通知書文書番号</t>
    <rPh sb="0" eb="2">
      <t>ケッテイ</t>
    </rPh>
    <rPh sb="2" eb="4">
      <t>ツウチ</t>
    </rPh>
    <rPh sb="4" eb="5">
      <t>ショ</t>
    </rPh>
    <rPh sb="5" eb="7">
      <t>ブンショ</t>
    </rPh>
    <rPh sb="7" eb="9">
      <t>バンゴウ</t>
    </rPh>
    <phoneticPr fontId="1"/>
  </si>
  <si>
    <t>債権者番号</t>
    <rPh sb="0" eb="3">
      <t>サイケンシャ</t>
    </rPh>
    <rPh sb="3" eb="5">
      <t>バンゴウ</t>
    </rPh>
    <phoneticPr fontId="4"/>
  </si>
  <si>
    <t>法人名</t>
    <rPh sb="0" eb="2">
      <t>ホウジン</t>
    </rPh>
    <rPh sb="2" eb="3">
      <t>メイ</t>
    </rPh>
    <phoneticPr fontId="4"/>
  </si>
  <si>
    <t>住所</t>
    <rPh sb="0" eb="2">
      <t>ジュウショ</t>
    </rPh>
    <phoneticPr fontId="1"/>
  </si>
  <si>
    <t>代表者職名</t>
    <rPh sb="0" eb="3">
      <t>ダイヒョウシャ</t>
    </rPh>
    <rPh sb="3" eb="5">
      <t>ショクメイ</t>
    </rPh>
    <phoneticPr fontId="1"/>
  </si>
  <si>
    <t>代表者氏名</t>
    <rPh sb="0" eb="3">
      <t>ダイヒョウシャ</t>
    </rPh>
    <rPh sb="3" eb="5">
      <t>シメイ</t>
    </rPh>
    <phoneticPr fontId="4"/>
  </si>
  <si>
    <t>（株）Laみつばち</t>
  </si>
  <si>
    <t>千葉県千葉市中央区椿森６丁目５－３</t>
  </si>
  <si>
    <t>西村　和馬</t>
  </si>
  <si>
    <t>千葉県千葉市花見川区幕張町５丁目４９８番２号</t>
  </si>
  <si>
    <t>千葉県千葉市稲毛区稲毛東４丁目２番地２１号</t>
  </si>
  <si>
    <t>前地　美紀</t>
  </si>
  <si>
    <t>千葉県千葉市中央区末広２丁目１２番１７号</t>
  </si>
  <si>
    <t>千葉市稲毛区小仲台2-10-1</t>
  </si>
  <si>
    <t>PW保存用
（通常は非表示）</t>
    <rPh sb="2" eb="5">
      <t>ホゾンヨウ</t>
    </rPh>
    <rPh sb="7" eb="9">
      <t>ツウジョウ</t>
    </rPh>
    <rPh sb="10" eb="13">
      <t>ヒヒョウジ</t>
    </rPh>
    <phoneticPr fontId="4"/>
  </si>
  <si>
    <t>配置</t>
    <rPh sb="0" eb="2">
      <t>ハイチ</t>
    </rPh>
    <phoneticPr fontId="1"/>
  </si>
  <si>
    <t>兼務</t>
    <rPh sb="0" eb="2">
      <t>ケンム</t>
    </rPh>
    <phoneticPr fontId="1"/>
  </si>
  <si>
    <t>嘱託</t>
    <rPh sb="0" eb="2">
      <t>ショクタク</t>
    </rPh>
    <phoneticPr fontId="1"/>
  </si>
  <si>
    <t>栄養管理加算の適用</t>
    <rPh sb="0" eb="2">
      <t>エイヨウ</t>
    </rPh>
    <rPh sb="2" eb="4">
      <t>カンリ</t>
    </rPh>
    <rPh sb="4" eb="6">
      <t>カサン</t>
    </rPh>
    <rPh sb="7" eb="9">
      <t>テキヨウ</t>
    </rPh>
    <phoneticPr fontId="1"/>
  </si>
  <si>
    <t>栄養管理加算の適用内容</t>
    <rPh sb="0" eb="2">
      <t>エイヨウ</t>
    </rPh>
    <rPh sb="2" eb="4">
      <t>カンリ</t>
    </rPh>
    <rPh sb="4" eb="6">
      <t>カサン</t>
    </rPh>
    <rPh sb="7" eb="9">
      <t>テキヨウ</t>
    </rPh>
    <rPh sb="9" eb="11">
      <t>ナイヨウ</t>
    </rPh>
    <phoneticPr fontId="1"/>
  </si>
  <si>
    <t>栄養管理加算</t>
    <rPh sb="0" eb="2">
      <t>エイヨウ</t>
    </rPh>
    <rPh sb="2" eb="4">
      <t>カンリ</t>
    </rPh>
    <rPh sb="4" eb="6">
      <t>カサン</t>
    </rPh>
    <phoneticPr fontId="1"/>
  </si>
  <si>
    <t>D4セル</t>
  </si>
  <si>
    <t>園の所在する区を選択してください。</t>
    <rPh sb="0" eb="1">
      <t>エン</t>
    </rPh>
    <rPh sb="2" eb="4">
      <t>ショザイ</t>
    </rPh>
    <rPh sb="6" eb="7">
      <t>ク</t>
    </rPh>
    <rPh sb="8" eb="10">
      <t>センタク</t>
    </rPh>
    <phoneticPr fontId="1"/>
  </si>
  <si>
    <t>園の類型を選択してください。</t>
    <rPh sb="0" eb="1">
      <t>エン</t>
    </rPh>
    <rPh sb="2" eb="4">
      <t>ルイケイ</t>
    </rPh>
    <rPh sb="5" eb="7">
      <t>センタク</t>
    </rPh>
    <phoneticPr fontId="1"/>
  </si>
  <si>
    <t>L8セル</t>
    <phoneticPr fontId="1"/>
  </si>
  <si>
    <t>栄養管理加算適用の有無を選択してください。</t>
    <rPh sb="0" eb="2">
      <t>エイヨウ</t>
    </rPh>
    <rPh sb="2" eb="4">
      <t>カンリ</t>
    </rPh>
    <rPh sb="4" eb="6">
      <t>カサン</t>
    </rPh>
    <rPh sb="6" eb="8">
      <t>テキヨウ</t>
    </rPh>
    <rPh sb="9" eb="11">
      <t>ウム</t>
    </rPh>
    <rPh sb="12" eb="14">
      <t>センタク</t>
    </rPh>
    <phoneticPr fontId="1"/>
  </si>
  <si>
    <t>栄養管理加算が適用される場合、その使途を選択してください。</t>
    <rPh sb="0" eb="2">
      <t>エイヨウ</t>
    </rPh>
    <rPh sb="2" eb="4">
      <t>カンリ</t>
    </rPh>
    <rPh sb="4" eb="6">
      <t>カサン</t>
    </rPh>
    <phoneticPr fontId="1"/>
  </si>
  <si>
    <t>有・無</t>
    <rPh sb="0" eb="1">
      <t>アリ</t>
    </rPh>
    <rPh sb="2" eb="3">
      <t>ナシ</t>
    </rPh>
    <phoneticPr fontId="1"/>
  </si>
  <si>
    <t>数字</t>
    <rPh sb="0" eb="2">
      <t>スウジ</t>
    </rPh>
    <phoneticPr fontId="1"/>
  </si>
  <si>
    <t>保育標準時間の受け入れ</t>
    <rPh sb="0" eb="2">
      <t>ホイク</t>
    </rPh>
    <rPh sb="2" eb="4">
      <t>ヒョウジュン</t>
    </rPh>
    <rPh sb="4" eb="6">
      <t>ジカン</t>
    </rPh>
    <rPh sb="7" eb="8">
      <t>ウ</t>
    </rPh>
    <rPh sb="9" eb="10">
      <t>イ</t>
    </rPh>
    <phoneticPr fontId="1"/>
  </si>
  <si>
    <t>F23～Q23セル</t>
  </si>
  <si>
    <t>F25～Q25セル</t>
  </si>
  <si>
    <t>認可計</t>
    <rPh sb="0" eb="2">
      <t>ニンカ</t>
    </rPh>
    <rPh sb="2" eb="3">
      <t>ケイ</t>
    </rPh>
    <phoneticPr fontId="1"/>
  </si>
  <si>
    <t>保育園</t>
    <rPh sb="0" eb="3">
      <t>ホイクエン</t>
    </rPh>
    <phoneticPr fontId="1"/>
  </si>
  <si>
    <t>幼保認こ</t>
    <rPh sb="0" eb="2">
      <t>ヨウホ</t>
    </rPh>
    <rPh sb="2" eb="3">
      <t>ニン</t>
    </rPh>
    <phoneticPr fontId="1"/>
  </si>
  <si>
    <t>幼稚認こ</t>
    <rPh sb="0" eb="2">
      <t>ヨウチ</t>
    </rPh>
    <phoneticPr fontId="1"/>
  </si>
  <si>
    <t>保育認こ</t>
    <rPh sb="0" eb="2">
      <t>ホイク</t>
    </rPh>
    <phoneticPr fontId="1"/>
  </si>
  <si>
    <t>地方認こ</t>
    <rPh sb="0" eb="2">
      <t>チホウ</t>
    </rPh>
    <phoneticPr fontId="1"/>
  </si>
  <si>
    <t>はっぴぃルーム本千葉駅前園</t>
  </si>
  <si>
    <t>幕張おおぞら保育園</t>
  </si>
  <si>
    <t>ちびっこランド稲毛愛教園</t>
  </si>
  <si>
    <t>リトルガーデンおゆみ野</t>
  </si>
  <si>
    <t>リトルガーデン幕張</t>
  </si>
  <si>
    <t>ぴょこたんランド</t>
  </si>
  <si>
    <t>ルーム</t>
  </si>
  <si>
    <t>260-0854</t>
  </si>
  <si>
    <t>中央区長洲1-24-12 今井ﾋﾞﾙ1F</t>
  </si>
  <si>
    <t>262-0032</t>
  </si>
  <si>
    <t>花見川区幕張町6-291-2 ﾆｭｰｳｨﾝｸﾞ幕張2F</t>
  </si>
  <si>
    <t>263-0031</t>
  </si>
  <si>
    <t>稲毛区稲毛東5-1-4 斉藤ﾋﾞﾙ1F</t>
  </si>
  <si>
    <t>263-0021</t>
  </si>
  <si>
    <t>稲毛区轟町4‐6‐23グランドメゾンとどろき201</t>
  </si>
  <si>
    <t>266-0033</t>
  </si>
  <si>
    <t>緑区おゆみ野南2-12-1</t>
  </si>
  <si>
    <t>261-0023</t>
  </si>
  <si>
    <t>美浜区中瀬1-6 m BAY POINT 幕張１F</t>
  </si>
  <si>
    <r>
      <t>　４月分は市で把握している内容を予め記載しています。
　記載内容に誤りがある場合には、上書き修正の上、</t>
    </r>
    <r>
      <rPr>
        <b/>
        <u/>
        <sz val="14"/>
        <color rgb="FFFF0000"/>
        <rFont val="游ゴシック"/>
        <family val="3"/>
        <charset val="128"/>
        <scheme val="minor"/>
      </rPr>
      <t>文字の色を「赤」にしてください。</t>
    </r>
    <rPh sb="2" eb="3">
      <t>ガツ</t>
    </rPh>
    <rPh sb="3" eb="4">
      <t>ブン</t>
    </rPh>
    <rPh sb="5" eb="6">
      <t>シ</t>
    </rPh>
    <rPh sb="7" eb="9">
      <t>ハアク</t>
    </rPh>
    <rPh sb="13" eb="15">
      <t>ナイヨウ</t>
    </rPh>
    <rPh sb="16" eb="17">
      <t>アラカジ</t>
    </rPh>
    <rPh sb="18" eb="20">
      <t>キサイ</t>
    </rPh>
    <rPh sb="28" eb="30">
      <t>キサイ</t>
    </rPh>
    <rPh sb="30" eb="32">
      <t>ナイヨウ</t>
    </rPh>
    <rPh sb="33" eb="34">
      <t>アヤマ</t>
    </rPh>
    <rPh sb="38" eb="40">
      <t>バアイ</t>
    </rPh>
    <rPh sb="43" eb="45">
      <t>ウワガ</t>
    </rPh>
    <rPh sb="46" eb="48">
      <t>シュウセイ</t>
    </rPh>
    <rPh sb="49" eb="50">
      <t>ウエ</t>
    </rPh>
    <rPh sb="51" eb="53">
      <t>モジ</t>
    </rPh>
    <rPh sb="54" eb="55">
      <t>イロ</t>
    </rPh>
    <rPh sb="57" eb="58">
      <t>アカ</t>
    </rPh>
    <phoneticPr fontId="1"/>
  </si>
  <si>
    <t>事前にお知らせしている補助金用パスワード（アルファベット3桁+数字5桁）を入力してください。</t>
    <rPh sb="0" eb="2">
      <t>ジゼン</t>
    </rPh>
    <rPh sb="4" eb="5">
      <t>シ</t>
    </rPh>
    <rPh sb="11" eb="14">
      <t>ホジョキン</t>
    </rPh>
    <rPh sb="14" eb="15">
      <t>ヨウ</t>
    </rPh>
    <rPh sb="29" eb="30">
      <t>ケタ</t>
    </rPh>
    <rPh sb="31" eb="33">
      <t>スウジ</t>
    </rPh>
    <rPh sb="34" eb="35">
      <t>ケタ</t>
    </rPh>
    <rPh sb="37" eb="39">
      <t>ニュウリョク</t>
    </rPh>
    <phoneticPr fontId="1"/>
  </si>
  <si>
    <r>
      <t>　項目により、５月分～３月分は４月の内容を転記しています。
　年度途中で変更等があった場合には、上書き修正の上、</t>
    </r>
    <r>
      <rPr>
        <b/>
        <u/>
        <sz val="14"/>
        <color rgb="FFFF0000"/>
        <rFont val="游ゴシック"/>
        <family val="3"/>
        <charset val="128"/>
        <scheme val="minor"/>
      </rPr>
      <t>文字の色を「赤」にしてください。</t>
    </r>
    <rPh sb="1" eb="3">
      <t>コウモク</t>
    </rPh>
    <rPh sb="8" eb="9">
      <t>ガツ</t>
    </rPh>
    <rPh sb="9" eb="10">
      <t>ブン</t>
    </rPh>
    <rPh sb="12" eb="14">
      <t>ガツブン</t>
    </rPh>
    <rPh sb="16" eb="17">
      <t>ガツ</t>
    </rPh>
    <rPh sb="18" eb="20">
      <t>ナイヨウ</t>
    </rPh>
    <rPh sb="21" eb="23">
      <t>テンキ</t>
    </rPh>
    <rPh sb="31" eb="33">
      <t>ネンド</t>
    </rPh>
    <rPh sb="33" eb="35">
      <t>トチュウ</t>
    </rPh>
    <rPh sb="36" eb="38">
      <t>ヘンコウ</t>
    </rPh>
    <rPh sb="38" eb="39">
      <t>トウ</t>
    </rPh>
    <rPh sb="43" eb="45">
      <t>バアイ</t>
    </rPh>
    <rPh sb="48" eb="50">
      <t>ウワガ</t>
    </rPh>
    <rPh sb="51" eb="53">
      <t>シュウセイ</t>
    </rPh>
    <rPh sb="54" eb="55">
      <t>ウエ</t>
    </rPh>
    <rPh sb="56" eb="58">
      <t>モジ</t>
    </rPh>
    <rPh sb="59" eb="60">
      <t>イロ</t>
    </rPh>
    <rPh sb="62" eb="63">
      <t>アカ</t>
    </rPh>
    <phoneticPr fontId="1"/>
  </si>
  <si>
    <t>栄養管理加算額
（４月）</t>
    <rPh sb="0" eb="2">
      <t>エイヨウ</t>
    </rPh>
    <rPh sb="2" eb="4">
      <t>カンリ</t>
    </rPh>
    <rPh sb="4" eb="6">
      <t>カサン</t>
    </rPh>
    <rPh sb="6" eb="7">
      <t>ガク</t>
    </rPh>
    <rPh sb="10" eb="11">
      <t>ガツ</t>
    </rPh>
    <phoneticPr fontId="1"/>
  </si>
  <si>
    <t>栄養管理加算額
（５月）</t>
    <rPh sb="0" eb="2">
      <t>エイヨウ</t>
    </rPh>
    <rPh sb="2" eb="4">
      <t>カンリ</t>
    </rPh>
    <rPh sb="4" eb="6">
      <t>カサン</t>
    </rPh>
    <rPh sb="6" eb="7">
      <t>ガク</t>
    </rPh>
    <rPh sb="10" eb="11">
      <t>ガツ</t>
    </rPh>
    <phoneticPr fontId="1"/>
  </si>
  <si>
    <t>栄養管理加算額
（６月）</t>
    <rPh sb="0" eb="2">
      <t>エイヨウ</t>
    </rPh>
    <rPh sb="2" eb="4">
      <t>カンリ</t>
    </rPh>
    <rPh sb="4" eb="6">
      <t>カサン</t>
    </rPh>
    <rPh sb="6" eb="7">
      <t>ガク</t>
    </rPh>
    <rPh sb="10" eb="11">
      <t>ガツ</t>
    </rPh>
    <phoneticPr fontId="1"/>
  </si>
  <si>
    <t>栄養管理加算額
（７月）</t>
    <rPh sb="0" eb="2">
      <t>エイヨウ</t>
    </rPh>
    <rPh sb="2" eb="4">
      <t>カンリ</t>
    </rPh>
    <rPh sb="4" eb="6">
      <t>カサン</t>
    </rPh>
    <rPh sb="6" eb="7">
      <t>ガク</t>
    </rPh>
    <rPh sb="10" eb="11">
      <t>ガツ</t>
    </rPh>
    <phoneticPr fontId="1"/>
  </si>
  <si>
    <t>栄養管理加算額
（８月）</t>
    <rPh sb="0" eb="2">
      <t>エイヨウ</t>
    </rPh>
    <rPh sb="2" eb="4">
      <t>カンリ</t>
    </rPh>
    <rPh sb="4" eb="6">
      <t>カサン</t>
    </rPh>
    <rPh sb="6" eb="7">
      <t>ガク</t>
    </rPh>
    <rPh sb="10" eb="11">
      <t>ガツ</t>
    </rPh>
    <phoneticPr fontId="1"/>
  </si>
  <si>
    <t>栄養管理加算額
（９月）</t>
    <rPh sb="0" eb="2">
      <t>エイヨウ</t>
    </rPh>
    <rPh sb="2" eb="4">
      <t>カンリ</t>
    </rPh>
    <rPh sb="4" eb="6">
      <t>カサン</t>
    </rPh>
    <rPh sb="6" eb="7">
      <t>ガク</t>
    </rPh>
    <rPh sb="10" eb="11">
      <t>ガツ</t>
    </rPh>
    <phoneticPr fontId="1"/>
  </si>
  <si>
    <t>栄養管理加算額
（１０月）</t>
    <rPh sb="0" eb="2">
      <t>エイヨウ</t>
    </rPh>
    <rPh sb="2" eb="4">
      <t>カンリ</t>
    </rPh>
    <rPh sb="4" eb="6">
      <t>カサン</t>
    </rPh>
    <rPh sb="6" eb="7">
      <t>ガク</t>
    </rPh>
    <rPh sb="11" eb="12">
      <t>ガツ</t>
    </rPh>
    <phoneticPr fontId="1"/>
  </si>
  <si>
    <t>栄養管理加算額
（１１月）</t>
    <rPh sb="0" eb="2">
      <t>エイヨウ</t>
    </rPh>
    <rPh sb="2" eb="4">
      <t>カンリ</t>
    </rPh>
    <rPh sb="4" eb="6">
      <t>カサン</t>
    </rPh>
    <rPh sb="6" eb="7">
      <t>ガク</t>
    </rPh>
    <rPh sb="11" eb="12">
      <t>ガツ</t>
    </rPh>
    <phoneticPr fontId="1"/>
  </si>
  <si>
    <t>栄養管理加算額
（１２月）</t>
    <rPh sb="0" eb="2">
      <t>エイヨウ</t>
    </rPh>
    <rPh sb="2" eb="4">
      <t>カンリ</t>
    </rPh>
    <rPh sb="4" eb="6">
      <t>カサン</t>
    </rPh>
    <rPh sb="6" eb="7">
      <t>ガク</t>
    </rPh>
    <rPh sb="11" eb="12">
      <t>ガツ</t>
    </rPh>
    <phoneticPr fontId="1"/>
  </si>
  <si>
    <t>栄養管理加算額
（１月）</t>
    <rPh sb="0" eb="2">
      <t>エイヨウ</t>
    </rPh>
    <rPh sb="2" eb="4">
      <t>カンリ</t>
    </rPh>
    <rPh sb="4" eb="6">
      <t>カサン</t>
    </rPh>
    <rPh sb="6" eb="7">
      <t>ガク</t>
    </rPh>
    <rPh sb="10" eb="11">
      <t>ガツ</t>
    </rPh>
    <phoneticPr fontId="1"/>
  </si>
  <si>
    <t>栄養管理加算額
（２月）</t>
    <rPh sb="0" eb="2">
      <t>エイヨウ</t>
    </rPh>
    <rPh sb="2" eb="4">
      <t>カンリ</t>
    </rPh>
    <rPh sb="4" eb="6">
      <t>カサン</t>
    </rPh>
    <rPh sb="6" eb="7">
      <t>ガク</t>
    </rPh>
    <rPh sb="10" eb="11">
      <t>ガツ</t>
    </rPh>
    <phoneticPr fontId="1"/>
  </si>
  <si>
    <t>栄養管理加算額
（３月）</t>
    <rPh sb="0" eb="2">
      <t>エイヨウ</t>
    </rPh>
    <rPh sb="2" eb="4">
      <t>カンリ</t>
    </rPh>
    <rPh sb="4" eb="6">
      <t>カサン</t>
    </rPh>
    <rPh sb="6" eb="7">
      <t>ガク</t>
    </rPh>
    <rPh sb="10" eb="11">
      <t>ガツ</t>
    </rPh>
    <phoneticPr fontId="1"/>
  </si>
  <si>
    <t>J列</t>
    <rPh sb="1" eb="2">
      <t>レツ</t>
    </rPh>
    <phoneticPr fontId="1"/>
  </si>
  <si>
    <t>K列</t>
    <rPh sb="1" eb="2">
      <t>レツ</t>
    </rPh>
    <phoneticPr fontId="1"/>
  </si>
  <si>
    <t>配置</t>
    <rPh sb="0" eb="2">
      <t>ハイチ</t>
    </rPh>
    <phoneticPr fontId="1"/>
  </si>
  <si>
    <t>兼務</t>
    <rPh sb="0" eb="2">
      <t>ケンム</t>
    </rPh>
    <phoneticPr fontId="1"/>
  </si>
  <si>
    <t>嘱託</t>
    <rPh sb="0" eb="2">
      <t>ショクタク</t>
    </rPh>
    <phoneticPr fontId="1"/>
  </si>
  <si>
    <t>【非表示】配置の場合の加算額</t>
    <rPh sb="1" eb="2">
      <t>ヒ</t>
    </rPh>
    <rPh sb="2" eb="4">
      <t>ヒョウジ</t>
    </rPh>
    <rPh sb="5" eb="7">
      <t>ハイチ</t>
    </rPh>
    <rPh sb="8" eb="10">
      <t>バアイ</t>
    </rPh>
    <rPh sb="11" eb="13">
      <t>カサン</t>
    </rPh>
    <rPh sb="13" eb="14">
      <t>ガク</t>
    </rPh>
    <phoneticPr fontId="1"/>
  </si>
  <si>
    <t>（様式第３号）</t>
    <rPh sb="3" eb="4">
      <t>ダイ</t>
    </rPh>
    <phoneticPr fontId="6"/>
  </si>
  <si>
    <t>今回の請求額</t>
    <rPh sb="0" eb="2">
      <t>コンカイ</t>
    </rPh>
    <rPh sb="3" eb="5">
      <t>セイキュウ</t>
    </rPh>
    <rPh sb="5" eb="6">
      <t>ガク</t>
    </rPh>
    <phoneticPr fontId="29"/>
  </si>
  <si>
    <t>ZQR73107</t>
  </si>
  <si>
    <t>CDK82118</t>
  </si>
  <si>
    <t>OUM73320</t>
  </si>
  <si>
    <t>OHO17483</t>
  </si>
  <si>
    <t>UVI87802</t>
  </si>
  <si>
    <t>DRP38041</t>
  </si>
  <si>
    <t>JUU68835</t>
  </si>
  <si>
    <t>BXV52482</t>
  </si>
  <si>
    <t>ICQ57796</t>
  </si>
  <si>
    <t>FPM50479</t>
  </si>
  <si>
    <t>EDJ94806</t>
  </si>
  <si>
    <t>TFW89311</t>
  </si>
  <si>
    <t>LYW86869</t>
  </si>
  <si>
    <t>GMN43745</t>
  </si>
  <si>
    <t>MSL97981</t>
  </si>
  <si>
    <t>SBI45276</t>
  </si>
  <si>
    <t>KEO32845</t>
  </si>
  <si>
    <t>XBE59699</t>
  </si>
  <si>
    <t>BBR39055</t>
  </si>
  <si>
    <t>CKX61247</t>
  </si>
  <si>
    <t>BHA26951</t>
  </si>
  <si>
    <t>AXA56260</t>
  </si>
  <si>
    <t>KGN74684</t>
  </si>
  <si>
    <t>YIT30592</t>
  </si>
  <si>
    <t>SNA33488</t>
  </si>
  <si>
    <t>HKD50513</t>
  </si>
  <si>
    <t>QBE21358</t>
  </si>
  <si>
    <t>ZFX34139</t>
  </si>
  <si>
    <t>NZM88542</t>
  </si>
  <si>
    <t>HEQ44766</t>
  </si>
  <si>
    <t>GAL40817</t>
  </si>
  <si>
    <t>LED61049</t>
  </si>
  <si>
    <t>IIB56166</t>
  </si>
  <si>
    <t>UYY54765</t>
  </si>
  <si>
    <t>SWV83109</t>
  </si>
  <si>
    <t>NWA13485</t>
  </si>
  <si>
    <t>LYC38169</t>
  </si>
  <si>
    <t>YSB76072</t>
  </si>
  <si>
    <t>DBZ89497</t>
  </si>
  <si>
    <t>DGI14719</t>
  </si>
  <si>
    <t>YXO54585</t>
  </si>
  <si>
    <t>BTU12157</t>
  </si>
  <si>
    <t>RUR26500</t>
  </si>
  <si>
    <t>KTF40020</t>
  </si>
  <si>
    <t>TDA62373</t>
  </si>
  <si>
    <t>UBR73773</t>
  </si>
  <si>
    <t>VRD62885</t>
  </si>
  <si>
    <t>FFS51608</t>
  </si>
  <si>
    <t>PDD68257</t>
  </si>
  <si>
    <t>EZT82070</t>
  </si>
  <si>
    <t>NQZ81365</t>
  </si>
  <si>
    <t>QVY33597</t>
  </si>
  <si>
    <t>HHG67567</t>
  </si>
  <si>
    <t>HYN13450</t>
  </si>
  <si>
    <t>WWZ72312</t>
  </si>
  <si>
    <t>LMA81498</t>
  </si>
  <si>
    <t>GGW30806</t>
  </si>
  <si>
    <t>NXM17568</t>
  </si>
  <si>
    <t>URR79704</t>
  </si>
  <si>
    <t>BVT90892</t>
  </si>
  <si>
    <t>JRW10635</t>
  </si>
  <si>
    <t>YYD29230</t>
  </si>
  <si>
    <t>EVD97540</t>
  </si>
  <si>
    <t>SOB14087</t>
  </si>
  <si>
    <t>PCC95281</t>
  </si>
  <si>
    <t>YJD46400</t>
  </si>
  <si>
    <t>RZR85442</t>
  </si>
  <si>
    <t>AMP62169</t>
  </si>
  <si>
    <t>NTI92811</t>
  </si>
  <si>
    <t>XYV17361</t>
  </si>
  <si>
    <t>OPJ77837</t>
  </si>
  <si>
    <t>REW39753</t>
  </si>
  <si>
    <t>MYN91648</t>
  </si>
  <si>
    <t>YYM63341</t>
  </si>
  <si>
    <t>GVQ39294</t>
  </si>
  <si>
    <t>DPX84110</t>
  </si>
  <si>
    <t>UDB96204</t>
  </si>
  <si>
    <t>CEM88108</t>
  </si>
  <si>
    <t>NSW27232</t>
  </si>
  <si>
    <t>JMQ28190</t>
  </si>
  <si>
    <t>NGN46464</t>
  </si>
  <si>
    <t>QRK36582</t>
  </si>
  <si>
    <t>CDC65007</t>
  </si>
  <si>
    <t>WMU78227</t>
  </si>
  <si>
    <t>YES88583</t>
  </si>
  <si>
    <t>INE82846</t>
  </si>
  <si>
    <t>IXY38786</t>
  </si>
  <si>
    <t>ZMC63125</t>
  </si>
  <si>
    <t>MCX81283</t>
  </si>
  <si>
    <t>YQC88791</t>
  </si>
  <si>
    <t>QSS48534</t>
  </si>
  <si>
    <t>OBU30424</t>
  </si>
  <si>
    <t>RHE81665</t>
  </si>
  <si>
    <t>VBH46702</t>
  </si>
  <si>
    <t>AWQ45075</t>
  </si>
  <si>
    <t>QRP33445</t>
  </si>
  <si>
    <t>CCU59517</t>
  </si>
  <si>
    <t>PXC71999</t>
  </si>
  <si>
    <t>ZXD90887</t>
  </si>
  <si>
    <t>JQS28152</t>
  </si>
  <si>
    <t>TSC31187</t>
  </si>
  <si>
    <t>RWT76260</t>
  </si>
  <si>
    <t>DMT88753</t>
  </si>
  <si>
    <t>ETI16631</t>
  </si>
  <si>
    <t>WAC19820</t>
  </si>
  <si>
    <t>DVG40717</t>
  </si>
  <si>
    <t>ZVV53733</t>
  </si>
  <si>
    <t>CWU15563</t>
  </si>
  <si>
    <t>MVL59956</t>
  </si>
  <si>
    <t>DFX49332</t>
  </si>
  <si>
    <t>GIV16482</t>
  </si>
  <si>
    <t>FOK77982</t>
  </si>
  <si>
    <t>IWT52640</t>
  </si>
  <si>
    <t>VPN76280</t>
  </si>
  <si>
    <t>HXJ30330</t>
  </si>
  <si>
    <t>FWP37673</t>
  </si>
  <si>
    <t>PGC99946</t>
  </si>
  <si>
    <t>TUS78876</t>
  </si>
  <si>
    <t>OPR37030</t>
  </si>
  <si>
    <t>MEH55358</t>
  </si>
  <si>
    <t>MIX94340</t>
  </si>
  <si>
    <t>MNS73075</t>
  </si>
  <si>
    <t>ZFB45157</t>
  </si>
  <si>
    <t>EVW27938</t>
  </si>
  <si>
    <t>JJK43985</t>
  </si>
  <si>
    <t>DCL29686</t>
  </si>
  <si>
    <t>SWP23554</t>
  </si>
  <si>
    <t>MCN41793</t>
  </si>
  <si>
    <t>ELP22955</t>
  </si>
  <si>
    <t>HAT99820</t>
  </si>
  <si>
    <t>FIF60655</t>
  </si>
  <si>
    <t>YHK28313</t>
  </si>
  <si>
    <t>TYH25374</t>
  </si>
  <si>
    <t>FRA38244</t>
  </si>
  <si>
    <t>JNS94101</t>
  </si>
  <si>
    <t>BPR57928</t>
  </si>
  <si>
    <t>SHR73440</t>
  </si>
  <si>
    <t>GOM80413</t>
  </si>
  <si>
    <t>CMB89664</t>
  </si>
  <si>
    <t>MOO54316</t>
  </si>
  <si>
    <t>BJW98545</t>
  </si>
  <si>
    <t>TGL69347</t>
  </si>
  <si>
    <t>LZW72053</t>
  </si>
  <si>
    <t>NGP35616</t>
  </si>
  <si>
    <t>COL81357</t>
  </si>
  <si>
    <t>ZBU20452</t>
  </si>
  <si>
    <t>RXE17326</t>
  </si>
  <si>
    <t>ZTR63909</t>
  </si>
  <si>
    <t>EPU39365</t>
  </si>
  <si>
    <t>HPR29795</t>
  </si>
  <si>
    <t>AOX52367</t>
  </si>
  <si>
    <t>DKL89410</t>
  </si>
  <si>
    <t>RXP85958</t>
  </si>
  <si>
    <t>XFB11265</t>
  </si>
  <si>
    <t>嘱託等</t>
    <rPh sb="0" eb="2">
      <t>ショクタク</t>
    </rPh>
    <rPh sb="2" eb="3">
      <t>トウ</t>
    </rPh>
    <phoneticPr fontId="15"/>
  </si>
  <si>
    <t>保育士</t>
    <rPh sb="0" eb="3">
      <t>ホイクシ</t>
    </rPh>
    <phoneticPr fontId="1"/>
  </si>
  <si>
    <t>看護師等</t>
    <rPh sb="0" eb="3">
      <t>カンゴシ</t>
    </rPh>
    <rPh sb="3" eb="4">
      <t>トウ</t>
    </rPh>
    <phoneticPr fontId="1"/>
  </si>
  <si>
    <t>調理</t>
    <rPh sb="0" eb="2">
      <t>チョウリ</t>
    </rPh>
    <phoneticPr fontId="1"/>
  </si>
  <si>
    <t>(2)-(2)-(A)から</t>
    <phoneticPr fontId="1"/>
  </si>
  <si>
    <t>(2)-(2)-(B)から</t>
    <phoneticPr fontId="1"/>
  </si>
  <si>
    <t>(2)-(2)-(C)から</t>
    <phoneticPr fontId="1"/>
  </si>
  <si>
    <t>(2)-(2)-(D)から</t>
    <phoneticPr fontId="1"/>
  </si>
  <si>
    <t>要配慮加配</t>
    <rPh sb="0" eb="1">
      <t>ヨウ</t>
    </rPh>
    <rPh sb="1" eb="3">
      <t>ハイリョ</t>
    </rPh>
    <rPh sb="3" eb="5">
      <t>カハイ</t>
    </rPh>
    <phoneticPr fontId="1"/>
  </si>
  <si>
    <t>医ケア加配</t>
    <rPh sb="0" eb="1">
      <t>イ</t>
    </rPh>
    <rPh sb="3" eb="5">
      <t>カハイ</t>
    </rPh>
    <phoneticPr fontId="1"/>
  </si>
  <si>
    <t>１・２歳加配</t>
    <rPh sb="3" eb="4">
      <t>サイ</t>
    </rPh>
    <rPh sb="4" eb="6">
      <t>カハイ</t>
    </rPh>
    <phoneticPr fontId="1"/>
  </si>
  <si>
    <t>１・２歳児童数</t>
    <rPh sb="3" eb="4">
      <t>サイ</t>
    </rPh>
    <rPh sb="4" eb="6">
      <t>ジドウ</t>
    </rPh>
    <rPh sb="6" eb="7">
      <t>スウ</t>
    </rPh>
    <phoneticPr fontId="1"/>
  </si>
  <si>
    <t>基本加算１</t>
    <rPh sb="0" eb="2">
      <t>キホン</t>
    </rPh>
    <rPh sb="2" eb="4">
      <t>カサン</t>
    </rPh>
    <phoneticPr fontId="1"/>
  </si>
  <si>
    <t>基本加算２</t>
    <rPh sb="0" eb="2">
      <t>キホン</t>
    </rPh>
    <rPh sb="2" eb="4">
      <t>カサン</t>
    </rPh>
    <phoneticPr fontId="1"/>
  </si>
  <si>
    <t>基本加算３</t>
    <rPh sb="0" eb="2">
      <t>キホン</t>
    </rPh>
    <rPh sb="2" eb="4">
      <t>カサン</t>
    </rPh>
    <phoneticPr fontId="1"/>
  </si>
  <si>
    <t>特定加算１</t>
    <rPh sb="0" eb="2">
      <t>トクテイ</t>
    </rPh>
    <rPh sb="2" eb="4">
      <t>カサン</t>
    </rPh>
    <phoneticPr fontId="1"/>
  </si>
  <si>
    <t>一般加算１</t>
    <rPh sb="0" eb="2">
      <t>イッパン</t>
    </rPh>
    <rPh sb="2" eb="4">
      <t>カサン</t>
    </rPh>
    <phoneticPr fontId="1"/>
  </si>
  <si>
    <t>一般加算２</t>
    <rPh sb="0" eb="2">
      <t>イッパン</t>
    </rPh>
    <rPh sb="2" eb="4">
      <t>カサン</t>
    </rPh>
    <phoneticPr fontId="1"/>
  </si>
  <si>
    <t>特定加算２</t>
    <rPh sb="0" eb="2">
      <t>トクテイ</t>
    </rPh>
    <rPh sb="2" eb="4">
      <t>カサン</t>
    </rPh>
    <phoneticPr fontId="1"/>
  </si>
  <si>
    <t>障害</t>
    <rPh sb="0" eb="2">
      <t>ショウガイ</t>
    </rPh>
    <phoneticPr fontId="1"/>
  </si>
  <si>
    <t>１・２歳</t>
    <rPh sb="3" eb="4">
      <t>サイ</t>
    </rPh>
    <phoneticPr fontId="1"/>
  </si>
  <si>
    <t>事務</t>
    <rPh sb="0" eb="2">
      <t>ジム</t>
    </rPh>
    <phoneticPr fontId="1"/>
  </si>
  <si>
    <t>通訳</t>
    <rPh sb="0" eb="2">
      <t>ツウヤク</t>
    </rPh>
    <phoneticPr fontId="1"/>
  </si>
  <si>
    <t>保育補助</t>
    <rPh sb="0" eb="2">
      <t>ホイク</t>
    </rPh>
    <rPh sb="2" eb="4">
      <t>ホジョ</t>
    </rPh>
    <phoneticPr fontId="1"/>
  </si>
  <si>
    <t>(2)　月別配置内訳書　（C)保健師・看護師・助産師</t>
    <rPh sb="4" eb="6">
      <t>ツキベツ</t>
    </rPh>
    <rPh sb="6" eb="8">
      <t>ハイチ</t>
    </rPh>
    <rPh sb="8" eb="11">
      <t>ウチワケショ</t>
    </rPh>
    <rPh sb="15" eb="18">
      <t>ホケンシ</t>
    </rPh>
    <rPh sb="19" eb="22">
      <t>カンゴシ</t>
    </rPh>
    <rPh sb="23" eb="26">
      <t>ジョサンシ</t>
    </rPh>
    <phoneticPr fontId="15"/>
  </si>
  <si>
    <t>（Ｄ)栄養士・調理師・調理員</t>
    <rPh sb="3" eb="6">
      <t>エイヨウシ</t>
    </rPh>
    <rPh sb="7" eb="10">
      <t>チョウリシ</t>
    </rPh>
    <rPh sb="11" eb="14">
      <t>チョウリイン</t>
    </rPh>
    <phoneticPr fontId="15"/>
  </si>
  <si>
    <t>事務の確保数</t>
    <rPh sb="0" eb="2">
      <t>ジム</t>
    </rPh>
    <rPh sb="3" eb="5">
      <t>カクホ</t>
    </rPh>
    <rPh sb="5" eb="6">
      <t>スウ</t>
    </rPh>
    <phoneticPr fontId="1"/>
  </si>
  <si>
    <t>(2)-(2)-(E)から</t>
    <phoneticPr fontId="1"/>
  </si>
  <si>
    <t>通訳の確保数</t>
    <rPh sb="0" eb="2">
      <t>ツウヤク</t>
    </rPh>
    <phoneticPr fontId="1"/>
  </si>
  <si>
    <t>保育補助の確保数</t>
    <rPh sb="0" eb="2">
      <t>ホイク</t>
    </rPh>
    <rPh sb="2" eb="4">
      <t>ホジョ</t>
    </rPh>
    <phoneticPr fontId="1"/>
  </si>
  <si>
    <t>栄養士</t>
    <rPh sb="0" eb="3">
      <t>エイヨウシ</t>
    </rPh>
    <phoneticPr fontId="1"/>
  </si>
  <si>
    <t>A</t>
    <phoneticPr fontId="1"/>
  </si>
  <si>
    <t>B</t>
    <phoneticPr fontId="1"/>
  </si>
  <si>
    <t>C</t>
    <phoneticPr fontId="1"/>
  </si>
  <si>
    <t>D</t>
    <phoneticPr fontId="1"/>
  </si>
  <si>
    <t>職種</t>
    <rPh sb="0" eb="2">
      <t>ショクシュ</t>
    </rPh>
    <phoneticPr fontId="1"/>
  </si>
  <si>
    <t>確保数</t>
    <rPh sb="0" eb="2">
      <t>カクホ</t>
    </rPh>
    <rPh sb="2" eb="3">
      <t>スウ</t>
    </rPh>
    <phoneticPr fontId="1"/>
  </si>
  <si>
    <t>加配数</t>
    <rPh sb="0" eb="2">
      <t>カハイ</t>
    </rPh>
    <rPh sb="2" eb="3">
      <t>スウ</t>
    </rPh>
    <phoneticPr fontId="1"/>
  </si>
  <si>
    <t>E</t>
    <phoneticPr fontId="1"/>
  </si>
  <si>
    <t>F</t>
    <phoneticPr fontId="1"/>
  </si>
  <si>
    <t>栄養士</t>
    <rPh sb="0" eb="3">
      <t>エイヨウシ</t>
    </rPh>
    <phoneticPr fontId="1"/>
  </si>
  <si>
    <t>栄養士以外</t>
    <rPh sb="0" eb="3">
      <t>エイヨウシ</t>
    </rPh>
    <rPh sb="3" eb="5">
      <t>イガイ</t>
    </rPh>
    <phoneticPr fontId="1"/>
  </si>
  <si>
    <t>補助
人工</t>
    <rPh sb="0" eb="2">
      <t>ホジョ</t>
    </rPh>
    <rPh sb="3" eb="5">
      <t>ニンク</t>
    </rPh>
    <phoneticPr fontId="1"/>
  </si>
  <si>
    <t>（管理）栄養士</t>
    <rPh sb="1" eb="3">
      <t>カンリ</t>
    </rPh>
    <rPh sb="4" eb="7">
      <t>エイヨウシ</t>
    </rPh>
    <phoneticPr fontId="1"/>
  </si>
  <si>
    <t>調理師</t>
    <rPh sb="0" eb="3">
      <t>チョウリシ</t>
    </rPh>
    <phoneticPr fontId="1"/>
  </si>
  <si>
    <t>園長の資格別人数</t>
    <rPh sb="0" eb="2">
      <t>エンチョウ</t>
    </rPh>
    <rPh sb="3" eb="5">
      <t>シカク</t>
    </rPh>
    <rPh sb="5" eb="6">
      <t>ベツ</t>
    </rPh>
    <rPh sb="6" eb="8">
      <t>ニンズウ</t>
    </rPh>
    <phoneticPr fontId="1"/>
  </si>
  <si>
    <t>配置職員数（園長を除く）</t>
    <rPh sb="0" eb="2">
      <t>ハイチ</t>
    </rPh>
    <rPh sb="2" eb="4">
      <t>ショクイン</t>
    </rPh>
    <rPh sb="4" eb="5">
      <t>スウ</t>
    </rPh>
    <rPh sb="6" eb="8">
      <t>エンチョウ</t>
    </rPh>
    <rPh sb="9" eb="10">
      <t>ノゾ</t>
    </rPh>
    <phoneticPr fontId="1"/>
  </si>
  <si>
    <t>加配職員数</t>
    <rPh sb="0" eb="2">
      <t>カハイ</t>
    </rPh>
    <rPh sb="2" eb="4">
      <t>ショクイン</t>
    </rPh>
    <rPh sb="4" eb="5">
      <t>スウ</t>
    </rPh>
    <phoneticPr fontId="1"/>
  </si>
  <si>
    <t>正</t>
    <rPh sb="0" eb="1">
      <t>セイ</t>
    </rPh>
    <phoneticPr fontId="1"/>
  </si>
  <si>
    <t>常</t>
    <rPh sb="0" eb="1">
      <t>ツネ</t>
    </rPh>
    <phoneticPr fontId="1"/>
  </si>
  <si>
    <t>男</t>
    <rPh sb="0" eb="1">
      <t>オトコ</t>
    </rPh>
    <phoneticPr fontId="1"/>
  </si>
  <si>
    <t>有</t>
    <rPh sb="0" eb="1">
      <t>ア</t>
    </rPh>
    <phoneticPr fontId="1"/>
  </si>
  <si>
    <t>主任保育士</t>
    <rPh sb="0" eb="2">
      <t>シュニン</t>
    </rPh>
    <rPh sb="2" eb="5">
      <t>ホイクシ</t>
    </rPh>
    <phoneticPr fontId="1"/>
  </si>
  <si>
    <t>パート</t>
    <phoneticPr fontId="1"/>
  </si>
  <si>
    <t>非</t>
    <rPh sb="0" eb="1">
      <t>ヒ</t>
    </rPh>
    <phoneticPr fontId="1"/>
  </si>
  <si>
    <t>女</t>
    <rPh sb="0" eb="1">
      <t>オンナ</t>
    </rPh>
    <phoneticPr fontId="1"/>
  </si>
  <si>
    <t>無</t>
    <rPh sb="0" eb="1">
      <t>ナ</t>
    </rPh>
    <phoneticPr fontId="1"/>
  </si>
  <si>
    <t>嘱託等</t>
    <rPh sb="0" eb="2">
      <t>ショクタク</t>
    </rPh>
    <rPh sb="2" eb="3">
      <t>トウ</t>
    </rPh>
    <phoneticPr fontId="1"/>
  </si>
  <si>
    <t>一時預かり</t>
    <phoneticPr fontId="1"/>
  </si>
  <si>
    <t>チーム保育推進加算</t>
    <phoneticPr fontId="1"/>
  </si>
  <si>
    <t>用務員</t>
    <rPh sb="0" eb="3">
      <t>ヨウムイン</t>
    </rPh>
    <phoneticPr fontId="1"/>
  </si>
  <si>
    <t>支援センター</t>
    <phoneticPr fontId="1"/>
  </si>
  <si>
    <t>事務員</t>
    <rPh sb="0" eb="3">
      <t>ジムイン</t>
    </rPh>
    <phoneticPr fontId="1"/>
  </si>
  <si>
    <t>準保育士</t>
    <rPh sb="0" eb="1">
      <t>ジュン</t>
    </rPh>
    <rPh sb="1" eb="4">
      <t>ホイクシ</t>
    </rPh>
    <phoneticPr fontId="1"/>
  </si>
  <si>
    <t>短時間保育士</t>
    <rPh sb="0" eb="3">
      <t>タンジカン</t>
    </rPh>
    <rPh sb="3" eb="5">
      <t>ホイク</t>
    </rPh>
    <rPh sb="5" eb="6">
      <t>シ</t>
    </rPh>
    <phoneticPr fontId="1"/>
  </si>
  <si>
    <t>その他</t>
    <phoneticPr fontId="1"/>
  </si>
  <si>
    <t>その他休暇復帰</t>
    <rPh sb="2" eb="3">
      <t>タ</t>
    </rPh>
    <rPh sb="3" eb="5">
      <t>キュウカ</t>
    </rPh>
    <rPh sb="5" eb="7">
      <t>フッキ</t>
    </rPh>
    <phoneticPr fontId="1"/>
  </si>
  <si>
    <t>その他休暇取得</t>
    <rPh sb="2" eb="3">
      <t>タ</t>
    </rPh>
    <rPh sb="3" eb="5">
      <t>キュウカ</t>
    </rPh>
    <rPh sb="5" eb="7">
      <t>シュトク</t>
    </rPh>
    <phoneticPr fontId="1"/>
  </si>
  <si>
    <t>補助対象
職種</t>
    <rPh sb="0" eb="2">
      <t>ホジョ</t>
    </rPh>
    <rPh sb="2" eb="4">
      <t>タイショウ</t>
    </rPh>
    <rPh sb="5" eb="7">
      <t>ショクシュ</t>
    </rPh>
    <phoneticPr fontId="1"/>
  </si>
  <si>
    <t>B</t>
  </si>
  <si>
    <t>C</t>
  </si>
  <si>
    <t>調理師等</t>
    <rPh sb="0" eb="3">
      <t>チョウリシ</t>
    </rPh>
    <rPh sb="3" eb="4">
      <t>トウ</t>
    </rPh>
    <phoneticPr fontId="1"/>
  </si>
  <si>
    <t>A</t>
  </si>
  <si>
    <t>D</t>
  </si>
  <si>
    <t>E</t>
  </si>
  <si>
    <t>F</t>
  </si>
  <si>
    <t>（様式第１号）</t>
    <rPh sb="3" eb="4">
      <t>ダイ</t>
    </rPh>
    <phoneticPr fontId="6"/>
  </si>
  <si>
    <t>千葉市施設型給付対象施設保育士等配置基準</t>
    <rPh sb="8" eb="10">
      <t>タイショウ</t>
    </rPh>
    <rPh sb="12" eb="15">
      <t>ホイクシ</t>
    </rPh>
    <phoneticPr fontId="15"/>
  </si>
  <si>
    <t>改善事業補助金交付申請書</t>
    <rPh sb="7" eb="9">
      <t>コウフ</t>
    </rPh>
    <rPh sb="9" eb="11">
      <t>シンセイ</t>
    </rPh>
    <rPh sb="11" eb="12">
      <t>ショ</t>
    </rPh>
    <phoneticPr fontId="6"/>
  </si>
  <si>
    <t>（あて先）　千 葉 市 長</t>
    <rPh sb="3" eb="4">
      <t>サキ</t>
    </rPh>
    <rPh sb="6" eb="7">
      <t>セン</t>
    </rPh>
    <rPh sb="8" eb="9">
      <t>ハ</t>
    </rPh>
    <rPh sb="10" eb="11">
      <t>シ</t>
    </rPh>
    <rPh sb="12" eb="13">
      <t>チョウ</t>
    </rPh>
    <phoneticPr fontId="6"/>
  </si>
  <si>
    <t>住所</t>
    <rPh sb="0" eb="2">
      <t>ジュウショ</t>
    </rPh>
    <phoneticPr fontId="15"/>
  </si>
  <si>
    <t>　</t>
    <phoneticPr fontId="6"/>
  </si>
  <si>
    <t>　(施設(園)名)</t>
    <phoneticPr fontId="15"/>
  </si>
  <si>
    <t>　　１　交付申請額</t>
    <rPh sb="4" eb="6">
      <t>コウフ</t>
    </rPh>
    <rPh sb="6" eb="8">
      <t>シンセイ</t>
    </rPh>
    <rPh sb="8" eb="9">
      <t>ガク</t>
    </rPh>
    <phoneticPr fontId="6"/>
  </si>
  <si>
    <t>　保育士等の配置を改善し、保育内容の充実と職員の処遇向上を図るものとする。</t>
    <rPh sb="1" eb="5">
      <t>ホイクシトウ</t>
    </rPh>
    <rPh sb="6" eb="8">
      <t>ハイチ</t>
    </rPh>
    <rPh sb="9" eb="11">
      <t>カイゼン</t>
    </rPh>
    <rPh sb="13" eb="15">
      <t>ホイク</t>
    </rPh>
    <rPh sb="15" eb="17">
      <t>ナイヨウ</t>
    </rPh>
    <rPh sb="18" eb="20">
      <t>ジュウジツ</t>
    </rPh>
    <rPh sb="21" eb="23">
      <t>ショクイン</t>
    </rPh>
    <rPh sb="24" eb="26">
      <t>ショグウ</t>
    </rPh>
    <rPh sb="26" eb="28">
      <t>コウジョウ</t>
    </rPh>
    <rPh sb="29" eb="30">
      <t>ハカ</t>
    </rPh>
    <phoneticPr fontId="15"/>
  </si>
  <si>
    <t>円</t>
  </si>
  <si>
    <t xml:space="preserve"> 合        計</t>
  </si>
  <si>
    <t>　別　紙</t>
    <rPh sb="1" eb="2">
      <t>ベツ</t>
    </rPh>
    <rPh sb="3" eb="4">
      <t>カミ</t>
    </rPh>
    <phoneticPr fontId="6"/>
  </si>
  <si>
    <t>算出基礎</t>
    <rPh sb="0" eb="2">
      <t>サンシュツ</t>
    </rPh>
    <rPh sb="2" eb="4">
      <t>キソ</t>
    </rPh>
    <phoneticPr fontId="6"/>
  </si>
  <si>
    <t>　千葉市施設型給付対象施設保育士等配置基準改善費算出内訳表（１）</t>
    <rPh sb="9" eb="11">
      <t>タイショウ</t>
    </rPh>
    <rPh sb="21" eb="23">
      <t>カイゼン</t>
    </rPh>
    <rPh sb="23" eb="24">
      <t>ヒ</t>
    </rPh>
    <rPh sb="24" eb="26">
      <t>サンシュツ</t>
    </rPh>
    <rPh sb="26" eb="28">
      <t>ウチワケ</t>
    </rPh>
    <rPh sb="28" eb="29">
      <t>ヒョウ</t>
    </rPh>
    <phoneticPr fontId="6"/>
  </si>
  <si>
    <t>添付書類</t>
    <rPh sb="0" eb="2">
      <t>テンプ</t>
    </rPh>
    <rPh sb="2" eb="4">
      <t>ショルイ</t>
    </rPh>
    <phoneticPr fontId="6"/>
  </si>
  <si>
    <t>１　別表　　民間保育施設職員定数及び職員現況調書</t>
    <rPh sb="2" eb="4">
      <t>ベッピョウ</t>
    </rPh>
    <rPh sb="6" eb="8">
      <t>ミンカン</t>
    </rPh>
    <rPh sb="8" eb="10">
      <t>ホイク</t>
    </rPh>
    <rPh sb="12" eb="14">
      <t>ショクイン</t>
    </rPh>
    <rPh sb="14" eb="16">
      <t>テイスウ</t>
    </rPh>
    <rPh sb="16" eb="17">
      <t>オヨ</t>
    </rPh>
    <rPh sb="18" eb="20">
      <t>ショクイン</t>
    </rPh>
    <rPh sb="20" eb="22">
      <t>ゲンキョウ</t>
    </rPh>
    <rPh sb="22" eb="24">
      <t>チョウショ</t>
    </rPh>
    <phoneticPr fontId="6"/>
  </si>
  <si>
    <t>２　雇用契約内容証明書</t>
    <rPh sb="2" eb="4">
      <t>コヨウ</t>
    </rPh>
    <rPh sb="4" eb="6">
      <t>ケイヤク</t>
    </rPh>
    <rPh sb="6" eb="8">
      <t>ナイヨウ</t>
    </rPh>
    <rPh sb="8" eb="11">
      <t>ショウメイショ</t>
    </rPh>
    <phoneticPr fontId="6"/>
  </si>
  <si>
    <t>３　要配慮保育職員配置決定通知書の写し</t>
    <rPh sb="2" eb="3">
      <t>ヨウ</t>
    </rPh>
    <rPh sb="3" eb="5">
      <t>ハイリョ</t>
    </rPh>
    <rPh sb="5" eb="7">
      <t>ホイク</t>
    </rPh>
    <rPh sb="7" eb="9">
      <t>ショクイン</t>
    </rPh>
    <rPh sb="9" eb="11">
      <t>ハイチ</t>
    </rPh>
    <rPh sb="11" eb="13">
      <t>ケッテイ</t>
    </rPh>
    <rPh sb="13" eb="16">
      <t>ツウチショ</t>
    </rPh>
    <rPh sb="17" eb="18">
      <t>ウツ</t>
    </rPh>
    <phoneticPr fontId="6"/>
  </si>
  <si>
    <t>ただし、２、３については該当する園のみ添付のこと。</t>
    <rPh sb="12" eb="14">
      <t>ガイトウ</t>
    </rPh>
    <rPh sb="16" eb="17">
      <t>エン</t>
    </rPh>
    <rPh sb="19" eb="21">
      <t>テンプ</t>
    </rPh>
    <phoneticPr fontId="6"/>
  </si>
  <si>
    <t xml:space="preserve">  千葉市施設型給付対象施設保育士等配置基準改善事業</t>
    <rPh sb="5" eb="8">
      <t>シセツガタ</t>
    </rPh>
    <rPh sb="8" eb="10">
      <t>キュウフ</t>
    </rPh>
    <rPh sb="10" eb="12">
      <t>タイショウ</t>
    </rPh>
    <rPh sb="12" eb="14">
      <t>シセツ</t>
    </rPh>
    <rPh sb="21" eb="22">
      <t>ジュン</t>
    </rPh>
    <rPh sb="22" eb="24">
      <t>カイゼン</t>
    </rPh>
    <rPh sb="24" eb="26">
      <t>ジギョウ</t>
    </rPh>
    <phoneticPr fontId="29"/>
  </si>
  <si>
    <t xml:space="preserve">  補助金分割払い請求書（第１期分）</t>
    <rPh sb="2" eb="5">
      <t>ホジョキン</t>
    </rPh>
    <rPh sb="5" eb="7">
      <t>ブンカツ</t>
    </rPh>
    <rPh sb="7" eb="8">
      <t>ハラ</t>
    </rPh>
    <rPh sb="9" eb="12">
      <t>セイキュウショ</t>
    </rPh>
    <rPh sb="13" eb="14">
      <t>ダイ</t>
    </rPh>
    <rPh sb="15" eb="16">
      <t>キ</t>
    </rPh>
    <rPh sb="16" eb="17">
      <t>ブン</t>
    </rPh>
    <phoneticPr fontId="29"/>
  </si>
  <si>
    <t>　住　　　　　  所</t>
    <rPh sb="1" eb="2">
      <t>ジュウ</t>
    </rPh>
    <rPh sb="9" eb="10">
      <t>ショ</t>
    </rPh>
    <phoneticPr fontId="29"/>
  </si>
  <si>
    <t>　法　　 人   　名</t>
    <rPh sb="1" eb="2">
      <t>ホウ</t>
    </rPh>
    <rPh sb="5" eb="6">
      <t>ヒト</t>
    </rPh>
    <rPh sb="10" eb="11">
      <t>ナ</t>
    </rPh>
    <phoneticPr fontId="15"/>
  </si>
  <si>
    <t>　代 表 者 職 氏 名</t>
    <rPh sb="1" eb="2">
      <t>ダイ</t>
    </rPh>
    <rPh sb="3" eb="4">
      <t>ヒョウ</t>
    </rPh>
    <rPh sb="5" eb="6">
      <t>モノ</t>
    </rPh>
    <rPh sb="7" eb="8">
      <t>ショク</t>
    </rPh>
    <rPh sb="9" eb="10">
      <t>シ</t>
    </rPh>
    <rPh sb="11" eb="12">
      <t>メイ</t>
    </rPh>
    <phoneticPr fontId="15"/>
  </si>
  <si>
    <t>　</t>
  </si>
  <si>
    <t>　（施設（園）名）</t>
    <rPh sb="2" eb="3">
      <t>シ</t>
    </rPh>
    <rPh sb="3" eb="4">
      <t>セツ</t>
    </rPh>
    <rPh sb="5" eb="6">
      <t>エン</t>
    </rPh>
    <rPh sb="7" eb="8">
      <t>ナ</t>
    </rPh>
    <phoneticPr fontId="15"/>
  </si>
  <si>
    <t>　　　１　請 求 金 額</t>
    <rPh sb="5" eb="6">
      <t>ショウ</t>
    </rPh>
    <rPh sb="7" eb="8">
      <t>モトム</t>
    </rPh>
    <rPh sb="9" eb="10">
      <t>キン</t>
    </rPh>
    <rPh sb="11" eb="12">
      <t>ガク</t>
    </rPh>
    <phoneticPr fontId="6"/>
  </si>
  <si>
    <t>　 年　 月　 日交付</t>
    <rPh sb="2" eb="3">
      <t>ネン</t>
    </rPh>
    <rPh sb="5" eb="6">
      <t>ガツ</t>
    </rPh>
    <rPh sb="8" eb="9">
      <t>ニチ</t>
    </rPh>
    <rPh sb="9" eb="11">
      <t>コウフ</t>
    </rPh>
    <phoneticPr fontId="29"/>
  </si>
  <si>
    <t>補助事業の
目的及び内容</t>
    <rPh sb="0" eb="2">
      <t>ホジョ</t>
    </rPh>
    <rPh sb="2" eb="4">
      <t>ジギョウ</t>
    </rPh>
    <rPh sb="6" eb="8">
      <t>モクテキ</t>
    </rPh>
    <phoneticPr fontId="6"/>
  </si>
  <si>
    <t>実績額が概算払い済額を下回る場合、令和４年５月末までに、</t>
    <phoneticPr fontId="1"/>
  </si>
  <si>
    <t>　　過払い額を返還していただきます。</t>
    <phoneticPr fontId="1"/>
  </si>
  <si>
    <t>（※）概算払いは、補助金返還が生じるおそれがある場合には請求しない</t>
    <phoneticPr fontId="1"/>
  </si>
  <si>
    <t>　　扱いにすることもできます。</t>
    <phoneticPr fontId="1"/>
  </si>
  <si>
    <t>（※）１回目の概算払いをしない場合でも、２回目の概算払いを受ける</t>
    <phoneticPr fontId="1"/>
  </si>
  <si>
    <t>　　ことができます。</t>
    <phoneticPr fontId="1"/>
  </si>
  <si>
    <t>・概算払いは、補助金返還が生じるおそれがある場合には請求しない扱いにすることもできます。</t>
    <phoneticPr fontId="1"/>
  </si>
  <si>
    <t>【概算払いについて（注意事項）】</t>
    <rPh sb="1" eb="3">
      <t>ガイサン</t>
    </rPh>
    <rPh sb="3" eb="4">
      <t>バラ</t>
    </rPh>
    <rPh sb="10" eb="12">
      <t>チュウイ</t>
    </rPh>
    <rPh sb="12" eb="14">
      <t>ジコウ</t>
    </rPh>
    <phoneticPr fontId="1"/>
  </si>
  <si>
    <t>概算払いは請求しないことが選択されています。</t>
    <phoneticPr fontId="1"/>
  </si>
  <si>
    <t>・１回目の概算払いをしない場合でも、２回目の概算払い（１０月末支払い予定）を受けることができます。</t>
    <rPh sb="29" eb="30">
      <t>ガツ</t>
    </rPh>
    <rPh sb="30" eb="31">
      <t>マツ</t>
    </rPh>
    <rPh sb="31" eb="33">
      <t>シハラ</t>
    </rPh>
    <rPh sb="34" eb="36">
      <t>ヨテイ</t>
    </rPh>
    <phoneticPr fontId="1"/>
  </si>
  <si>
    <t>Ｄ列</t>
    <rPh sb="1" eb="2">
      <t>レツ</t>
    </rPh>
    <phoneticPr fontId="1"/>
  </si>
  <si>
    <t>Ｇ列</t>
    <rPh sb="1" eb="2">
      <t>レツ</t>
    </rPh>
    <phoneticPr fontId="1"/>
  </si>
  <si>
    <t>補助人工</t>
    <rPh sb="0" eb="2">
      <t>ホジョ</t>
    </rPh>
    <rPh sb="2" eb="4">
      <t>ニンク</t>
    </rPh>
    <phoneticPr fontId="1"/>
  </si>
  <si>
    <t>概算払いを希望しない場合、この請求書は提出不要です。</t>
    <rPh sb="0" eb="2">
      <t>ガイサン</t>
    </rPh>
    <rPh sb="2" eb="3">
      <t>バラ</t>
    </rPh>
    <rPh sb="5" eb="7">
      <t>キボウ</t>
    </rPh>
    <rPh sb="10" eb="12">
      <t>バアイ</t>
    </rPh>
    <rPh sb="15" eb="18">
      <t>セイキュウショ</t>
    </rPh>
    <rPh sb="19" eb="21">
      <t>テイシュツ</t>
    </rPh>
    <rPh sb="21" eb="23">
      <t>フヨウ</t>
    </rPh>
    <phoneticPr fontId="1"/>
  </si>
  <si>
    <t>基本加算１</t>
    <rPh sb="0" eb="2">
      <t>キホン</t>
    </rPh>
    <rPh sb="2" eb="4">
      <t>カサン</t>
    </rPh>
    <phoneticPr fontId="29"/>
  </si>
  <si>
    <t>基本加算２</t>
    <rPh sb="0" eb="2">
      <t>キホン</t>
    </rPh>
    <rPh sb="2" eb="4">
      <t>カサン</t>
    </rPh>
    <phoneticPr fontId="29"/>
  </si>
  <si>
    <t>基本加算３</t>
    <rPh sb="0" eb="2">
      <t>キホン</t>
    </rPh>
    <rPh sb="2" eb="4">
      <t>カサン</t>
    </rPh>
    <phoneticPr fontId="29"/>
  </si>
  <si>
    <t>一般加算１</t>
    <rPh sb="0" eb="2">
      <t>イッパン</t>
    </rPh>
    <rPh sb="2" eb="4">
      <t>カサン</t>
    </rPh>
    <phoneticPr fontId="29"/>
  </si>
  <si>
    <t>特定加算１</t>
    <rPh sb="0" eb="2">
      <t>トクテイ</t>
    </rPh>
    <rPh sb="2" eb="4">
      <t>カサン</t>
    </rPh>
    <phoneticPr fontId="1"/>
  </si>
  <si>
    <t>特定加算２</t>
    <rPh sb="0" eb="2">
      <t>トクテイ</t>
    </rPh>
    <rPh sb="2" eb="4">
      <t>カサン</t>
    </rPh>
    <phoneticPr fontId="1"/>
  </si>
  <si>
    <t>有</t>
    <rPh sb="0" eb="1">
      <t>アリ</t>
    </rPh>
    <phoneticPr fontId="1"/>
  </si>
  <si>
    <t>無</t>
    <rPh sb="0" eb="1">
      <t>ナシ</t>
    </rPh>
    <phoneticPr fontId="1"/>
  </si>
  <si>
    <t>-</t>
  </si>
  <si>
    <t>選択肢　→→→→→→→</t>
    <rPh sb="0" eb="3">
      <t>センタクシ</t>
    </rPh>
    <phoneticPr fontId="1"/>
  </si>
  <si>
    <t>文字列</t>
    <rPh sb="0" eb="3">
      <t>モジレツ</t>
    </rPh>
    <phoneticPr fontId="1"/>
  </si>
  <si>
    <t>基本加算補助可能数内訳</t>
    <rPh sb="0" eb="2">
      <t>キホン</t>
    </rPh>
    <rPh sb="2" eb="4">
      <t>カサン</t>
    </rPh>
    <rPh sb="4" eb="6">
      <t>ホジョ</t>
    </rPh>
    <rPh sb="6" eb="8">
      <t>カノウ</t>
    </rPh>
    <rPh sb="8" eb="9">
      <t>スウ</t>
    </rPh>
    <rPh sb="9" eb="11">
      <t>ウチワケ</t>
    </rPh>
    <phoneticPr fontId="1"/>
  </si>
  <si>
    <t>基本加算での補助不可数</t>
    <rPh sb="0" eb="2">
      <t>キホン</t>
    </rPh>
    <rPh sb="2" eb="4">
      <t>カサン</t>
    </rPh>
    <rPh sb="6" eb="8">
      <t>ホジョ</t>
    </rPh>
    <rPh sb="8" eb="10">
      <t>フカ</t>
    </rPh>
    <rPh sb="10" eb="11">
      <t>イリスウ</t>
    </rPh>
    <phoneticPr fontId="1"/>
  </si>
  <si>
    <t>保育支援者</t>
    <rPh sb="0" eb="2">
      <t>ホイク</t>
    </rPh>
    <rPh sb="2" eb="5">
      <t>シエンシャ</t>
    </rPh>
    <phoneticPr fontId="1"/>
  </si>
  <si>
    <t>保育支援者</t>
    <phoneticPr fontId="1"/>
  </si>
  <si>
    <t>(2)　月別配置内訳書　（E)保育支援者</t>
    <rPh sb="4" eb="6">
      <t>ツキベツ</t>
    </rPh>
    <rPh sb="6" eb="8">
      <t>ハイチ</t>
    </rPh>
    <rPh sb="8" eb="11">
      <t>ウチワケショ</t>
    </rPh>
    <rPh sb="15" eb="17">
      <t>ホイク</t>
    </rPh>
    <rPh sb="17" eb="20">
      <t>シエンシャ</t>
    </rPh>
    <phoneticPr fontId="15"/>
  </si>
  <si>
    <t>医ケア有のとき、Ｒ列数まで対象</t>
    <rPh sb="0" eb="1">
      <t>イ</t>
    </rPh>
    <rPh sb="3" eb="4">
      <t>アリ</t>
    </rPh>
    <rPh sb="9" eb="10">
      <t>レツ</t>
    </rPh>
    <rPh sb="13" eb="15">
      <t>タイショウ</t>
    </rPh>
    <phoneticPr fontId="1"/>
  </si>
  <si>
    <t>千葉市施設型給付対象施設保育士等配置基準改善費算出内訳書（８）</t>
    <rPh sb="0" eb="12">
      <t>＠</t>
    </rPh>
    <rPh sb="12" eb="15">
      <t>ホイクシ</t>
    </rPh>
    <rPh sb="15" eb="16">
      <t>トウ</t>
    </rPh>
    <rPh sb="16" eb="18">
      <t>ハイチ</t>
    </rPh>
    <rPh sb="18" eb="20">
      <t>キジュン</t>
    </rPh>
    <rPh sb="20" eb="23">
      <t>カイゼンヒ</t>
    </rPh>
    <rPh sb="23" eb="25">
      <t>サンシュツ</t>
    </rPh>
    <rPh sb="25" eb="28">
      <t>ウチワケショ</t>
    </rPh>
    <phoneticPr fontId="15"/>
  </si>
  <si>
    <t>７．</t>
    <phoneticPr fontId="1"/>
  </si>
  <si>
    <t>千葉市施設型給付対象施設保育士等配置基準改善費算出内訳書（９）</t>
    <rPh sb="0" eb="12">
      <t>＠</t>
    </rPh>
    <rPh sb="12" eb="15">
      <t>ホイクシ</t>
    </rPh>
    <rPh sb="15" eb="16">
      <t>トウ</t>
    </rPh>
    <rPh sb="16" eb="18">
      <t>ハイチ</t>
    </rPh>
    <rPh sb="18" eb="20">
      <t>キジュン</t>
    </rPh>
    <rPh sb="20" eb="23">
      <t>カイゼンヒ</t>
    </rPh>
    <rPh sb="23" eb="25">
      <t>サンシュツ</t>
    </rPh>
    <rPh sb="25" eb="28">
      <t>ウチワケショ</t>
    </rPh>
    <phoneticPr fontId="15"/>
  </si>
  <si>
    <t>上記注意事項を了承し、概算払い（１回目・5/31支払予定）を希望しますか　→</t>
    <rPh sb="0" eb="2">
      <t>ジョウキ</t>
    </rPh>
    <rPh sb="2" eb="4">
      <t>チュウイ</t>
    </rPh>
    <rPh sb="4" eb="6">
      <t>ジコウ</t>
    </rPh>
    <rPh sb="7" eb="9">
      <t>リョウショウ</t>
    </rPh>
    <rPh sb="11" eb="13">
      <t>ガイサン</t>
    </rPh>
    <rPh sb="13" eb="14">
      <t>バラ</t>
    </rPh>
    <rPh sb="17" eb="19">
      <t>カイメ</t>
    </rPh>
    <rPh sb="24" eb="26">
      <t>シハライ</t>
    </rPh>
    <rPh sb="26" eb="28">
      <t>ヨテイ</t>
    </rPh>
    <rPh sb="30" eb="32">
      <t>キボウ</t>
    </rPh>
    <phoneticPr fontId="1"/>
  </si>
  <si>
    <t>（本園）</t>
    <rPh sb="1" eb="2">
      <t>ホン</t>
    </rPh>
    <rPh sb="2" eb="3">
      <t>エン</t>
    </rPh>
    <phoneticPr fontId="1"/>
  </si>
  <si>
    <t>（分園）</t>
    <rPh sb="1" eb="3">
      <t>ブンエン</t>
    </rPh>
    <phoneticPr fontId="1"/>
  </si>
  <si>
    <t>人（本園）</t>
    <rPh sb="0" eb="1">
      <t>ニン</t>
    </rPh>
    <rPh sb="2" eb="3">
      <t>ホン</t>
    </rPh>
    <rPh sb="3" eb="4">
      <t>エン</t>
    </rPh>
    <phoneticPr fontId="1"/>
  </si>
  <si>
    <t>人（分園）</t>
    <rPh sb="0" eb="1">
      <t>ニン</t>
    </rPh>
    <rPh sb="2" eb="4">
      <t>ブンエン</t>
    </rPh>
    <phoneticPr fontId="1"/>
  </si>
  <si>
    <t>児童定員
（本園）</t>
    <rPh sb="0" eb="2">
      <t>ジドウ</t>
    </rPh>
    <rPh sb="2" eb="4">
      <t>テイイン</t>
    </rPh>
    <rPh sb="6" eb="7">
      <t>ホン</t>
    </rPh>
    <rPh sb="7" eb="8">
      <t>エン</t>
    </rPh>
    <phoneticPr fontId="1"/>
  </si>
  <si>
    <t>児童定員
（分園）</t>
    <rPh sb="0" eb="2">
      <t>ジドウ</t>
    </rPh>
    <rPh sb="2" eb="4">
      <t>テイイン</t>
    </rPh>
    <rPh sb="6" eb="8">
      <t>ブンエン</t>
    </rPh>
    <phoneticPr fontId="1"/>
  </si>
  <si>
    <t>（分園）</t>
    <rPh sb="1" eb="2">
      <t>ブン</t>
    </rPh>
    <rPh sb="2" eb="3">
      <t>エン</t>
    </rPh>
    <phoneticPr fontId="1"/>
  </si>
  <si>
    <t>分園の有無
（経過措置）</t>
    <rPh sb="0" eb="2">
      <t>ブンエン</t>
    </rPh>
    <rPh sb="3" eb="5">
      <t>ウム</t>
    </rPh>
    <rPh sb="7" eb="9">
      <t>ケイカ</t>
    </rPh>
    <rPh sb="9" eb="11">
      <t>ソチ</t>
    </rPh>
    <phoneticPr fontId="1"/>
  </si>
  <si>
    <t>有・無・有（経過措置）</t>
    <rPh sb="0" eb="1">
      <t>アリ</t>
    </rPh>
    <rPh sb="2" eb="3">
      <t>ナシ</t>
    </rPh>
    <rPh sb="4" eb="5">
      <t>アリ</t>
    </rPh>
    <rPh sb="6" eb="8">
      <t>ケイカ</t>
    </rPh>
    <rPh sb="8" eb="10">
      <t>ソチ</t>
    </rPh>
    <phoneticPr fontId="1"/>
  </si>
  <si>
    <t>無</t>
    <rPh sb="0" eb="1">
      <t>ナシ</t>
    </rPh>
    <phoneticPr fontId="1"/>
  </si>
  <si>
    <t>有（経過措置）</t>
    <phoneticPr fontId="1"/>
  </si>
  <si>
    <t>有</t>
    <rPh sb="0" eb="1">
      <t>アリ</t>
    </rPh>
    <phoneticPr fontId="1"/>
  </si>
  <si>
    <t>児童定員
本園
１号</t>
    <rPh sb="0" eb="2">
      <t>ジドウ</t>
    </rPh>
    <rPh sb="2" eb="4">
      <t>テイイン</t>
    </rPh>
    <rPh sb="5" eb="6">
      <t>ホン</t>
    </rPh>
    <rPh sb="6" eb="7">
      <t>エン</t>
    </rPh>
    <rPh sb="9" eb="10">
      <t>ゴウ</t>
    </rPh>
    <phoneticPr fontId="1"/>
  </si>
  <si>
    <t>児童定員
本園
２号</t>
    <rPh sb="0" eb="2">
      <t>ジドウ</t>
    </rPh>
    <rPh sb="2" eb="4">
      <t>テイイン</t>
    </rPh>
    <rPh sb="5" eb="6">
      <t>ホン</t>
    </rPh>
    <rPh sb="6" eb="7">
      <t>エン</t>
    </rPh>
    <rPh sb="9" eb="10">
      <t>ゴウ</t>
    </rPh>
    <phoneticPr fontId="1"/>
  </si>
  <si>
    <t>児童定員
本園
３号</t>
    <rPh sb="0" eb="2">
      <t>ジドウ</t>
    </rPh>
    <rPh sb="2" eb="4">
      <t>テイイン</t>
    </rPh>
    <rPh sb="5" eb="6">
      <t>ホン</t>
    </rPh>
    <rPh sb="6" eb="7">
      <t>エン</t>
    </rPh>
    <rPh sb="9" eb="10">
      <t>ゴウ</t>
    </rPh>
    <phoneticPr fontId="1"/>
  </si>
  <si>
    <t>児童定員
分園
１号</t>
    <rPh sb="0" eb="2">
      <t>ジドウ</t>
    </rPh>
    <rPh sb="2" eb="4">
      <t>テイイン</t>
    </rPh>
    <rPh sb="9" eb="10">
      <t>ゴウ</t>
    </rPh>
    <phoneticPr fontId="1"/>
  </si>
  <si>
    <t>児童定員
分園
２号</t>
    <rPh sb="0" eb="2">
      <t>ジドウ</t>
    </rPh>
    <rPh sb="2" eb="4">
      <t>テイイン</t>
    </rPh>
    <rPh sb="9" eb="10">
      <t>ゴウ</t>
    </rPh>
    <phoneticPr fontId="1"/>
  </si>
  <si>
    <t>児童定員
分園
３号</t>
    <rPh sb="0" eb="2">
      <t>ジドウ</t>
    </rPh>
    <rPh sb="2" eb="4">
      <t>テイイン</t>
    </rPh>
    <rPh sb="9" eb="10">
      <t>ゴウ</t>
    </rPh>
    <phoneticPr fontId="1"/>
  </si>
  <si>
    <t>概算払い済額①</t>
    <rPh sb="0" eb="2">
      <t>ガイサン</t>
    </rPh>
    <rPh sb="2" eb="3">
      <t>バラ</t>
    </rPh>
    <rPh sb="4" eb="5">
      <t>スミ</t>
    </rPh>
    <rPh sb="5" eb="6">
      <t>ガク</t>
    </rPh>
    <phoneticPr fontId="1"/>
  </si>
  <si>
    <t>概算払い済額②</t>
    <rPh sb="0" eb="2">
      <t>ガイサン</t>
    </rPh>
    <rPh sb="2" eb="3">
      <t>バラ</t>
    </rPh>
    <rPh sb="4" eb="5">
      <t>スミ</t>
    </rPh>
    <rPh sb="5" eb="6">
      <t>ガク</t>
    </rPh>
    <phoneticPr fontId="1"/>
  </si>
  <si>
    <t>市要配慮(看護士)加配数
(4月）</t>
    <rPh sb="0" eb="1">
      <t>シ</t>
    </rPh>
    <rPh sb="1" eb="2">
      <t>ヨウ</t>
    </rPh>
    <rPh sb="2" eb="4">
      <t>ハイリョ</t>
    </rPh>
    <rPh sb="5" eb="8">
      <t>カンゴシ</t>
    </rPh>
    <rPh sb="9" eb="11">
      <t>カハイ</t>
    </rPh>
    <rPh sb="11" eb="12">
      <t>スウ</t>
    </rPh>
    <rPh sb="15" eb="16">
      <t>ガツ</t>
    </rPh>
    <phoneticPr fontId="1"/>
  </si>
  <si>
    <t>市要配慮(看護士)加配数
(5月）</t>
    <rPh sb="0" eb="1">
      <t>シ</t>
    </rPh>
    <rPh sb="1" eb="2">
      <t>ヨウ</t>
    </rPh>
    <rPh sb="2" eb="4">
      <t>ハイリョ</t>
    </rPh>
    <rPh sb="5" eb="8">
      <t>カンゴシ</t>
    </rPh>
    <rPh sb="9" eb="11">
      <t>カハイ</t>
    </rPh>
    <rPh sb="11" eb="12">
      <t>スウ</t>
    </rPh>
    <rPh sb="15" eb="16">
      <t>ガツ</t>
    </rPh>
    <phoneticPr fontId="1"/>
  </si>
  <si>
    <t>市要配慮(看護士)加配数
(6月）</t>
    <rPh sb="0" eb="1">
      <t>シ</t>
    </rPh>
    <rPh sb="1" eb="2">
      <t>ヨウ</t>
    </rPh>
    <rPh sb="2" eb="4">
      <t>ハイリョ</t>
    </rPh>
    <rPh sb="5" eb="8">
      <t>カンゴシ</t>
    </rPh>
    <rPh sb="9" eb="11">
      <t>カハイ</t>
    </rPh>
    <rPh sb="11" eb="12">
      <t>スウ</t>
    </rPh>
    <rPh sb="15" eb="16">
      <t>ガツ</t>
    </rPh>
    <phoneticPr fontId="1"/>
  </si>
  <si>
    <t>市要配慮(看護士)加配数
(7月）</t>
    <rPh sb="0" eb="1">
      <t>シ</t>
    </rPh>
    <rPh sb="1" eb="2">
      <t>ヨウ</t>
    </rPh>
    <rPh sb="2" eb="4">
      <t>ハイリョ</t>
    </rPh>
    <rPh sb="5" eb="8">
      <t>カンゴシ</t>
    </rPh>
    <rPh sb="9" eb="11">
      <t>カハイ</t>
    </rPh>
    <rPh sb="11" eb="12">
      <t>スウ</t>
    </rPh>
    <rPh sb="15" eb="16">
      <t>ガツ</t>
    </rPh>
    <phoneticPr fontId="1"/>
  </si>
  <si>
    <t>市要配慮(看護士)加配数
(8月）</t>
    <rPh sb="0" eb="1">
      <t>シ</t>
    </rPh>
    <rPh sb="1" eb="2">
      <t>ヨウ</t>
    </rPh>
    <rPh sb="2" eb="4">
      <t>ハイリョ</t>
    </rPh>
    <rPh sb="5" eb="8">
      <t>カンゴシ</t>
    </rPh>
    <rPh sb="9" eb="11">
      <t>カハイ</t>
    </rPh>
    <rPh sb="11" eb="12">
      <t>スウ</t>
    </rPh>
    <rPh sb="15" eb="16">
      <t>ガツ</t>
    </rPh>
    <phoneticPr fontId="1"/>
  </si>
  <si>
    <t>市要配慮(看護士)加配数
(9月）</t>
    <rPh sb="0" eb="1">
      <t>シ</t>
    </rPh>
    <rPh sb="1" eb="2">
      <t>ヨウ</t>
    </rPh>
    <rPh sb="2" eb="4">
      <t>ハイリョ</t>
    </rPh>
    <rPh sb="5" eb="8">
      <t>カンゴシ</t>
    </rPh>
    <rPh sb="9" eb="11">
      <t>カハイ</t>
    </rPh>
    <rPh sb="11" eb="12">
      <t>スウ</t>
    </rPh>
    <rPh sb="15" eb="16">
      <t>ガツ</t>
    </rPh>
    <phoneticPr fontId="1"/>
  </si>
  <si>
    <t>市要配慮(看護士)加配数
(10月）</t>
    <rPh sb="0" eb="1">
      <t>シ</t>
    </rPh>
    <rPh sb="1" eb="2">
      <t>ヨウ</t>
    </rPh>
    <rPh sb="2" eb="4">
      <t>ハイリョ</t>
    </rPh>
    <rPh sb="5" eb="8">
      <t>カンゴシ</t>
    </rPh>
    <rPh sb="9" eb="11">
      <t>カハイ</t>
    </rPh>
    <rPh sb="11" eb="12">
      <t>スウ</t>
    </rPh>
    <rPh sb="16" eb="17">
      <t>ガツ</t>
    </rPh>
    <phoneticPr fontId="1"/>
  </si>
  <si>
    <t>市要配慮(看護士)加配数
(11月）</t>
    <rPh sb="0" eb="1">
      <t>シ</t>
    </rPh>
    <rPh sb="1" eb="2">
      <t>ヨウ</t>
    </rPh>
    <rPh sb="2" eb="4">
      <t>ハイリョ</t>
    </rPh>
    <rPh sb="5" eb="8">
      <t>カンゴシ</t>
    </rPh>
    <rPh sb="9" eb="11">
      <t>カハイ</t>
    </rPh>
    <rPh sb="11" eb="12">
      <t>スウ</t>
    </rPh>
    <rPh sb="16" eb="17">
      <t>ガツ</t>
    </rPh>
    <phoneticPr fontId="1"/>
  </si>
  <si>
    <t>市要配慮(看護士)加配数
(12月）</t>
    <rPh sb="0" eb="1">
      <t>シ</t>
    </rPh>
    <rPh sb="1" eb="2">
      <t>ヨウ</t>
    </rPh>
    <rPh sb="2" eb="4">
      <t>ハイリョ</t>
    </rPh>
    <rPh sb="5" eb="8">
      <t>カンゴシ</t>
    </rPh>
    <rPh sb="9" eb="11">
      <t>カハイ</t>
    </rPh>
    <rPh sb="11" eb="12">
      <t>スウ</t>
    </rPh>
    <rPh sb="16" eb="17">
      <t>ガツ</t>
    </rPh>
    <phoneticPr fontId="1"/>
  </si>
  <si>
    <t>市要配慮(看護士)加配数
(1月）</t>
    <rPh sb="0" eb="1">
      <t>シ</t>
    </rPh>
    <rPh sb="1" eb="2">
      <t>ヨウ</t>
    </rPh>
    <rPh sb="2" eb="4">
      <t>ハイリョ</t>
    </rPh>
    <rPh sb="5" eb="8">
      <t>カンゴシ</t>
    </rPh>
    <rPh sb="9" eb="11">
      <t>カハイ</t>
    </rPh>
    <rPh sb="11" eb="12">
      <t>スウ</t>
    </rPh>
    <rPh sb="15" eb="16">
      <t>ガツ</t>
    </rPh>
    <phoneticPr fontId="1"/>
  </si>
  <si>
    <t>市要配慮(看護士)加配数
(2月）</t>
    <rPh sb="0" eb="1">
      <t>シ</t>
    </rPh>
    <rPh sb="1" eb="2">
      <t>ヨウ</t>
    </rPh>
    <rPh sb="2" eb="4">
      <t>ハイリョ</t>
    </rPh>
    <rPh sb="5" eb="8">
      <t>カンゴシ</t>
    </rPh>
    <rPh sb="9" eb="11">
      <t>カハイ</t>
    </rPh>
    <rPh sb="11" eb="12">
      <t>スウ</t>
    </rPh>
    <rPh sb="15" eb="16">
      <t>ガツ</t>
    </rPh>
    <phoneticPr fontId="1"/>
  </si>
  <si>
    <t>市要配慮(看護士)加配数
(3月）</t>
    <rPh sb="0" eb="1">
      <t>シ</t>
    </rPh>
    <rPh sb="1" eb="2">
      <t>ヨウ</t>
    </rPh>
    <rPh sb="2" eb="4">
      <t>ハイリョ</t>
    </rPh>
    <rPh sb="5" eb="8">
      <t>カンゴシ</t>
    </rPh>
    <rPh sb="9" eb="11">
      <t>カハイ</t>
    </rPh>
    <rPh sb="11" eb="12">
      <t>スウ</t>
    </rPh>
    <rPh sb="15" eb="16">
      <t>ガツ</t>
    </rPh>
    <phoneticPr fontId="1"/>
  </si>
  <si>
    <t>基本加算分１</t>
    <rPh sb="0" eb="2">
      <t>キホン</t>
    </rPh>
    <phoneticPr fontId="1"/>
  </si>
  <si>
    <t>基本加算分２</t>
    <rPh sb="0" eb="2">
      <t>キホン</t>
    </rPh>
    <phoneticPr fontId="1"/>
  </si>
  <si>
    <t>基本加算分３</t>
    <rPh sb="0" eb="2">
      <t>キホン</t>
    </rPh>
    <phoneticPr fontId="1"/>
  </si>
  <si>
    <t>一般加算分１</t>
    <rPh sb="0" eb="2">
      <t>イッパン</t>
    </rPh>
    <phoneticPr fontId="1"/>
  </si>
  <si>
    <t>一般加算分２</t>
    <rPh sb="0" eb="2">
      <t>イッパン</t>
    </rPh>
    <phoneticPr fontId="1"/>
  </si>
  <si>
    <t>特定加算分１</t>
    <rPh sb="0" eb="2">
      <t>トクテイ</t>
    </rPh>
    <phoneticPr fontId="1"/>
  </si>
  <si>
    <t>特定加算分２</t>
    <rPh sb="0" eb="2">
      <t>トクテイ</t>
    </rPh>
    <phoneticPr fontId="1"/>
  </si>
  <si>
    <t>基本加算分１</t>
    <rPh sb="0" eb="2">
      <t>キホン</t>
    </rPh>
    <phoneticPr fontId="15"/>
  </si>
  <si>
    <t>基本加算分２</t>
    <rPh sb="0" eb="2">
      <t>キホン</t>
    </rPh>
    <phoneticPr fontId="15"/>
  </si>
  <si>
    <t>基本加算分３</t>
    <rPh sb="0" eb="2">
      <t>キホン</t>
    </rPh>
    <phoneticPr fontId="15"/>
  </si>
  <si>
    <t>一般加算分１</t>
    <rPh sb="0" eb="2">
      <t>イッパン</t>
    </rPh>
    <phoneticPr fontId="15"/>
  </si>
  <si>
    <t>一般加算分２</t>
    <rPh sb="0" eb="2">
      <t>イッパン</t>
    </rPh>
    <phoneticPr fontId="15"/>
  </si>
  <si>
    <t>特定加算分１</t>
    <rPh sb="0" eb="2">
      <t>トクテイ</t>
    </rPh>
    <phoneticPr fontId="15"/>
  </si>
  <si>
    <t>特定加算分２</t>
    <rPh sb="0" eb="2">
      <t>トクテイ</t>
    </rPh>
    <phoneticPr fontId="15"/>
  </si>
  <si>
    <t>更新日</t>
    <rPh sb="0" eb="3">
      <t>コウシンビ</t>
    </rPh>
    <phoneticPr fontId="4"/>
  </si>
  <si>
    <t>補助金用基本データ（最新）</t>
    <rPh sb="0" eb="3">
      <t>ホジョキン</t>
    </rPh>
    <rPh sb="3" eb="4">
      <t>ヨウ</t>
    </rPh>
    <rPh sb="4" eb="6">
      <t>キホン</t>
    </rPh>
    <rPh sb="10" eb="12">
      <t>サイシン</t>
    </rPh>
    <phoneticPr fontId="5"/>
  </si>
  <si>
    <t>↓黄色のセルは法人情報と違う内容になっている</t>
    <rPh sb="1" eb="3">
      <t>キイロ</t>
    </rPh>
    <rPh sb="7" eb="9">
      <t>ホウジン</t>
    </rPh>
    <rPh sb="9" eb="11">
      <t>ジョウホウ</t>
    </rPh>
    <rPh sb="12" eb="13">
      <t>チガ</t>
    </rPh>
    <rPh sb="14" eb="16">
      <t>ナイヨウ</t>
    </rPh>
    <phoneticPr fontId="4"/>
  </si>
  <si>
    <t>１　民間保育園</t>
    <rPh sb="2" eb="7">
      <t>ミンカン</t>
    </rPh>
    <rPh sb="4" eb="7">
      <t>ホイクエン</t>
    </rPh>
    <phoneticPr fontId="5"/>
  </si>
  <si>
    <t>通し
番号</t>
    <rPh sb="0" eb="1">
      <t>トオ</t>
    </rPh>
    <rPh sb="3" eb="5">
      <t>バンゴウ</t>
    </rPh>
    <phoneticPr fontId="4"/>
  </si>
  <si>
    <t>事業所番号
（幼保支援課で付番）</t>
    <rPh sb="0" eb="3">
      <t>ジギョウショ</t>
    </rPh>
    <rPh sb="3" eb="5">
      <t>バンゴウ</t>
    </rPh>
    <rPh sb="7" eb="9">
      <t>ヨウホ</t>
    </rPh>
    <rPh sb="9" eb="11">
      <t>シエン</t>
    </rPh>
    <rPh sb="11" eb="12">
      <t>カ</t>
    </rPh>
    <rPh sb="13" eb="15">
      <t>フバン</t>
    </rPh>
    <phoneticPr fontId="4"/>
  </si>
  <si>
    <t>補助金用PW</t>
    <rPh sb="0" eb="3">
      <t>ホジョキン</t>
    </rPh>
    <rPh sb="3" eb="4">
      <t>ヨウ</t>
    </rPh>
    <phoneticPr fontId="4"/>
  </si>
  <si>
    <t>重複確認</t>
    <rPh sb="0" eb="2">
      <t>チョウフク</t>
    </rPh>
    <rPh sb="2" eb="4">
      <t>カクニン</t>
    </rPh>
    <phoneticPr fontId="4"/>
  </si>
  <si>
    <t>Pw確認</t>
    <rPh sb="2" eb="4">
      <t>カクニン</t>
    </rPh>
    <phoneticPr fontId="4"/>
  </si>
  <si>
    <t>GKF22437</t>
  </si>
  <si>
    <t>JNT93892</t>
  </si>
  <si>
    <t>作草部保育園</t>
    <rPh sb="0" eb="3">
      <t>サクサベ</t>
    </rPh>
    <phoneticPr fontId="4"/>
  </si>
  <si>
    <t>山王保育園</t>
    <rPh sb="0" eb="2">
      <t>サンノウ</t>
    </rPh>
    <rPh sb="2" eb="5">
      <t>ホイクエン</t>
    </rPh>
    <phoneticPr fontId="5"/>
  </si>
  <si>
    <t>チャイルド・ガーデン保育園</t>
    <rPh sb="10" eb="13">
      <t>ホイクエン</t>
    </rPh>
    <phoneticPr fontId="5"/>
  </si>
  <si>
    <t>グレース保育園</t>
    <rPh sb="4" eb="7">
      <t>ホイクエン</t>
    </rPh>
    <phoneticPr fontId="5"/>
  </si>
  <si>
    <t>みらい保育園</t>
    <rPh sb="3" eb="6">
      <t>ホイクエン</t>
    </rPh>
    <phoneticPr fontId="5"/>
  </si>
  <si>
    <t>ひなたぼっこ保育園</t>
    <rPh sb="6" eb="9">
      <t>ホイクエン</t>
    </rPh>
    <phoneticPr fontId="5"/>
  </si>
  <si>
    <t>はまかぜ保育園</t>
    <rPh sb="4" eb="7">
      <t>ホイクエン</t>
    </rPh>
    <phoneticPr fontId="5"/>
  </si>
  <si>
    <t>キッズマーム保育園</t>
    <rPh sb="6" eb="9">
      <t>ホイクエン</t>
    </rPh>
    <phoneticPr fontId="5"/>
  </si>
  <si>
    <t>アスク海浜幕張保育園</t>
    <rPh sb="3" eb="5">
      <t>カイヒン</t>
    </rPh>
    <rPh sb="5" eb="7">
      <t>マクハリ</t>
    </rPh>
    <rPh sb="7" eb="10">
      <t>ホイクエン</t>
    </rPh>
    <phoneticPr fontId="5"/>
  </si>
  <si>
    <t>明徳浜野駅保育園</t>
    <rPh sb="0" eb="2">
      <t>メイトク</t>
    </rPh>
    <rPh sb="2" eb="4">
      <t>ハマノ</t>
    </rPh>
    <rPh sb="4" eb="5">
      <t>エキ</t>
    </rPh>
    <rPh sb="5" eb="8">
      <t>ホイクエン</t>
    </rPh>
    <phoneticPr fontId="5"/>
  </si>
  <si>
    <t>幕張いもっこ保育園</t>
    <rPh sb="0" eb="2">
      <t>マクハリ</t>
    </rPh>
    <rPh sb="6" eb="9">
      <t>ホイクエン</t>
    </rPh>
    <phoneticPr fontId="5"/>
  </si>
  <si>
    <t>稲毛すきっぷ保育園</t>
    <rPh sb="6" eb="9">
      <t>ホイクエン</t>
    </rPh>
    <phoneticPr fontId="5"/>
  </si>
  <si>
    <t>千葉聖心保育園</t>
    <rPh sb="0" eb="2">
      <t>チバ</t>
    </rPh>
    <rPh sb="2" eb="3">
      <t>ヒジリ</t>
    </rPh>
    <rPh sb="3" eb="4">
      <t>ココロ</t>
    </rPh>
    <rPh sb="4" eb="7">
      <t>ホイクエン</t>
    </rPh>
    <phoneticPr fontId="5"/>
  </si>
  <si>
    <t>真生保育園</t>
    <rPh sb="0" eb="1">
      <t>シン</t>
    </rPh>
    <rPh sb="1" eb="2">
      <t>ナマ</t>
    </rPh>
    <rPh sb="2" eb="5">
      <t>ホイクエン</t>
    </rPh>
    <phoneticPr fontId="5"/>
  </si>
  <si>
    <t>アップルナースリー検見川浜保育園</t>
    <rPh sb="9" eb="12">
      <t>ケミガワ</t>
    </rPh>
    <rPh sb="12" eb="13">
      <t>ハマ</t>
    </rPh>
    <rPh sb="13" eb="16">
      <t>ホイクエン</t>
    </rPh>
    <phoneticPr fontId="5"/>
  </si>
  <si>
    <t>いろは保育園</t>
    <rPh sb="3" eb="6">
      <t>ホイクエン</t>
    </rPh>
    <phoneticPr fontId="5"/>
  </si>
  <si>
    <t>稲毛ひだまり保育園</t>
    <rPh sb="0" eb="2">
      <t>イナゲ</t>
    </rPh>
    <rPh sb="6" eb="9">
      <t>ホイクエン</t>
    </rPh>
    <phoneticPr fontId="5"/>
  </si>
  <si>
    <t>ローゼンそが保育園</t>
    <rPh sb="6" eb="9">
      <t>ホイクエン</t>
    </rPh>
    <phoneticPr fontId="5"/>
  </si>
  <si>
    <t>おゆみ野すきっぷ保育園</t>
    <rPh sb="3" eb="4">
      <t>ノ</t>
    </rPh>
    <rPh sb="8" eb="11">
      <t>ホイクエン</t>
    </rPh>
    <phoneticPr fontId="5"/>
  </si>
  <si>
    <t>たかし保育園稲毛海岸</t>
    <rPh sb="3" eb="6">
      <t>ホイクエン</t>
    </rPh>
    <rPh sb="6" eb="10">
      <t>イナゲカイガン</t>
    </rPh>
    <phoneticPr fontId="5"/>
  </si>
  <si>
    <t>幕張本郷きらきら保育園</t>
    <rPh sb="0" eb="4">
      <t>マクハリホンゴウ</t>
    </rPh>
    <rPh sb="8" eb="11">
      <t>ホイクエン</t>
    </rPh>
    <phoneticPr fontId="5"/>
  </si>
  <si>
    <t>都賀保育園</t>
    <rPh sb="0" eb="2">
      <t>ツガ</t>
    </rPh>
    <rPh sb="2" eb="5">
      <t>ホイクエン</t>
    </rPh>
    <phoneticPr fontId="2"/>
  </si>
  <si>
    <t>ニチイキッズ
あすみが丘保育園</t>
    <rPh sb="11" eb="12">
      <t>オカ</t>
    </rPh>
    <rPh sb="12" eb="15">
      <t>ホイクエン</t>
    </rPh>
    <phoneticPr fontId="2"/>
  </si>
  <si>
    <t>美光保育園</t>
    <rPh sb="0" eb="1">
      <t>ミ</t>
    </rPh>
    <rPh sb="1" eb="2">
      <t>ヒカリ</t>
    </rPh>
    <rPh sb="2" eb="5">
      <t>ホイクエン</t>
    </rPh>
    <phoneticPr fontId="2"/>
  </si>
  <si>
    <t>第２幕張海浜保育園</t>
    <rPh sb="0" eb="1">
      <t>ダイ</t>
    </rPh>
    <rPh sb="2" eb="4">
      <t>マクハリ</t>
    </rPh>
    <rPh sb="4" eb="6">
      <t>カイヒン</t>
    </rPh>
    <rPh sb="6" eb="9">
      <t>ホイクエン</t>
    </rPh>
    <phoneticPr fontId="2"/>
  </si>
  <si>
    <t>ピラミッドメソッド千葉保育園</t>
    <rPh sb="9" eb="11">
      <t>チバ</t>
    </rPh>
    <rPh sb="11" eb="14">
      <t>ホイクエン</t>
    </rPh>
    <phoneticPr fontId="2"/>
  </si>
  <si>
    <t>ルーチェ保育園千葉新田町</t>
    <rPh sb="4" eb="7">
      <t>ホイクエン</t>
    </rPh>
    <rPh sb="7" eb="9">
      <t>チバ</t>
    </rPh>
    <rPh sb="9" eb="12">
      <t>シンデンチョウ</t>
    </rPh>
    <phoneticPr fontId="2"/>
  </si>
  <si>
    <t>新検見川すきっぷ保育園</t>
    <rPh sb="0" eb="4">
      <t>シンケミガワ</t>
    </rPh>
    <rPh sb="8" eb="11">
      <t>ホイクエン</t>
    </rPh>
    <phoneticPr fontId="2"/>
  </si>
  <si>
    <t>幕張本郷ナーサリー</t>
    <rPh sb="0" eb="4">
      <t>マクハリホンゴウ</t>
    </rPh>
    <phoneticPr fontId="2"/>
  </si>
  <si>
    <t>ししの子保育園</t>
    <rPh sb="3" eb="4">
      <t>コ</t>
    </rPh>
    <rPh sb="4" eb="7">
      <t>ホイクエン</t>
    </rPh>
    <phoneticPr fontId="2"/>
  </si>
  <si>
    <t>アストロナーサリー小仲台</t>
    <rPh sb="9" eb="10">
      <t>ショウ</t>
    </rPh>
    <rPh sb="10" eb="11">
      <t>ナカ</t>
    </rPh>
    <rPh sb="11" eb="12">
      <t>ダイ</t>
    </rPh>
    <phoneticPr fontId="2"/>
  </si>
  <si>
    <t>アストロキャンプ稲毛東保育園</t>
    <rPh sb="8" eb="10">
      <t>イナゲ</t>
    </rPh>
    <rPh sb="10" eb="11">
      <t>ヒガシ</t>
    </rPh>
    <rPh sb="11" eb="14">
      <t>ホイクエン</t>
    </rPh>
    <phoneticPr fontId="2"/>
  </si>
  <si>
    <t>あおぞら保育園</t>
    <rPh sb="4" eb="7">
      <t>ホイクエン</t>
    </rPh>
    <phoneticPr fontId="5"/>
  </si>
  <si>
    <t>テンダーラビング保育園誉田</t>
    <rPh sb="8" eb="11">
      <t>ホイクエン</t>
    </rPh>
    <rPh sb="11" eb="13">
      <t>ホンダ</t>
    </rPh>
    <phoneticPr fontId="2"/>
  </si>
  <si>
    <t>誉田おもいやり保育園</t>
    <rPh sb="0" eb="2">
      <t>ホンダ</t>
    </rPh>
    <rPh sb="7" eb="10">
      <t>ホイクエン</t>
    </rPh>
    <phoneticPr fontId="2"/>
  </si>
  <si>
    <t>スクルドエンジェル保育園幕張園</t>
    <rPh sb="9" eb="12">
      <t>ホイクエン</t>
    </rPh>
    <rPh sb="12" eb="14">
      <t>マクハリ</t>
    </rPh>
    <rPh sb="14" eb="15">
      <t>エン</t>
    </rPh>
    <phoneticPr fontId="7"/>
  </si>
  <si>
    <t>さくらんぼ保育園</t>
    <rPh sb="5" eb="8">
      <t>ホイクエン</t>
    </rPh>
    <phoneticPr fontId="5"/>
  </si>
  <si>
    <t>げんき保育園</t>
    <rPh sb="3" eb="6">
      <t>ホイクエン</t>
    </rPh>
    <phoneticPr fontId="5"/>
  </si>
  <si>
    <t>マミー＆ミーおゆみ野保育園</t>
    <rPh sb="9" eb="10">
      <t>ノ</t>
    </rPh>
    <rPh sb="10" eb="13">
      <t>ホイクエン</t>
    </rPh>
    <phoneticPr fontId="7"/>
  </si>
  <si>
    <t>寒川保育園</t>
    <rPh sb="0" eb="1">
      <t>サム</t>
    </rPh>
    <rPh sb="1" eb="2">
      <t>カワ</t>
    </rPh>
    <rPh sb="2" eb="5">
      <t>ホイクエン</t>
    </rPh>
    <phoneticPr fontId="7"/>
  </si>
  <si>
    <t>そらまめ保育園新千葉駅前</t>
    <rPh sb="4" eb="7">
      <t>ホイクエン</t>
    </rPh>
    <rPh sb="7" eb="8">
      <t>シン</t>
    </rPh>
    <rPh sb="8" eb="10">
      <t>チバ</t>
    </rPh>
    <rPh sb="10" eb="12">
      <t>エキマエ</t>
    </rPh>
    <phoneticPr fontId="5"/>
  </si>
  <si>
    <t>本千葉エンゼルホーム保育園</t>
    <rPh sb="0" eb="3">
      <t>ホンチバ</t>
    </rPh>
    <rPh sb="10" eb="13">
      <t>ホイクエン</t>
    </rPh>
    <phoneticPr fontId="5"/>
  </si>
  <si>
    <t>かるがも保育園　おゆみ野園</t>
    <rPh sb="4" eb="7">
      <t>ホイクエン</t>
    </rPh>
    <rPh sb="11" eb="12">
      <t>ノ</t>
    </rPh>
    <rPh sb="12" eb="13">
      <t>エン</t>
    </rPh>
    <phoneticPr fontId="5"/>
  </si>
  <si>
    <t>なのはな保育園</t>
    <rPh sb="4" eb="7">
      <t>ホイクエン</t>
    </rPh>
    <phoneticPr fontId="19"/>
  </si>
  <si>
    <t>ミルキーホーム都賀園</t>
    <rPh sb="7" eb="9">
      <t>ツガ</t>
    </rPh>
    <rPh sb="9" eb="10">
      <t>エン</t>
    </rPh>
    <phoneticPr fontId="19"/>
  </si>
  <si>
    <t>ぴょんぴょん保育園</t>
    <rPh sb="6" eb="9">
      <t>ホイクエン</t>
    </rPh>
    <phoneticPr fontId="19"/>
  </si>
  <si>
    <t>まほろばのお日さま保育園</t>
    <rPh sb="9" eb="12">
      <t>ホイクエン</t>
    </rPh>
    <phoneticPr fontId="19"/>
  </si>
  <si>
    <t>キートスチャイルドケア新田町</t>
    <rPh sb="11" eb="14">
      <t>シンデンチョウ</t>
    </rPh>
    <phoneticPr fontId="5"/>
  </si>
  <si>
    <t>マミー＆ミー西都賀保育園</t>
    <rPh sb="6" eb="7">
      <t>ニシ</t>
    </rPh>
    <rPh sb="7" eb="9">
      <t>ツガ</t>
    </rPh>
    <rPh sb="9" eb="12">
      <t>ホイクエン</t>
    </rPh>
    <phoneticPr fontId="19"/>
  </si>
  <si>
    <t>幕張本郷すきっぷ保育園</t>
    <rPh sb="0" eb="4">
      <t>マクハリホンゴウ</t>
    </rPh>
    <rPh sb="8" eb="11">
      <t>ホイクエン</t>
    </rPh>
    <phoneticPr fontId="19"/>
  </si>
  <si>
    <t>若葉保育園</t>
    <rPh sb="0" eb="2">
      <t>ワカバ</t>
    </rPh>
    <rPh sb="2" eb="5">
      <t>ホイクエン</t>
    </rPh>
    <phoneticPr fontId="19"/>
  </si>
  <si>
    <t>検見川わくわく保育園</t>
    <rPh sb="0" eb="3">
      <t>ケミガワ</t>
    </rPh>
    <rPh sb="7" eb="9">
      <t>ホイク</t>
    </rPh>
    <rPh sb="9" eb="10">
      <t>エン</t>
    </rPh>
    <phoneticPr fontId="5"/>
  </si>
  <si>
    <t>植草学園千葉駅保育園</t>
    <rPh sb="0" eb="2">
      <t>ウエクサ</t>
    </rPh>
    <rPh sb="2" eb="4">
      <t>ガクエン</t>
    </rPh>
    <rPh sb="4" eb="7">
      <t>チバエキ</t>
    </rPh>
    <rPh sb="7" eb="10">
      <t>ホイクエン</t>
    </rPh>
    <phoneticPr fontId="4"/>
  </si>
  <si>
    <t>キートスチャイルドケア幕張本郷</t>
    <rPh sb="11" eb="13">
      <t>マクハリ</t>
    </rPh>
    <rPh sb="13" eb="15">
      <t>ホンゴウ</t>
    </rPh>
    <phoneticPr fontId="4"/>
  </si>
  <si>
    <t>京進のほいくえんＨＯＰＰＡ幕張町5丁目</t>
    <rPh sb="0" eb="2">
      <t>キョウシン</t>
    </rPh>
    <rPh sb="13" eb="15">
      <t>マクハリ</t>
    </rPh>
    <rPh sb="15" eb="16">
      <t>マチ</t>
    </rPh>
    <rPh sb="17" eb="19">
      <t>チョウメ</t>
    </rPh>
    <phoneticPr fontId="4"/>
  </si>
  <si>
    <t>京進のほいくえんＨＯＰＰＡ幕張本郷駅前</t>
    <rPh sb="0" eb="2">
      <t>キョウシン</t>
    </rPh>
    <rPh sb="13" eb="15">
      <t>マクハリ</t>
    </rPh>
    <rPh sb="15" eb="17">
      <t>ホンゴウ</t>
    </rPh>
    <rPh sb="17" eb="19">
      <t>エキマエ</t>
    </rPh>
    <phoneticPr fontId="4"/>
  </si>
  <si>
    <t>千葉検見川雲母保育園</t>
    <rPh sb="0" eb="2">
      <t>チバ</t>
    </rPh>
    <rPh sb="2" eb="5">
      <t>ケミガワ</t>
    </rPh>
    <rPh sb="5" eb="7">
      <t>キララ</t>
    </rPh>
    <rPh sb="7" eb="10">
      <t>ホイクエン</t>
    </rPh>
    <phoneticPr fontId="4"/>
  </si>
  <si>
    <t>かえで保育園幕張本郷</t>
    <rPh sb="3" eb="6">
      <t>ホイクエン</t>
    </rPh>
    <rPh sb="6" eb="8">
      <t>マクハリ</t>
    </rPh>
    <rPh sb="8" eb="10">
      <t>ホンゴウ</t>
    </rPh>
    <phoneticPr fontId="4"/>
  </si>
  <si>
    <t>すまいるキャンディ保育園</t>
    <rPh sb="9" eb="11">
      <t>ホイク</t>
    </rPh>
    <rPh sb="11" eb="12">
      <t>エン</t>
    </rPh>
    <phoneticPr fontId="4"/>
  </si>
  <si>
    <t>稲毛キッズマーム保育園</t>
    <rPh sb="0" eb="2">
      <t>イナゲ</t>
    </rPh>
    <rPh sb="8" eb="11">
      <t>ホイクエン</t>
    </rPh>
    <phoneticPr fontId="4"/>
  </si>
  <si>
    <t>キートスチャイルドケア園生町</t>
    <rPh sb="11" eb="12">
      <t>ソノ</t>
    </rPh>
    <rPh sb="12" eb="13">
      <t>イ</t>
    </rPh>
    <rPh sb="13" eb="14">
      <t>マチ</t>
    </rPh>
    <phoneticPr fontId="4"/>
  </si>
  <si>
    <t>千葉稲毛雲母保育園</t>
    <rPh sb="0" eb="2">
      <t>チバ</t>
    </rPh>
    <rPh sb="2" eb="4">
      <t>イナゲ</t>
    </rPh>
    <rPh sb="4" eb="6">
      <t>キララ</t>
    </rPh>
    <rPh sb="6" eb="9">
      <t>ホイクエン</t>
    </rPh>
    <phoneticPr fontId="4"/>
  </si>
  <si>
    <t>ナーサリーホーム園生保育園</t>
    <rPh sb="8" eb="9">
      <t>ソノ</t>
    </rPh>
    <rPh sb="9" eb="10">
      <t>イ</t>
    </rPh>
    <rPh sb="10" eb="13">
      <t>ホ</t>
    </rPh>
    <phoneticPr fontId="4"/>
  </si>
  <si>
    <t>ぽかぽか保育園おてんとさん</t>
    <rPh sb="4" eb="6">
      <t>ホイク</t>
    </rPh>
    <rPh sb="6" eb="7">
      <t>エン</t>
    </rPh>
    <phoneticPr fontId="4"/>
  </si>
  <si>
    <t>大森保育園</t>
    <rPh sb="0" eb="2">
      <t>オオモリ</t>
    </rPh>
    <rPh sb="2" eb="5">
      <t>ホイクエン</t>
    </rPh>
    <phoneticPr fontId="1"/>
  </si>
  <si>
    <t>東千葉雲母保育園</t>
    <rPh sb="0" eb="1">
      <t>ヒガシ</t>
    </rPh>
    <rPh sb="1" eb="3">
      <t>チバ</t>
    </rPh>
    <rPh sb="3" eb="5">
      <t>キララ</t>
    </rPh>
    <rPh sb="5" eb="8">
      <t>ホイクエン</t>
    </rPh>
    <phoneticPr fontId="1"/>
  </si>
  <si>
    <t>レイモンド汐見丘保育園</t>
    <rPh sb="5" eb="7">
      <t>シオミ</t>
    </rPh>
    <rPh sb="7" eb="8">
      <t>オカ</t>
    </rPh>
    <rPh sb="8" eb="11">
      <t>ホイクエン</t>
    </rPh>
    <phoneticPr fontId="1"/>
  </si>
  <si>
    <t>かえで保育園幕張本郷６丁目</t>
    <rPh sb="3" eb="10">
      <t>ホイクエンマクハリホンゴウ</t>
    </rPh>
    <rPh sb="11" eb="13">
      <t>チョウメ</t>
    </rPh>
    <phoneticPr fontId="1"/>
  </si>
  <si>
    <t>童夢ガーデン幕張本郷保育園</t>
    <rPh sb="0" eb="2">
      <t>ドウム</t>
    </rPh>
    <rPh sb="6" eb="10">
      <t>マクハリホンゴウ</t>
    </rPh>
    <rPh sb="10" eb="13">
      <t>ホイクエン</t>
    </rPh>
    <phoneticPr fontId="1"/>
  </si>
  <si>
    <t>作草部アーク保育園</t>
    <rPh sb="0" eb="3">
      <t>サクサベ</t>
    </rPh>
    <rPh sb="6" eb="9">
      <t>ホイクエン</t>
    </rPh>
    <phoneticPr fontId="1"/>
  </si>
  <si>
    <t>ししの子保育園　小中台町</t>
    <rPh sb="3" eb="4">
      <t>コ</t>
    </rPh>
    <rPh sb="4" eb="7">
      <t>ホイクエン</t>
    </rPh>
    <rPh sb="8" eb="12">
      <t>コナカダイチョウ</t>
    </rPh>
    <phoneticPr fontId="1"/>
  </si>
  <si>
    <t>ナーサリーホーム小仲台</t>
    <rPh sb="8" eb="11">
      <t>コナカダイ</t>
    </rPh>
    <phoneticPr fontId="1"/>
  </si>
  <si>
    <t>認可保育園　みどりまち</t>
    <rPh sb="0" eb="2">
      <t>ニンカ</t>
    </rPh>
    <rPh sb="2" eb="5">
      <t>ホイクエン</t>
    </rPh>
    <phoneticPr fontId="1"/>
  </si>
  <si>
    <t>キートスチャイルドケア桜木</t>
    <rPh sb="11" eb="13">
      <t>サクラギ</t>
    </rPh>
    <phoneticPr fontId="1"/>
  </si>
  <si>
    <t>小倉台　いろは保育園</t>
    <rPh sb="0" eb="3">
      <t>オグラダイ</t>
    </rPh>
    <rPh sb="7" eb="10">
      <t>ホイクエン</t>
    </rPh>
    <phoneticPr fontId="1"/>
  </si>
  <si>
    <t>つぐみ保育園</t>
    <rPh sb="3" eb="6">
      <t>ホイクエン</t>
    </rPh>
    <phoneticPr fontId="1"/>
  </si>
  <si>
    <t>みつばち保育園　若葉</t>
    <rPh sb="4" eb="7">
      <t>ホイクエン</t>
    </rPh>
    <rPh sb="8" eb="10">
      <t>ワカバ</t>
    </rPh>
    <phoneticPr fontId="1"/>
  </si>
  <si>
    <t>キートスチャイルドケアおゆみ野南</t>
    <rPh sb="14" eb="15">
      <t>ノ</t>
    </rPh>
    <rPh sb="15" eb="16">
      <t>ミナミ</t>
    </rPh>
    <phoneticPr fontId="1"/>
  </si>
  <si>
    <t>ししの子保育園　おゆみ野</t>
    <rPh sb="3" eb="4">
      <t>コ</t>
    </rPh>
    <rPh sb="4" eb="7">
      <t>ホイクエン</t>
    </rPh>
    <rPh sb="11" eb="12">
      <t>ノ</t>
    </rPh>
    <phoneticPr fontId="1"/>
  </si>
  <si>
    <t>京進のほいくえん　HOPPA幕張ベイパーク</t>
    <rPh sb="0" eb="2">
      <t>キョウシン</t>
    </rPh>
    <rPh sb="14" eb="16">
      <t>マクハリ</t>
    </rPh>
    <phoneticPr fontId="1"/>
  </si>
  <si>
    <t>K's garden蘇我保育園</t>
    <rPh sb="10" eb="12">
      <t>ソガ</t>
    </rPh>
    <rPh sb="12" eb="15">
      <t>ホイクエン</t>
    </rPh>
    <phoneticPr fontId="1"/>
  </si>
  <si>
    <t>子どものまきば保育園</t>
    <rPh sb="0" eb="1">
      <t>コ</t>
    </rPh>
    <rPh sb="7" eb="10">
      <t>ホイクエン</t>
    </rPh>
    <phoneticPr fontId="4"/>
  </si>
  <si>
    <t>ほしのこ保育園</t>
    <rPh sb="4" eb="7">
      <t>ホイクエン</t>
    </rPh>
    <phoneticPr fontId="4"/>
  </si>
  <si>
    <t>椿森保育園</t>
    <rPh sb="0" eb="2">
      <t>ツバキモリ</t>
    </rPh>
    <rPh sb="2" eb="5">
      <t>ホイクエン</t>
    </rPh>
    <phoneticPr fontId="4"/>
  </si>
  <si>
    <t>アンファンジュール保育園弁天</t>
    <rPh sb="9" eb="12">
      <t>ホイクエン</t>
    </rPh>
    <rPh sb="12" eb="14">
      <t>ベンテン</t>
    </rPh>
    <phoneticPr fontId="4"/>
  </si>
  <si>
    <t>かえで保育園まくはり</t>
    <rPh sb="3" eb="6">
      <t>ホイクエン</t>
    </rPh>
    <phoneticPr fontId="4"/>
  </si>
  <si>
    <t>かえで保育園はなぞの</t>
    <rPh sb="3" eb="6">
      <t>ホイクエン</t>
    </rPh>
    <phoneticPr fontId="4"/>
  </si>
  <si>
    <t>アストロベースキャンプ保育園</t>
    <rPh sb="11" eb="14">
      <t>ホイクエン</t>
    </rPh>
    <phoneticPr fontId="4"/>
  </si>
  <si>
    <t>かるがも保育園　鎌取園</t>
    <rPh sb="4" eb="7">
      <t>ホイクエン</t>
    </rPh>
    <rPh sb="8" eb="10">
      <t>カマトリ</t>
    </rPh>
    <rPh sb="10" eb="11">
      <t>エン</t>
    </rPh>
    <phoneticPr fontId="4"/>
  </si>
  <si>
    <t>クニナたかだの森保育園</t>
    <rPh sb="7" eb="8">
      <t>モリ</t>
    </rPh>
    <rPh sb="8" eb="11">
      <t>ホイクエン</t>
    </rPh>
    <phoneticPr fontId="4"/>
  </si>
  <si>
    <t>京進のほいくえんHOPPAガーデンビュー千葉駅前</t>
    <rPh sb="0" eb="2">
      <t>キョウシン</t>
    </rPh>
    <rPh sb="20" eb="23">
      <t>チバエキ</t>
    </rPh>
    <rPh sb="23" eb="24">
      <t>マエ</t>
    </rPh>
    <phoneticPr fontId="4"/>
  </si>
  <si>
    <t>希望の子保育園</t>
    <rPh sb="0" eb="2">
      <t>キボウ</t>
    </rPh>
    <rPh sb="3" eb="4">
      <t>コ</t>
    </rPh>
    <rPh sb="4" eb="7">
      <t>ホイクエン</t>
    </rPh>
    <phoneticPr fontId="4"/>
  </si>
  <si>
    <t>川口　礼子</t>
  </si>
  <si>
    <t>千葉市中央区院内2丁目17番25号</t>
  </si>
  <si>
    <t>千葉市緑区刈田子町308-10</t>
  </si>
  <si>
    <t>糠谷　和弘</t>
  </si>
  <si>
    <t>（一社）絲</t>
  </si>
  <si>
    <t>千葉市花見川区花園1-19-11　田村ビル201号</t>
  </si>
  <si>
    <t>佐藤　禎子</t>
  </si>
  <si>
    <t>千葉市美浜区高洲３丁目１４－１－２０２</t>
  </si>
  <si>
    <t>セルテック（株）</t>
  </si>
  <si>
    <t>北海道士別市南町西４区４７１</t>
  </si>
  <si>
    <t>（株）在宅支援総合ケアーサービス</t>
    <rPh sb="3" eb="5">
      <t>ザイタク</t>
    </rPh>
    <rPh sb="5" eb="7">
      <t>シエン</t>
    </rPh>
    <rPh sb="7" eb="9">
      <t>ソウゴウ</t>
    </rPh>
    <phoneticPr fontId="4"/>
  </si>
  <si>
    <t>千葉県千葉市稲毛区稲毛東２丁目１４－１２</t>
  </si>
  <si>
    <t>ミラクルーレ（株）</t>
  </si>
  <si>
    <t>千葉県千葉市美浜区真砂２丁目２４－１０アンシャンテ21</t>
  </si>
  <si>
    <t>髙井　宏行</t>
  </si>
  <si>
    <t/>
  </si>
  <si>
    <t>№</t>
  </si>
  <si>
    <t>施    設    名</t>
  </si>
  <si>
    <t>OK</t>
  </si>
  <si>
    <t>東京都渋谷区広尾5丁目6番6号</t>
  </si>
  <si>
    <t>山崎　知恵</t>
  </si>
  <si>
    <t>千葉県千葉市緑区おゆみ野3-10-7</t>
  </si>
  <si>
    <t>千葉市緑区あすみが丘１－１７－５</t>
  </si>
  <si>
    <t>佐藤　健二</t>
  </si>
  <si>
    <t>園毎の固有番号</t>
    <rPh sb="0" eb="1">
      <t>エン</t>
    </rPh>
    <rPh sb="1" eb="2">
      <t>ゴト</t>
    </rPh>
    <rPh sb="3" eb="5">
      <t>コユウ</t>
    </rPh>
    <rPh sb="5" eb="7">
      <t>バンゴウ</t>
    </rPh>
    <phoneticPr fontId="1"/>
  </si>
  <si>
    <t>園外活動における見守りを行っている場合、○を記載</t>
    <rPh sb="0" eb="1">
      <t>エン</t>
    </rPh>
    <rPh sb="1" eb="2">
      <t>ガイ</t>
    </rPh>
    <rPh sb="2" eb="4">
      <t>カツドウ</t>
    </rPh>
    <rPh sb="8" eb="10">
      <t>ミマモ</t>
    </rPh>
    <rPh sb="12" eb="13">
      <t>オコナ</t>
    </rPh>
    <rPh sb="17" eb="19">
      <t>バアイ</t>
    </rPh>
    <rPh sb="22" eb="24">
      <t>キサイ</t>
    </rPh>
    <phoneticPr fontId="1"/>
  </si>
  <si>
    <t>Ｍ4セル</t>
    <phoneticPr fontId="1"/>
  </si>
  <si>
    <t>Ｍ5セル</t>
    <phoneticPr fontId="1"/>
  </si>
  <si>
    <t>D5セル</t>
    <phoneticPr fontId="1"/>
  </si>
  <si>
    <t>設置認可上の「児童定員」（本園分のみ）を入力してください。</t>
    <rPh sb="0" eb="2">
      <t>セッチ</t>
    </rPh>
    <rPh sb="2" eb="4">
      <t>ニンカ</t>
    </rPh>
    <rPh sb="4" eb="5">
      <t>ジョウ</t>
    </rPh>
    <rPh sb="7" eb="9">
      <t>ジドウ</t>
    </rPh>
    <rPh sb="9" eb="11">
      <t>テイイン</t>
    </rPh>
    <rPh sb="13" eb="14">
      <t>ホン</t>
    </rPh>
    <rPh sb="14" eb="15">
      <t>エン</t>
    </rPh>
    <rPh sb="15" eb="16">
      <t>ブン</t>
    </rPh>
    <rPh sb="20" eb="22">
      <t>ニュウリョク</t>
    </rPh>
    <phoneticPr fontId="1"/>
  </si>
  <si>
    <t>設置認可上の「児童定員」（分園分のみ）を入力してください。</t>
    <rPh sb="0" eb="2">
      <t>セッチ</t>
    </rPh>
    <rPh sb="2" eb="4">
      <t>ニンカ</t>
    </rPh>
    <rPh sb="4" eb="5">
      <t>ジョウ</t>
    </rPh>
    <rPh sb="7" eb="9">
      <t>ジドウ</t>
    </rPh>
    <rPh sb="9" eb="11">
      <t>テイイン</t>
    </rPh>
    <rPh sb="13" eb="15">
      <t>ブンエン</t>
    </rPh>
    <rPh sb="15" eb="16">
      <t>ブン</t>
    </rPh>
    <rPh sb="20" eb="22">
      <t>ニュウリョク</t>
    </rPh>
    <phoneticPr fontId="1"/>
  </si>
  <si>
    <t>L9セル</t>
  </si>
  <si>
    <t>F26～Q26セル</t>
    <phoneticPr fontId="1"/>
  </si>
  <si>
    <t>F27～Q27セル</t>
    <phoneticPr fontId="1"/>
  </si>
  <si>
    <t>F30～Q30セル</t>
    <phoneticPr fontId="1"/>
  </si>
  <si>
    <t>F31～Q31セル</t>
    <phoneticPr fontId="1"/>
  </si>
  <si>
    <t>F32～Q32セル</t>
    <phoneticPr fontId="1"/>
  </si>
  <si>
    <t>F33～Q33セル</t>
    <phoneticPr fontId="1"/>
  </si>
  <si>
    <t>F34～Q34セル</t>
    <phoneticPr fontId="1"/>
  </si>
  <si>
    <t>F35～Q35セル</t>
    <phoneticPr fontId="1"/>
  </si>
  <si>
    <t>F36～Q36セル</t>
    <phoneticPr fontId="1"/>
  </si>
  <si>
    <t>F39～Q39セル</t>
    <phoneticPr fontId="1"/>
  </si>
  <si>
    <t>F40～Q40セル</t>
    <phoneticPr fontId="1"/>
  </si>
  <si>
    <t>F10セル</t>
    <phoneticPr fontId="1"/>
  </si>
  <si>
    <t>F9セル</t>
  </si>
  <si>
    <t>F8セル</t>
  </si>
  <si>
    <t>L4セルに入力したパスワードがあっている場合、「OK」と表示されますので、確認してください。「パスワードが違います」と表示された場合、M4セルのパスワードを修正してください。※パスワードが不明な場合、幼保運営課までお問い合わせください。</t>
    <rPh sb="5" eb="7">
      <t>ニュウリョク</t>
    </rPh>
    <rPh sb="20" eb="22">
      <t>バアイ</t>
    </rPh>
    <rPh sb="28" eb="30">
      <t>ヒョウジ</t>
    </rPh>
    <rPh sb="37" eb="39">
      <t>カクニン</t>
    </rPh>
    <rPh sb="53" eb="54">
      <t>チガ</t>
    </rPh>
    <rPh sb="59" eb="61">
      <t>ヒョウジ</t>
    </rPh>
    <rPh sb="64" eb="66">
      <t>バアイ</t>
    </rPh>
    <rPh sb="78" eb="80">
      <t>シュウセイ</t>
    </rPh>
    <rPh sb="94" eb="96">
      <t>フメイ</t>
    </rPh>
    <rPh sb="97" eb="99">
      <t>バアイ</t>
    </rPh>
    <rPh sb="100" eb="102">
      <t>ヨウホ</t>
    </rPh>
    <rPh sb="102" eb="104">
      <t>ウンエイ</t>
    </rPh>
    <rPh sb="104" eb="105">
      <t>カ</t>
    </rPh>
    <rPh sb="108" eb="109">
      <t>ト</t>
    </rPh>
    <rPh sb="110" eb="111">
      <t>ア</t>
    </rPh>
    <phoneticPr fontId="1"/>
  </si>
  <si>
    <t>L8セルの担当者の連絡先電話番号を入力してください。</t>
    <rPh sb="5" eb="8">
      <t>タントウシャ</t>
    </rPh>
    <rPh sb="9" eb="12">
      <t>レンラクサキ</t>
    </rPh>
    <rPh sb="12" eb="14">
      <t>デンワ</t>
    </rPh>
    <rPh sb="14" eb="16">
      <t>バンゴウ</t>
    </rPh>
    <rPh sb="17" eb="19">
      <t>ニュウリョク</t>
    </rPh>
    <phoneticPr fontId="1"/>
  </si>
  <si>
    <t>勤務形態を「正」（正規職員）、「パート」、「嘱託等」から選択してください。</t>
    <rPh sb="0" eb="2">
      <t>キンム</t>
    </rPh>
    <rPh sb="2" eb="4">
      <t>ケイタイ</t>
    </rPh>
    <rPh sb="6" eb="7">
      <t>セイ</t>
    </rPh>
    <rPh sb="9" eb="11">
      <t>セイキ</t>
    </rPh>
    <rPh sb="11" eb="13">
      <t>ショクイン</t>
    </rPh>
    <rPh sb="22" eb="24">
      <t>ショクタク</t>
    </rPh>
    <rPh sb="24" eb="25">
      <t>トウ</t>
    </rPh>
    <rPh sb="28" eb="30">
      <t>センタク</t>
    </rPh>
    <phoneticPr fontId="1"/>
  </si>
  <si>
    <t>勤務形態を「常」（常勤）、「非」（非常勤）から選択してください。
常勤とは、就業規則に定める月の「常勤時間数」以上勤務する就労契約を結ぶ者をいいます。
非常勤は、常勤以外の者をいいます。</t>
    <rPh sb="0" eb="2">
      <t>キンム</t>
    </rPh>
    <rPh sb="2" eb="4">
      <t>ケイタイ</t>
    </rPh>
    <rPh sb="6" eb="7">
      <t>ジョウ</t>
    </rPh>
    <rPh sb="9" eb="11">
      <t>ジョウキン</t>
    </rPh>
    <rPh sb="11" eb="13">
      <t>セイショクイン</t>
    </rPh>
    <rPh sb="14" eb="15">
      <t>ヒ</t>
    </rPh>
    <rPh sb="17" eb="20">
      <t>ヒジョウキン</t>
    </rPh>
    <rPh sb="23" eb="25">
      <t>センタク</t>
    </rPh>
    <rPh sb="33" eb="35">
      <t>ジョウキン</t>
    </rPh>
    <rPh sb="55" eb="57">
      <t>イジョウ</t>
    </rPh>
    <rPh sb="61" eb="63">
      <t>シュウロウ</t>
    </rPh>
    <rPh sb="63" eb="65">
      <t>ケイヤク</t>
    </rPh>
    <rPh sb="66" eb="67">
      <t>ムス</t>
    </rPh>
    <rPh sb="68" eb="69">
      <t>モノ</t>
    </rPh>
    <rPh sb="76" eb="79">
      <t>ヒジョウキン</t>
    </rPh>
    <rPh sb="81" eb="83">
      <t>ジョウキン</t>
    </rPh>
    <rPh sb="83" eb="85">
      <t>イガイ</t>
    </rPh>
    <rPh sb="86" eb="87">
      <t>モノ</t>
    </rPh>
    <phoneticPr fontId="1"/>
  </si>
  <si>
    <t>主に従事する業務をプルダウンメニューから選択してください。</t>
    <rPh sb="0" eb="1">
      <t>オモ</t>
    </rPh>
    <rPh sb="2" eb="4">
      <t>ジュウジ</t>
    </rPh>
    <rPh sb="6" eb="8">
      <t>ギョウム</t>
    </rPh>
    <rPh sb="20" eb="22">
      <t>センタク</t>
    </rPh>
    <phoneticPr fontId="1"/>
  </si>
  <si>
    <t>Ｈ列</t>
    <rPh sb="1" eb="2">
      <t>レツ</t>
    </rPh>
    <phoneticPr fontId="1"/>
  </si>
  <si>
    <t>Ｅ列</t>
    <rPh sb="1" eb="2">
      <t>レツ</t>
    </rPh>
    <phoneticPr fontId="1"/>
  </si>
  <si>
    <t>F列</t>
    <rPh sb="1" eb="2">
      <t>レツ</t>
    </rPh>
    <phoneticPr fontId="1"/>
  </si>
  <si>
    <t>園外活動における見守りを行っている場合、「○」を選択してください。
※園外活動における見守りとは、散歩への付き添い・安全確保等、園の敷地外での活動に同行することをいいます。</t>
    <rPh sb="0" eb="1">
      <t>エン</t>
    </rPh>
    <rPh sb="1" eb="2">
      <t>ガイ</t>
    </rPh>
    <rPh sb="2" eb="4">
      <t>カツドウ</t>
    </rPh>
    <rPh sb="8" eb="10">
      <t>ミマモ</t>
    </rPh>
    <rPh sb="12" eb="13">
      <t>オコナ</t>
    </rPh>
    <rPh sb="17" eb="19">
      <t>バアイ</t>
    </rPh>
    <rPh sb="24" eb="26">
      <t>センタク</t>
    </rPh>
    <rPh sb="35" eb="36">
      <t>エン</t>
    </rPh>
    <rPh sb="36" eb="37">
      <t>ガイ</t>
    </rPh>
    <rPh sb="37" eb="39">
      <t>カツドウ</t>
    </rPh>
    <rPh sb="43" eb="45">
      <t>ミマモ</t>
    </rPh>
    <rPh sb="49" eb="51">
      <t>サンポ</t>
    </rPh>
    <rPh sb="53" eb="54">
      <t>ツ</t>
    </rPh>
    <rPh sb="55" eb="56">
      <t>ソ</t>
    </rPh>
    <rPh sb="58" eb="60">
      <t>アンゼン</t>
    </rPh>
    <rPh sb="60" eb="62">
      <t>カクホ</t>
    </rPh>
    <rPh sb="62" eb="63">
      <t>トウ</t>
    </rPh>
    <rPh sb="64" eb="65">
      <t>エン</t>
    </rPh>
    <rPh sb="66" eb="68">
      <t>シキチ</t>
    </rPh>
    <rPh sb="68" eb="69">
      <t>ガイ</t>
    </rPh>
    <rPh sb="71" eb="73">
      <t>カツドウ</t>
    </rPh>
    <rPh sb="74" eb="76">
      <t>ドウコウ</t>
    </rPh>
    <phoneticPr fontId="1"/>
  </si>
  <si>
    <t>園外活動における見守りを行っている場合、「○」を選択してください。
※園外活動における見守りとは、散歩への付き添い・安全確保等、園の敷地外での活動に同行することをいいます。</t>
    <phoneticPr fontId="1"/>
  </si>
  <si>
    <t>　　一番右の「補助金対象者数」の人数が「１」以上のときに基本加算分等の補助金該当となります。</t>
    <rPh sb="2" eb="4">
      <t>イチバン</t>
    </rPh>
    <rPh sb="4" eb="5">
      <t>ミギ</t>
    </rPh>
    <rPh sb="7" eb="10">
      <t>ホジョキン</t>
    </rPh>
    <rPh sb="10" eb="12">
      <t>タイショウ</t>
    </rPh>
    <rPh sb="12" eb="13">
      <t>シャ</t>
    </rPh>
    <rPh sb="13" eb="14">
      <t>スウ</t>
    </rPh>
    <rPh sb="16" eb="18">
      <t>ニンズウ</t>
    </rPh>
    <rPh sb="22" eb="24">
      <t>イジョウ</t>
    </rPh>
    <rPh sb="28" eb="30">
      <t>キホン</t>
    </rPh>
    <rPh sb="30" eb="32">
      <t>カサン</t>
    </rPh>
    <rPh sb="32" eb="33">
      <t>ブン</t>
    </rPh>
    <rPh sb="33" eb="34">
      <t>トウ</t>
    </rPh>
    <rPh sb="35" eb="38">
      <t>ホジョキン</t>
    </rPh>
    <rPh sb="38" eb="40">
      <t>ガイトウ</t>
    </rPh>
    <phoneticPr fontId="15"/>
  </si>
  <si>
    <t>QAX70308</t>
  </si>
  <si>
    <t>FZH88525</t>
  </si>
  <si>
    <t>RFX91918</t>
  </si>
  <si>
    <t>JKI52622</t>
  </si>
  <si>
    <t>JGB74583</t>
  </si>
  <si>
    <t>PUR96605</t>
  </si>
  <si>
    <t>RCP49188</t>
  </si>
  <si>
    <t>渡邊　彰</t>
  </si>
  <si>
    <t>（株）つぼみ</t>
  </si>
  <si>
    <t>千葉市稲毛区緑町1-21-6</t>
  </si>
  <si>
    <t>河野　妙登利</t>
  </si>
  <si>
    <t>西原　優博</t>
  </si>
  <si>
    <t>「契約上の就業時間を記載」と記載されている職員について、就労契約上の勤務すべき時間数を記載してください。
各月ごとに就労すべき時間数が変動する場合は、以下の通りとしてください。
・その者が「就業規則上の常勤時間数」以上勤務することとしている場合
　→　F5セルに記載した時間数のうち、最大の時間数
・その者が「就業規則上の常勤時間数」未満の勤務であるが、契約上時間数を固定していない場合
　→　「1」を記載</t>
    <rPh sb="14" eb="16">
      <t>キサイ</t>
    </rPh>
    <rPh sb="21" eb="23">
      <t>ショクイン</t>
    </rPh>
    <rPh sb="28" eb="30">
      <t>シュウロウ</t>
    </rPh>
    <rPh sb="30" eb="32">
      <t>ケイヤク</t>
    </rPh>
    <rPh sb="32" eb="33">
      <t>ジョウ</t>
    </rPh>
    <rPh sb="34" eb="36">
      <t>キンム</t>
    </rPh>
    <rPh sb="39" eb="42">
      <t>ジカンスウ</t>
    </rPh>
    <rPh sb="43" eb="45">
      <t>キサイ</t>
    </rPh>
    <rPh sb="53" eb="54">
      <t>カク</t>
    </rPh>
    <rPh sb="54" eb="55">
      <t>ツキ</t>
    </rPh>
    <rPh sb="58" eb="60">
      <t>シュウロウ</t>
    </rPh>
    <rPh sb="63" eb="66">
      <t>ジカンスウ</t>
    </rPh>
    <rPh sb="67" eb="69">
      <t>ヘンドウ</t>
    </rPh>
    <rPh sb="71" eb="73">
      <t>バアイ</t>
    </rPh>
    <rPh sb="75" eb="77">
      <t>イカ</t>
    </rPh>
    <rPh sb="78" eb="79">
      <t>トオ</t>
    </rPh>
    <rPh sb="92" eb="93">
      <t>モノ</t>
    </rPh>
    <rPh sb="95" eb="97">
      <t>シュウギョウ</t>
    </rPh>
    <rPh sb="97" eb="99">
      <t>キソク</t>
    </rPh>
    <rPh sb="99" eb="100">
      <t>ジョウ</t>
    </rPh>
    <rPh sb="101" eb="103">
      <t>ジョウキン</t>
    </rPh>
    <rPh sb="103" eb="106">
      <t>ジカンスウ</t>
    </rPh>
    <rPh sb="107" eb="109">
      <t>イジョウ</t>
    </rPh>
    <rPh sb="109" eb="111">
      <t>キンム</t>
    </rPh>
    <rPh sb="120" eb="122">
      <t>バアイ</t>
    </rPh>
    <rPh sb="131" eb="133">
      <t>キサイ</t>
    </rPh>
    <rPh sb="135" eb="137">
      <t>ジカン</t>
    </rPh>
    <rPh sb="137" eb="138">
      <t>スウ</t>
    </rPh>
    <rPh sb="142" eb="144">
      <t>サイダイ</t>
    </rPh>
    <rPh sb="145" eb="148">
      <t>ジカンスウ</t>
    </rPh>
    <rPh sb="152" eb="153">
      <t>モノ</t>
    </rPh>
    <rPh sb="155" eb="157">
      <t>シュウギョウ</t>
    </rPh>
    <rPh sb="157" eb="159">
      <t>キソク</t>
    </rPh>
    <rPh sb="159" eb="160">
      <t>ジョウ</t>
    </rPh>
    <rPh sb="161" eb="163">
      <t>ジョウキン</t>
    </rPh>
    <rPh sb="163" eb="165">
      <t>ジカン</t>
    </rPh>
    <rPh sb="165" eb="166">
      <t>スウ</t>
    </rPh>
    <rPh sb="167" eb="169">
      <t>ミマン</t>
    </rPh>
    <rPh sb="170" eb="172">
      <t>キンム</t>
    </rPh>
    <rPh sb="177" eb="179">
      <t>ケイヤク</t>
    </rPh>
    <rPh sb="179" eb="180">
      <t>ジョウ</t>
    </rPh>
    <rPh sb="180" eb="183">
      <t>ジカンスウ</t>
    </rPh>
    <rPh sb="184" eb="186">
      <t>コテイ</t>
    </rPh>
    <rPh sb="191" eb="193">
      <t>バアイ</t>
    </rPh>
    <rPh sb="201" eb="203">
      <t>キサイ</t>
    </rPh>
    <phoneticPr fontId="1"/>
  </si>
  <si>
    <t>概算払い（１回目）は請求しない</t>
  </si>
  <si>
    <t>←①シートの施設名に入力すると自動入力されます。</t>
    <phoneticPr fontId="1"/>
  </si>
  <si>
    <t>プルダウンメニューから、担当職員を選択してください。
年度の途中で担当の変更があった場合、当該月の担当を上書き修正（プルダウンメニューから選択）してください。
【担当職員について】
なるべく、Ｃ列に記載の職種の職員を選択して下さい（短時間の非常勤の場合は、複数者を選択してください）。
なお、補助基準額に達しない場合、他職種の方でも構いませんが、複数の職種の方の混在はできません。</t>
    <rPh sb="12" eb="14">
      <t>タントウ</t>
    </rPh>
    <rPh sb="14" eb="16">
      <t>ショクイン</t>
    </rPh>
    <rPh sb="17" eb="19">
      <t>センタク</t>
    </rPh>
    <rPh sb="27" eb="29">
      <t>ネンド</t>
    </rPh>
    <rPh sb="30" eb="32">
      <t>トチュウ</t>
    </rPh>
    <rPh sb="33" eb="35">
      <t>タントウ</t>
    </rPh>
    <rPh sb="36" eb="38">
      <t>ヘンコウ</t>
    </rPh>
    <rPh sb="42" eb="44">
      <t>バアイ</t>
    </rPh>
    <rPh sb="45" eb="47">
      <t>トウガイ</t>
    </rPh>
    <rPh sb="47" eb="48">
      <t>ツキ</t>
    </rPh>
    <rPh sb="49" eb="51">
      <t>タントウ</t>
    </rPh>
    <rPh sb="52" eb="54">
      <t>ウワガ</t>
    </rPh>
    <rPh sb="55" eb="57">
      <t>シュウセイ</t>
    </rPh>
    <rPh sb="69" eb="71">
      <t>センタク</t>
    </rPh>
    <rPh sb="81" eb="83">
      <t>タントウ</t>
    </rPh>
    <rPh sb="83" eb="85">
      <t>ショクイン</t>
    </rPh>
    <rPh sb="97" eb="98">
      <t>レツ</t>
    </rPh>
    <rPh sb="99" eb="101">
      <t>キサイ</t>
    </rPh>
    <rPh sb="102" eb="104">
      <t>ショクシュ</t>
    </rPh>
    <rPh sb="105" eb="107">
      <t>ショクイン</t>
    </rPh>
    <rPh sb="108" eb="110">
      <t>センタク</t>
    </rPh>
    <rPh sb="112" eb="113">
      <t>クダ</t>
    </rPh>
    <rPh sb="116" eb="119">
      <t>タンジカン</t>
    </rPh>
    <rPh sb="120" eb="123">
      <t>ヒジョウキン</t>
    </rPh>
    <rPh sb="124" eb="126">
      <t>バアイ</t>
    </rPh>
    <rPh sb="128" eb="130">
      <t>フクスウ</t>
    </rPh>
    <rPh sb="130" eb="131">
      <t>モノ</t>
    </rPh>
    <rPh sb="132" eb="134">
      <t>センタク</t>
    </rPh>
    <rPh sb="146" eb="148">
      <t>ホジョ</t>
    </rPh>
    <rPh sb="148" eb="150">
      <t>キジュン</t>
    </rPh>
    <rPh sb="150" eb="151">
      <t>ガク</t>
    </rPh>
    <rPh sb="152" eb="153">
      <t>タッ</t>
    </rPh>
    <rPh sb="156" eb="158">
      <t>バアイ</t>
    </rPh>
    <rPh sb="159" eb="160">
      <t>ホカ</t>
    </rPh>
    <rPh sb="160" eb="162">
      <t>ショクシュ</t>
    </rPh>
    <rPh sb="163" eb="164">
      <t>カタ</t>
    </rPh>
    <rPh sb="166" eb="167">
      <t>カマ</t>
    </rPh>
    <rPh sb="173" eb="175">
      <t>フクスウ</t>
    </rPh>
    <rPh sb="176" eb="178">
      <t>ショクシュ</t>
    </rPh>
    <rPh sb="179" eb="180">
      <t>カタ</t>
    </rPh>
    <rPh sb="181" eb="183">
      <t>コンザイ</t>
    </rPh>
    <phoneticPr fontId="1"/>
  </si>
  <si>
    <t>プルダウンメニューから、担当職員を選択してください。
年度の途中で担当の変更があった場合、当該月の担当を上書き修正（プルダウンメニューから選択）してください。
【担当職員について】
なるべく、Ｃ列に記載の職種の職員を選択して下さい（短時間の非常勤の場合は、複数者を選択してください）。
なお、補助基準額に達しない場合、他職種の方でも構いませんが、複数の職種の方の混在はできません。</t>
    <phoneticPr fontId="1"/>
  </si>
  <si>
    <t>プルダウンメニューから、担当職員を選択してください。
年度の途中で担当の変更があった場合、当該月の担当を上書き修正（プルダウンメニューから選択）してください。
【担当職員について】
なるべく、Ｄ列に記載の職種の職員を選択して下さい（短時間の非常勤の場合は、複数者を選択してください）。
なお、補助基準額に達しない場合、他職種の方でも構いませんが、複数の職種の方の混在はできません。</t>
    <phoneticPr fontId="1"/>
  </si>
  <si>
    <t>L20セル</t>
    <phoneticPr fontId="1"/>
  </si>
  <si>
    <t>16~18行目の注意事項を確認し、概算払いを請求する場合は「了承の上、概算払い（１回目）を請求する」を選択してください。</t>
    <rPh sb="5" eb="7">
      <t>ギョウメ</t>
    </rPh>
    <rPh sb="8" eb="10">
      <t>チュウイ</t>
    </rPh>
    <rPh sb="10" eb="12">
      <t>ジコウ</t>
    </rPh>
    <rPh sb="13" eb="15">
      <t>カクニン</t>
    </rPh>
    <rPh sb="17" eb="19">
      <t>ガイサン</t>
    </rPh>
    <rPh sb="19" eb="20">
      <t>バラ</t>
    </rPh>
    <rPh sb="22" eb="24">
      <t>セイキュウ</t>
    </rPh>
    <rPh sb="26" eb="28">
      <t>バアイ</t>
    </rPh>
    <rPh sb="51" eb="53">
      <t>センタク</t>
    </rPh>
    <phoneticPr fontId="1"/>
  </si>
  <si>
    <t>了承の上、概算払い（１回目）を請求する</t>
  </si>
  <si>
    <t>若菜　俊明</t>
  </si>
  <si>
    <t>【選択】基本加算１</t>
    <rPh sb="1" eb="3">
      <t>センタク</t>
    </rPh>
    <rPh sb="4" eb="6">
      <t>キホン</t>
    </rPh>
    <rPh sb="6" eb="8">
      <t>カサン</t>
    </rPh>
    <phoneticPr fontId="1"/>
  </si>
  <si>
    <t>概算払いを希望する場合は、「①基本情報」シート【概算払いについて（注意事項）】を確認し、同シートの「Ｌ２０セル」で「概算払いを請求する」を選択してください。</t>
    <rPh sb="0" eb="2">
      <t>ガイサン</t>
    </rPh>
    <rPh sb="2" eb="3">
      <t>バラ</t>
    </rPh>
    <rPh sb="5" eb="7">
      <t>キボウ</t>
    </rPh>
    <rPh sb="9" eb="11">
      <t>バアイ</t>
    </rPh>
    <rPh sb="15" eb="17">
      <t>キホン</t>
    </rPh>
    <rPh sb="17" eb="19">
      <t>ジョウホウ</t>
    </rPh>
    <rPh sb="40" eb="42">
      <t>カクニン</t>
    </rPh>
    <rPh sb="44" eb="45">
      <t>ドウ</t>
    </rPh>
    <rPh sb="58" eb="60">
      <t>ガイサン</t>
    </rPh>
    <rPh sb="60" eb="61">
      <t>バラ</t>
    </rPh>
    <rPh sb="63" eb="65">
      <t>セイキュウ</t>
    </rPh>
    <rPh sb="69" eb="71">
      <t>センタク</t>
    </rPh>
    <phoneticPr fontId="1"/>
  </si>
  <si>
    <t>【人数】特定加算１</t>
    <rPh sb="1" eb="3">
      <t>ニンズウ</t>
    </rPh>
    <rPh sb="4" eb="6">
      <t>トクテイ</t>
    </rPh>
    <rPh sb="6" eb="8">
      <t>カサン</t>
    </rPh>
    <phoneticPr fontId="1"/>
  </si>
  <si>
    <t>【人数】特定加算２</t>
    <rPh sb="1" eb="3">
      <t>ニンズウ</t>
    </rPh>
    <rPh sb="4" eb="6">
      <t>トクテイ</t>
    </rPh>
    <rPh sb="6" eb="8">
      <t>カサン</t>
    </rPh>
    <phoneticPr fontId="1"/>
  </si>
  <si>
    <t>青松　武志</t>
  </si>
  <si>
    <t>松波アーク保育園</t>
  </si>
  <si>
    <t>つぼみ保育園</t>
  </si>
  <si>
    <t>キッズラボ誉田保育園</t>
  </si>
  <si>
    <t>絵本と太陽の保育園　てぃだまちキッズ検見川浜</t>
  </si>
  <si>
    <t>オンジュ ソリール保育園　海浜幕張園</t>
  </si>
  <si>
    <t>京進のほいくえんＨＯＰＰＡ幕張ベイタウン</t>
  </si>
  <si>
    <t>美波保育園</t>
  </si>
  <si>
    <t>みらいつむぎ保育園美浜</t>
  </si>
  <si>
    <t>ポピンズナーサリースクール千葉みなと</t>
  </si>
  <si>
    <t>ポピンズナーサリースクールみなと公園</t>
  </si>
  <si>
    <t>そがチャイルドハウス保育園</t>
  </si>
  <si>
    <t>園名を選択してください。</t>
    <rPh sb="0" eb="2">
      <t>エンメイ</t>
    </rPh>
    <rPh sb="3" eb="5">
      <t>センタク</t>
    </rPh>
    <phoneticPr fontId="1"/>
  </si>
  <si>
    <t>R</t>
    <phoneticPr fontId="29"/>
  </si>
  <si>
    <t xml:space="preserve">  千葉市施設型給付対象施設保育士等配置基準改善事業</t>
    <rPh sb="5" eb="7">
      <t>シセツ</t>
    </rPh>
    <rPh sb="10" eb="12">
      <t>タイショウ</t>
    </rPh>
    <phoneticPr fontId="29"/>
  </si>
  <si>
    <t xml:space="preserve">  補助金分割払い請求書（第２期分）</t>
    <rPh sb="2" eb="5">
      <t>ホジョキン</t>
    </rPh>
    <rPh sb="5" eb="7">
      <t>ブンカツ</t>
    </rPh>
    <rPh sb="7" eb="8">
      <t>ハラ</t>
    </rPh>
    <rPh sb="9" eb="12">
      <t>セイキュウショ</t>
    </rPh>
    <rPh sb="13" eb="14">
      <t>ダイ</t>
    </rPh>
    <rPh sb="15" eb="16">
      <t>キ</t>
    </rPh>
    <rPh sb="16" eb="17">
      <t>ブン</t>
    </rPh>
    <phoneticPr fontId="29"/>
  </si>
  <si>
    <t>千 葉 市 長　様</t>
    <rPh sb="0" eb="1">
      <t>セン</t>
    </rPh>
    <rPh sb="2" eb="3">
      <t>ハ</t>
    </rPh>
    <rPh sb="4" eb="5">
      <t>シ</t>
    </rPh>
    <rPh sb="6" eb="7">
      <t>チョウ</t>
    </rPh>
    <rPh sb="8" eb="9">
      <t>サマ</t>
    </rPh>
    <phoneticPr fontId="6"/>
  </si>
  <si>
    <t>住所</t>
    <rPh sb="0" eb="2">
      <t>ジュウショ</t>
    </rPh>
    <phoneticPr fontId="29"/>
  </si>
  <si>
    <t>法人名</t>
    <rPh sb="0" eb="2">
      <t>ホウジン</t>
    </rPh>
    <rPh sb="2" eb="3">
      <t>メイ</t>
    </rPh>
    <phoneticPr fontId="29"/>
  </si>
  <si>
    <t>代表者職氏名</t>
    <rPh sb="0" eb="3">
      <t>ダイヒョウシャ</t>
    </rPh>
    <rPh sb="3" eb="4">
      <t>ショク</t>
    </rPh>
    <rPh sb="4" eb="5">
      <t>シ</t>
    </rPh>
    <rPh sb="5" eb="6">
      <t>メイ</t>
    </rPh>
    <phoneticPr fontId="29"/>
  </si>
  <si>
    <t>（施設名）</t>
    <rPh sb="1" eb="3">
      <t>シセツ</t>
    </rPh>
    <rPh sb="3" eb="4">
      <t>メイ</t>
    </rPh>
    <rPh sb="4" eb="5">
      <t>ヤスナ</t>
    </rPh>
    <phoneticPr fontId="29"/>
  </si>
  <si>
    <t>（</t>
    <phoneticPr fontId="29"/>
  </si>
  <si>
    <t>）</t>
    <phoneticPr fontId="29"/>
  </si>
  <si>
    <t>１　請求金額</t>
    <rPh sb="2" eb="4">
      <t>セイキュウ</t>
    </rPh>
    <rPh sb="4" eb="5">
      <t>キン</t>
    </rPh>
    <rPh sb="5" eb="6">
      <t>ガク</t>
    </rPh>
    <phoneticPr fontId="6"/>
  </si>
  <si>
    <t>今回入力した数字を基にした交付決定額</t>
    <rPh sb="0" eb="2">
      <t>コンカイ</t>
    </rPh>
    <rPh sb="2" eb="4">
      <t>ニュウリョク</t>
    </rPh>
    <rPh sb="6" eb="8">
      <t>スウジ</t>
    </rPh>
    <rPh sb="9" eb="10">
      <t>モト</t>
    </rPh>
    <rPh sb="13" eb="15">
      <t>コウフ</t>
    </rPh>
    <rPh sb="15" eb="17">
      <t>ケッテイ</t>
    </rPh>
    <rPh sb="17" eb="18">
      <t>ガク</t>
    </rPh>
    <phoneticPr fontId="29"/>
  </si>
  <si>
    <t xml:space="preserve"> </t>
    <phoneticPr fontId="29"/>
  </si>
  <si>
    <t>オンジュ ソリール保育園　そが駅前園</t>
  </si>
  <si>
    <t>中村　一裕</t>
  </si>
  <si>
    <t>宇野　弘願</t>
  </si>
  <si>
    <t>千葉市美浜区中瀬1-6　エム・ベイポイント幕張５F</t>
  </si>
  <si>
    <t>（福）千葉ベタニヤホーム</t>
  </si>
  <si>
    <t>イングレソ（株）</t>
  </si>
  <si>
    <t>（株）日本保育サービス</t>
  </si>
  <si>
    <t>（株）学研ココファン・ナーサリー</t>
  </si>
  <si>
    <t>スターツケアサービス（株）</t>
  </si>
  <si>
    <t>（株）ニチイ学館</t>
  </si>
  <si>
    <t>ブリック（株）</t>
  </si>
  <si>
    <t>（株）ルーチェ</t>
  </si>
  <si>
    <t>（医）健尚会</t>
  </si>
  <si>
    <t>（福）フィリア</t>
  </si>
  <si>
    <t>（株）テンダーラビングケアサービス</t>
  </si>
  <si>
    <t>（株）ブルーム</t>
  </si>
  <si>
    <t>（株）チャイルドタイム</t>
  </si>
  <si>
    <t>（株）ハッピーナース</t>
  </si>
  <si>
    <t>（株）ハイフライヤーズ</t>
  </si>
  <si>
    <t>（株）TORIコーポレーション</t>
  </si>
  <si>
    <t>（株）キャンディ</t>
  </si>
  <si>
    <t>（株）モード・プランニング・ジャパン</t>
  </si>
  <si>
    <t>（株）在宅支援総合ケアーサービス</t>
  </si>
  <si>
    <t>（株）ディーケーエル</t>
  </si>
  <si>
    <t>（特非）千の葉ミルフィーユ</t>
  </si>
  <si>
    <t>野中　真由美</t>
  </si>
  <si>
    <t>（具体例）</t>
    <rPh sb="1" eb="3">
      <t>グタイ</t>
    </rPh>
    <rPh sb="3" eb="4">
      <t>レイ</t>
    </rPh>
    <phoneticPr fontId="48"/>
  </si>
  <si>
    <t>交付申請額</t>
    <rPh sb="0" eb="2">
      <t>コウフ</t>
    </rPh>
    <rPh sb="2" eb="4">
      <t>シンセイ</t>
    </rPh>
    <rPh sb="4" eb="5">
      <t>ガク</t>
    </rPh>
    <phoneticPr fontId="48"/>
  </si>
  <si>
    <t>交付決定額</t>
    <rPh sb="0" eb="2">
      <t>コウフ</t>
    </rPh>
    <rPh sb="2" eb="4">
      <t>ケッテイ</t>
    </rPh>
    <rPh sb="4" eb="5">
      <t>ガク</t>
    </rPh>
    <phoneticPr fontId="48"/>
  </si>
  <si>
    <t>第１期概算払</t>
    <rPh sb="0" eb="1">
      <t>ダイ</t>
    </rPh>
    <rPh sb="2" eb="3">
      <t>キ</t>
    </rPh>
    <rPh sb="3" eb="5">
      <t>ガイサン</t>
    </rPh>
    <rPh sb="5" eb="6">
      <t>バラ</t>
    </rPh>
    <phoneticPr fontId="48"/>
  </si>
  <si>
    <t>第２期概算払</t>
    <rPh sb="0" eb="1">
      <t>ダイ</t>
    </rPh>
    <rPh sb="2" eb="3">
      <t>キ</t>
    </rPh>
    <rPh sb="3" eb="5">
      <t>ガイサン</t>
    </rPh>
    <rPh sb="5" eb="6">
      <t>バラ</t>
    </rPh>
    <phoneticPr fontId="48"/>
  </si>
  <si>
    <t>１００万円</t>
    <rPh sb="3" eb="5">
      <t>マンエン</t>
    </rPh>
    <phoneticPr fontId="48"/>
  </si>
  <si>
    <t>７５万円</t>
    <rPh sb="2" eb="4">
      <t>マンエン</t>
    </rPh>
    <phoneticPr fontId="48"/>
  </si>
  <si>
    <t>５０万円</t>
    <rPh sb="2" eb="4">
      <t>マンエン</t>
    </rPh>
    <phoneticPr fontId="48"/>
  </si>
  <si>
    <t>２５万円</t>
    <rPh sb="2" eb="4">
      <t>マンエン</t>
    </rPh>
    <phoneticPr fontId="48"/>
  </si>
  <si>
    <t>４月時点における年間の補助見込額</t>
    <rPh sb="1" eb="2">
      <t>ガツ</t>
    </rPh>
    <rPh sb="2" eb="4">
      <t>ジテン</t>
    </rPh>
    <rPh sb="8" eb="10">
      <t>ネンカン</t>
    </rPh>
    <rPh sb="11" eb="13">
      <t>ホジョ</t>
    </rPh>
    <rPh sb="13" eb="15">
      <t>ミコミ</t>
    </rPh>
    <rPh sb="15" eb="16">
      <t>ガク</t>
    </rPh>
    <phoneticPr fontId="48"/>
  </si>
  <si>
    <t>交付申請額の３／４
概算払いに必要な額分のみ交付決定</t>
    <rPh sb="0" eb="2">
      <t>コウフ</t>
    </rPh>
    <rPh sb="2" eb="4">
      <t>シンセイ</t>
    </rPh>
    <rPh sb="4" eb="5">
      <t>ガク</t>
    </rPh>
    <rPh sb="10" eb="12">
      <t>ガイサン</t>
    </rPh>
    <rPh sb="12" eb="13">
      <t>バラ</t>
    </rPh>
    <rPh sb="15" eb="17">
      <t>ヒツヨウ</t>
    </rPh>
    <rPh sb="18" eb="19">
      <t>ガク</t>
    </rPh>
    <rPh sb="19" eb="20">
      <t>ブン</t>
    </rPh>
    <rPh sb="22" eb="24">
      <t>コウフ</t>
    </rPh>
    <rPh sb="24" eb="26">
      <t>ケッテイ</t>
    </rPh>
    <phoneticPr fontId="48"/>
  </si>
  <si>
    <t>交付申請額の２／４</t>
    <rPh sb="0" eb="2">
      <t>コウフ</t>
    </rPh>
    <rPh sb="2" eb="4">
      <t>シンセイ</t>
    </rPh>
    <rPh sb="4" eb="5">
      <t>ガク</t>
    </rPh>
    <phoneticPr fontId="48"/>
  </si>
  <si>
    <t>交付申請額の１／４</t>
    <rPh sb="0" eb="2">
      <t>コウフ</t>
    </rPh>
    <rPh sb="2" eb="4">
      <t>シンセイ</t>
    </rPh>
    <rPh sb="4" eb="5">
      <t>ガク</t>
    </rPh>
    <phoneticPr fontId="48"/>
  </si>
  <si>
    <t>■４月時点と状況が変わらない場合</t>
    <rPh sb="2" eb="3">
      <t>ガツ</t>
    </rPh>
    <rPh sb="3" eb="5">
      <t>ジテン</t>
    </rPh>
    <rPh sb="6" eb="8">
      <t>ジョウキョウ</t>
    </rPh>
    <rPh sb="9" eb="10">
      <t>カ</t>
    </rPh>
    <rPh sb="14" eb="16">
      <t>バアイ</t>
    </rPh>
    <phoneticPr fontId="48"/>
  </si>
  <si>
    <t>４月時点の交付決定額</t>
    <phoneticPr fontId="48"/>
  </si>
  <si>
    <t>＜</t>
    <phoneticPr fontId="48"/>
  </si>
  <si>
    <t>今回入力した数字を
基にした交付決定額</t>
    <phoneticPr fontId="48"/>
  </si>
  <si>
    <t>　→　第２期の分割支払いは問題なし</t>
    <rPh sb="3" eb="4">
      <t>ダイ</t>
    </rPh>
    <rPh sb="5" eb="6">
      <t>キ</t>
    </rPh>
    <rPh sb="7" eb="9">
      <t>ブンカツ</t>
    </rPh>
    <rPh sb="9" eb="11">
      <t>シハラ</t>
    </rPh>
    <rPh sb="13" eb="15">
      <t>モンダイ</t>
    </rPh>
    <phoneticPr fontId="48"/>
  </si>
  <si>
    <t>７５万円</t>
    <phoneticPr fontId="48"/>
  </si>
  <si>
    <t>■４月時点から状況が変わった場合
　（職員数が急遽育休等で減少したなど）</t>
    <rPh sb="2" eb="3">
      <t>ガツ</t>
    </rPh>
    <rPh sb="3" eb="5">
      <t>ジテン</t>
    </rPh>
    <rPh sb="7" eb="9">
      <t>ジョウキョウ</t>
    </rPh>
    <rPh sb="10" eb="11">
      <t>カ</t>
    </rPh>
    <rPh sb="14" eb="16">
      <t>バアイ</t>
    </rPh>
    <rPh sb="19" eb="22">
      <t>ショクインスウ</t>
    </rPh>
    <rPh sb="23" eb="25">
      <t>キュウキョ</t>
    </rPh>
    <rPh sb="25" eb="27">
      <t>イクキュウ</t>
    </rPh>
    <rPh sb="27" eb="28">
      <t>トウ</t>
    </rPh>
    <rPh sb="29" eb="31">
      <t>ゲンショウ</t>
    </rPh>
    <phoneticPr fontId="48"/>
  </si>
  <si>
    <t>＞</t>
    <phoneticPr fontId="48"/>
  </si>
  <si>
    <t>　→　第２期の分割支払いは不可
　　　（戻入となる可能性があるため）</t>
    <rPh sb="3" eb="4">
      <t>ダイ</t>
    </rPh>
    <rPh sb="5" eb="6">
      <t>キ</t>
    </rPh>
    <rPh sb="7" eb="9">
      <t>ブンカツ</t>
    </rPh>
    <rPh sb="9" eb="11">
      <t>シハラ</t>
    </rPh>
    <rPh sb="13" eb="15">
      <t>フカ</t>
    </rPh>
    <rPh sb="20" eb="22">
      <t>レイニュウ</t>
    </rPh>
    <rPh sb="25" eb="28">
      <t>カノウセイ</t>
    </rPh>
    <phoneticPr fontId="48"/>
  </si>
  <si>
    <t>６０万円</t>
    <rPh sb="2" eb="4">
      <t>マンエン</t>
    </rPh>
    <phoneticPr fontId="48"/>
  </si>
  <si>
    <t>４月時点</t>
    <rPh sb="1" eb="2">
      <t>ガツ</t>
    </rPh>
    <rPh sb="2" eb="4">
      <t>ジテン</t>
    </rPh>
    <phoneticPr fontId="48"/>
  </si>
  <si>
    <t>常　： (補助金)園の就業規則で定める常勤時間以上の勤務を行う者</t>
    <rPh sb="0" eb="1">
      <t>ジョウ</t>
    </rPh>
    <rPh sb="5" eb="8">
      <t>ホジョキン</t>
    </rPh>
    <rPh sb="9" eb="10">
      <t>エン</t>
    </rPh>
    <rPh sb="11" eb="13">
      <t>シュウギョウ</t>
    </rPh>
    <rPh sb="13" eb="15">
      <t>キソク</t>
    </rPh>
    <rPh sb="16" eb="17">
      <t>サダ</t>
    </rPh>
    <rPh sb="19" eb="21">
      <t>ジョウキン</t>
    </rPh>
    <rPh sb="21" eb="25">
      <t>ジカンイジョウ</t>
    </rPh>
    <rPh sb="26" eb="28">
      <t>キンム</t>
    </rPh>
    <rPh sb="29" eb="30">
      <t>オコナ</t>
    </rPh>
    <rPh sb="31" eb="32">
      <t>モノ</t>
    </rPh>
    <phoneticPr fontId="6"/>
  </si>
  <si>
    <t>非　： (補助金)園の就業規則で定める常勤時間未満の勤務を行う者</t>
    <rPh sb="0" eb="1">
      <t>ヒ</t>
    </rPh>
    <rPh sb="5" eb="8">
      <t>ホジョキン</t>
    </rPh>
    <rPh sb="9" eb="10">
      <t>エン</t>
    </rPh>
    <rPh sb="11" eb="13">
      <t>シュウギョウ</t>
    </rPh>
    <rPh sb="13" eb="15">
      <t>キソク</t>
    </rPh>
    <rPh sb="16" eb="17">
      <t>サダ</t>
    </rPh>
    <rPh sb="19" eb="21">
      <t>ジョウキン</t>
    </rPh>
    <rPh sb="21" eb="23">
      <t>ジカン</t>
    </rPh>
    <rPh sb="23" eb="25">
      <t>ミマン</t>
    </rPh>
    <rPh sb="26" eb="28">
      <t>キンム</t>
    </rPh>
    <rPh sb="29" eb="30">
      <t>オコナ</t>
    </rPh>
    <rPh sb="31" eb="32">
      <t>モノ</t>
    </rPh>
    <phoneticPr fontId="6"/>
  </si>
  <si>
    <t>学校法人信愛学園　認定こども園のぞみ幼稚園</t>
  </si>
  <si>
    <t>学校法人信愛学園　認定こども園へいわ幼稚園</t>
  </si>
  <si>
    <t>AIAI Child Care(株)</t>
  </si>
  <si>
    <t>委任</t>
    <rPh sb="0" eb="2">
      <t>イニン</t>
    </rPh>
    <phoneticPr fontId="1"/>
  </si>
  <si>
    <t>後藤　麻希</t>
  </si>
  <si>
    <t>並びチェック</t>
    <rPh sb="0" eb="1">
      <t>ナラ</t>
    </rPh>
    <phoneticPr fontId="1"/>
  </si>
  <si>
    <t>④-４月別配置内訳書(2)-(2)-(E)</t>
    <phoneticPr fontId="1"/>
  </si>
  <si>
    <t>④-3月別配置内訳書(2)-(2)-(C)・(D)</t>
    <phoneticPr fontId="1"/>
  </si>
  <si>
    <t>⑤基本加算１</t>
    <phoneticPr fontId="1"/>
  </si>
  <si>
    <t>⑥基本加算２</t>
    <phoneticPr fontId="1"/>
  </si>
  <si>
    <t>⑦基本加算３</t>
    <phoneticPr fontId="1"/>
  </si>
  <si>
    <t>⑧一般加算１</t>
    <phoneticPr fontId="1"/>
  </si>
  <si>
    <t>⑨一般加算２</t>
    <phoneticPr fontId="1"/>
  </si>
  <si>
    <t>⑩特定加算１</t>
    <phoneticPr fontId="1"/>
  </si>
  <si>
    <t>⑪特定加算２</t>
    <phoneticPr fontId="1"/>
  </si>
  <si>
    <t>３歳児配置改善　適用有無
（8月）</t>
    <rPh sb="1" eb="3">
      <t>サイジ</t>
    </rPh>
    <rPh sb="3" eb="5">
      <t>ハイチ</t>
    </rPh>
    <rPh sb="5" eb="7">
      <t>カイゼン</t>
    </rPh>
    <rPh sb="8" eb="10">
      <t>テキヨウ</t>
    </rPh>
    <rPh sb="10" eb="12">
      <t>ウム</t>
    </rPh>
    <rPh sb="15" eb="16">
      <t>ガツ</t>
    </rPh>
    <phoneticPr fontId="0"/>
  </si>
  <si>
    <t>有</t>
  </si>
  <si>
    <t>（様式第４号）</t>
    <rPh sb="3" eb="4">
      <t>ダイ</t>
    </rPh>
    <phoneticPr fontId="6"/>
  </si>
  <si>
    <t>千葉市施設型給付対象施設保育士等配置基準</t>
    <rPh sb="3" eb="6">
      <t>シセツガタ</t>
    </rPh>
    <rPh sb="6" eb="8">
      <t>キュウフ</t>
    </rPh>
    <rPh sb="8" eb="10">
      <t>タイショウ</t>
    </rPh>
    <rPh sb="10" eb="12">
      <t>シセツ</t>
    </rPh>
    <rPh sb="19" eb="20">
      <t>ジュン</t>
    </rPh>
    <phoneticPr fontId="29"/>
  </si>
  <si>
    <t>改善事業補助金変更交付申請書</t>
    <rPh sb="0" eb="2">
      <t>カイゼン</t>
    </rPh>
    <rPh sb="2" eb="4">
      <t>ジギョウ</t>
    </rPh>
    <rPh sb="4" eb="7">
      <t>ホジョキン</t>
    </rPh>
    <rPh sb="7" eb="9">
      <t>ヘンコウ</t>
    </rPh>
    <rPh sb="9" eb="11">
      <t>コウフ</t>
    </rPh>
    <rPh sb="11" eb="13">
      <t>シンセイ</t>
    </rPh>
    <rPh sb="13" eb="14">
      <t>ショ</t>
    </rPh>
    <phoneticPr fontId="29"/>
  </si>
  <si>
    <t>住　　　　　　所</t>
    <rPh sb="0" eb="1">
      <t>ジュウ</t>
    </rPh>
    <rPh sb="7" eb="8">
      <t>ショ</t>
    </rPh>
    <phoneticPr fontId="29"/>
  </si>
  <si>
    <t>法 　  人 　 名</t>
    <rPh sb="0" eb="1">
      <t>ホウ</t>
    </rPh>
    <rPh sb="5" eb="6">
      <t>ニン</t>
    </rPh>
    <rPh sb="9" eb="10">
      <t>メイ</t>
    </rPh>
    <phoneticPr fontId="15"/>
  </si>
  <si>
    <t>代表者職氏名</t>
    <phoneticPr fontId="15"/>
  </si>
  <si>
    <t>(施設名)</t>
    <rPh sb="1" eb="3">
      <t>シセツ</t>
    </rPh>
    <rPh sb="3" eb="4">
      <t>メイ</t>
    </rPh>
    <phoneticPr fontId="15"/>
  </si>
  <si>
    <t>　</t>
    <phoneticPr fontId="29"/>
  </si>
  <si>
    <t>　　１　変更交付申請額</t>
    <rPh sb="4" eb="6">
      <t>ヘンコウ</t>
    </rPh>
    <rPh sb="6" eb="8">
      <t>コウフ</t>
    </rPh>
    <rPh sb="8" eb="10">
      <t>シンセイ</t>
    </rPh>
    <rPh sb="10" eb="11">
      <t>ガク</t>
    </rPh>
    <phoneticPr fontId="6"/>
  </si>
  <si>
    <t>変更後補助金所要額</t>
    <rPh sb="0" eb="2">
      <t>ヘンコウ</t>
    </rPh>
    <rPh sb="2" eb="3">
      <t>ゴ</t>
    </rPh>
    <rPh sb="3" eb="6">
      <t>ホジョキン</t>
    </rPh>
    <rPh sb="6" eb="8">
      <t>ショヨウ</t>
    </rPh>
    <rPh sb="8" eb="9">
      <t>ガク</t>
    </rPh>
    <phoneticPr fontId="29"/>
  </si>
  <si>
    <r>
      <t>既 交</t>
    </r>
    <r>
      <rPr>
        <sz val="11"/>
        <color theme="1"/>
        <rFont val="游ゴシック"/>
        <family val="2"/>
        <charset val="128"/>
        <scheme val="minor"/>
      </rPr>
      <t xml:space="preserve"> </t>
    </r>
    <r>
      <rPr>
        <sz val="11"/>
        <rFont val="ＭＳ 明朝"/>
        <family val="1"/>
        <charset val="128"/>
      </rPr>
      <t>付</t>
    </r>
    <r>
      <rPr>
        <sz val="11"/>
        <color theme="1"/>
        <rFont val="游ゴシック"/>
        <family val="2"/>
        <charset val="128"/>
        <scheme val="minor"/>
      </rPr>
      <t xml:space="preserve"> </t>
    </r>
    <r>
      <rPr>
        <sz val="11"/>
        <rFont val="ＭＳ 明朝"/>
        <family val="1"/>
        <charset val="128"/>
      </rPr>
      <t>決</t>
    </r>
    <r>
      <rPr>
        <sz val="11"/>
        <color theme="1"/>
        <rFont val="游ゴシック"/>
        <family val="2"/>
        <charset val="128"/>
        <scheme val="minor"/>
      </rPr>
      <t xml:space="preserve"> </t>
    </r>
    <r>
      <rPr>
        <sz val="11"/>
        <rFont val="ＭＳ 明朝"/>
        <family val="1"/>
        <charset val="128"/>
      </rPr>
      <t>定</t>
    </r>
    <r>
      <rPr>
        <sz val="11"/>
        <color theme="1"/>
        <rFont val="游ゴシック"/>
        <family val="2"/>
        <charset val="128"/>
        <scheme val="minor"/>
      </rPr>
      <t xml:space="preserve"> </t>
    </r>
    <r>
      <rPr>
        <sz val="11"/>
        <rFont val="ＭＳ 明朝"/>
        <family val="1"/>
        <charset val="128"/>
      </rPr>
      <t>額</t>
    </r>
    <rPh sb="0" eb="1">
      <t>キ</t>
    </rPh>
    <rPh sb="2" eb="3">
      <t>コウ</t>
    </rPh>
    <rPh sb="4" eb="5">
      <t>ヅケ</t>
    </rPh>
    <rPh sb="6" eb="7">
      <t>ケツ</t>
    </rPh>
    <rPh sb="8" eb="9">
      <t>サダム</t>
    </rPh>
    <rPh sb="10" eb="11">
      <t>ガク</t>
    </rPh>
    <phoneticPr fontId="29"/>
  </si>
  <si>
    <t>差 引 所 要 額</t>
    <rPh sb="0" eb="1">
      <t>サ</t>
    </rPh>
    <rPh sb="2" eb="3">
      <t>ヒ</t>
    </rPh>
    <rPh sb="4" eb="5">
      <t>ショ</t>
    </rPh>
    <rPh sb="6" eb="7">
      <t>ヨウ</t>
    </rPh>
    <rPh sb="8" eb="9">
      <t>ガク</t>
    </rPh>
    <phoneticPr fontId="29"/>
  </si>
  <si>
    <t>２　変更理由</t>
    <rPh sb="2" eb="4">
      <t>ヘンコウ</t>
    </rPh>
    <rPh sb="4" eb="6">
      <t>リユウ</t>
    </rPh>
    <phoneticPr fontId="29"/>
  </si>
  <si>
    <t>入所児童数の変動等</t>
    <rPh sb="0" eb="2">
      <t>ニュウショ</t>
    </rPh>
    <rPh sb="2" eb="4">
      <t>ジドウ</t>
    </rPh>
    <rPh sb="4" eb="5">
      <t>スウ</t>
    </rPh>
    <rPh sb="6" eb="8">
      <t>ヘンドウ</t>
    </rPh>
    <rPh sb="8" eb="9">
      <t>トウ</t>
    </rPh>
    <phoneticPr fontId="29"/>
  </si>
  <si>
    <t>３　算出基礎</t>
    <rPh sb="2" eb="4">
      <t>サンシュツ</t>
    </rPh>
    <rPh sb="4" eb="6">
      <t>キソ</t>
    </rPh>
    <phoneticPr fontId="29"/>
  </si>
  <si>
    <t>４　添付書類</t>
    <rPh sb="2" eb="4">
      <t>テンプ</t>
    </rPh>
    <rPh sb="4" eb="6">
      <t>ショルイ</t>
    </rPh>
    <phoneticPr fontId="29"/>
  </si>
  <si>
    <t>１　民間保育施設職員定数及び職員現況調書</t>
    <rPh sb="2" eb="4">
      <t>ミンカン</t>
    </rPh>
    <rPh sb="4" eb="6">
      <t>ホイク</t>
    </rPh>
    <rPh sb="6" eb="8">
      <t>シセツ</t>
    </rPh>
    <rPh sb="8" eb="10">
      <t>ショクイン</t>
    </rPh>
    <rPh sb="10" eb="12">
      <t>テイスウ</t>
    </rPh>
    <rPh sb="12" eb="13">
      <t>オヨ</t>
    </rPh>
    <rPh sb="14" eb="16">
      <t>ショクイン</t>
    </rPh>
    <rPh sb="16" eb="18">
      <t>ゲンキョウ</t>
    </rPh>
    <rPh sb="18" eb="20">
      <t>チョウショ</t>
    </rPh>
    <phoneticPr fontId="29"/>
  </si>
  <si>
    <t>２　雇用契約内容証明書</t>
    <rPh sb="2" eb="4">
      <t>コヨウ</t>
    </rPh>
    <rPh sb="4" eb="6">
      <t>ケイヤク</t>
    </rPh>
    <rPh sb="6" eb="8">
      <t>ナイヨウ</t>
    </rPh>
    <rPh sb="8" eb="11">
      <t>ショウメイショ</t>
    </rPh>
    <phoneticPr fontId="29"/>
  </si>
  <si>
    <t>３　要配慮保育職員配置決定通知書の写し</t>
    <rPh sb="2" eb="3">
      <t>ヨウ</t>
    </rPh>
    <rPh sb="3" eb="5">
      <t>ハイリョ</t>
    </rPh>
    <rPh sb="5" eb="7">
      <t>ホイク</t>
    </rPh>
    <rPh sb="7" eb="9">
      <t>ショクイン</t>
    </rPh>
    <rPh sb="9" eb="11">
      <t>ハイチ</t>
    </rPh>
    <rPh sb="11" eb="13">
      <t>ケッテイ</t>
    </rPh>
    <rPh sb="13" eb="15">
      <t>ツウチ</t>
    </rPh>
    <rPh sb="15" eb="16">
      <t>ショ</t>
    </rPh>
    <rPh sb="17" eb="18">
      <t>ウツ</t>
    </rPh>
    <phoneticPr fontId="29"/>
  </si>
  <si>
    <t>ただし、２、３については該当する施設のみ添付のこと。</t>
    <rPh sb="12" eb="14">
      <t>ガイトウ</t>
    </rPh>
    <rPh sb="16" eb="18">
      <t>シセツ</t>
    </rPh>
    <rPh sb="20" eb="22">
      <t>テンプ</t>
    </rPh>
    <phoneticPr fontId="29"/>
  </si>
  <si>
    <t>（様式第６号）</t>
    <rPh sb="3" eb="4">
      <t>ダイ</t>
    </rPh>
    <phoneticPr fontId="6"/>
  </si>
  <si>
    <t>千葉市施設型給付対象施設保育士等配置基準</t>
    <rPh sb="3" eb="12">
      <t>シセツガタキュウフタイショウシセツ</t>
    </rPh>
    <rPh sb="19" eb="20">
      <t>ジュン</t>
    </rPh>
    <phoneticPr fontId="29"/>
  </si>
  <si>
    <t>改善補助事業実績報告書</t>
    <rPh sb="0" eb="1">
      <t>アラタ</t>
    </rPh>
    <rPh sb="1" eb="2">
      <t>ゼン</t>
    </rPh>
    <rPh sb="2" eb="4">
      <t>ホジョ</t>
    </rPh>
    <rPh sb="4" eb="5">
      <t>コト</t>
    </rPh>
    <rPh sb="5" eb="6">
      <t>ギョウ</t>
    </rPh>
    <rPh sb="6" eb="7">
      <t>ジツ</t>
    </rPh>
    <rPh sb="7" eb="8">
      <t>ツムギ</t>
    </rPh>
    <rPh sb="8" eb="9">
      <t>ホウ</t>
    </rPh>
    <rPh sb="9" eb="10">
      <t>コク</t>
    </rPh>
    <rPh sb="10" eb="11">
      <t>ショ</t>
    </rPh>
    <phoneticPr fontId="29"/>
  </si>
  <si>
    <t>法　   人　  名</t>
    <rPh sb="0" eb="1">
      <t>ホウ</t>
    </rPh>
    <rPh sb="5" eb="6">
      <t>ニン</t>
    </rPh>
    <rPh sb="9" eb="10">
      <t>メイ</t>
    </rPh>
    <phoneticPr fontId="15"/>
  </si>
  <si>
    <t>代表者職氏名</t>
    <rPh sb="0" eb="3">
      <t>ダイヒョウシャ</t>
    </rPh>
    <rPh sb="3" eb="4">
      <t>ショク</t>
    </rPh>
    <rPh sb="4" eb="6">
      <t>シメイ</t>
    </rPh>
    <rPh sb="5" eb="6">
      <t>メイ</t>
    </rPh>
    <phoneticPr fontId="15"/>
  </si>
  <si>
    <t>　令和　　　　年　　　月　　　日付け千葉市指令こ幼運第　 　 　号　　　  により補助金の交付決定のあった千葉市施設型給付対象施設保育士等配置基準改善事業の実績について、千葉市施設型給付対象施設運営事業補助金交付要綱第１０条の規定に基づき、次のとおり報告します。</t>
    <rPh sb="1" eb="3">
      <t>レイワ</t>
    </rPh>
    <phoneticPr fontId="1"/>
  </si>
  <si>
    <t>補助金の既交付額</t>
    <rPh sb="0" eb="3">
      <t>ホジョキン</t>
    </rPh>
    <rPh sb="4" eb="5">
      <t>キ</t>
    </rPh>
    <rPh sb="5" eb="7">
      <t>コウフ</t>
    </rPh>
    <rPh sb="7" eb="8">
      <t>ガク</t>
    </rPh>
    <phoneticPr fontId="29"/>
  </si>
  <si>
    <t>補  助  事  業   の  経  費  精  算  額</t>
    <rPh sb="0" eb="1">
      <t>タスク</t>
    </rPh>
    <rPh sb="3" eb="4">
      <t>スケ</t>
    </rPh>
    <rPh sb="6" eb="7">
      <t>コト</t>
    </rPh>
    <rPh sb="9" eb="10">
      <t>ギョウ</t>
    </rPh>
    <rPh sb="16" eb="17">
      <t>キョウ</t>
    </rPh>
    <rPh sb="19" eb="20">
      <t>ヒ</t>
    </rPh>
    <rPh sb="22" eb="23">
      <t>セイ</t>
    </rPh>
    <rPh sb="25" eb="26">
      <t>ザン</t>
    </rPh>
    <rPh sb="28" eb="29">
      <t>ガク</t>
    </rPh>
    <phoneticPr fontId="29"/>
  </si>
  <si>
    <t>合計</t>
    <rPh sb="0" eb="2">
      <t>ゴウケイ</t>
    </rPh>
    <phoneticPr fontId="1"/>
  </si>
  <si>
    <t>（様式第８号）</t>
    <rPh sb="3" eb="4">
      <t>ダイ</t>
    </rPh>
    <phoneticPr fontId="6"/>
  </si>
  <si>
    <t>改善事業補助金差額請求書</t>
    <rPh sb="0" eb="1">
      <t>アラタ</t>
    </rPh>
    <rPh sb="1" eb="2">
      <t>ゼン</t>
    </rPh>
    <rPh sb="2" eb="3">
      <t>コト</t>
    </rPh>
    <rPh sb="3" eb="4">
      <t>ギョウ</t>
    </rPh>
    <rPh sb="4" eb="7">
      <t>ホジョキン</t>
    </rPh>
    <rPh sb="7" eb="9">
      <t>サガク</t>
    </rPh>
    <rPh sb="9" eb="12">
      <t>セイキュウショ</t>
    </rPh>
    <phoneticPr fontId="29"/>
  </si>
  <si>
    <t>住　     　　所</t>
    <rPh sb="0" eb="1">
      <t>ジュウ</t>
    </rPh>
    <rPh sb="9" eb="10">
      <t>ショ</t>
    </rPh>
    <phoneticPr fontId="29"/>
  </si>
  <si>
    <t>法    人    名</t>
    <rPh sb="0" eb="1">
      <t>ホウ</t>
    </rPh>
    <rPh sb="5" eb="6">
      <t>ニン</t>
    </rPh>
    <rPh sb="10" eb="11">
      <t>メイ</t>
    </rPh>
    <phoneticPr fontId="15"/>
  </si>
  <si>
    <t>　　１　請求金額</t>
    <rPh sb="4" eb="6">
      <t>セイキュウ</t>
    </rPh>
    <rPh sb="6" eb="7">
      <t>キン</t>
    </rPh>
    <rPh sb="7" eb="8">
      <t>ガク</t>
    </rPh>
    <phoneticPr fontId="6"/>
  </si>
  <si>
    <t>補助金の確定額</t>
    <rPh sb="0" eb="3">
      <t>ホジョキン</t>
    </rPh>
    <rPh sb="4" eb="6">
      <t>カクテイ</t>
    </rPh>
    <rPh sb="6" eb="7">
      <t>ガク</t>
    </rPh>
    <phoneticPr fontId="29"/>
  </si>
  <si>
    <t>今回の交付請求額</t>
    <rPh sb="0" eb="2">
      <t>コンカイ</t>
    </rPh>
    <rPh sb="3" eb="5">
      <t>コウフ</t>
    </rPh>
    <rPh sb="5" eb="7">
      <t>セイキュウ</t>
    </rPh>
    <rPh sb="7" eb="8">
      <t>ガク</t>
    </rPh>
    <phoneticPr fontId="29"/>
  </si>
  <si>
    <t>千葉市施設型給付対象施設保育士等配置基準改善事業補助金</t>
    <rPh sb="20" eb="22">
      <t>カイゼン</t>
    </rPh>
    <rPh sb="22" eb="24">
      <t>ジギョウ</t>
    </rPh>
    <rPh sb="24" eb="27">
      <t>ホジョキン</t>
    </rPh>
    <phoneticPr fontId="1"/>
  </si>
  <si>
    <t>支出金精算書（概算払）</t>
    <phoneticPr fontId="15"/>
  </si>
  <si>
    <t>（あて先）　千葉市長</t>
    <rPh sb="3" eb="4">
      <t>サキ</t>
    </rPh>
    <rPh sb="6" eb="8">
      <t>チバ</t>
    </rPh>
    <rPh sb="8" eb="10">
      <t>シチョウ</t>
    </rPh>
    <phoneticPr fontId="15"/>
  </si>
  <si>
    <t>住　　　　　　　　所</t>
    <rPh sb="0" eb="1">
      <t>ジュウ</t>
    </rPh>
    <rPh sb="9" eb="10">
      <t>ショ</t>
    </rPh>
    <phoneticPr fontId="15"/>
  </si>
  <si>
    <t>（施設(園)名）</t>
    <rPh sb="1" eb="3">
      <t>シセツ</t>
    </rPh>
    <rPh sb="4" eb="5">
      <t>エン</t>
    </rPh>
    <rPh sb="6" eb="7">
      <t>メイ</t>
    </rPh>
    <rPh sb="7" eb="8">
      <t>ヤスナ</t>
    </rPh>
    <phoneticPr fontId="15"/>
  </si>
  <si>
    <t>下記の通り精算します。</t>
    <rPh sb="0" eb="2">
      <t>カキ</t>
    </rPh>
    <rPh sb="3" eb="4">
      <t>トオ</t>
    </rPh>
    <rPh sb="5" eb="7">
      <t>セイサン</t>
    </rPh>
    <phoneticPr fontId="15"/>
  </si>
  <si>
    <t>交付(受領)年月日</t>
    <rPh sb="0" eb="2">
      <t>コウフ</t>
    </rPh>
    <rPh sb="3" eb="5">
      <t>ジュリョウ</t>
    </rPh>
    <rPh sb="6" eb="9">
      <t>ネンガッピ</t>
    </rPh>
    <phoneticPr fontId="1"/>
  </si>
  <si>
    <t>①既交付額</t>
    <rPh sb="1" eb="2">
      <t>キ</t>
    </rPh>
    <rPh sb="2" eb="3">
      <t>コウ</t>
    </rPh>
    <rPh sb="3" eb="4">
      <t>ツキ</t>
    </rPh>
    <rPh sb="4" eb="5">
      <t>ガク</t>
    </rPh>
    <phoneticPr fontId="29"/>
  </si>
  <si>
    <t>②精算額</t>
    <rPh sb="1" eb="2">
      <t>セイ</t>
    </rPh>
    <rPh sb="2" eb="3">
      <t>サン</t>
    </rPh>
    <rPh sb="3" eb="4">
      <t>ガク</t>
    </rPh>
    <phoneticPr fontId="29"/>
  </si>
  <si>
    <r>
      <t xml:space="preserve">③差額（②-①）
</t>
    </r>
    <r>
      <rPr>
        <sz val="10"/>
        <color indexed="8"/>
        <rFont val="ＭＳ Ｐ明朝"/>
        <family val="1"/>
        <charset val="128"/>
      </rPr>
      <t>追給額（マイナスの場合戻入額）</t>
    </r>
    <rPh sb="1" eb="3">
      <t>サガク</t>
    </rPh>
    <rPh sb="9" eb="11">
      <t>ツイキュウ</t>
    </rPh>
    <rPh sb="11" eb="12">
      <t>ガク</t>
    </rPh>
    <rPh sb="18" eb="20">
      <t>バアイ</t>
    </rPh>
    <rPh sb="20" eb="22">
      <t>レイニュウ</t>
    </rPh>
    <rPh sb="22" eb="23">
      <t>ガク</t>
    </rPh>
    <phoneticPr fontId="29"/>
  </si>
  <si>
    <t>基本加算分１</t>
    <rPh sb="0" eb="5">
      <t>キホンカサンブン</t>
    </rPh>
    <phoneticPr fontId="29"/>
  </si>
  <si>
    <t>基本加算分２</t>
    <rPh sb="0" eb="2">
      <t>キホン</t>
    </rPh>
    <rPh sb="2" eb="4">
      <t>カサン</t>
    </rPh>
    <rPh sb="4" eb="5">
      <t>ブン</t>
    </rPh>
    <phoneticPr fontId="29"/>
  </si>
  <si>
    <t>基本加算分３</t>
    <rPh sb="0" eb="5">
      <t>キホンカサンブン</t>
    </rPh>
    <phoneticPr fontId="29"/>
  </si>
  <si>
    <t>一般加算分１</t>
    <rPh sb="0" eb="2">
      <t>イッパン</t>
    </rPh>
    <rPh sb="2" eb="4">
      <t>カサン</t>
    </rPh>
    <rPh sb="4" eb="5">
      <t>ブン</t>
    </rPh>
    <phoneticPr fontId="29"/>
  </si>
  <si>
    <t>一般加算分２</t>
    <rPh sb="0" eb="2">
      <t>イッパン</t>
    </rPh>
    <rPh sb="2" eb="4">
      <t>カサン</t>
    </rPh>
    <rPh sb="4" eb="5">
      <t>ブン</t>
    </rPh>
    <phoneticPr fontId="29"/>
  </si>
  <si>
    <t>特定加算分１</t>
    <rPh sb="0" eb="2">
      <t>トクテイ</t>
    </rPh>
    <rPh sb="2" eb="4">
      <t>カサン</t>
    </rPh>
    <rPh sb="4" eb="5">
      <t>ブン</t>
    </rPh>
    <phoneticPr fontId="29"/>
  </si>
  <si>
    <t>特定加算分２</t>
    <rPh sb="0" eb="2">
      <t>トクテイ</t>
    </rPh>
    <rPh sb="2" eb="4">
      <t>カサン</t>
    </rPh>
    <rPh sb="4" eb="5">
      <t>ブン</t>
    </rPh>
    <phoneticPr fontId="29"/>
  </si>
  <si>
    <t>基本加算分１</t>
    <rPh sb="0" eb="2">
      <t>キホン</t>
    </rPh>
    <rPh sb="2" eb="4">
      <t>カサン</t>
    </rPh>
    <rPh sb="4" eb="5">
      <t>ブン</t>
    </rPh>
    <phoneticPr fontId="29"/>
  </si>
  <si>
    <t>基本加算分３</t>
    <rPh sb="0" eb="2">
      <t>キホン</t>
    </rPh>
    <rPh sb="2" eb="4">
      <t>カサン</t>
    </rPh>
    <rPh sb="4" eb="5">
      <t>ブン</t>
    </rPh>
    <phoneticPr fontId="29"/>
  </si>
  <si>
    <t>一般加算分２</t>
    <rPh sb="0" eb="2">
      <t>イッパン</t>
    </rPh>
    <rPh sb="2" eb="4">
      <t>カサン</t>
    </rPh>
    <rPh sb="4" eb="5">
      <t>ブン</t>
    </rPh>
    <phoneticPr fontId="1"/>
  </si>
  <si>
    <t>特定加算分１</t>
    <rPh sb="0" eb="5">
      <t>トクテイカサンブン</t>
    </rPh>
    <phoneticPr fontId="29"/>
  </si>
  <si>
    <t>特定加算分２</t>
    <rPh sb="0" eb="5">
      <t>トクテイカサンブン</t>
    </rPh>
    <phoneticPr fontId="29"/>
  </si>
  <si>
    <t xml:space="preserve">
職　種</t>
    <rPh sb="2" eb="5">
      <t>ショクシュ</t>
    </rPh>
    <phoneticPr fontId="6"/>
  </si>
  <si>
    <t xml:space="preserve">
勤務形態</t>
    <rPh sb="2" eb="4">
      <t>キンム</t>
    </rPh>
    <rPh sb="4" eb="6">
      <t>ケイタイ</t>
    </rPh>
    <phoneticPr fontId="6"/>
  </si>
  <si>
    <t xml:space="preserve">
氏名</t>
    <rPh sb="2" eb="4">
      <t>シメイ</t>
    </rPh>
    <phoneticPr fontId="6"/>
  </si>
  <si>
    <r>
      <t xml:space="preserve">要件緩和適用開始日
</t>
    </r>
    <r>
      <rPr>
        <b/>
        <sz val="9"/>
        <color rgb="FFFF0000"/>
        <rFont val="ＭＳ Ｐゴシック"/>
        <family val="3"/>
        <charset val="128"/>
      </rPr>
      <t>（職種が「要件緩和」の場合は入力必須）</t>
    </r>
    <rPh sb="0" eb="2">
      <t>ヨウケン</t>
    </rPh>
    <rPh sb="2" eb="4">
      <t>カンワ</t>
    </rPh>
    <rPh sb="4" eb="6">
      <t>テキヨウ</t>
    </rPh>
    <rPh sb="6" eb="8">
      <t>カイシ</t>
    </rPh>
    <rPh sb="8" eb="9">
      <t>ビ</t>
    </rPh>
    <rPh sb="11" eb="13">
      <t>ショクシュ</t>
    </rPh>
    <rPh sb="15" eb="17">
      <t>ヨウケン</t>
    </rPh>
    <rPh sb="17" eb="19">
      <t>カンワ</t>
    </rPh>
    <rPh sb="21" eb="23">
      <t>バアイ</t>
    </rPh>
    <rPh sb="24" eb="26">
      <t>ニュウリョク</t>
    </rPh>
    <rPh sb="26" eb="28">
      <t>ヒッス</t>
    </rPh>
    <phoneticPr fontId="1"/>
  </si>
  <si>
    <r>
      <t xml:space="preserve">備考
</t>
    </r>
    <r>
      <rPr>
        <b/>
        <sz val="9"/>
        <color rgb="FFFF0000"/>
        <rFont val="ＭＳ Ｐゴシック"/>
        <family val="3"/>
        <charset val="128"/>
      </rPr>
      <t>（職種が「その他」の場合は入力必須）</t>
    </r>
    <rPh sb="0" eb="2">
      <t>ビコウ</t>
    </rPh>
    <rPh sb="10" eb="11">
      <t>タ</t>
    </rPh>
    <phoneticPr fontId="6"/>
  </si>
  <si>
    <t>その他の資格</t>
    <rPh sb="2" eb="3">
      <t>タ</t>
    </rPh>
    <rPh sb="4" eb="6">
      <t>シカク</t>
    </rPh>
    <phoneticPr fontId="6"/>
  </si>
  <si>
    <t>高齢者等活躍促進加算の該当者数</t>
    <rPh sb="0" eb="4">
      <t>コウレイシャナド</t>
    </rPh>
    <rPh sb="4" eb="6">
      <t>カツヤク</t>
    </rPh>
    <rPh sb="6" eb="8">
      <t>ソクシン</t>
    </rPh>
    <rPh sb="8" eb="10">
      <t>カサン</t>
    </rPh>
    <rPh sb="11" eb="13">
      <t>ガイトウ</t>
    </rPh>
    <rPh sb="13" eb="14">
      <t>シャ</t>
    </rPh>
    <rPh sb="14" eb="15">
      <t>スウ</t>
    </rPh>
    <phoneticPr fontId="1"/>
  </si>
  <si>
    <t>各職員が有する資格について、「有」を選択してください。
※一番左の欄の「職種」に関連する資格以外の資格については、Ｅｘｃｅｌの便宜上入力不要です。
例）職種が「保育士」の場合、「看護師」資格を有していても、この欄への記載は不要です。</t>
    <rPh sb="0" eb="3">
      <t>カクショクイン</t>
    </rPh>
    <rPh sb="4" eb="5">
      <t>ユウ</t>
    </rPh>
    <rPh sb="7" eb="9">
      <t>シカク</t>
    </rPh>
    <rPh sb="15" eb="16">
      <t>アリ</t>
    </rPh>
    <rPh sb="18" eb="20">
      <t>センタク</t>
    </rPh>
    <phoneticPr fontId="1"/>
  </si>
  <si>
    <t>別紙　千葉市施設型給付対象施設保育士等配置基準改善費算出内訳書</t>
    <rPh sb="0" eb="2">
      <t>ベッシ</t>
    </rPh>
    <rPh sb="3" eb="6">
      <t>チバシ</t>
    </rPh>
    <rPh sb="6" eb="9">
      <t>シセツガタ</t>
    </rPh>
    <rPh sb="9" eb="11">
      <t>キュウフ</t>
    </rPh>
    <rPh sb="11" eb="13">
      <t>タイショウ</t>
    </rPh>
    <rPh sb="13" eb="15">
      <t>シセツ</t>
    </rPh>
    <rPh sb="15" eb="18">
      <t>ホイクシ</t>
    </rPh>
    <rPh sb="18" eb="19">
      <t>トウ</t>
    </rPh>
    <rPh sb="19" eb="21">
      <t>ハイチ</t>
    </rPh>
    <rPh sb="21" eb="23">
      <t>キジュン</t>
    </rPh>
    <rPh sb="23" eb="25">
      <t>カイゼン</t>
    </rPh>
    <rPh sb="25" eb="26">
      <t>ヒ</t>
    </rPh>
    <rPh sb="26" eb="28">
      <t>サンシュツ</t>
    </rPh>
    <rPh sb="28" eb="31">
      <t>ウチワケショ</t>
    </rPh>
    <phoneticPr fontId="29"/>
  </si>
  <si>
    <t>千葉誉田雲母保育園</t>
  </si>
  <si>
    <t>高齢者等活躍促進加算</t>
    <rPh sb="0" eb="4">
      <t>コウレイシャナド</t>
    </rPh>
    <rPh sb="4" eb="6">
      <t>カツヤク</t>
    </rPh>
    <rPh sb="6" eb="8">
      <t>ソクシン</t>
    </rPh>
    <rPh sb="8" eb="10">
      <t>カサン</t>
    </rPh>
    <phoneticPr fontId="1"/>
  </si>
  <si>
    <t>AIAI NURSERY　あすみが丘</t>
    <rPh sb="17" eb="18">
      <t>オカ</t>
    </rPh>
    <phoneticPr fontId="4"/>
  </si>
  <si>
    <t>AIAI NURSERY　土気</t>
    <rPh sb="13" eb="15">
      <t>トケ</t>
    </rPh>
    <phoneticPr fontId="5"/>
  </si>
  <si>
    <t>AIAI NURSERY　幕張</t>
    <rPh sb="13" eb="15">
      <t>マクハリ</t>
    </rPh>
    <phoneticPr fontId="5"/>
  </si>
  <si>
    <t>Gakkenほいくえん 稲毛東</t>
    <rPh sb="12" eb="14">
      <t>イナゲ</t>
    </rPh>
    <rPh sb="14" eb="15">
      <t>ヒガシ</t>
    </rPh>
    <phoneticPr fontId="2"/>
  </si>
  <si>
    <t>Gakkenほいくえん おゆみ野</t>
    <rPh sb="15" eb="16">
      <t>ノ</t>
    </rPh>
    <phoneticPr fontId="5"/>
  </si>
  <si>
    <t>AIAI NURSERY　幕張</t>
    <phoneticPr fontId="1"/>
  </si>
  <si>
    <t>AIAI NURSERY　土気</t>
    <phoneticPr fontId="1"/>
  </si>
  <si>
    <t>AIAI NURSERY　あすみが丘</t>
    <phoneticPr fontId="1"/>
  </si>
  <si>
    <t>調理員等</t>
    <rPh sb="0" eb="2">
      <t>チョウリ</t>
    </rPh>
    <rPh sb="2" eb="3">
      <t>イン</t>
    </rPh>
    <rPh sb="3" eb="4">
      <t>トウ</t>
    </rPh>
    <phoneticPr fontId="48"/>
  </si>
  <si>
    <t>事務員等</t>
    <rPh sb="0" eb="3">
      <t>ジムイン</t>
    </rPh>
    <rPh sb="3" eb="4">
      <t>トウ</t>
    </rPh>
    <phoneticPr fontId="48"/>
  </si>
  <si>
    <t>加算内容</t>
    <rPh sb="0" eb="2">
      <t>カサン</t>
    </rPh>
    <rPh sb="2" eb="4">
      <t>ナイヨウ</t>
    </rPh>
    <phoneticPr fontId="48"/>
  </si>
  <si>
    <t>合計</t>
    <rPh sb="0" eb="2">
      <t>ゴウケイ</t>
    </rPh>
    <phoneticPr fontId="48"/>
  </si>
  <si>
    <t>判定</t>
    <rPh sb="0" eb="2">
      <t>ハンテイ</t>
    </rPh>
    <phoneticPr fontId="48"/>
  </si>
  <si>
    <t>○</t>
    <phoneticPr fontId="48"/>
  </si>
  <si>
    <t>保育士</t>
    <rPh sb="0" eb="3">
      <t>ホイクシ</t>
    </rPh>
    <phoneticPr fontId="48"/>
  </si>
  <si>
    <t>要件緩和</t>
    <rPh sb="0" eb="2">
      <t>ヨウケン</t>
    </rPh>
    <rPh sb="2" eb="4">
      <t>カンワ</t>
    </rPh>
    <phoneticPr fontId="48"/>
  </si>
  <si>
    <t>看護師</t>
    <rPh sb="0" eb="3">
      <t>カンゴシ</t>
    </rPh>
    <phoneticPr fontId="48"/>
  </si>
  <si>
    <t>定数</t>
    <rPh sb="0" eb="2">
      <t>テイスウ</t>
    </rPh>
    <phoneticPr fontId="48"/>
  </si>
  <si>
    <t>配置</t>
    <rPh sb="0" eb="2">
      <t>ハイチ</t>
    </rPh>
    <phoneticPr fontId="48"/>
  </si>
  <si>
    <t>加配</t>
    <rPh sb="0" eb="2">
      <t>カハイ</t>
    </rPh>
    <phoneticPr fontId="48"/>
  </si>
  <si>
    <t>基本１</t>
    <rPh sb="0" eb="2">
      <t>キホン</t>
    </rPh>
    <phoneticPr fontId="48"/>
  </si>
  <si>
    <t>基本２</t>
    <rPh sb="0" eb="2">
      <t>キホン</t>
    </rPh>
    <phoneticPr fontId="48"/>
  </si>
  <si>
    <t>基本３</t>
    <rPh sb="0" eb="2">
      <t>キホン</t>
    </rPh>
    <phoneticPr fontId="48"/>
  </si>
  <si>
    <t>一般１</t>
    <rPh sb="0" eb="2">
      <t>イッパン</t>
    </rPh>
    <phoneticPr fontId="48"/>
  </si>
  <si>
    <t>一般２</t>
    <rPh sb="0" eb="2">
      <t>イッパン</t>
    </rPh>
    <phoneticPr fontId="48"/>
  </si>
  <si>
    <t>特定２</t>
    <rPh sb="0" eb="2">
      <t>トクテイ</t>
    </rPh>
    <phoneticPr fontId="48"/>
  </si>
  <si>
    <t>４月</t>
  </si>
  <si>
    <t>５月</t>
    <rPh sb="1" eb="2">
      <t>ガツ</t>
    </rPh>
    <phoneticPr fontId="48"/>
  </si>
  <si>
    <t>６月</t>
  </si>
  <si>
    <t>７月</t>
  </si>
  <si>
    <t>８月</t>
  </si>
  <si>
    <t>９月</t>
  </si>
  <si>
    <t>１０月</t>
  </si>
  <si>
    <t>１１月</t>
  </si>
  <si>
    <t>１２月</t>
  </si>
  <si>
    <t>１月</t>
  </si>
  <si>
    <t>２月</t>
  </si>
  <si>
    <t>３月</t>
  </si>
  <si>
    <t>助成第１班　渋谷・平手</t>
    <rPh sb="9" eb="11">
      <t>ヒラテ</t>
    </rPh>
    <phoneticPr fontId="1"/>
  </si>
  <si>
    <t>坂井　徹</t>
  </si>
  <si>
    <t>東京都千代田区神田駿河台4-6 御茶ノ水ソラシティ</t>
  </si>
  <si>
    <t>浦安市富士見１－１１－１７</t>
  </si>
  <si>
    <t>井上　洋</t>
  </si>
  <si>
    <t>千葉市緑区おゆみ野南３－３０　サンクレイドルおゆみ野SW１</t>
  </si>
  <si>
    <t>千葉市美浜区中瀬１－７－１</t>
  </si>
  <si>
    <t>千葉県市川市市川１－３－２　グランクルーアサミ１F</t>
  </si>
  <si>
    <t>千葉県習志野市津田沼５丁目３－２５</t>
  </si>
  <si>
    <t>千葉市中央区南町３－１２－１</t>
  </si>
  <si>
    <t>ChaCha Children Makuhari</t>
  </si>
  <si>
    <t>Gakkenほいくえん 稲毛</t>
  </si>
  <si>
    <t>そがチャイルドハウス保育園</t>
    <rPh sb="10" eb="13">
      <t>ホイクエン</t>
    </rPh>
    <phoneticPr fontId="4"/>
  </si>
  <si>
    <t>オンジュ ソリール保育園　そが駅前園</t>
    <rPh sb="9" eb="12">
      <t>ホイクエン</t>
    </rPh>
    <rPh sb="15" eb="16">
      <t>エキ</t>
    </rPh>
    <rPh sb="16" eb="17">
      <t>マエ</t>
    </rPh>
    <rPh sb="17" eb="18">
      <t>エン</t>
    </rPh>
    <phoneticPr fontId="0"/>
  </si>
  <si>
    <t>絵本と太陽の保育園　てぃだまちキッズ検見川浜</t>
    <rPh sb="0" eb="2">
      <t>エホン</t>
    </rPh>
    <rPh sb="3" eb="5">
      <t>タイヨウ</t>
    </rPh>
    <rPh sb="6" eb="9">
      <t>ホイクエン</t>
    </rPh>
    <rPh sb="18" eb="22">
      <t>ケミガワハマ</t>
    </rPh>
    <phoneticPr fontId="0"/>
  </si>
  <si>
    <t>（株）エルダーテイメント・ジャパン</t>
  </si>
  <si>
    <t>美波保育園</t>
    <rPh sb="0" eb="2">
      <t>ミナミ</t>
    </rPh>
    <rPh sb="2" eb="5">
      <t>ホイクエン</t>
    </rPh>
    <phoneticPr fontId="0"/>
  </si>
  <si>
    <t>みらいつむぎ保育園美浜</t>
    <rPh sb="6" eb="9">
      <t>ホイクエン</t>
    </rPh>
    <rPh sb="9" eb="11">
      <t>ミハマ</t>
    </rPh>
    <phoneticPr fontId="0"/>
  </si>
  <si>
    <t>オーチャード・キッズ稲毛海岸保育園第二</t>
    <rPh sb="10" eb="14">
      <t>イナゲカイガン</t>
    </rPh>
    <rPh sb="14" eb="16">
      <t>ホイク</t>
    </rPh>
    <rPh sb="16" eb="17">
      <t>エン</t>
    </rPh>
    <rPh sb="17" eb="18">
      <t>ダイ</t>
    </rPh>
    <rPh sb="18" eb="19">
      <t>ニ</t>
    </rPh>
    <phoneticPr fontId="4"/>
  </si>
  <si>
    <t>（株）オーチャード・ルーム</t>
  </si>
  <si>
    <t>サフォークキッズ保育園</t>
    <rPh sb="8" eb="11">
      <t>ホイクエン</t>
    </rPh>
    <phoneticPr fontId="4"/>
  </si>
  <si>
    <t>みらくる保育園</t>
    <rPh sb="4" eb="7">
      <t>ホイクエン</t>
    </rPh>
    <phoneticPr fontId="4"/>
  </si>
  <si>
    <t>ナーサリーホーム稲毛海岸</t>
    <rPh sb="8" eb="12">
      <t>イナゲカイガン</t>
    </rPh>
    <phoneticPr fontId="4"/>
  </si>
  <si>
    <t>アップルナースリー検見川浜保育園</t>
  </si>
  <si>
    <t>Gakkenほいくえん 稲毛東</t>
  </si>
  <si>
    <t>オーチャード・キッズ稲毛海岸保育園第二</t>
  </si>
  <si>
    <t>ナーサリーホーム稲毛海岸</t>
  </si>
  <si>
    <r>
      <t>・「正」、「-」と表記のセルは操作する必要はありません。
・「実績を入力」と記載されているセルについて、各月の勤務実績時間を記載してください。
・勤務実績時間は、</t>
    </r>
    <r>
      <rPr>
        <b/>
        <u/>
        <sz val="12"/>
        <color theme="1"/>
        <rFont val="游ゴシック"/>
        <family val="3"/>
        <charset val="128"/>
        <scheme val="minor"/>
      </rPr>
      <t>延長保育事業に係る勤務時間を除いた時間数</t>
    </r>
    <r>
      <rPr>
        <sz val="12"/>
        <color theme="1"/>
        <rFont val="游ゴシック"/>
        <family val="3"/>
        <charset val="128"/>
        <scheme val="minor"/>
      </rPr>
      <t>となります。</t>
    </r>
    <rPh sb="2" eb="3">
      <t>セイ</t>
    </rPh>
    <rPh sb="9" eb="11">
      <t>ヒョウキ</t>
    </rPh>
    <rPh sb="15" eb="17">
      <t>ソウサ</t>
    </rPh>
    <rPh sb="19" eb="21">
      <t>ヒツヨウ</t>
    </rPh>
    <rPh sb="31" eb="33">
      <t>ジッセキ</t>
    </rPh>
    <rPh sb="38" eb="40">
      <t>キサイ</t>
    </rPh>
    <rPh sb="52" eb="54">
      <t>カクツキ</t>
    </rPh>
    <rPh sb="55" eb="57">
      <t>キンム</t>
    </rPh>
    <rPh sb="57" eb="59">
      <t>ジッセキ</t>
    </rPh>
    <rPh sb="59" eb="61">
      <t>ジカン</t>
    </rPh>
    <rPh sb="62" eb="64">
      <t>キサイ</t>
    </rPh>
    <rPh sb="73" eb="75">
      <t>キンム</t>
    </rPh>
    <rPh sb="75" eb="77">
      <t>ジッセキ</t>
    </rPh>
    <rPh sb="77" eb="79">
      <t>ジカン</t>
    </rPh>
    <rPh sb="81" eb="83">
      <t>エンチョウ</t>
    </rPh>
    <rPh sb="83" eb="85">
      <t>ホイク</t>
    </rPh>
    <rPh sb="85" eb="87">
      <t>ジギョウ</t>
    </rPh>
    <rPh sb="88" eb="89">
      <t>カカ</t>
    </rPh>
    <rPh sb="90" eb="92">
      <t>キンム</t>
    </rPh>
    <rPh sb="92" eb="94">
      <t>ジカン</t>
    </rPh>
    <rPh sb="95" eb="96">
      <t>ノゾ</t>
    </rPh>
    <rPh sb="98" eb="101">
      <t>ジカンスウ</t>
    </rPh>
    <phoneticPr fontId="1"/>
  </si>
  <si>
    <t>F5～Ｋ5セル</t>
    <phoneticPr fontId="1"/>
  </si>
  <si>
    <t>F列～Ｋ列の７行目以下の各セル</t>
    <rPh sb="1" eb="2">
      <t>レツ</t>
    </rPh>
    <rPh sb="4" eb="5">
      <t>レツ</t>
    </rPh>
    <rPh sb="7" eb="11">
      <t>ギョウメイカ</t>
    </rPh>
    <rPh sb="12" eb="13">
      <t>カク</t>
    </rPh>
    <phoneticPr fontId="1"/>
  </si>
  <si>
    <t>調理員等</t>
    <rPh sb="0" eb="2">
      <t>チョウリ</t>
    </rPh>
    <rPh sb="2" eb="3">
      <t>イン</t>
    </rPh>
    <rPh sb="3" eb="4">
      <t>トウ</t>
    </rPh>
    <phoneticPr fontId="1"/>
  </si>
  <si>
    <t>事務員等</t>
    <rPh sb="0" eb="3">
      <t>ジムイン</t>
    </rPh>
    <rPh sb="3" eb="4">
      <t>トウ</t>
    </rPh>
    <phoneticPr fontId="1"/>
  </si>
  <si>
    <t>高齢者等活躍促進加算</t>
    <rPh sb="0" eb="3">
      <t>コウレイシャ</t>
    </rPh>
    <rPh sb="3" eb="4">
      <t>トウ</t>
    </rPh>
    <rPh sb="4" eb="6">
      <t>カツヤク</t>
    </rPh>
    <rPh sb="6" eb="8">
      <t>ソクシン</t>
    </rPh>
    <rPh sb="8" eb="10">
      <t>カサン</t>
    </rPh>
    <phoneticPr fontId="15"/>
  </si>
  <si>
    <t>【入力用】　配置基準補助金入力データ</t>
    <rPh sb="1" eb="4">
      <t>ニュウリョクヨウ</t>
    </rPh>
    <rPh sb="6" eb="10">
      <t>ｋｊ</t>
    </rPh>
    <rPh sb="10" eb="13">
      <t>ホジョキン</t>
    </rPh>
    <rPh sb="13" eb="15">
      <t>ニュウリョク</t>
    </rPh>
    <phoneticPr fontId="1"/>
  </si>
  <si>
    <r>
      <t>（画面上では黄色）の部分のうち、</t>
    </r>
    <r>
      <rPr>
        <b/>
        <u val="double"/>
        <sz val="16"/>
        <color rgb="FFFF0000"/>
        <rFont val="HG丸ｺﾞｼｯｸM-PRO"/>
        <family val="3"/>
        <charset val="128"/>
      </rPr>
      <t>「4月～９月分」</t>
    </r>
    <r>
      <rPr>
        <sz val="14"/>
        <rFont val="HG丸ｺﾞｼｯｸM-PRO"/>
        <family val="3"/>
        <charset val="128"/>
      </rPr>
      <t>入力をお願いします。</t>
    </r>
    <rPh sb="1" eb="4">
      <t>ガメンジョウ</t>
    </rPh>
    <rPh sb="6" eb="8">
      <t>キイロ</t>
    </rPh>
    <rPh sb="10" eb="12">
      <t>ブブン</t>
    </rPh>
    <rPh sb="18" eb="19">
      <t>ガツ</t>
    </rPh>
    <rPh sb="21" eb="23">
      <t>ガツブン</t>
    </rPh>
    <rPh sb="24" eb="26">
      <t>ニュウリョク</t>
    </rPh>
    <rPh sb="28" eb="29">
      <t>ネガ</t>
    </rPh>
    <phoneticPr fontId="15"/>
  </si>
  <si>
    <r>
      <t>※該当箇所につきまして、いずれも</t>
    </r>
    <r>
      <rPr>
        <u/>
        <sz val="16"/>
        <color rgb="FFFF0000"/>
        <rFont val="HGP創英角ﾎﾟｯﾌﾟ体"/>
        <family val="3"/>
        <charset val="128"/>
      </rPr>
      <t>入力日時点</t>
    </r>
    <r>
      <rPr>
        <sz val="12"/>
        <color rgb="FFFF0000"/>
        <rFont val="HGP創英角ﾎﾟｯﾌﾟ体"/>
        <family val="3"/>
        <charset val="128"/>
      </rPr>
      <t>の状況をご記載ください。</t>
    </r>
    <rPh sb="1" eb="3">
      <t>ガイトウ</t>
    </rPh>
    <rPh sb="3" eb="5">
      <t>カショ</t>
    </rPh>
    <rPh sb="16" eb="18">
      <t>ニュウリョク</t>
    </rPh>
    <rPh sb="18" eb="19">
      <t>ビ</t>
    </rPh>
    <rPh sb="19" eb="21">
      <t>ジテン</t>
    </rPh>
    <rPh sb="22" eb="24">
      <t>ジョウキョウ</t>
    </rPh>
    <rPh sb="26" eb="28">
      <t>キサイ</t>
    </rPh>
    <phoneticPr fontId="1"/>
  </si>
  <si>
    <t>２　提出期限</t>
    <rPh sb="2" eb="4">
      <t>テイシュツ</t>
    </rPh>
    <rPh sb="4" eb="6">
      <t>キゲン</t>
    </rPh>
    <phoneticPr fontId="1"/>
  </si>
  <si>
    <t>　　　　　　↓　　幼保運営課職員が内容を確認し、各園の皆様へご連絡</t>
    <rPh sb="9" eb="14">
      <t>ヨウホ</t>
    </rPh>
    <rPh sb="14" eb="16">
      <t>ショクイン</t>
    </rPh>
    <rPh sb="17" eb="19">
      <t>ナイヨウ</t>
    </rPh>
    <rPh sb="20" eb="22">
      <t>カクニン</t>
    </rPh>
    <rPh sb="24" eb="25">
      <t>カク</t>
    </rPh>
    <rPh sb="25" eb="26">
      <t>エン</t>
    </rPh>
    <rPh sb="27" eb="29">
      <t>ミナサマ</t>
    </rPh>
    <rPh sb="31" eb="33">
      <t>レンラク</t>
    </rPh>
    <phoneticPr fontId="1"/>
  </si>
  <si>
    <t>（２）紙提出</t>
    <rPh sb="3" eb="4">
      <t>カミ</t>
    </rPh>
    <rPh sb="4" eb="6">
      <t>テイシュツ</t>
    </rPh>
    <phoneticPr fontId="1"/>
  </si>
  <si>
    <t>データを提出いただき、内容確認後に別途紙提出のご連絡をいたしますので、幼保運営課からの連絡をお待ちください。連絡があり次第、早急にご提出ください。</t>
    <rPh sb="4" eb="6">
      <t>テイシュツ</t>
    </rPh>
    <rPh sb="11" eb="13">
      <t>ナイヨウ</t>
    </rPh>
    <rPh sb="13" eb="15">
      <t>カクニン</t>
    </rPh>
    <rPh sb="15" eb="16">
      <t>ノチ</t>
    </rPh>
    <rPh sb="17" eb="19">
      <t>ベット</t>
    </rPh>
    <rPh sb="19" eb="20">
      <t>カミ</t>
    </rPh>
    <rPh sb="20" eb="22">
      <t>テイシュツ</t>
    </rPh>
    <rPh sb="24" eb="26">
      <t>レンラク</t>
    </rPh>
    <rPh sb="35" eb="40">
      <t>ヨウホ</t>
    </rPh>
    <rPh sb="43" eb="45">
      <t>レンラク</t>
    </rPh>
    <rPh sb="47" eb="48">
      <t>マ</t>
    </rPh>
    <rPh sb="54" eb="56">
      <t>レンラク</t>
    </rPh>
    <rPh sb="59" eb="61">
      <t>シダイ</t>
    </rPh>
    <rPh sb="62" eb="64">
      <t>ソウキュウ</t>
    </rPh>
    <rPh sb="66" eb="68">
      <t>テイシュツ</t>
    </rPh>
    <phoneticPr fontId="1"/>
  </si>
  <si>
    <r>
      <t>　※紙提出の際は、Excel内のすべてのシートを印刷し、様式１号に
　　</t>
    </r>
    <r>
      <rPr>
        <u val="double"/>
        <sz val="14"/>
        <rFont val="HG丸ｺﾞｼｯｸM-PRO"/>
        <family val="3"/>
        <charset val="128"/>
      </rPr>
      <t>代表者印を押印したもの</t>
    </r>
    <r>
      <rPr>
        <sz val="14"/>
        <rFont val="HG丸ｺﾞｼｯｸM-PRO"/>
        <family val="3"/>
        <charset val="128"/>
      </rPr>
      <t>を提出いただきます。</t>
    </r>
    <rPh sb="2" eb="3">
      <t>カミ</t>
    </rPh>
    <rPh sb="3" eb="5">
      <t>テイシュツ</t>
    </rPh>
    <rPh sb="6" eb="7">
      <t>サイ</t>
    </rPh>
    <rPh sb="14" eb="15">
      <t>ナイ</t>
    </rPh>
    <rPh sb="24" eb="26">
      <t>インサツ</t>
    </rPh>
    <rPh sb="28" eb="30">
      <t>ヨウシキ</t>
    </rPh>
    <rPh sb="31" eb="32">
      <t>ゴウ</t>
    </rPh>
    <rPh sb="36" eb="38">
      <t>ダイヒョウ</t>
    </rPh>
    <rPh sb="38" eb="39">
      <t>シャ</t>
    </rPh>
    <rPh sb="39" eb="40">
      <t>イン</t>
    </rPh>
    <rPh sb="41" eb="43">
      <t>オウイン</t>
    </rPh>
    <rPh sb="48" eb="50">
      <t>テイシュツ</t>
    </rPh>
    <phoneticPr fontId="1"/>
  </si>
  <si>
    <t>　　令和４年１０月２７日（木）　　　</t>
    <rPh sb="2" eb="4">
      <t>レイワ</t>
    </rPh>
    <rPh sb="5" eb="6">
      <t>ネン</t>
    </rPh>
    <rPh sb="8" eb="9">
      <t>ガツ</t>
    </rPh>
    <rPh sb="11" eb="12">
      <t>ニチ</t>
    </rPh>
    <rPh sb="13" eb="14">
      <t>モク</t>
    </rPh>
    <phoneticPr fontId="1"/>
  </si>
  <si>
    <t>KMW28100</t>
  </si>
  <si>
    <t>各種チェック欄</t>
    <rPh sb="0" eb="2">
      <t>カクシュ</t>
    </rPh>
    <rPh sb="6" eb="7">
      <t>ラン</t>
    </rPh>
    <phoneticPr fontId="1"/>
  </si>
  <si>
    <t>園一覧と固有番号</t>
    <rPh sb="0" eb="1">
      <t>エン</t>
    </rPh>
    <rPh sb="1" eb="3">
      <t>イチラン</t>
    </rPh>
    <rPh sb="4" eb="6">
      <t>コユウ</t>
    </rPh>
    <rPh sb="6" eb="8">
      <t>バンゴウ</t>
    </rPh>
    <phoneticPr fontId="1"/>
  </si>
  <si>
    <t>判定</t>
    <rPh sb="0" eb="2">
      <t>ハンテイ</t>
    </rPh>
    <phoneticPr fontId="1"/>
  </si>
  <si>
    <t>債権者一覧</t>
    <rPh sb="0" eb="2">
      <t>サイケン</t>
    </rPh>
    <rPh sb="2" eb="3">
      <t>シャ</t>
    </rPh>
    <rPh sb="3" eb="5">
      <t>イチラン</t>
    </rPh>
    <phoneticPr fontId="1"/>
  </si>
  <si>
    <t>千葉市若葉区都賀１丁目１番１号</t>
  </si>
  <si>
    <t>千葉市緑区おゆみ野南５－２９－１</t>
  </si>
  <si>
    <t>千葉市稲毛区小仲台5－3－2</t>
  </si>
  <si>
    <t>千葉市中央区蘇我5丁目44番2号</t>
  </si>
  <si>
    <t>千葉市緑区大膳野町1－6</t>
  </si>
  <si>
    <t>千葉市中央区新田町7－16　フォントビル１．２階</t>
  </si>
  <si>
    <t>千葉市中央区汐見丘町２４－１</t>
  </si>
  <si>
    <t>園長</t>
  </si>
  <si>
    <t>友田　優子</t>
  </si>
  <si>
    <t>佐藤　貴光</t>
  </si>
  <si>
    <t>嶋田　ふみ江</t>
  </si>
  <si>
    <t>森田真由美</t>
  </si>
  <si>
    <t>佐藤 敏光</t>
  </si>
  <si>
    <t>井上　有紀</t>
  </si>
  <si>
    <t>施設長</t>
  </si>
  <si>
    <t>小岩井　慶子</t>
  </si>
  <si>
    <t>代理人情報との際</t>
    <rPh sb="0" eb="3">
      <t>ダイリニン</t>
    </rPh>
    <rPh sb="3" eb="5">
      <t>ジョウホウ</t>
    </rPh>
    <rPh sb="7" eb="8">
      <t>サイ</t>
    </rPh>
    <phoneticPr fontId="1"/>
  </si>
  <si>
    <t>（確認・修正等を要する箇所）</t>
    <rPh sb="1" eb="3">
      <t>カクニン</t>
    </rPh>
    <rPh sb="4" eb="6">
      <t>シュウセイ</t>
    </rPh>
    <rPh sb="6" eb="7">
      <t>トウ</t>
    </rPh>
    <rPh sb="8" eb="9">
      <t>ヨウ</t>
    </rPh>
    <rPh sb="11" eb="13">
      <t>カショ</t>
    </rPh>
    <phoneticPr fontId="1"/>
  </si>
  <si>
    <t>　</t>
    <phoneticPr fontId="1"/>
  </si>
  <si>
    <t>→　単なる事実の誤認など、軽微な修正をしていますので、確認をお願いします。</t>
    <phoneticPr fontId="1"/>
  </si>
  <si>
    <t>　　修正が誤りであった場合は、お手数ですが再度修正をお願いします。</t>
    <phoneticPr fontId="1"/>
  </si>
  <si>
    <t>令和５年２月</t>
    <rPh sb="0" eb="2">
      <t>レイワ</t>
    </rPh>
    <rPh sb="3" eb="4">
      <t>ネン</t>
    </rPh>
    <rPh sb="5" eb="6">
      <t>ガツ</t>
    </rPh>
    <phoneticPr fontId="1"/>
  </si>
  <si>
    <t>（画面上では黄色）の部分の入力をお願いします。</t>
    <rPh sb="1" eb="4">
      <t>ガメンジョウ</t>
    </rPh>
    <rPh sb="6" eb="8">
      <t>キイロ</t>
    </rPh>
    <rPh sb="10" eb="12">
      <t>ブブン</t>
    </rPh>
    <rPh sb="13" eb="15">
      <t>ニュウリョク</t>
    </rPh>
    <rPh sb="17" eb="18">
      <t>ネガ</t>
    </rPh>
    <phoneticPr fontId="15"/>
  </si>
  <si>
    <t>（画面上では水色）の部分は、「園毎の固有番号」に基づいて、千葉市が把握している情報が表示されます。
念のためご確認いただき、万が一誤りがあれば、関数の上からご修正ください。</t>
    <rPh sb="1" eb="4">
      <t>ガメンジョウ</t>
    </rPh>
    <rPh sb="6" eb="8">
      <t>ミズイロ</t>
    </rPh>
    <rPh sb="10" eb="12">
      <t>ブブン</t>
    </rPh>
    <phoneticPr fontId="15"/>
  </si>
  <si>
    <t>※該当箇所につきまして、いずれも3月は見込みでご記載ください。</t>
    <rPh sb="1" eb="3">
      <t>ガイトウ</t>
    </rPh>
    <rPh sb="3" eb="5">
      <t>カショ</t>
    </rPh>
    <rPh sb="17" eb="18">
      <t>ガツ</t>
    </rPh>
    <rPh sb="19" eb="21">
      <t>ミコ</t>
    </rPh>
    <rPh sb="24" eb="26">
      <t>キサイ</t>
    </rPh>
    <phoneticPr fontId="1"/>
  </si>
  <si>
    <t>２　参考資料</t>
    <rPh sb="2" eb="4">
      <t>サンコウ</t>
    </rPh>
    <rPh sb="4" eb="6">
      <t>シリョウ</t>
    </rPh>
    <phoneticPr fontId="1"/>
  </si>
  <si>
    <t>　各シートに記載の記載方法のほか、別途配布する留意事項も参考にしてください。</t>
    <rPh sb="1" eb="2">
      <t>カク</t>
    </rPh>
    <rPh sb="6" eb="8">
      <t>キサイ</t>
    </rPh>
    <rPh sb="9" eb="11">
      <t>キサイ</t>
    </rPh>
    <rPh sb="11" eb="13">
      <t>ホウホウ</t>
    </rPh>
    <rPh sb="17" eb="19">
      <t>ベット</t>
    </rPh>
    <rPh sb="19" eb="21">
      <t>ハイフ</t>
    </rPh>
    <rPh sb="23" eb="25">
      <t>リュウイ</t>
    </rPh>
    <rPh sb="25" eb="27">
      <t>ジコウ</t>
    </rPh>
    <rPh sb="28" eb="30">
      <t>サンコウ</t>
    </rPh>
    <phoneticPr fontId="1"/>
  </si>
  <si>
    <t>３　提出期限</t>
    <rPh sb="2" eb="4">
      <t>テイシュツ</t>
    </rPh>
    <rPh sb="4" eb="6">
      <t>キゲン</t>
    </rPh>
    <phoneticPr fontId="1"/>
  </si>
  <si>
    <t>データを提出いただき、内容確認後に別途紙提出のご連絡をいたしますので、幼保運営課からの連絡をお待ちください。</t>
    <rPh sb="4" eb="6">
      <t>テイシュツ</t>
    </rPh>
    <rPh sb="11" eb="13">
      <t>ナイヨウ</t>
    </rPh>
    <rPh sb="13" eb="15">
      <t>カクニン</t>
    </rPh>
    <rPh sb="15" eb="16">
      <t>ノチ</t>
    </rPh>
    <rPh sb="17" eb="19">
      <t>ベット</t>
    </rPh>
    <rPh sb="19" eb="20">
      <t>カミ</t>
    </rPh>
    <rPh sb="20" eb="22">
      <t>テイシュツ</t>
    </rPh>
    <rPh sb="24" eb="26">
      <t>レンラク</t>
    </rPh>
    <rPh sb="35" eb="40">
      <t>ヨウホ</t>
    </rPh>
    <rPh sb="43" eb="45">
      <t>レンラク</t>
    </rPh>
    <rPh sb="47" eb="48">
      <t>マ</t>
    </rPh>
    <phoneticPr fontId="1"/>
  </si>
  <si>
    <r>
      <t>　※紙提出の際は、</t>
    </r>
    <r>
      <rPr>
        <u val="double"/>
        <sz val="14"/>
        <rFont val="HG丸ｺﾞｼｯｸM-PRO"/>
        <family val="3"/>
        <charset val="128"/>
      </rPr>
      <t>代表者印を押印したもの</t>
    </r>
    <r>
      <rPr>
        <sz val="14"/>
        <rFont val="HG丸ｺﾞｼｯｸM-PRO"/>
        <family val="3"/>
        <charset val="128"/>
      </rPr>
      <t>を提出いただきます。</t>
    </r>
    <rPh sb="2" eb="3">
      <t>カミ</t>
    </rPh>
    <rPh sb="3" eb="5">
      <t>テイシュツ</t>
    </rPh>
    <rPh sb="6" eb="7">
      <t>サイ</t>
    </rPh>
    <rPh sb="9" eb="11">
      <t>ダイヒョウ</t>
    </rPh>
    <rPh sb="11" eb="12">
      <t>シャ</t>
    </rPh>
    <rPh sb="12" eb="13">
      <t>イン</t>
    </rPh>
    <rPh sb="14" eb="16">
      <t>オウイン</t>
    </rPh>
    <rPh sb="21" eb="23">
      <t>テイシュツ</t>
    </rPh>
    <phoneticPr fontId="1"/>
  </si>
  <si>
    <t>令和　　年　　月　１日</t>
    <rPh sb="0" eb="2">
      <t>レイワ</t>
    </rPh>
    <rPh sb="4" eb="5">
      <t>ネン</t>
    </rPh>
    <rPh sb="7" eb="8">
      <t>ガツ</t>
    </rPh>
    <rPh sb="10" eb="11">
      <t>ニチ</t>
    </rPh>
    <phoneticPr fontId="1"/>
  </si>
  <si>
    <t>児童数</t>
    <rPh sb="0" eb="2">
      <t>ジドウ</t>
    </rPh>
    <rPh sb="2" eb="3">
      <t>スウ</t>
    </rPh>
    <phoneticPr fontId="1"/>
  </si>
  <si>
    <t>加配数</t>
    <rPh sb="0" eb="2">
      <t>カハイ</t>
    </rPh>
    <rPh sb="2" eb="3">
      <t>スウ</t>
    </rPh>
    <phoneticPr fontId="1"/>
  </si>
  <si>
    <t>最大補助数</t>
    <rPh sb="0" eb="2">
      <t>サイダイ</t>
    </rPh>
    <rPh sb="2" eb="4">
      <t>ホジョ</t>
    </rPh>
    <rPh sb="4" eb="5">
      <t>スウ</t>
    </rPh>
    <phoneticPr fontId="1"/>
  </si>
  <si>
    <t>特定加算分２の判定</t>
    <rPh sb="0" eb="2">
      <t>トクテイ</t>
    </rPh>
    <rPh sb="2" eb="4">
      <t>カサン</t>
    </rPh>
    <rPh sb="4" eb="5">
      <t>ブン</t>
    </rPh>
    <rPh sb="7" eb="9">
      <t>ハンテイ</t>
    </rPh>
    <phoneticPr fontId="1"/>
  </si>
  <si>
    <t>実雇用数
合計
（Ａ）</t>
    <rPh sb="0" eb="1">
      <t>ジツ</t>
    </rPh>
    <rPh sb="1" eb="3">
      <t>コヨウ</t>
    </rPh>
    <rPh sb="3" eb="4">
      <t>スウ</t>
    </rPh>
    <rPh sb="5" eb="7">
      <t>ゴウケイ</t>
    </rPh>
    <phoneticPr fontId="48"/>
  </si>
  <si>
    <t>最大
補助数
（Ｂ）</t>
    <rPh sb="0" eb="2">
      <t>サイダイ</t>
    </rPh>
    <rPh sb="3" eb="5">
      <t>ホジョ</t>
    </rPh>
    <rPh sb="5" eb="6">
      <t>スウ</t>
    </rPh>
    <phoneticPr fontId="1"/>
  </si>
  <si>
    <t>要件
緩和</t>
    <rPh sb="0" eb="2">
      <t>ヨウケン</t>
    </rPh>
    <rPh sb="3" eb="5">
      <t>カンワ</t>
    </rPh>
    <phoneticPr fontId="48"/>
  </si>
  <si>
    <t>月</t>
    <rPh sb="0" eb="1">
      <t>ツキ</t>
    </rPh>
    <phoneticPr fontId="1"/>
  </si>
  <si>
    <r>
      <t xml:space="preserve">補助人工
</t>
    </r>
    <r>
      <rPr>
        <sz val="6"/>
        <color theme="1"/>
        <rFont val="HGｺﾞｼｯｸM"/>
        <family val="3"/>
        <charset val="128"/>
      </rPr>
      <t>（ＡとＢ小さい方）</t>
    </r>
    <rPh sb="0" eb="2">
      <t>ホジョ</t>
    </rPh>
    <rPh sb="2" eb="4">
      <t>ニンク</t>
    </rPh>
    <rPh sb="9" eb="10">
      <t>チイ</t>
    </rPh>
    <rPh sb="12" eb="13">
      <t>ホウ</t>
    </rPh>
    <phoneticPr fontId="1"/>
  </si>
  <si>
    <t>特定１
①</t>
    <rPh sb="0" eb="2">
      <t>トクテイ</t>
    </rPh>
    <phoneticPr fontId="48"/>
  </si>
  <si>
    <t>特定１
②</t>
    <rPh sb="0" eb="2">
      <t>トクテイ</t>
    </rPh>
    <phoneticPr fontId="48"/>
  </si>
  <si>
    <t>特定１
③</t>
    <rPh sb="0" eb="2">
      <t>トクテイ</t>
    </rPh>
    <phoneticPr fontId="48"/>
  </si>
  <si>
    <t>キッズガード</t>
    <phoneticPr fontId="1"/>
  </si>
  <si>
    <t>要件</t>
    <rPh sb="0" eb="2">
      <t>ヨウケン</t>
    </rPh>
    <phoneticPr fontId="1"/>
  </si>
  <si>
    <t>看護</t>
    <rPh sb="0" eb="2">
      <t>カンゴ</t>
    </rPh>
    <phoneticPr fontId="1"/>
  </si>
  <si>
    <t>保育士等（定数内）</t>
    <rPh sb="5" eb="7">
      <t>テイスウ</t>
    </rPh>
    <rPh sb="7" eb="8">
      <t>ナイ</t>
    </rPh>
    <phoneticPr fontId="1"/>
  </si>
  <si>
    <t>定数外</t>
    <rPh sb="0" eb="2">
      <t>テイスウ</t>
    </rPh>
    <rPh sb="2" eb="3">
      <t>ソト</t>
    </rPh>
    <phoneticPr fontId="1"/>
  </si>
  <si>
    <t>小倉台保育園</t>
  </si>
  <si>
    <t>みらいつむぎ保育園海浜</t>
  </si>
  <si>
    <t>検見川はないろ保育園</t>
  </si>
  <si>
    <t>かえで保育園幕張駅前</t>
  </si>
  <si>
    <t>小深保育園</t>
  </si>
  <si>
    <t>オンジュソリール保育園　幕張駅北口園</t>
  </si>
  <si>
    <t>よつば保育園</t>
  </si>
  <si>
    <t>Nestいんない保育園</t>
  </si>
  <si>
    <t>Gakkenほいくえん おゆみ野</t>
  </si>
  <si>
    <t>ニチイキッズあすみが丘保育園</t>
    <rPh sb="10" eb="11">
      <t>オカ</t>
    </rPh>
    <rPh sb="11" eb="14">
      <t>ホイクエン</t>
    </rPh>
    <phoneticPr fontId="2"/>
  </si>
  <si>
    <t>オンジュ ソリール保育園　そが駅前園</t>
    <rPh sb="9" eb="12">
      <t>ホイクエン</t>
    </rPh>
    <rPh sb="15" eb="16">
      <t>エキ</t>
    </rPh>
    <rPh sb="16" eb="17">
      <t>マエ</t>
    </rPh>
    <rPh sb="17" eb="18">
      <t>エン</t>
    </rPh>
    <phoneticPr fontId="43"/>
  </si>
  <si>
    <t>（株）グローバルナビゲーション</t>
  </si>
  <si>
    <t>絵本と太陽の保育園　てぃだまちキッズ検見川浜</t>
    <rPh sb="0" eb="2">
      <t>エホン</t>
    </rPh>
    <rPh sb="3" eb="5">
      <t>タイヨウ</t>
    </rPh>
    <rPh sb="6" eb="9">
      <t>ホイクエン</t>
    </rPh>
    <rPh sb="18" eb="22">
      <t>ケミガワハマ</t>
    </rPh>
    <phoneticPr fontId="43"/>
  </si>
  <si>
    <t>美波保育園</t>
    <rPh sb="0" eb="2">
      <t>ミナミ</t>
    </rPh>
    <rPh sb="2" eb="5">
      <t>ホイクエン</t>
    </rPh>
    <phoneticPr fontId="43"/>
  </si>
  <si>
    <t>みらいつむぎ保育園美浜</t>
    <rPh sb="6" eb="9">
      <t>ホイクエン</t>
    </rPh>
    <rPh sb="9" eb="11">
      <t>ミハマ</t>
    </rPh>
    <phoneticPr fontId="43"/>
  </si>
  <si>
    <t>NAK14418</t>
  </si>
  <si>
    <t>神奈川県厚木市寿町２丁目８－２０常盤ビル</t>
  </si>
  <si>
    <t>小島　章敬</t>
  </si>
  <si>
    <t>QBZ44005</t>
  </si>
  <si>
    <t>ATT82347</t>
  </si>
  <si>
    <t>WHD66780</t>
  </si>
  <si>
    <t>(福）創成会</t>
  </si>
  <si>
    <t>KUM73101</t>
  </si>
  <si>
    <t>(福）大きな家族</t>
  </si>
  <si>
    <t>TDL20807</t>
  </si>
  <si>
    <t>ENT98559</t>
  </si>
  <si>
    <t>RGM49995</t>
  </si>
  <si>
    <t>千葉県市川市妙典２丁目４－１２</t>
  </si>
  <si>
    <t>國澤　佳奈子</t>
  </si>
  <si>
    <t>チーム保育推進加算の使途（１人目）</t>
    <rPh sb="3" eb="5">
      <t>ホイク</t>
    </rPh>
    <rPh sb="5" eb="7">
      <t>スイシン</t>
    </rPh>
    <rPh sb="7" eb="9">
      <t>カサン</t>
    </rPh>
    <rPh sb="10" eb="12">
      <t>シト</t>
    </rPh>
    <rPh sb="14" eb="15">
      <t>ニン</t>
    </rPh>
    <rPh sb="15" eb="16">
      <t>メ</t>
    </rPh>
    <phoneticPr fontId="1"/>
  </si>
  <si>
    <t>チーム保育推進加算の使途（２人目）</t>
    <rPh sb="3" eb="5">
      <t>ホイク</t>
    </rPh>
    <rPh sb="5" eb="7">
      <t>スイシン</t>
    </rPh>
    <rPh sb="7" eb="9">
      <t>カサン</t>
    </rPh>
    <rPh sb="10" eb="12">
      <t>シト</t>
    </rPh>
    <rPh sb="14" eb="15">
      <t>ニン</t>
    </rPh>
    <rPh sb="15" eb="16">
      <t>メ</t>
    </rPh>
    <phoneticPr fontId="1"/>
  </si>
  <si>
    <t>【実績報告時】</t>
    <rPh sb="1" eb="3">
      <t>ジッセキ</t>
    </rPh>
    <rPh sb="3" eb="5">
      <t>ホウコク</t>
    </rPh>
    <rPh sb="5" eb="6">
      <t>ジ</t>
    </rPh>
    <phoneticPr fontId="1"/>
  </si>
  <si>
    <t>【当初申請時】</t>
    <rPh sb="1" eb="3">
      <t>トウショ</t>
    </rPh>
    <rPh sb="3" eb="5">
      <t>シンセイ</t>
    </rPh>
    <rPh sb="5" eb="6">
      <t>ジ</t>
    </rPh>
    <phoneticPr fontId="1"/>
  </si>
  <si>
    <t>F5セル</t>
    <phoneticPr fontId="1"/>
  </si>
  <si>
    <t>F列の７行目以下の各セル</t>
    <rPh sb="1" eb="2">
      <t>レツ</t>
    </rPh>
    <rPh sb="4" eb="8">
      <t>ギョウメイカ</t>
    </rPh>
    <rPh sb="9" eb="10">
      <t>カク</t>
    </rPh>
    <phoneticPr fontId="1"/>
  </si>
  <si>
    <t>　令和５年度千葉市施設型給付対象施設保育士等配置基準改善事業補助金の交付を受けたいので、千葉市施設型給付対象施設運営事業補助金交付要綱第４条の規定により次のとおり申請します。　　</t>
    <rPh sb="1" eb="3">
      <t>レイワ</t>
    </rPh>
    <rPh sb="9" eb="12">
      <t>シセツガタ</t>
    </rPh>
    <rPh sb="12" eb="14">
      <t>キュウフ</t>
    </rPh>
    <rPh sb="14" eb="16">
      <t>タイショウ</t>
    </rPh>
    <rPh sb="16" eb="18">
      <t>シセツ</t>
    </rPh>
    <rPh sb="47" eb="50">
      <t>シセツガタ</t>
    </rPh>
    <rPh sb="50" eb="52">
      <t>キュウフ</t>
    </rPh>
    <rPh sb="52" eb="54">
      <t>タイショウ</t>
    </rPh>
    <rPh sb="54" eb="56">
      <t>シセツ</t>
    </rPh>
    <phoneticPr fontId="6"/>
  </si>
  <si>
    <t>【入力用】　配置基準補助金入力データ</t>
    <rPh sb="1" eb="4">
      <t>ニュウリョクヨウ</t>
    </rPh>
    <rPh sb="6" eb="8">
      <t>ハイチ</t>
    </rPh>
    <rPh sb="8" eb="10">
      <t>キジュン</t>
    </rPh>
    <rPh sb="10" eb="13">
      <t>ホジョキン</t>
    </rPh>
    <rPh sb="13" eb="15">
      <t>ニュウリョク</t>
    </rPh>
    <phoneticPr fontId="1"/>
  </si>
  <si>
    <r>
      <rPr>
        <b/>
        <sz val="14"/>
        <rFont val="HG丸ｺﾞｼｯｸM-PRO"/>
        <family val="3"/>
        <charset val="128"/>
      </rPr>
      <t xml:space="preserve">【概要】
</t>
    </r>
    <r>
      <rPr>
        <b/>
        <sz val="12"/>
        <rFont val="HG丸ｺﾞｼｯｸM-PRO"/>
        <family val="3"/>
        <charset val="128"/>
      </rPr>
      <t>■</t>
    </r>
    <r>
      <rPr>
        <b/>
        <u/>
        <sz val="12"/>
        <color rgb="FFFF0000"/>
        <rFont val="HG丸ｺﾞｼｯｸM-PRO"/>
        <family val="3"/>
        <charset val="128"/>
      </rPr>
      <t>補助金の交付を受けようとする全ての園は、「様式1」（交付申請書）の提出が必要です。</t>
    </r>
    <r>
      <rPr>
        <b/>
        <sz val="12"/>
        <rFont val="HG丸ｺﾞｼｯｸM-PRO"/>
        <family val="3"/>
        <charset val="128"/>
      </rPr>
      <t xml:space="preserve">
</t>
    </r>
    <r>
      <rPr>
        <sz val="12"/>
        <rFont val="HG丸ｺﾞｼｯｸM-PRO"/>
        <family val="3"/>
        <charset val="128"/>
      </rPr>
      <t>　・①～⑪のシートの入力・確認をしてください。</t>
    </r>
    <r>
      <rPr>
        <b/>
        <sz val="12"/>
        <rFont val="HG丸ｺﾞｼｯｸM-PRO"/>
        <family val="3"/>
        <charset val="128"/>
      </rPr>
      <t xml:space="preserve">
■第一期の分割請求を</t>
    </r>
    <r>
      <rPr>
        <b/>
        <sz val="12"/>
        <color rgb="FFFF0000"/>
        <rFont val="HG丸ｺﾞｼｯｸM-PRO"/>
        <family val="3"/>
        <charset val="128"/>
      </rPr>
      <t>希望しない</t>
    </r>
    <r>
      <rPr>
        <b/>
        <sz val="12"/>
        <rFont val="HG丸ｺﾞｼｯｸM-PRO"/>
        <family val="3"/>
        <charset val="128"/>
      </rPr>
      <t>場合
　</t>
    </r>
    <r>
      <rPr>
        <b/>
        <sz val="12"/>
        <color rgb="FFFF0000"/>
        <rFont val="HG丸ｺﾞｼｯｸM-PRO"/>
        <family val="3"/>
        <charset val="128"/>
      </rPr>
      <t>分割払い請求書（様式第3号）は提出不要</t>
    </r>
    <r>
      <rPr>
        <b/>
        <sz val="12"/>
        <rFont val="HG丸ｺﾞｼｯｸM-PRO"/>
        <family val="3"/>
        <charset val="128"/>
      </rPr>
      <t>です。
■第一期の分割請求を</t>
    </r>
    <r>
      <rPr>
        <b/>
        <sz val="12"/>
        <color rgb="FFFF0000"/>
        <rFont val="HG丸ｺﾞｼｯｸM-PRO"/>
        <family val="3"/>
        <charset val="128"/>
      </rPr>
      <t>希望</t>
    </r>
    <r>
      <rPr>
        <b/>
        <u/>
        <sz val="12"/>
        <color rgb="FFFF0000"/>
        <rFont val="HG丸ｺﾞｼｯｸM-PRO"/>
        <family val="3"/>
        <charset val="128"/>
      </rPr>
      <t>する</t>
    </r>
    <r>
      <rPr>
        <b/>
        <sz val="12"/>
        <rFont val="HG丸ｺﾞｼｯｸM-PRO"/>
        <family val="3"/>
        <charset val="128"/>
      </rPr>
      <t>場合</t>
    </r>
    <r>
      <rPr>
        <sz val="12"/>
        <rFont val="HG丸ｺﾞｼｯｸM-PRO"/>
        <family val="3"/>
        <charset val="128"/>
      </rPr>
      <t xml:space="preserve">
　・①～⑪のシートの入力・確認後、「様式3」（分割払い請求書）の支払額を確認してください。
　・支払額は、表示された金額より減額して請求することが可能です。減額して請求する場合は、
　　希望額を直接入力してください（千円単位）。
　・分割請求を希望する場合は、「様式3」欄外の注意事項及び「①基本情報」シートの「概算払い
　　について（注意事項）」を確認の上、「了承の上、概算払い（１回目）を請求する」を選択
　　してください。</t>
    </r>
    <rPh sb="1" eb="3">
      <t>ガイヨウ</t>
    </rPh>
    <rPh sb="6" eb="9">
      <t>ホジョキン</t>
    </rPh>
    <rPh sb="10" eb="12">
      <t>コウフ</t>
    </rPh>
    <rPh sb="13" eb="14">
      <t>ウ</t>
    </rPh>
    <rPh sb="20" eb="21">
      <t>スベ</t>
    </rPh>
    <rPh sb="23" eb="24">
      <t>エン</t>
    </rPh>
    <rPh sb="27" eb="29">
      <t>ヨウシキ</t>
    </rPh>
    <rPh sb="32" eb="34">
      <t>コウフ</t>
    </rPh>
    <rPh sb="34" eb="36">
      <t>シンセイ</t>
    </rPh>
    <rPh sb="36" eb="37">
      <t>ショ</t>
    </rPh>
    <rPh sb="39" eb="41">
      <t>テイシュツ</t>
    </rPh>
    <rPh sb="42" eb="44">
      <t>ヒツヨウ</t>
    </rPh>
    <rPh sb="61" eb="63">
      <t>カクニン</t>
    </rPh>
    <rPh sb="118" eb="119">
      <t>イチ</t>
    </rPh>
    <rPh sb="123" eb="125">
      <t>セイキュウ</t>
    </rPh>
    <rPh sb="143" eb="145">
      <t>ニュウリョク</t>
    </rPh>
    <rPh sb="146" eb="148">
      <t>カクニン</t>
    </rPh>
    <rPh sb="148" eb="149">
      <t>ゴ</t>
    </rPh>
    <rPh sb="151" eb="153">
      <t>ヨウシキ</t>
    </rPh>
    <rPh sb="156" eb="158">
      <t>ブンカツ</t>
    </rPh>
    <rPh sb="158" eb="159">
      <t>バラ</t>
    </rPh>
    <rPh sb="160" eb="163">
      <t>セイキュウショ</t>
    </rPh>
    <rPh sb="165" eb="167">
      <t>シハライ</t>
    </rPh>
    <rPh sb="167" eb="168">
      <t>ガク</t>
    </rPh>
    <rPh sb="169" eb="171">
      <t>カクニン</t>
    </rPh>
    <rPh sb="181" eb="183">
      <t>シハライ</t>
    </rPh>
    <rPh sb="183" eb="184">
      <t>ガク</t>
    </rPh>
    <rPh sb="186" eb="188">
      <t>ヒョウジ</t>
    </rPh>
    <rPh sb="191" eb="193">
      <t>キンガク</t>
    </rPh>
    <rPh sb="195" eb="197">
      <t>ゲンガク</t>
    </rPh>
    <rPh sb="199" eb="201">
      <t>セイキュウ</t>
    </rPh>
    <rPh sb="206" eb="208">
      <t>カノウ</t>
    </rPh>
    <rPh sb="211" eb="213">
      <t>ゲンガク</t>
    </rPh>
    <rPh sb="215" eb="217">
      <t>セイキュウ</t>
    </rPh>
    <rPh sb="219" eb="221">
      <t>バアイ</t>
    </rPh>
    <rPh sb="226" eb="228">
      <t>キボウ</t>
    </rPh>
    <rPh sb="228" eb="229">
      <t>ガク</t>
    </rPh>
    <rPh sb="230" eb="232">
      <t>チョクセツ</t>
    </rPh>
    <rPh sb="232" eb="234">
      <t>ニュウリョク</t>
    </rPh>
    <rPh sb="241" eb="243">
      <t>センエン</t>
    </rPh>
    <rPh sb="243" eb="245">
      <t>タンイ</t>
    </rPh>
    <rPh sb="264" eb="266">
      <t>ヨウシキ</t>
    </rPh>
    <rPh sb="268" eb="270">
      <t>ランガイ</t>
    </rPh>
    <rPh sb="271" eb="273">
      <t>チュウイ</t>
    </rPh>
    <rPh sb="273" eb="275">
      <t>ジコウ</t>
    </rPh>
    <rPh sb="275" eb="276">
      <t>オヨ</t>
    </rPh>
    <rPh sb="279" eb="281">
      <t>キホン</t>
    </rPh>
    <rPh sb="281" eb="283">
      <t>ジョウホウ</t>
    </rPh>
    <rPh sb="308" eb="310">
      <t>カクニン</t>
    </rPh>
    <rPh sb="311" eb="312">
      <t>ウエ</t>
    </rPh>
    <rPh sb="335" eb="337">
      <t>センタク</t>
    </rPh>
    <phoneticPr fontId="1"/>
  </si>
  <si>
    <r>
      <rPr>
        <b/>
        <sz val="14"/>
        <rFont val="HG丸ｺﾞｼｯｸM-PRO"/>
        <family val="3"/>
        <charset val="128"/>
      </rPr>
      <t>【概要】</t>
    </r>
    <r>
      <rPr>
        <b/>
        <sz val="12"/>
        <rFont val="HG丸ｺﾞｼｯｸM-PRO"/>
        <family val="3"/>
        <charset val="128"/>
      </rPr>
      <t xml:space="preserve">
■第二期の分割請求を希望</t>
    </r>
    <r>
      <rPr>
        <b/>
        <u/>
        <sz val="12"/>
        <rFont val="HG丸ｺﾞｼｯｸM-PRO"/>
        <family val="3"/>
        <charset val="128"/>
      </rPr>
      <t>しない</t>
    </r>
    <r>
      <rPr>
        <b/>
        <sz val="12"/>
        <rFont val="HG丸ｺﾞｼｯｸM-PRO"/>
        <family val="3"/>
        <charset val="128"/>
      </rPr>
      <t xml:space="preserve">場合
</t>
    </r>
    <r>
      <rPr>
        <sz val="12"/>
        <rFont val="HG丸ｺﾞｼｯｸM-PRO"/>
        <family val="3"/>
        <charset val="128"/>
      </rPr>
      <t>　</t>
    </r>
    <r>
      <rPr>
        <b/>
        <sz val="12"/>
        <color rgb="FFFF0000"/>
        <rFont val="HG丸ｺﾞｼｯｸM-PRO"/>
        <family val="3"/>
        <charset val="128"/>
      </rPr>
      <t>このExcelは入力不要</t>
    </r>
    <r>
      <rPr>
        <sz val="12"/>
        <rFont val="HG丸ｺﾞｼｯｸM-PRO"/>
        <family val="3"/>
        <charset val="128"/>
      </rPr>
      <t xml:space="preserve">です（特段の作業は発生しません）。
</t>
    </r>
    <r>
      <rPr>
        <b/>
        <sz val="12"/>
        <rFont val="HG丸ｺﾞｼｯｸM-PRO"/>
        <family val="3"/>
        <charset val="128"/>
      </rPr>
      <t>■第二期の分割請求を希望</t>
    </r>
    <r>
      <rPr>
        <b/>
        <u/>
        <sz val="12"/>
        <rFont val="HG丸ｺﾞｼｯｸM-PRO"/>
        <family val="3"/>
        <charset val="128"/>
      </rPr>
      <t>する</t>
    </r>
    <r>
      <rPr>
        <b/>
        <sz val="12"/>
        <rFont val="HG丸ｺﾞｼｯｸM-PRO"/>
        <family val="3"/>
        <charset val="128"/>
      </rPr>
      <t>場合</t>
    </r>
    <r>
      <rPr>
        <sz val="12"/>
        <rFont val="HG丸ｺﾞｼｯｸM-PRO"/>
        <family val="3"/>
        <charset val="128"/>
      </rPr>
      <t xml:space="preserve">
　①～⑨のシートを入力の上、</t>
    </r>
    <r>
      <rPr>
        <b/>
        <sz val="12"/>
        <color rgb="FFFF0000"/>
        <rFont val="HG丸ｺﾞｼｯｸM-PRO"/>
        <family val="3"/>
        <charset val="128"/>
      </rPr>
      <t>「様式３（一番右のシート）」の１７行目</t>
    </r>
    <r>
      <rPr>
        <sz val="12"/>
        <rFont val="HG丸ｺﾞｼｯｸM-PRO"/>
        <family val="3"/>
        <charset val="128"/>
      </rPr>
      <t>をご確認ください。
　→　特にメッセージが無ければ、第２期の分割請求が可能です。
　　　このエクセルをメールにて提出の上、「様式３」を印刷・押印の上、ご郵送ください
　　　（詳細は「様式３」シート欄外参照）。
　→　メッセージが表示された場合は、戻入の可能性があるため、第３期の分割請求は不可です。</t>
    </r>
    <phoneticPr fontId="1"/>
  </si>
  <si>
    <r>
      <t>（画面上では黄色）の部分のうち、</t>
    </r>
    <r>
      <rPr>
        <b/>
        <u val="double"/>
        <sz val="14"/>
        <color rgb="FFFF0000"/>
        <rFont val="HG丸ｺﾞｼｯｸM-PRO"/>
        <family val="3"/>
        <charset val="128"/>
      </rPr>
      <t>「４月分」のみ、</t>
    </r>
    <r>
      <rPr>
        <sz val="14"/>
        <rFont val="HG丸ｺﾞｼｯｸM-PRO"/>
        <family val="3"/>
        <charset val="128"/>
      </rPr>
      <t>入力をお願いします。</t>
    </r>
    <rPh sb="1" eb="4">
      <t>ガメンジョウ</t>
    </rPh>
    <rPh sb="6" eb="8">
      <t>キイロ</t>
    </rPh>
    <rPh sb="10" eb="12">
      <t>ブブン</t>
    </rPh>
    <rPh sb="18" eb="20">
      <t>ガツブン</t>
    </rPh>
    <rPh sb="24" eb="26">
      <t>ニュウリョク</t>
    </rPh>
    <rPh sb="28" eb="29">
      <t>ネガ</t>
    </rPh>
    <phoneticPr fontId="15"/>
  </si>
  <si>
    <t>※該当箇所につきまして、いずれも10月以降は見込みでご確認・ご記載ください。</t>
    <rPh sb="1" eb="3">
      <t>ガイトウ</t>
    </rPh>
    <rPh sb="3" eb="5">
      <t>カショ</t>
    </rPh>
    <rPh sb="18" eb="19">
      <t>ガツ</t>
    </rPh>
    <rPh sb="19" eb="21">
      <t>イコウ</t>
    </rPh>
    <rPh sb="22" eb="24">
      <t>ミコ</t>
    </rPh>
    <rPh sb="27" eb="29">
      <t>カクニン</t>
    </rPh>
    <rPh sb="31" eb="33">
      <t>キサイ</t>
    </rPh>
    <phoneticPr fontId="1"/>
  </si>
  <si>
    <t>　　　　　　↓　　幼保運営課職員が内容を確認し、各施設様へ連絡</t>
    <rPh sb="9" eb="14">
      <t>ヨウホ</t>
    </rPh>
    <rPh sb="14" eb="16">
      <t>ショクイン</t>
    </rPh>
    <rPh sb="17" eb="19">
      <t>ナイヨウ</t>
    </rPh>
    <rPh sb="20" eb="22">
      <t>カクニン</t>
    </rPh>
    <rPh sb="24" eb="25">
      <t>カク</t>
    </rPh>
    <rPh sb="25" eb="27">
      <t>シセツ</t>
    </rPh>
    <rPh sb="27" eb="28">
      <t>サマ</t>
    </rPh>
    <rPh sb="29" eb="31">
      <t>レンラク</t>
    </rPh>
    <phoneticPr fontId="1"/>
  </si>
  <si>
    <r>
      <rPr>
        <b/>
        <sz val="18"/>
        <color rgb="FFFF0000"/>
        <rFont val="HG丸ｺﾞｼｯｸM-PRO"/>
        <family val="3"/>
        <charset val="128"/>
      </rPr>
      <t>　　</t>
    </r>
    <r>
      <rPr>
        <b/>
        <u/>
        <sz val="18"/>
        <color rgb="FFFF0000"/>
        <rFont val="HG丸ｺﾞｼｯｸM-PRO"/>
        <family val="3"/>
        <charset val="128"/>
      </rPr>
      <t>令和２年１０月１２日（月）必着</t>
    </r>
    <rPh sb="2" eb="4">
      <t>レイワ</t>
    </rPh>
    <rPh sb="5" eb="6">
      <t>ネン</t>
    </rPh>
    <rPh sb="8" eb="9">
      <t>ガツ</t>
    </rPh>
    <rPh sb="11" eb="12">
      <t>ニチ</t>
    </rPh>
    <rPh sb="13" eb="14">
      <t>ゲツ</t>
    </rPh>
    <rPh sb="15" eb="17">
      <t>ヒッチャク</t>
    </rPh>
    <phoneticPr fontId="1"/>
  </si>
  <si>
    <t xml:space="preserve">         （このエクセルをメール提出＋「様式３（このＥｘｃｅｌの一番右のシート）」を印刷・押印の上郵送）</t>
    <rPh sb="36" eb="38">
      <t>イチバン</t>
    </rPh>
    <rPh sb="38" eb="39">
      <t>ミギ</t>
    </rPh>
    <phoneticPr fontId="15"/>
  </si>
  <si>
    <r>
      <t>※様式第１号、３号について、万一訂正があった際には至急差し替えをお願いすることとなります（</t>
    </r>
    <r>
      <rPr>
        <u val="double"/>
        <sz val="12"/>
        <color rgb="FFFF0000"/>
        <rFont val="HG丸ｺﾞｼｯｸM-PRO"/>
        <family val="3"/>
        <charset val="128"/>
      </rPr>
      <t>最悪、当日中に対応いただきま</t>
    </r>
    <r>
      <rPr>
        <sz val="12"/>
        <color rgb="FFFF0000"/>
        <rFont val="HG丸ｺﾞｼｯｸM-PRO"/>
        <family val="3"/>
        <charset val="128"/>
      </rPr>
      <t>す</t>
    </r>
    <r>
      <rPr>
        <sz val="12"/>
        <rFont val="HG丸ｺﾞｼｯｸM-PRO"/>
        <family val="3"/>
        <charset val="128"/>
      </rPr>
      <t>）。
　代表者印押印に時間を要する場合などには、事前に押印を手配する等、対応（準備）をお願いします。
　なお、様式第１号、３号の提出が遅れる場合、補助金の支給が出来かねることがありますので、ご注意ください。</t>
    </r>
    <rPh sb="14" eb="16">
      <t>マンイチ</t>
    </rPh>
    <rPh sb="16" eb="18">
      <t>テイセイ</t>
    </rPh>
    <rPh sb="22" eb="23">
      <t>サイ</t>
    </rPh>
    <rPh sb="25" eb="27">
      <t>シキュウ</t>
    </rPh>
    <rPh sb="27" eb="28">
      <t>サ</t>
    </rPh>
    <rPh sb="29" eb="30">
      <t>カ</t>
    </rPh>
    <rPh sb="33" eb="34">
      <t>ネガ</t>
    </rPh>
    <rPh sb="45" eb="47">
      <t>サイアク</t>
    </rPh>
    <rPh sb="48" eb="51">
      <t>トウジツチュウ</t>
    </rPh>
    <rPh sb="52" eb="54">
      <t>タイオウ</t>
    </rPh>
    <rPh sb="64" eb="66">
      <t>ダイヒョウ</t>
    </rPh>
    <rPh sb="66" eb="67">
      <t>モノ</t>
    </rPh>
    <rPh sb="67" eb="68">
      <t>イン</t>
    </rPh>
    <rPh sb="68" eb="70">
      <t>オウイン</t>
    </rPh>
    <rPh sb="71" eb="73">
      <t>ジカン</t>
    </rPh>
    <rPh sb="74" eb="75">
      <t>ヨウ</t>
    </rPh>
    <rPh sb="77" eb="79">
      <t>バアイ</t>
    </rPh>
    <rPh sb="84" eb="86">
      <t>ジゼン</t>
    </rPh>
    <rPh sb="87" eb="89">
      <t>オウイン</t>
    </rPh>
    <rPh sb="90" eb="92">
      <t>テハイ</t>
    </rPh>
    <rPh sb="94" eb="95">
      <t>ナド</t>
    </rPh>
    <rPh sb="96" eb="98">
      <t>タイオウ</t>
    </rPh>
    <rPh sb="99" eb="101">
      <t>ジュンビ</t>
    </rPh>
    <rPh sb="104" eb="105">
      <t>ネガ</t>
    </rPh>
    <rPh sb="115" eb="117">
      <t>ヨウシキ</t>
    </rPh>
    <rPh sb="117" eb="118">
      <t>ダイ</t>
    </rPh>
    <rPh sb="119" eb="120">
      <t>ゴウ</t>
    </rPh>
    <rPh sb="122" eb="123">
      <t>ゴウ</t>
    </rPh>
    <rPh sb="124" eb="126">
      <t>テイシュツ</t>
    </rPh>
    <rPh sb="127" eb="128">
      <t>オク</t>
    </rPh>
    <rPh sb="130" eb="132">
      <t>バアイ</t>
    </rPh>
    <rPh sb="133" eb="136">
      <t>ホジョキン</t>
    </rPh>
    <rPh sb="137" eb="139">
      <t>シキュウ</t>
    </rPh>
    <rPh sb="140" eb="142">
      <t>デキ</t>
    </rPh>
    <rPh sb="156" eb="158">
      <t>チュウイ</t>
    </rPh>
    <phoneticPr fontId="1"/>
  </si>
  <si>
    <t>通常の月単価</t>
    <rPh sb="0" eb="2">
      <t>ツウジョウ</t>
    </rPh>
    <rPh sb="3" eb="4">
      <t>ツキ</t>
    </rPh>
    <rPh sb="4" eb="6">
      <t>タンカ</t>
    </rPh>
    <phoneticPr fontId="1"/>
  </si>
  <si>
    <t>-</t>
    <phoneticPr fontId="1"/>
  </si>
  <si>
    <t>要配慮が１</t>
    <rPh sb="0" eb="1">
      <t>ヨウ</t>
    </rPh>
    <rPh sb="1" eb="3">
      <t>ハイリョ</t>
    </rPh>
    <phoneticPr fontId="1"/>
  </si>
  <si>
    <t>基本１の入力</t>
    <rPh sb="0" eb="2">
      <t>キホン</t>
    </rPh>
    <rPh sb="4" eb="6">
      <t>ニュウリョク</t>
    </rPh>
    <phoneticPr fontId="1"/>
  </si>
  <si>
    <t>それ以外ない</t>
    <rPh sb="2" eb="4">
      <t>イガイ</t>
    </rPh>
    <phoneticPr fontId="1"/>
  </si>
  <si>
    <t>全て〇</t>
    <rPh sb="0" eb="1">
      <t>スベ</t>
    </rPh>
    <phoneticPr fontId="1"/>
  </si>
  <si>
    <t>基本１の入力なし</t>
    <rPh sb="0" eb="2">
      <t>キホン</t>
    </rPh>
    <rPh sb="4" eb="6">
      <t>ニュウリョク</t>
    </rPh>
    <phoneticPr fontId="1"/>
  </si>
  <si>
    <t>栄養管理加算を除いた場合の月の単価</t>
    <rPh sb="0" eb="2">
      <t>エイヨウ</t>
    </rPh>
    <rPh sb="2" eb="4">
      <t>カンリ</t>
    </rPh>
    <rPh sb="4" eb="6">
      <t>カサン</t>
    </rPh>
    <rPh sb="7" eb="8">
      <t>ノゾ</t>
    </rPh>
    <rPh sb="10" eb="12">
      <t>バアイ</t>
    </rPh>
    <rPh sb="13" eb="14">
      <t>ツキ</t>
    </rPh>
    <rPh sb="15" eb="17">
      <t>タンカ</t>
    </rPh>
    <phoneticPr fontId="1"/>
  </si>
  <si>
    <t>カウント</t>
    <phoneticPr fontId="1"/>
  </si>
  <si>
    <t>調理師等</t>
    <rPh sb="0" eb="3">
      <t>チョウリシ</t>
    </rPh>
    <rPh sb="3" eb="4">
      <t>トウ</t>
    </rPh>
    <phoneticPr fontId="1"/>
  </si>
  <si>
    <t>保育士等の合計</t>
    <rPh sb="0" eb="3">
      <t>ホイクシ</t>
    </rPh>
    <rPh sb="3" eb="4">
      <t>トウ</t>
    </rPh>
    <rPh sb="5" eb="7">
      <t>ゴウケイ</t>
    </rPh>
    <phoneticPr fontId="1"/>
  </si>
  <si>
    <t>戻入額</t>
    <rPh sb="0" eb="2">
      <t>レイニュウ</t>
    </rPh>
    <rPh sb="2" eb="3">
      <t>ガク</t>
    </rPh>
    <phoneticPr fontId="1"/>
  </si>
  <si>
    <t>配置基準補助金　第2期分割請求の可否確認データ</t>
    <rPh sb="0" eb="4">
      <t>ｋｊ</t>
    </rPh>
    <rPh sb="4" eb="7">
      <t>ホジョキン</t>
    </rPh>
    <rPh sb="8" eb="9">
      <t>ダイ</t>
    </rPh>
    <rPh sb="10" eb="11">
      <t>キ</t>
    </rPh>
    <rPh sb="11" eb="13">
      <t>ブンカツ</t>
    </rPh>
    <rPh sb="13" eb="15">
      <t>セイキュウ</t>
    </rPh>
    <rPh sb="16" eb="18">
      <t>カヒ</t>
    </rPh>
    <rPh sb="18" eb="20">
      <t>カクニン</t>
    </rPh>
    <phoneticPr fontId="1"/>
  </si>
  <si>
    <t>※該当箇所につきまして、いずれも10月以降は9月の数字が反映されます。</t>
    <rPh sb="1" eb="3">
      <t>ガイトウ</t>
    </rPh>
    <rPh sb="3" eb="5">
      <t>カショ</t>
    </rPh>
    <rPh sb="18" eb="19">
      <t>ガツ</t>
    </rPh>
    <rPh sb="19" eb="21">
      <t>イコウ</t>
    </rPh>
    <rPh sb="23" eb="24">
      <t>ガツ</t>
    </rPh>
    <rPh sb="25" eb="27">
      <t>スウジ</t>
    </rPh>
    <rPh sb="28" eb="30">
      <t>ハンエイ</t>
    </rPh>
    <phoneticPr fontId="1"/>
  </si>
  <si>
    <t>２　第二期の分割請求を行う場合の提出期限</t>
    <rPh sb="2" eb="3">
      <t>ダイ</t>
    </rPh>
    <rPh sb="3" eb="5">
      <t>ニキ</t>
    </rPh>
    <rPh sb="6" eb="8">
      <t>ブンカツ</t>
    </rPh>
    <rPh sb="8" eb="10">
      <t>セイキュウ</t>
    </rPh>
    <rPh sb="11" eb="12">
      <t>オコナ</t>
    </rPh>
    <rPh sb="13" eb="15">
      <t>バアイ</t>
    </rPh>
    <rPh sb="16" eb="18">
      <t>テイシュツ</t>
    </rPh>
    <rPh sb="18" eb="20">
      <t>キゲン</t>
    </rPh>
    <phoneticPr fontId="1"/>
  </si>
  <si>
    <t>　　令和２年3月16日（月）　　　</t>
    <rPh sb="2" eb="4">
      <t>レイワ</t>
    </rPh>
    <rPh sb="5" eb="6">
      <t>ネン</t>
    </rPh>
    <rPh sb="7" eb="8">
      <t>ガツ</t>
    </rPh>
    <rPh sb="10" eb="11">
      <t>ニチ</t>
    </rPh>
    <rPh sb="12" eb="13">
      <t>ゲツ</t>
    </rPh>
    <phoneticPr fontId="1"/>
  </si>
  <si>
    <r>
      <t>※様式第４号、６号、８号について、万一訂正があった際には至急差し替えをお願いすることとなります（</t>
    </r>
    <r>
      <rPr>
        <u val="double"/>
        <sz val="12"/>
        <color rgb="FFFF0000"/>
        <rFont val="HG丸ｺﾞｼｯｸM-PRO"/>
        <family val="3"/>
        <charset val="128"/>
      </rPr>
      <t>最悪、当日中に対応いただきま</t>
    </r>
    <r>
      <rPr>
        <sz val="12"/>
        <color rgb="FFFF0000"/>
        <rFont val="HG丸ｺﾞｼｯｸM-PRO"/>
        <family val="3"/>
        <charset val="128"/>
      </rPr>
      <t>す</t>
    </r>
    <r>
      <rPr>
        <sz val="12"/>
        <rFont val="HG丸ｺﾞｼｯｸM-PRO"/>
        <family val="3"/>
        <charset val="128"/>
      </rPr>
      <t>）。
　代表者印押印に時間を要する場合などには、事前に押印を手配する等、対応（準備）をお願いします。
　なお、様式第4号、６号、８号の提出が遅れる場合、補助金の支給が出来かねることがありますので、ご注意ください。</t>
    </r>
    <rPh sb="17" eb="19">
      <t>マンイチ</t>
    </rPh>
    <rPh sb="19" eb="21">
      <t>テイセイ</t>
    </rPh>
    <rPh sb="25" eb="26">
      <t>サイ</t>
    </rPh>
    <rPh sb="28" eb="30">
      <t>シキュウ</t>
    </rPh>
    <rPh sb="30" eb="31">
      <t>サ</t>
    </rPh>
    <rPh sb="32" eb="33">
      <t>カ</t>
    </rPh>
    <rPh sb="36" eb="37">
      <t>ネガ</t>
    </rPh>
    <rPh sb="48" eb="50">
      <t>サイアク</t>
    </rPh>
    <rPh sb="51" eb="54">
      <t>トウジツチュウ</t>
    </rPh>
    <rPh sb="55" eb="57">
      <t>タイオウ</t>
    </rPh>
    <rPh sb="67" eb="69">
      <t>ダイヒョウ</t>
    </rPh>
    <rPh sb="69" eb="70">
      <t>モノ</t>
    </rPh>
    <rPh sb="70" eb="71">
      <t>イン</t>
    </rPh>
    <rPh sb="71" eb="73">
      <t>オウイン</t>
    </rPh>
    <rPh sb="74" eb="76">
      <t>ジカン</t>
    </rPh>
    <rPh sb="77" eb="78">
      <t>ヨウ</t>
    </rPh>
    <rPh sb="80" eb="82">
      <t>バアイ</t>
    </rPh>
    <rPh sb="87" eb="89">
      <t>ジゼン</t>
    </rPh>
    <rPh sb="90" eb="92">
      <t>オウイン</t>
    </rPh>
    <rPh sb="93" eb="95">
      <t>テハイ</t>
    </rPh>
    <rPh sb="97" eb="98">
      <t>ナド</t>
    </rPh>
    <rPh sb="99" eb="101">
      <t>タイオウ</t>
    </rPh>
    <rPh sb="102" eb="104">
      <t>ジュンビ</t>
    </rPh>
    <rPh sb="107" eb="108">
      <t>ネガ</t>
    </rPh>
    <rPh sb="118" eb="120">
      <t>ヨウシキ</t>
    </rPh>
    <rPh sb="120" eb="121">
      <t>ダイ</t>
    </rPh>
    <rPh sb="122" eb="123">
      <t>ゴウ</t>
    </rPh>
    <rPh sb="125" eb="126">
      <t>ゴウ</t>
    </rPh>
    <rPh sb="128" eb="129">
      <t>ゴウ</t>
    </rPh>
    <rPh sb="130" eb="132">
      <t>テイシュツ</t>
    </rPh>
    <rPh sb="133" eb="134">
      <t>オク</t>
    </rPh>
    <rPh sb="136" eb="138">
      <t>バアイ</t>
    </rPh>
    <rPh sb="139" eb="142">
      <t>ホジョキン</t>
    </rPh>
    <rPh sb="143" eb="145">
      <t>シキュウ</t>
    </rPh>
    <rPh sb="146" eb="148">
      <t>デキ</t>
    </rPh>
    <rPh sb="162" eb="164">
      <t>チュウイ</t>
    </rPh>
    <phoneticPr fontId="1"/>
  </si>
  <si>
    <t>そらまめ保育園新千葉</t>
  </si>
  <si>
    <t>リトルガーデンインターナショナル海浜幕張認可保育園</t>
  </si>
  <si>
    <t>リトルガーデンインターナショナル幕張本郷認可保育園</t>
  </si>
  <si>
    <t>園の並び</t>
    <rPh sb="0" eb="1">
      <t>エン</t>
    </rPh>
    <rPh sb="2" eb="3">
      <t>ナラ</t>
    </rPh>
    <phoneticPr fontId="1"/>
  </si>
  <si>
    <t>園名</t>
    <rPh sb="0" eb="2">
      <t>エンメイ</t>
    </rPh>
    <phoneticPr fontId="1"/>
  </si>
  <si>
    <t>判定</t>
    <rPh sb="0" eb="2">
      <t>ハンテイ</t>
    </rPh>
    <phoneticPr fontId="1"/>
  </si>
  <si>
    <t>情報</t>
    <rPh sb="0" eb="2">
      <t>ジョウホウ</t>
    </rPh>
    <phoneticPr fontId="1"/>
  </si>
  <si>
    <t>住所</t>
    <rPh sb="0" eb="2">
      <t>ジュウショ</t>
    </rPh>
    <phoneticPr fontId="1"/>
  </si>
  <si>
    <t>代表者職</t>
    <rPh sb="0" eb="3">
      <t>ダイヒョウシャ</t>
    </rPh>
    <rPh sb="3" eb="4">
      <t>ショク</t>
    </rPh>
    <phoneticPr fontId="1"/>
  </si>
  <si>
    <t>代表者名</t>
    <rPh sb="0" eb="3">
      <t>ダイヒョウシャ</t>
    </rPh>
    <rPh sb="3" eb="4">
      <t>メイ</t>
    </rPh>
    <phoneticPr fontId="1"/>
  </si>
  <si>
    <t>そらまめ保育園新千葉</t>
    <rPh sb="4" eb="7">
      <t>ホイクエン</t>
    </rPh>
    <rPh sb="7" eb="8">
      <t>シン</t>
    </rPh>
    <rPh sb="8" eb="10">
      <t>チバ</t>
    </rPh>
    <phoneticPr fontId="5"/>
  </si>
  <si>
    <t>オンジュソリール保育園　海浜幕張国際大通り</t>
  </si>
  <si>
    <t>長谷川　匡俊</t>
  </si>
  <si>
    <t>轟　麻衣子</t>
  </si>
  <si>
    <t>中林　瑞穂</t>
  </si>
  <si>
    <t>磯﨑 一雄</t>
  </si>
  <si>
    <t>武村　潤一</t>
  </si>
  <si>
    <t>西山　道憲</t>
  </si>
  <si>
    <t>後藤　伸太郎</t>
  </si>
  <si>
    <t>千葉市美浜区稲毛海岸3－1－30　フラワーヒル稲毛2階</t>
  </si>
  <si>
    <t>東京都中央区日本橋3-12-2　朝日ビルヂング４F</t>
  </si>
  <si>
    <t>東京都千代田区大手町1−6−1 大手町ビル213</t>
  </si>
  <si>
    <t>千葉県千葉市緑区おゆみ野中央6-50-10</t>
  </si>
  <si>
    <t>千葉市美浜区中瀬１－７ー１</t>
  </si>
  <si>
    <t>北海道北広島市Ｆビレッジ８番地</t>
  </si>
  <si>
    <t>千葉県千葉市稲毛区小深町261-45</t>
  </si>
  <si>
    <t>酒井　雄二</t>
  </si>
  <si>
    <t>東京都新宿区新宿5丁目1番1-202号</t>
  </si>
  <si>
    <t>有</t>
    <rPh sb="0" eb="1">
      <t>アリ</t>
    </rPh>
    <phoneticPr fontId="1"/>
  </si>
  <si>
    <t>認定こども園　双葉幼稚園</t>
  </si>
  <si>
    <t>幼保連携型認定こども園　ふたば保育園</t>
  </si>
  <si>
    <t>3号</t>
    <rPh sb="1" eb="2">
      <t>ゴウ</t>
    </rPh>
    <phoneticPr fontId="6"/>
  </si>
  <si>
    <t>3号の2</t>
    <rPh sb="1" eb="2">
      <t>ゴウ</t>
    </rPh>
    <phoneticPr fontId="6"/>
  </si>
  <si>
    <t>3号の3</t>
    <rPh sb="1" eb="2">
      <t>ゴウ</t>
    </rPh>
    <phoneticPr fontId="6"/>
  </si>
  <si>
    <t>3号の4</t>
    <rPh sb="1" eb="2">
      <t>ゴウ</t>
    </rPh>
    <phoneticPr fontId="6"/>
  </si>
  <si>
    <t>3号の5</t>
    <rPh sb="1" eb="2">
      <t>ゴウ</t>
    </rPh>
    <phoneticPr fontId="6"/>
  </si>
  <si>
    <t>3号の6</t>
    <rPh sb="1" eb="2">
      <t>ゴウ</t>
    </rPh>
    <phoneticPr fontId="6"/>
  </si>
  <si>
    <t>3号の7</t>
    <rPh sb="1" eb="2">
      <t>ゴウ</t>
    </rPh>
    <phoneticPr fontId="6"/>
  </si>
  <si>
    <t>3号の8</t>
    <rPh sb="1" eb="2">
      <t>ゴウ</t>
    </rPh>
    <phoneticPr fontId="6"/>
  </si>
  <si>
    <t>3号の9</t>
    <rPh sb="1" eb="2">
      <t>ゴウ</t>
    </rPh>
    <phoneticPr fontId="6"/>
  </si>
  <si>
    <t>3号の10</t>
    <rPh sb="1" eb="2">
      <t>ゴウ</t>
    </rPh>
    <phoneticPr fontId="6"/>
  </si>
  <si>
    <t>3号の11</t>
    <rPh sb="1" eb="2">
      <t>ゴウ</t>
    </rPh>
    <phoneticPr fontId="6"/>
  </si>
  <si>
    <t>3号の12</t>
    <rPh sb="1" eb="2">
      <t>ゴウ</t>
    </rPh>
    <phoneticPr fontId="6"/>
  </si>
  <si>
    <t>3号の13</t>
    <rPh sb="1" eb="2">
      <t>ゴウ</t>
    </rPh>
    <phoneticPr fontId="6"/>
  </si>
  <si>
    <t>3号の14</t>
    <rPh sb="1" eb="2">
      <t>ゴウ</t>
    </rPh>
    <phoneticPr fontId="6"/>
  </si>
  <si>
    <t>3号の15</t>
    <rPh sb="1" eb="2">
      <t>ゴウ</t>
    </rPh>
    <phoneticPr fontId="6"/>
  </si>
  <si>
    <t>3号の16</t>
    <rPh sb="1" eb="2">
      <t>ゴウ</t>
    </rPh>
    <phoneticPr fontId="6"/>
  </si>
  <si>
    <t>3号の17</t>
    <rPh sb="1" eb="2">
      <t>ゴウ</t>
    </rPh>
    <phoneticPr fontId="6"/>
  </si>
  <si>
    <t>3号の18</t>
    <rPh sb="1" eb="2">
      <t>ゴウ</t>
    </rPh>
    <phoneticPr fontId="6"/>
  </si>
  <si>
    <t>3号の19</t>
    <rPh sb="1" eb="2">
      <t>ゴウ</t>
    </rPh>
    <phoneticPr fontId="6"/>
  </si>
  <si>
    <t>3号の20</t>
    <rPh sb="1" eb="2">
      <t>ゴウ</t>
    </rPh>
    <phoneticPr fontId="6"/>
  </si>
  <si>
    <t>3号の21</t>
    <rPh sb="1" eb="2">
      <t>ゴウ</t>
    </rPh>
    <phoneticPr fontId="6"/>
  </si>
  <si>
    <t>3号の22</t>
    <rPh sb="1" eb="2">
      <t>ゴウ</t>
    </rPh>
    <phoneticPr fontId="6"/>
  </si>
  <si>
    <t>3号の23</t>
    <rPh sb="1" eb="2">
      <t>ゴウ</t>
    </rPh>
    <phoneticPr fontId="6"/>
  </si>
  <si>
    <t>3号の24</t>
    <rPh sb="1" eb="2">
      <t>ゴウ</t>
    </rPh>
    <phoneticPr fontId="6"/>
  </si>
  <si>
    <t>3号の25</t>
    <rPh sb="1" eb="2">
      <t>ゴウ</t>
    </rPh>
    <phoneticPr fontId="6"/>
  </si>
  <si>
    <t>3号の26</t>
    <rPh sb="1" eb="2">
      <t>ゴウ</t>
    </rPh>
    <phoneticPr fontId="6"/>
  </si>
  <si>
    <t>3号の27</t>
    <rPh sb="1" eb="2">
      <t>ゴウ</t>
    </rPh>
    <phoneticPr fontId="6"/>
  </si>
  <si>
    <t>3号の28</t>
    <rPh sb="1" eb="2">
      <t>ゴウ</t>
    </rPh>
    <phoneticPr fontId="6"/>
  </si>
  <si>
    <t>3号の29</t>
    <rPh sb="1" eb="2">
      <t>ゴウ</t>
    </rPh>
    <phoneticPr fontId="6"/>
  </si>
  <si>
    <t>3号の30</t>
    <rPh sb="1" eb="2">
      <t>ゴウ</t>
    </rPh>
    <phoneticPr fontId="6"/>
  </si>
  <si>
    <t>3号の31</t>
    <rPh sb="1" eb="2">
      <t>ゴウ</t>
    </rPh>
    <phoneticPr fontId="6"/>
  </si>
  <si>
    <t>3号の32</t>
    <rPh sb="1" eb="2">
      <t>ゴウ</t>
    </rPh>
    <phoneticPr fontId="6"/>
  </si>
  <si>
    <t>3号の33</t>
    <rPh sb="1" eb="2">
      <t>ゴウ</t>
    </rPh>
    <phoneticPr fontId="6"/>
  </si>
  <si>
    <t>3号の34</t>
    <rPh sb="1" eb="2">
      <t>ゴウ</t>
    </rPh>
    <phoneticPr fontId="6"/>
  </si>
  <si>
    <t>3号の35</t>
    <rPh sb="1" eb="2">
      <t>ゴウ</t>
    </rPh>
    <phoneticPr fontId="6"/>
  </si>
  <si>
    <t>3号の36</t>
    <rPh sb="1" eb="2">
      <t>ゴウ</t>
    </rPh>
    <phoneticPr fontId="6"/>
  </si>
  <si>
    <t>3号の37</t>
    <rPh sb="1" eb="2">
      <t>ゴウ</t>
    </rPh>
    <phoneticPr fontId="6"/>
  </si>
  <si>
    <t>3号の38</t>
    <rPh sb="1" eb="2">
      <t>ゴウ</t>
    </rPh>
    <phoneticPr fontId="6"/>
  </si>
  <si>
    <t>3号の39</t>
    <rPh sb="1" eb="2">
      <t>ゴウ</t>
    </rPh>
    <phoneticPr fontId="6"/>
  </si>
  <si>
    <t>3号の40</t>
    <rPh sb="1" eb="2">
      <t>ゴウ</t>
    </rPh>
    <phoneticPr fontId="6"/>
  </si>
  <si>
    <t>3号の41</t>
    <rPh sb="1" eb="2">
      <t>ゴウ</t>
    </rPh>
    <phoneticPr fontId="6"/>
  </si>
  <si>
    <t>3号の42</t>
    <rPh sb="1" eb="2">
      <t>ゴウ</t>
    </rPh>
    <phoneticPr fontId="6"/>
  </si>
  <si>
    <t>3号の44</t>
    <rPh sb="1" eb="2">
      <t>ゴウ</t>
    </rPh>
    <phoneticPr fontId="6"/>
  </si>
  <si>
    <t>3号の45</t>
    <rPh sb="1" eb="2">
      <t>ゴウ</t>
    </rPh>
    <phoneticPr fontId="6"/>
  </si>
  <si>
    <t>3号の46</t>
    <rPh sb="1" eb="2">
      <t>ゴウ</t>
    </rPh>
    <phoneticPr fontId="6"/>
  </si>
  <si>
    <t>3号の47</t>
    <rPh sb="1" eb="2">
      <t>ゴウ</t>
    </rPh>
    <phoneticPr fontId="6"/>
  </si>
  <si>
    <t>3号の48</t>
    <rPh sb="1" eb="2">
      <t>ゴウ</t>
    </rPh>
    <phoneticPr fontId="6"/>
  </si>
  <si>
    <t>3号の49</t>
    <rPh sb="1" eb="2">
      <t>ゴウ</t>
    </rPh>
    <phoneticPr fontId="6"/>
  </si>
  <si>
    <t>3号の50</t>
    <rPh sb="1" eb="2">
      <t>ゴウ</t>
    </rPh>
    <phoneticPr fontId="6"/>
  </si>
  <si>
    <t>3号の51</t>
    <rPh sb="1" eb="2">
      <t>ゴウ</t>
    </rPh>
    <phoneticPr fontId="6"/>
  </si>
  <si>
    <t>3号の52</t>
    <rPh sb="1" eb="2">
      <t>ゴウ</t>
    </rPh>
    <phoneticPr fontId="6"/>
  </si>
  <si>
    <t>3号の53</t>
    <rPh sb="1" eb="2">
      <t>ゴウ</t>
    </rPh>
    <phoneticPr fontId="6"/>
  </si>
  <si>
    <t>3号の54</t>
    <rPh sb="1" eb="2">
      <t>ゴウ</t>
    </rPh>
    <phoneticPr fontId="6"/>
  </si>
  <si>
    <t>3号の55</t>
    <rPh sb="1" eb="2">
      <t>ゴウ</t>
    </rPh>
    <phoneticPr fontId="6"/>
  </si>
  <si>
    <t>3号の56</t>
    <rPh sb="1" eb="2">
      <t>ゴウ</t>
    </rPh>
    <phoneticPr fontId="6"/>
  </si>
  <si>
    <t>3号の57</t>
    <rPh sb="1" eb="2">
      <t>ゴウ</t>
    </rPh>
    <phoneticPr fontId="6"/>
  </si>
  <si>
    <t>3号の58</t>
    <rPh sb="1" eb="2">
      <t>ゴウ</t>
    </rPh>
    <phoneticPr fontId="6"/>
  </si>
  <si>
    <t>3号の59</t>
    <rPh sb="1" eb="2">
      <t>ゴウ</t>
    </rPh>
    <phoneticPr fontId="6"/>
  </si>
  <si>
    <t>3号の60</t>
    <rPh sb="1" eb="2">
      <t>ゴウ</t>
    </rPh>
    <phoneticPr fontId="6"/>
  </si>
  <si>
    <t>3号の61</t>
    <rPh sb="1" eb="2">
      <t>ゴウ</t>
    </rPh>
    <phoneticPr fontId="6"/>
  </si>
  <si>
    <t>3号の62</t>
    <rPh sb="1" eb="2">
      <t>ゴウ</t>
    </rPh>
    <phoneticPr fontId="6"/>
  </si>
  <si>
    <t>3号の63</t>
    <rPh sb="1" eb="2">
      <t>ゴウ</t>
    </rPh>
    <phoneticPr fontId="6"/>
  </si>
  <si>
    <t>3号の64</t>
    <rPh sb="1" eb="2">
      <t>ゴウ</t>
    </rPh>
    <phoneticPr fontId="6"/>
  </si>
  <si>
    <t>3号の65</t>
    <rPh sb="1" eb="2">
      <t>ゴウ</t>
    </rPh>
    <phoneticPr fontId="6"/>
  </si>
  <si>
    <t>3号の66</t>
    <rPh sb="1" eb="2">
      <t>ゴウ</t>
    </rPh>
    <phoneticPr fontId="6"/>
  </si>
  <si>
    <t>3号の67</t>
    <rPh sb="1" eb="2">
      <t>ゴウ</t>
    </rPh>
    <phoneticPr fontId="6"/>
  </si>
  <si>
    <t>3号の68</t>
    <rPh sb="1" eb="2">
      <t>ゴウ</t>
    </rPh>
    <phoneticPr fontId="6"/>
  </si>
  <si>
    <t>3号の69</t>
    <rPh sb="1" eb="2">
      <t>ゴウ</t>
    </rPh>
    <phoneticPr fontId="6"/>
  </si>
  <si>
    <t>3号の70</t>
    <rPh sb="1" eb="2">
      <t>ゴウ</t>
    </rPh>
    <phoneticPr fontId="6"/>
  </si>
  <si>
    <t>3号の71</t>
    <rPh sb="1" eb="2">
      <t>ゴウ</t>
    </rPh>
    <phoneticPr fontId="6"/>
  </si>
  <si>
    <t>3号の72</t>
    <rPh sb="1" eb="2">
      <t>ゴウ</t>
    </rPh>
    <phoneticPr fontId="6"/>
  </si>
  <si>
    <t>3号の73</t>
    <rPh sb="1" eb="2">
      <t>ゴウ</t>
    </rPh>
    <phoneticPr fontId="6"/>
  </si>
  <si>
    <t>3号の74</t>
    <rPh sb="1" eb="2">
      <t>ゴウ</t>
    </rPh>
    <phoneticPr fontId="6"/>
  </si>
  <si>
    <t>3号の75</t>
    <rPh sb="1" eb="2">
      <t>ゴウ</t>
    </rPh>
    <phoneticPr fontId="6"/>
  </si>
  <si>
    <t>3号の76</t>
    <rPh sb="1" eb="2">
      <t>ゴウ</t>
    </rPh>
    <phoneticPr fontId="6"/>
  </si>
  <si>
    <t>3号の77</t>
    <rPh sb="1" eb="2">
      <t>ゴウ</t>
    </rPh>
    <phoneticPr fontId="6"/>
  </si>
  <si>
    <t>3号の78</t>
    <rPh sb="1" eb="2">
      <t>ゴウ</t>
    </rPh>
    <phoneticPr fontId="6"/>
  </si>
  <si>
    <t>3号の79</t>
    <rPh sb="1" eb="2">
      <t>ゴウ</t>
    </rPh>
    <phoneticPr fontId="6"/>
  </si>
  <si>
    <t>4号</t>
    <rPh sb="1" eb="2">
      <t>ゴウ</t>
    </rPh>
    <phoneticPr fontId="6"/>
  </si>
  <si>
    <t>4号の2</t>
    <rPh sb="1" eb="2">
      <t>ゴウ</t>
    </rPh>
    <phoneticPr fontId="6"/>
  </si>
  <si>
    <t>4号の3</t>
    <rPh sb="1" eb="2">
      <t>ゴウ</t>
    </rPh>
    <phoneticPr fontId="6"/>
  </si>
  <si>
    <t>4号の4</t>
    <rPh sb="1" eb="2">
      <t>ゴウ</t>
    </rPh>
    <phoneticPr fontId="6"/>
  </si>
  <si>
    <t>4号の5</t>
    <rPh sb="1" eb="2">
      <t>ゴウ</t>
    </rPh>
    <phoneticPr fontId="6"/>
  </si>
  <si>
    <t>4号の6</t>
    <rPh sb="1" eb="2">
      <t>ゴウ</t>
    </rPh>
    <phoneticPr fontId="6"/>
  </si>
  <si>
    <t>4号の7</t>
    <rPh sb="1" eb="2">
      <t>ゴウ</t>
    </rPh>
    <phoneticPr fontId="6"/>
  </si>
  <si>
    <t>4号の8</t>
    <rPh sb="1" eb="2">
      <t>ゴウ</t>
    </rPh>
    <phoneticPr fontId="6"/>
  </si>
  <si>
    <t>4号の9</t>
    <rPh sb="1" eb="2">
      <t>ゴウ</t>
    </rPh>
    <phoneticPr fontId="6"/>
  </si>
  <si>
    <t>4号の10</t>
    <rPh sb="1" eb="2">
      <t>ゴウ</t>
    </rPh>
    <phoneticPr fontId="6"/>
  </si>
  <si>
    <t>4号の11</t>
    <rPh sb="1" eb="2">
      <t>ゴウ</t>
    </rPh>
    <phoneticPr fontId="6"/>
  </si>
  <si>
    <t>4号の12</t>
    <rPh sb="1" eb="2">
      <t>ゴウ</t>
    </rPh>
    <phoneticPr fontId="6"/>
  </si>
  <si>
    <t>4号の13</t>
    <rPh sb="1" eb="2">
      <t>ゴウ</t>
    </rPh>
    <phoneticPr fontId="6"/>
  </si>
  <si>
    <t>4号の14</t>
    <rPh sb="1" eb="2">
      <t>ゴウ</t>
    </rPh>
    <phoneticPr fontId="6"/>
  </si>
  <si>
    <t>4号の15</t>
    <rPh sb="1" eb="2">
      <t>ゴウ</t>
    </rPh>
    <phoneticPr fontId="6"/>
  </si>
  <si>
    <t>4号の16</t>
    <rPh sb="1" eb="2">
      <t>ゴウ</t>
    </rPh>
    <phoneticPr fontId="6"/>
  </si>
  <si>
    <t>4号の17</t>
    <rPh sb="1" eb="2">
      <t>ゴウ</t>
    </rPh>
    <phoneticPr fontId="6"/>
  </si>
  <si>
    <t>4号の18</t>
    <rPh sb="1" eb="2">
      <t>ゴウ</t>
    </rPh>
    <phoneticPr fontId="6"/>
  </si>
  <si>
    <t>4号の19</t>
    <rPh sb="1" eb="2">
      <t>ゴウ</t>
    </rPh>
    <phoneticPr fontId="6"/>
  </si>
  <si>
    <t>4号の20</t>
    <rPh sb="1" eb="2">
      <t>ゴウ</t>
    </rPh>
    <phoneticPr fontId="6"/>
  </si>
  <si>
    <t>4号の21</t>
    <rPh sb="1" eb="2">
      <t>ゴウ</t>
    </rPh>
    <phoneticPr fontId="6"/>
  </si>
  <si>
    <t>4号の22</t>
    <rPh sb="1" eb="2">
      <t>ゴウ</t>
    </rPh>
    <phoneticPr fontId="6"/>
  </si>
  <si>
    <t>4号の23</t>
    <rPh sb="1" eb="2">
      <t>ゴウ</t>
    </rPh>
    <phoneticPr fontId="6"/>
  </si>
  <si>
    <t>4号の24</t>
    <rPh sb="1" eb="2">
      <t>ゴウ</t>
    </rPh>
    <phoneticPr fontId="6"/>
  </si>
  <si>
    <t>4号の25</t>
    <rPh sb="1" eb="2">
      <t>ゴウ</t>
    </rPh>
    <phoneticPr fontId="6"/>
  </si>
  <si>
    <t>4号の26</t>
    <rPh sb="1" eb="2">
      <t>ゴウ</t>
    </rPh>
    <phoneticPr fontId="6"/>
  </si>
  <si>
    <t>4号の27</t>
    <rPh sb="1" eb="2">
      <t>ゴウ</t>
    </rPh>
    <phoneticPr fontId="6"/>
  </si>
  <si>
    <t>4号の28</t>
    <rPh sb="1" eb="2">
      <t>ゴウ</t>
    </rPh>
    <phoneticPr fontId="6"/>
  </si>
  <si>
    <t>4号の29</t>
    <rPh sb="1" eb="2">
      <t>ゴウ</t>
    </rPh>
    <phoneticPr fontId="6"/>
  </si>
  <si>
    <t>4号の30</t>
    <rPh sb="1" eb="2">
      <t>ゴウ</t>
    </rPh>
    <phoneticPr fontId="6"/>
  </si>
  <si>
    <t>4号の31</t>
    <rPh sb="1" eb="2">
      <t>ゴウ</t>
    </rPh>
    <phoneticPr fontId="6"/>
  </si>
  <si>
    <t>4号の32</t>
    <rPh sb="1" eb="2">
      <t>ゴウ</t>
    </rPh>
    <phoneticPr fontId="6"/>
  </si>
  <si>
    <t>4号の33</t>
    <rPh sb="1" eb="2">
      <t>ゴウ</t>
    </rPh>
    <phoneticPr fontId="6"/>
  </si>
  <si>
    <t>4号の34</t>
    <rPh sb="1" eb="2">
      <t>ゴウ</t>
    </rPh>
    <phoneticPr fontId="6"/>
  </si>
  <si>
    <t>Gakkenほいくえん 稲毛</t>
    <rPh sb="12" eb="14">
      <t>イナゲ</t>
    </rPh>
    <phoneticPr fontId="2"/>
  </si>
  <si>
    <t>千葉誉田雲母保育園</t>
    <rPh sb="0" eb="2">
      <t>チバ</t>
    </rPh>
    <rPh sb="2" eb="4">
      <t>ホンダ</t>
    </rPh>
    <rPh sb="4" eb="6">
      <t>キララ</t>
    </rPh>
    <rPh sb="6" eb="9">
      <t>ホイクエン</t>
    </rPh>
    <phoneticPr fontId="4"/>
  </si>
  <si>
    <t>オーチャード・キッズ稲毛海岸保育園第二</t>
    <rPh sb="10" eb="14">
      <t>イナゲカイガン</t>
    </rPh>
    <rPh sb="14" eb="17">
      <t>ホイクエン</t>
    </rPh>
    <rPh sb="17" eb="19">
      <t>ダイニ</t>
    </rPh>
    <phoneticPr fontId="4"/>
  </si>
  <si>
    <t>ナーサリーホーム稲毛海岸</t>
    <rPh sb="8" eb="10">
      <t>イナゲ</t>
    </rPh>
    <rPh sb="10" eb="12">
      <t>カイガン</t>
    </rPh>
    <phoneticPr fontId="4"/>
  </si>
  <si>
    <t>令和５年１０月</t>
    <rPh sb="0" eb="2">
      <t>レイワ</t>
    </rPh>
    <rPh sb="3" eb="4">
      <t>ネン</t>
    </rPh>
    <rPh sb="6" eb="7">
      <t>ガツ</t>
    </rPh>
    <phoneticPr fontId="1"/>
  </si>
  <si>
    <t>助成第１班　渋谷</t>
    <phoneticPr fontId="1"/>
  </si>
  <si>
    <t>全ての補助有</t>
    <rPh sb="0" eb="1">
      <t>スベ</t>
    </rPh>
    <rPh sb="3" eb="5">
      <t>ホジョ</t>
    </rPh>
    <rPh sb="5" eb="6">
      <t>アリ</t>
    </rPh>
    <phoneticPr fontId="1"/>
  </si>
  <si>
    <t>→上記の合計</t>
    <rPh sb="1" eb="3">
      <t>ジョウキ</t>
    </rPh>
    <rPh sb="4" eb="6">
      <t>ゴウケイ</t>
    </rPh>
    <phoneticPr fontId="1"/>
  </si>
  <si>
    <t>→様式の数字</t>
    <rPh sb="1" eb="3">
      <t>ヨウシキ</t>
    </rPh>
    <rPh sb="4" eb="6">
      <t>スウジ</t>
    </rPh>
    <phoneticPr fontId="1"/>
  </si>
  <si>
    <t>　　令和５年１１月１０日（金）　　　</t>
    <rPh sb="2" eb="4">
      <t>レイワ</t>
    </rPh>
    <rPh sb="5" eb="6">
      <t>ネン</t>
    </rPh>
    <rPh sb="8" eb="9">
      <t>ガツ</t>
    </rPh>
    <rPh sb="11" eb="12">
      <t>ニチ</t>
    </rPh>
    <rPh sb="13" eb="14">
      <t>キン</t>
    </rPh>
    <phoneticPr fontId="1"/>
  </si>
  <si>
    <t>（福）天祐会</t>
  </si>
  <si>
    <t>（一社）こども未来福祉会</t>
  </si>
  <si>
    <t>（株）ポピンズエデュケア</t>
    <rPh sb="0" eb="3">
      <t>カブ</t>
    </rPh>
    <phoneticPr fontId="5"/>
  </si>
  <si>
    <t>（福）ChaCha Children &amp; Co.</t>
  </si>
  <si>
    <t>（福）泉福祉会</t>
  </si>
  <si>
    <t>AIAI Child Care(株)</t>
    <rPh sb="15" eb="18">
      <t>カブ</t>
    </rPh>
    <phoneticPr fontId="4"/>
  </si>
  <si>
    <t>（同）げんき企画</t>
  </si>
  <si>
    <t>（株）なのはな</t>
  </si>
  <si>
    <t>（株）INOUE</t>
    <rPh sb="1" eb="2">
      <t>カブ</t>
    </rPh>
    <phoneticPr fontId="4"/>
  </si>
  <si>
    <t>（株）リトルガーデン</t>
    <rPh sb="1" eb="2">
      <t>カブ</t>
    </rPh>
    <phoneticPr fontId="19"/>
  </si>
  <si>
    <t>（株）K'sgarden</t>
  </si>
  <si>
    <t>ジェー・エス・テー（株）</t>
  </si>
  <si>
    <t>（株）スター・フィールド</t>
    <rPh sb="0" eb="3">
      <t>カブ</t>
    </rPh>
    <phoneticPr fontId="4"/>
  </si>
  <si>
    <t>（株）キッズトラスト</t>
    <rPh sb="0" eb="3">
      <t>カブ</t>
    </rPh>
    <phoneticPr fontId="4"/>
  </si>
  <si>
    <t>（株）かえで</t>
    <rPh sb="0" eb="3">
      <t>カブ</t>
    </rPh>
    <phoneticPr fontId="4"/>
  </si>
  <si>
    <t>（福）宙福祉会</t>
    <rPh sb="1" eb="2">
      <t>フク</t>
    </rPh>
    <rPh sb="3" eb="4">
      <t>ソラ</t>
    </rPh>
    <rPh sb="4" eb="6">
      <t>フクシ</t>
    </rPh>
    <rPh sb="6" eb="7">
      <t>カイ</t>
    </rPh>
    <phoneticPr fontId="4"/>
  </si>
  <si>
    <t>（株）かるがも</t>
    <rPh sb="0" eb="3">
      <t>カブ</t>
    </rPh>
    <phoneticPr fontId="4"/>
  </si>
  <si>
    <t>（株）CRECER</t>
    <rPh sb="0" eb="3">
      <t>カブ</t>
    </rPh>
    <phoneticPr fontId="4"/>
  </si>
  <si>
    <t>（株）HOPPA</t>
    <rPh sb="0" eb="3">
      <t>カブ</t>
    </rPh>
    <phoneticPr fontId="4"/>
  </si>
  <si>
    <t>（株）新星</t>
    <rPh sb="0" eb="3">
      <t>カブ</t>
    </rPh>
    <rPh sb="3" eb="5">
      <t>シンセイ</t>
    </rPh>
    <phoneticPr fontId="4"/>
  </si>
  <si>
    <t>（特非）はなえみ</t>
    <rPh sb="1" eb="2">
      <t>トク</t>
    </rPh>
    <rPh sb="2" eb="3">
      <t>ヒ</t>
    </rPh>
    <phoneticPr fontId="4"/>
  </si>
  <si>
    <t>（株）グローバルナビゲーション</t>
    <rPh sb="0" eb="3">
      <t>カブ</t>
    </rPh>
    <phoneticPr fontId="4"/>
  </si>
  <si>
    <t>（学）キッズラボ学園</t>
    <rPh sb="8" eb="10">
      <t>ガクエン</t>
    </rPh>
    <phoneticPr fontId="4"/>
  </si>
  <si>
    <t>（株）EDU</t>
  </si>
  <si>
    <t>（株）キッズホーム欒</t>
  </si>
  <si>
    <t>千葉市美浜区真砂2-24-8</t>
  </si>
  <si>
    <t>田代　鉄也</t>
  </si>
  <si>
    <t>安藤　勲</t>
  </si>
  <si>
    <t>○</t>
  </si>
  <si>
    <t>市川市国府台2-9-13</t>
  </si>
  <si>
    <t>佐藤　敏光</t>
    <rPh sb="3" eb="5">
      <t>トシミツ</t>
    </rPh>
    <phoneticPr fontId="13"/>
  </si>
  <si>
    <t>井上　悟</t>
    <rPh sb="0" eb="2">
      <t>イノウエ</t>
    </rPh>
    <rPh sb="3" eb="4">
      <t>サトル</t>
    </rPh>
    <phoneticPr fontId="3"/>
  </si>
  <si>
    <t>井上　悟</t>
    <rPh sb="0" eb="2">
      <t>イノウエ</t>
    </rPh>
    <rPh sb="3" eb="4">
      <t>サトル</t>
    </rPh>
    <phoneticPr fontId="15"/>
  </si>
  <si>
    <t>千葉市緑区おゆみ野中央７丁目３０</t>
    <rPh sb="0" eb="3">
      <t>チバシ</t>
    </rPh>
    <rPh sb="8" eb="9">
      <t>ノ</t>
    </rPh>
    <rPh sb="9" eb="11">
      <t>チュウオウ</t>
    </rPh>
    <rPh sb="12" eb="14">
      <t>チョウメ</t>
    </rPh>
    <phoneticPr fontId="4"/>
  </si>
  <si>
    <t>千葉市稲毛区小仲台2-10-1</t>
    <rPh sb="0" eb="3">
      <t>チバシ</t>
    </rPh>
    <rPh sb="3" eb="6">
      <t>イナゲク</t>
    </rPh>
    <rPh sb="6" eb="9">
      <t>コナカダイ</t>
    </rPh>
    <phoneticPr fontId="2"/>
  </si>
  <si>
    <t>繁田　高広</t>
    <rPh sb="0" eb="2">
      <t>シゲタ</t>
    </rPh>
    <rPh sb="3" eb="5">
      <t>タカヒロ</t>
    </rPh>
    <phoneticPr fontId="15"/>
  </si>
  <si>
    <t>船橋市藤原８丁目１７－２</t>
    <rPh sb="0" eb="3">
      <t>フナバシシ</t>
    </rPh>
    <rPh sb="3" eb="5">
      <t>フジワラ</t>
    </rPh>
    <rPh sb="6" eb="8">
      <t>チョウメ</t>
    </rPh>
    <phoneticPr fontId="4"/>
  </si>
  <si>
    <t>篠田哲寿</t>
    <rPh sb="0" eb="2">
      <t>シノダ</t>
    </rPh>
    <rPh sb="2" eb="3">
      <t>テツ</t>
    </rPh>
    <rPh sb="3" eb="4">
      <t>ジュ</t>
    </rPh>
    <phoneticPr fontId="15"/>
  </si>
  <si>
    <t>茂原市高師８６４－１</t>
    <rPh sb="0" eb="3">
      <t>モバラシ</t>
    </rPh>
    <rPh sb="3" eb="5">
      <t>タカシ</t>
    </rPh>
    <phoneticPr fontId="4"/>
  </si>
  <si>
    <t>井上 悟</t>
    <rPh sb="0" eb="2">
      <t>イノウエ</t>
    </rPh>
    <rPh sb="3" eb="4">
      <t>サトル</t>
    </rPh>
    <phoneticPr fontId="3"/>
  </si>
  <si>
    <t>代表取締役</t>
    <rPh sb="0" eb="2">
      <t>ダイヒョウ</t>
    </rPh>
    <rPh sb="2" eb="5">
      <t>トリシマリヤク</t>
    </rPh>
    <phoneticPr fontId="15"/>
  </si>
  <si>
    <t>野田　純</t>
    <rPh sb="0" eb="2">
      <t>ノダ</t>
    </rPh>
    <rPh sb="3" eb="4">
      <t>ジュン</t>
    </rPh>
    <phoneticPr fontId="15"/>
  </si>
  <si>
    <t>東京都世田谷区祖師谷3-10-11</t>
    <rPh sb="0" eb="3">
      <t>トウキョウト</t>
    </rPh>
    <rPh sb="3" eb="7">
      <t>セタガヤク</t>
    </rPh>
    <rPh sb="7" eb="10">
      <t>ソシガヤ</t>
    </rPh>
    <phoneticPr fontId="15"/>
  </si>
  <si>
    <t>理事長</t>
    <rPh sb="0" eb="3">
      <t>リジチョウ</t>
    </rPh>
    <phoneticPr fontId="15"/>
  </si>
  <si>
    <t>前田　効多郎</t>
    <rPh sb="0" eb="2">
      <t>マエダ</t>
    </rPh>
    <rPh sb="3" eb="4">
      <t>コウ</t>
    </rPh>
    <rPh sb="4" eb="6">
      <t>タロウ</t>
    </rPh>
    <phoneticPr fontId="15"/>
  </si>
  <si>
    <t>和歌山県紀の川市古和田２４０</t>
    <rPh sb="0" eb="4">
      <t>ワカヤマケン</t>
    </rPh>
    <rPh sb="4" eb="5">
      <t>キ</t>
    </rPh>
    <rPh sb="7" eb="8">
      <t>シ</t>
    </rPh>
    <rPh sb="8" eb="9">
      <t>フル</t>
    </rPh>
    <rPh sb="9" eb="11">
      <t>ワダ</t>
    </rPh>
    <phoneticPr fontId="15"/>
  </si>
  <si>
    <t>一般型・余裕活用型・-</t>
    <rPh sb="0" eb="3">
      <t>イッパンガタ</t>
    </rPh>
    <rPh sb="4" eb="6">
      <t>ヨユウ</t>
    </rPh>
    <rPh sb="6" eb="9">
      <t>カツヨウガタ</t>
    </rPh>
    <phoneticPr fontId="2"/>
  </si>
  <si>
    <t>有・無・-</t>
    <rPh sb="0" eb="1">
      <t>アリ</t>
    </rPh>
    <rPh sb="2" eb="3">
      <t>ナシ</t>
    </rPh>
    <phoneticPr fontId="2"/>
  </si>
  <si>
    <t>数字</t>
    <rPh sb="0" eb="2">
      <t>スウジ</t>
    </rPh>
    <phoneticPr fontId="2"/>
  </si>
  <si>
    <t>一時預かり実施形態（４月）</t>
    <rPh sb="0" eb="2">
      <t>イチジ</t>
    </rPh>
    <rPh sb="2" eb="3">
      <t>アズ</t>
    </rPh>
    <rPh sb="5" eb="7">
      <t>ジッシ</t>
    </rPh>
    <rPh sb="7" eb="9">
      <t>ケイタイ</t>
    </rPh>
    <rPh sb="11" eb="12">
      <t>ガツ</t>
    </rPh>
    <phoneticPr fontId="2"/>
  </si>
  <si>
    <t>一時預かり実施形態（５月）</t>
    <rPh sb="0" eb="2">
      <t>イチジ</t>
    </rPh>
    <rPh sb="2" eb="3">
      <t>アズ</t>
    </rPh>
    <rPh sb="5" eb="7">
      <t>ジッシ</t>
    </rPh>
    <rPh sb="7" eb="9">
      <t>ケイタイ</t>
    </rPh>
    <rPh sb="11" eb="12">
      <t>ガツ</t>
    </rPh>
    <phoneticPr fontId="2"/>
  </si>
  <si>
    <t>一時預かり実施形態（６月）</t>
    <rPh sb="0" eb="2">
      <t>イチジ</t>
    </rPh>
    <rPh sb="2" eb="3">
      <t>アズ</t>
    </rPh>
    <rPh sb="5" eb="7">
      <t>ジッシ</t>
    </rPh>
    <rPh sb="7" eb="9">
      <t>ケイタイ</t>
    </rPh>
    <rPh sb="11" eb="12">
      <t>ガツ</t>
    </rPh>
    <phoneticPr fontId="2"/>
  </si>
  <si>
    <t>一時預かり実施形態（７月）</t>
    <rPh sb="0" eb="2">
      <t>イチジ</t>
    </rPh>
    <rPh sb="2" eb="3">
      <t>アズ</t>
    </rPh>
    <rPh sb="5" eb="7">
      <t>ジッシ</t>
    </rPh>
    <rPh sb="7" eb="9">
      <t>ケイタイ</t>
    </rPh>
    <rPh sb="11" eb="12">
      <t>ガツ</t>
    </rPh>
    <phoneticPr fontId="2"/>
  </si>
  <si>
    <t>一時預かり実施形態（８月）</t>
    <rPh sb="0" eb="2">
      <t>イチジ</t>
    </rPh>
    <rPh sb="2" eb="3">
      <t>アズ</t>
    </rPh>
    <rPh sb="5" eb="7">
      <t>ジッシ</t>
    </rPh>
    <rPh sb="7" eb="9">
      <t>ケイタイ</t>
    </rPh>
    <rPh sb="11" eb="12">
      <t>ガツ</t>
    </rPh>
    <phoneticPr fontId="2"/>
  </si>
  <si>
    <t>一時預かり実施形態（９月）</t>
    <rPh sb="0" eb="2">
      <t>イチジ</t>
    </rPh>
    <rPh sb="2" eb="3">
      <t>アズ</t>
    </rPh>
    <rPh sb="5" eb="7">
      <t>ジッシ</t>
    </rPh>
    <rPh sb="7" eb="9">
      <t>ケイタイ</t>
    </rPh>
    <rPh sb="11" eb="12">
      <t>ガツ</t>
    </rPh>
    <phoneticPr fontId="2"/>
  </si>
  <si>
    <t>一時預かり実施形態（１０月）</t>
    <rPh sb="0" eb="2">
      <t>イチジ</t>
    </rPh>
    <rPh sb="2" eb="3">
      <t>アズ</t>
    </rPh>
    <rPh sb="5" eb="7">
      <t>ジッシ</t>
    </rPh>
    <rPh sb="7" eb="9">
      <t>ケイタイ</t>
    </rPh>
    <rPh sb="12" eb="13">
      <t>ガツ</t>
    </rPh>
    <phoneticPr fontId="2"/>
  </si>
  <si>
    <t>一時預かり実施形態（１１月）</t>
    <rPh sb="0" eb="2">
      <t>イチジ</t>
    </rPh>
    <rPh sb="2" eb="3">
      <t>アズ</t>
    </rPh>
    <rPh sb="5" eb="7">
      <t>ジッシ</t>
    </rPh>
    <rPh sb="7" eb="9">
      <t>ケイタイ</t>
    </rPh>
    <rPh sb="12" eb="13">
      <t>ガツ</t>
    </rPh>
    <phoneticPr fontId="2"/>
  </si>
  <si>
    <t>一時預かり実施形態（１２月）</t>
    <rPh sb="0" eb="2">
      <t>イチジ</t>
    </rPh>
    <rPh sb="2" eb="3">
      <t>アズ</t>
    </rPh>
    <rPh sb="5" eb="7">
      <t>ジッシ</t>
    </rPh>
    <rPh sb="7" eb="9">
      <t>ケイタイ</t>
    </rPh>
    <rPh sb="12" eb="13">
      <t>ガツ</t>
    </rPh>
    <phoneticPr fontId="2"/>
  </si>
  <si>
    <t>一時預かり実施形態（１月）</t>
    <rPh sb="0" eb="2">
      <t>イチジ</t>
    </rPh>
    <rPh sb="2" eb="3">
      <t>アズ</t>
    </rPh>
    <rPh sb="5" eb="7">
      <t>ジッシ</t>
    </rPh>
    <rPh sb="7" eb="9">
      <t>ケイタイ</t>
    </rPh>
    <rPh sb="11" eb="12">
      <t>ガツ</t>
    </rPh>
    <phoneticPr fontId="2"/>
  </si>
  <si>
    <t>一時預かり実施形態（２月）</t>
    <rPh sb="0" eb="2">
      <t>イチジ</t>
    </rPh>
    <rPh sb="2" eb="3">
      <t>アズ</t>
    </rPh>
    <rPh sb="5" eb="7">
      <t>ジッシ</t>
    </rPh>
    <rPh sb="7" eb="9">
      <t>ケイタイ</t>
    </rPh>
    <rPh sb="11" eb="12">
      <t>ガツ</t>
    </rPh>
    <phoneticPr fontId="2"/>
  </si>
  <si>
    <t>一時預かり実施形態（３月）</t>
    <rPh sb="0" eb="2">
      <t>イチジ</t>
    </rPh>
    <rPh sb="2" eb="3">
      <t>アズ</t>
    </rPh>
    <rPh sb="5" eb="7">
      <t>ジッシ</t>
    </rPh>
    <rPh sb="7" eb="9">
      <t>ケイタイ</t>
    </rPh>
    <rPh sb="11" eb="12">
      <t>ガツ</t>
    </rPh>
    <phoneticPr fontId="2"/>
  </si>
  <si>
    <t>1人加配の適用（一般型のみ・４月）</t>
    <rPh sb="1" eb="2">
      <t>ニン</t>
    </rPh>
    <rPh sb="2" eb="4">
      <t>カハイ</t>
    </rPh>
    <rPh sb="5" eb="7">
      <t>テキヨウ</t>
    </rPh>
    <rPh sb="8" eb="11">
      <t>イッパンガタ</t>
    </rPh>
    <rPh sb="15" eb="16">
      <t>ガツ</t>
    </rPh>
    <phoneticPr fontId="2"/>
  </si>
  <si>
    <t>1人加配の適用（一般型のみ・５月）</t>
    <rPh sb="1" eb="2">
      <t>ニン</t>
    </rPh>
    <rPh sb="2" eb="4">
      <t>カハイ</t>
    </rPh>
    <rPh sb="5" eb="7">
      <t>テキヨウ</t>
    </rPh>
    <rPh sb="8" eb="11">
      <t>イッパンガタ</t>
    </rPh>
    <rPh sb="15" eb="16">
      <t>ガツ</t>
    </rPh>
    <phoneticPr fontId="2"/>
  </si>
  <si>
    <t>1人加配の適用（一般型のみ・６月）</t>
    <rPh sb="1" eb="2">
      <t>ニン</t>
    </rPh>
    <rPh sb="2" eb="4">
      <t>カハイ</t>
    </rPh>
    <rPh sb="5" eb="7">
      <t>テキヨウ</t>
    </rPh>
    <rPh sb="8" eb="11">
      <t>イッパンガタ</t>
    </rPh>
    <rPh sb="15" eb="16">
      <t>ガツ</t>
    </rPh>
    <phoneticPr fontId="2"/>
  </si>
  <si>
    <t>1人加配の適用（一般型のみ・７月）</t>
    <rPh sb="1" eb="2">
      <t>ニン</t>
    </rPh>
    <rPh sb="2" eb="4">
      <t>カハイ</t>
    </rPh>
    <rPh sb="5" eb="7">
      <t>テキヨウ</t>
    </rPh>
    <rPh sb="8" eb="11">
      <t>イッパンガタ</t>
    </rPh>
    <rPh sb="15" eb="16">
      <t>ガツ</t>
    </rPh>
    <phoneticPr fontId="2"/>
  </si>
  <si>
    <t>1人加配の適用（一般型のみ・８月）</t>
    <rPh sb="1" eb="2">
      <t>ニン</t>
    </rPh>
    <rPh sb="2" eb="4">
      <t>カハイ</t>
    </rPh>
    <rPh sb="5" eb="7">
      <t>テキヨウ</t>
    </rPh>
    <rPh sb="8" eb="11">
      <t>イッパンガタ</t>
    </rPh>
    <rPh sb="15" eb="16">
      <t>ガツ</t>
    </rPh>
    <phoneticPr fontId="2"/>
  </si>
  <si>
    <t>1人加配の適用（一般型のみ・９月）</t>
    <rPh sb="1" eb="2">
      <t>ニン</t>
    </rPh>
    <rPh sb="2" eb="4">
      <t>カハイ</t>
    </rPh>
    <rPh sb="5" eb="7">
      <t>テキヨウ</t>
    </rPh>
    <rPh sb="8" eb="11">
      <t>イッパンガタ</t>
    </rPh>
    <rPh sb="15" eb="16">
      <t>ガツ</t>
    </rPh>
    <phoneticPr fontId="2"/>
  </si>
  <si>
    <t>1人加配の適用（一般型のみ・１０月）</t>
    <rPh sb="1" eb="2">
      <t>ニン</t>
    </rPh>
    <rPh sb="2" eb="4">
      <t>カハイ</t>
    </rPh>
    <rPh sb="5" eb="7">
      <t>テキヨウ</t>
    </rPh>
    <rPh sb="8" eb="11">
      <t>イッパンガタ</t>
    </rPh>
    <rPh sb="16" eb="17">
      <t>ガツ</t>
    </rPh>
    <phoneticPr fontId="2"/>
  </si>
  <si>
    <t>1人加配の適用（一般型のみ・１１月）</t>
    <rPh sb="1" eb="2">
      <t>ニン</t>
    </rPh>
    <rPh sb="2" eb="4">
      <t>カハイ</t>
    </rPh>
    <rPh sb="5" eb="7">
      <t>テキヨウ</t>
    </rPh>
    <rPh sb="8" eb="11">
      <t>イッパンガタ</t>
    </rPh>
    <rPh sb="16" eb="17">
      <t>ガツ</t>
    </rPh>
    <phoneticPr fontId="2"/>
  </si>
  <si>
    <t>1人加配の適用（一般型のみ・１２月）</t>
    <rPh sb="1" eb="2">
      <t>ニン</t>
    </rPh>
    <rPh sb="2" eb="4">
      <t>カハイ</t>
    </rPh>
    <rPh sb="5" eb="7">
      <t>テキヨウ</t>
    </rPh>
    <rPh sb="8" eb="11">
      <t>イッパンガタ</t>
    </rPh>
    <rPh sb="16" eb="17">
      <t>ガツ</t>
    </rPh>
    <phoneticPr fontId="2"/>
  </si>
  <si>
    <t>1人加配の適用（一般型のみ・１月）</t>
    <rPh sb="1" eb="2">
      <t>ニン</t>
    </rPh>
    <rPh sb="2" eb="4">
      <t>カハイ</t>
    </rPh>
    <rPh sb="5" eb="7">
      <t>テキヨウ</t>
    </rPh>
    <rPh sb="8" eb="11">
      <t>イッパンガタ</t>
    </rPh>
    <rPh sb="15" eb="16">
      <t>ガツ</t>
    </rPh>
    <phoneticPr fontId="2"/>
  </si>
  <si>
    <t>1人加配の適用（一般型のみ・２月）</t>
    <rPh sb="1" eb="2">
      <t>ニン</t>
    </rPh>
    <rPh sb="2" eb="4">
      <t>カハイ</t>
    </rPh>
    <rPh sb="5" eb="7">
      <t>テキヨウ</t>
    </rPh>
    <rPh sb="8" eb="11">
      <t>イッパンガタ</t>
    </rPh>
    <rPh sb="15" eb="16">
      <t>ガツ</t>
    </rPh>
    <phoneticPr fontId="2"/>
  </si>
  <si>
    <t>1人加配の適用（一般型のみ・３月）</t>
    <rPh sb="1" eb="2">
      <t>ニン</t>
    </rPh>
    <rPh sb="2" eb="4">
      <t>カハイ</t>
    </rPh>
    <rPh sb="5" eb="7">
      <t>テキヨウ</t>
    </rPh>
    <rPh sb="8" eb="11">
      <t>イッパンガタ</t>
    </rPh>
    <rPh sb="15" eb="16">
      <t>ガツ</t>
    </rPh>
    <phoneticPr fontId="2"/>
  </si>
  <si>
    <t>市要配慮(保育士)加配数
(4月）</t>
    <rPh sb="0" eb="1">
      <t>シ</t>
    </rPh>
    <rPh sb="1" eb="2">
      <t>ヨウ</t>
    </rPh>
    <rPh sb="2" eb="4">
      <t>ハイリョ</t>
    </rPh>
    <rPh sb="5" eb="8">
      <t>ホイクシ</t>
    </rPh>
    <rPh sb="9" eb="11">
      <t>カハイ</t>
    </rPh>
    <rPh sb="11" eb="12">
      <t>スウ</t>
    </rPh>
    <rPh sb="15" eb="16">
      <t>ガツ</t>
    </rPh>
    <phoneticPr fontId="2"/>
  </si>
  <si>
    <t>市要配慮(保育士)加配数
(5月）</t>
    <rPh sb="0" eb="1">
      <t>シ</t>
    </rPh>
    <rPh sb="1" eb="2">
      <t>ヨウ</t>
    </rPh>
    <rPh sb="2" eb="4">
      <t>ハイリョ</t>
    </rPh>
    <rPh sb="5" eb="8">
      <t>ホイクシ</t>
    </rPh>
    <rPh sb="9" eb="11">
      <t>カハイ</t>
    </rPh>
    <rPh sb="11" eb="12">
      <t>スウ</t>
    </rPh>
    <rPh sb="15" eb="16">
      <t>ガツ</t>
    </rPh>
    <phoneticPr fontId="2"/>
  </si>
  <si>
    <t>市要配慮(保育士)加配数
(6月）</t>
    <rPh sb="0" eb="1">
      <t>シ</t>
    </rPh>
    <rPh sb="1" eb="2">
      <t>ヨウ</t>
    </rPh>
    <rPh sb="2" eb="4">
      <t>ハイリョ</t>
    </rPh>
    <rPh sb="5" eb="8">
      <t>ホイクシ</t>
    </rPh>
    <rPh sb="9" eb="11">
      <t>カハイ</t>
    </rPh>
    <rPh sb="11" eb="12">
      <t>スウ</t>
    </rPh>
    <rPh sb="15" eb="16">
      <t>ガツ</t>
    </rPh>
    <phoneticPr fontId="2"/>
  </si>
  <si>
    <t>市要配慮(保育士)加配数
(7月）</t>
    <rPh sb="0" eb="1">
      <t>シ</t>
    </rPh>
    <rPh sb="1" eb="2">
      <t>ヨウ</t>
    </rPh>
    <rPh sb="2" eb="4">
      <t>ハイリョ</t>
    </rPh>
    <rPh sb="5" eb="8">
      <t>ホイクシ</t>
    </rPh>
    <rPh sb="9" eb="11">
      <t>カハイ</t>
    </rPh>
    <rPh sb="11" eb="12">
      <t>スウ</t>
    </rPh>
    <rPh sb="15" eb="16">
      <t>ガツ</t>
    </rPh>
    <phoneticPr fontId="2"/>
  </si>
  <si>
    <t>市要配慮(保育士)加配数
(8月）</t>
    <rPh sb="0" eb="1">
      <t>シ</t>
    </rPh>
    <rPh sb="1" eb="2">
      <t>ヨウ</t>
    </rPh>
    <rPh sb="2" eb="4">
      <t>ハイリョ</t>
    </rPh>
    <rPh sb="5" eb="8">
      <t>ホイクシ</t>
    </rPh>
    <rPh sb="9" eb="11">
      <t>カハイ</t>
    </rPh>
    <rPh sb="11" eb="12">
      <t>スウ</t>
    </rPh>
    <rPh sb="15" eb="16">
      <t>ガツ</t>
    </rPh>
    <phoneticPr fontId="2"/>
  </si>
  <si>
    <t>市要配慮(保育士)加配数
(9月）</t>
    <rPh sb="0" eb="1">
      <t>シ</t>
    </rPh>
    <rPh sb="1" eb="2">
      <t>ヨウ</t>
    </rPh>
    <rPh sb="2" eb="4">
      <t>ハイリョ</t>
    </rPh>
    <rPh sb="5" eb="8">
      <t>ホイクシ</t>
    </rPh>
    <rPh sb="9" eb="11">
      <t>カハイ</t>
    </rPh>
    <rPh sb="11" eb="12">
      <t>スウ</t>
    </rPh>
    <rPh sb="15" eb="16">
      <t>ガツ</t>
    </rPh>
    <phoneticPr fontId="2"/>
  </si>
  <si>
    <t>市要配慮(保育士)加配数
(10月）</t>
    <rPh sb="0" eb="1">
      <t>シ</t>
    </rPh>
    <rPh sb="1" eb="2">
      <t>ヨウ</t>
    </rPh>
    <rPh sb="2" eb="4">
      <t>ハイリョ</t>
    </rPh>
    <rPh sb="5" eb="8">
      <t>ホイクシ</t>
    </rPh>
    <rPh sb="9" eb="11">
      <t>カハイ</t>
    </rPh>
    <rPh sb="11" eb="12">
      <t>スウ</t>
    </rPh>
    <rPh sb="16" eb="17">
      <t>ガツ</t>
    </rPh>
    <phoneticPr fontId="2"/>
  </si>
  <si>
    <t>市要配慮(保育士)加配数
(11月）</t>
    <rPh sb="0" eb="1">
      <t>シ</t>
    </rPh>
    <rPh sb="1" eb="2">
      <t>ヨウ</t>
    </rPh>
    <rPh sb="2" eb="4">
      <t>ハイリョ</t>
    </rPh>
    <rPh sb="5" eb="8">
      <t>ホイクシ</t>
    </rPh>
    <rPh sb="9" eb="11">
      <t>カハイ</t>
    </rPh>
    <rPh sb="11" eb="12">
      <t>スウ</t>
    </rPh>
    <rPh sb="16" eb="17">
      <t>ガツ</t>
    </rPh>
    <phoneticPr fontId="2"/>
  </si>
  <si>
    <t>市要配慮(保育士)加配数
(12月）</t>
    <rPh sb="0" eb="1">
      <t>シ</t>
    </rPh>
    <rPh sb="1" eb="2">
      <t>ヨウ</t>
    </rPh>
    <rPh sb="2" eb="4">
      <t>ハイリョ</t>
    </rPh>
    <rPh sb="5" eb="8">
      <t>ホイクシ</t>
    </rPh>
    <rPh sb="9" eb="11">
      <t>カハイ</t>
    </rPh>
    <rPh sb="11" eb="12">
      <t>スウ</t>
    </rPh>
    <rPh sb="16" eb="17">
      <t>ガツ</t>
    </rPh>
    <phoneticPr fontId="2"/>
  </si>
  <si>
    <t>市要配慮(保育士)加配数
(1月）</t>
    <rPh sb="0" eb="1">
      <t>シ</t>
    </rPh>
    <rPh sb="1" eb="2">
      <t>ヨウ</t>
    </rPh>
    <rPh sb="2" eb="4">
      <t>ハイリョ</t>
    </rPh>
    <rPh sb="5" eb="8">
      <t>ホイクシ</t>
    </rPh>
    <rPh sb="9" eb="11">
      <t>カハイ</t>
    </rPh>
    <rPh sb="11" eb="12">
      <t>スウ</t>
    </rPh>
    <rPh sb="15" eb="16">
      <t>ガツ</t>
    </rPh>
    <phoneticPr fontId="2"/>
  </si>
  <si>
    <t>市要配慮(保育士)加配数
(2月）</t>
    <rPh sb="0" eb="1">
      <t>シ</t>
    </rPh>
    <rPh sb="1" eb="2">
      <t>ヨウ</t>
    </rPh>
    <rPh sb="2" eb="4">
      <t>ハイリョ</t>
    </rPh>
    <rPh sb="5" eb="8">
      <t>ホイクシ</t>
    </rPh>
    <rPh sb="9" eb="11">
      <t>カハイ</t>
    </rPh>
    <rPh sb="11" eb="12">
      <t>スウ</t>
    </rPh>
    <rPh sb="15" eb="16">
      <t>ガツ</t>
    </rPh>
    <phoneticPr fontId="2"/>
  </si>
  <si>
    <t>市要配慮(保育士)加配数
(3月）</t>
    <rPh sb="0" eb="1">
      <t>シ</t>
    </rPh>
    <rPh sb="1" eb="2">
      <t>ヨウ</t>
    </rPh>
    <rPh sb="2" eb="4">
      <t>ハイリョ</t>
    </rPh>
    <rPh sb="5" eb="8">
      <t>ホイクシ</t>
    </rPh>
    <rPh sb="9" eb="11">
      <t>カハイ</t>
    </rPh>
    <rPh sb="11" eb="12">
      <t>スウ</t>
    </rPh>
    <rPh sb="15" eb="16">
      <t>ガツ</t>
    </rPh>
    <phoneticPr fontId="2"/>
  </si>
  <si>
    <t>余裕活用型</t>
    <rPh sb="0" eb="2">
      <t>ヨユウ</t>
    </rPh>
    <rPh sb="2" eb="5">
      <t>カツヨウガタ</t>
    </rPh>
    <phoneticPr fontId="2"/>
  </si>
  <si>
    <t>一般型</t>
    <rPh sb="0" eb="3">
      <t>イッパンガタ</t>
    </rPh>
    <phoneticPr fontId="2"/>
  </si>
  <si>
    <t>有</t>
    <rPh sb="0" eb="1">
      <t>アリ</t>
    </rPh>
    <phoneticPr fontId="2"/>
  </si>
  <si>
    <t>無</t>
    <rPh sb="0" eb="1">
      <t>ナシ</t>
    </rPh>
    <phoneticPr fontId="2"/>
  </si>
  <si>
    <t>有・無</t>
    <rPh sb="0" eb="1">
      <t>アリ</t>
    </rPh>
    <rPh sb="2" eb="3">
      <t>ナシ</t>
    </rPh>
    <phoneticPr fontId="2"/>
  </si>
  <si>
    <t>増員・賃金改善・-</t>
    <rPh sb="0" eb="2">
      <t>ゾウイン</t>
    </rPh>
    <rPh sb="3" eb="5">
      <t>チンギン</t>
    </rPh>
    <rPh sb="5" eb="7">
      <t>カイゼン</t>
    </rPh>
    <phoneticPr fontId="2"/>
  </si>
  <si>
    <t>配置・兼務・嘱託</t>
    <rPh sb="0" eb="2">
      <t>ハイチ</t>
    </rPh>
    <rPh sb="3" eb="5">
      <t>ケンム</t>
    </rPh>
    <rPh sb="6" eb="8">
      <t>ショクタク</t>
    </rPh>
    <phoneticPr fontId="2"/>
  </si>
  <si>
    <t>医ケア児童数
(4月）</t>
    <rPh sb="0" eb="1">
      <t>イ</t>
    </rPh>
    <rPh sb="3" eb="5">
      <t>ジドウ</t>
    </rPh>
    <rPh sb="5" eb="6">
      <t>スウ</t>
    </rPh>
    <phoneticPr fontId="2"/>
  </si>
  <si>
    <t>医ケア児童数
(5月）</t>
    <rPh sb="0" eb="1">
      <t>イ</t>
    </rPh>
    <rPh sb="3" eb="5">
      <t>ジドウ</t>
    </rPh>
    <rPh sb="5" eb="6">
      <t>スウ</t>
    </rPh>
    <phoneticPr fontId="2"/>
  </si>
  <si>
    <t>医ケア児童数
(6月）</t>
    <rPh sb="0" eb="1">
      <t>イ</t>
    </rPh>
    <rPh sb="3" eb="5">
      <t>ジドウ</t>
    </rPh>
    <rPh sb="5" eb="6">
      <t>スウ</t>
    </rPh>
    <phoneticPr fontId="2"/>
  </si>
  <si>
    <t>医ケア児童数
(7月）</t>
    <rPh sb="0" eb="1">
      <t>イ</t>
    </rPh>
    <rPh sb="3" eb="5">
      <t>ジドウ</t>
    </rPh>
    <rPh sb="5" eb="6">
      <t>スウ</t>
    </rPh>
    <phoneticPr fontId="2"/>
  </si>
  <si>
    <t>医ケア児童数
(8月）</t>
    <rPh sb="0" eb="1">
      <t>イ</t>
    </rPh>
    <rPh sb="3" eb="5">
      <t>ジドウ</t>
    </rPh>
    <rPh sb="5" eb="6">
      <t>スウ</t>
    </rPh>
    <phoneticPr fontId="2"/>
  </si>
  <si>
    <t>医ケア児童数
(9月）</t>
    <rPh sb="0" eb="1">
      <t>イ</t>
    </rPh>
    <rPh sb="3" eb="5">
      <t>ジドウ</t>
    </rPh>
    <rPh sb="5" eb="6">
      <t>スウ</t>
    </rPh>
    <phoneticPr fontId="2"/>
  </si>
  <si>
    <t>医ケア児童数
(10月）</t>
    <rPh sb="0" eb="1">
      <t>イ</t>
    </rPh>
    <rPh sb="3" eb="5">
      <t>ジドウ</t>
    </rPh>
    <rPh sb="5" eb="6">
      <t>スウ</t>
    </rPh>
    <rPh sb="10" eb="11">
      <t>ガツ</t>
    </rPh>
    <phoneticPr fontId="2"/>
  </si>
  <si>
    <t>医ケア児童数
(11月）</t>
    <rPh sb="0" eb="1">
      <t>イ</t>
    </rPh>
    <rPh sb="3" eb="5">
      <t>ジドウ</t>
    </rPh>
    <rPh sb="5" eb="6">
      <t>スウ</t>
    </rPh>
    <rPh sb="10" eb="11">
      <t>ガツ</t>
    </rPh>
    <phoneticPr fontId="2"/>
  </si>
  <si>
    <t>医ケア児童数
(12月）</t>
    <rPh sb="0" eb="1">
      <t>イ</t>
    </rPh>
    <rPh sb="3" eb="5">
      <t>ジドウ</t>
    </rPh>
    <rPh sb="5" eb="6">
      <t>スウ</t>
    </rPh>
    <rPh sb="10" eb="11">
      <t>ガツ</t>
    </rPh>
    <phoneticPr fontId="2"/>
  </si>
  <si>
    <t>医ケア児童数
(1月）</t>
    <rPh sb="0" eb="1">
      <t>イ</t>
    </rPh>
    <rPh sb="3" eb="5">
      <t>ジドウ</t>
    </rPh>
    <rPh sb="5" eb="6">
      <t>スウ</t>
    </rPh>
    <rPh sb="9" eb="10">
      <t>ガツ</t>
    </rPh>
    <phoneticPr fontId="2"/>
  </si>
  <si>
    <t>医ケア児童数
(2月）</t>
    <rPh sb="0" eb="1">
      <t>イ</t>
    </rPh>
    <rPh sb="3" eb="5">
      <t>ジドウ</t>
    </rPh>
    <rPh sb="5" eb="6">
      <t>スウ</t>
    </rPh>
    <rPh sb="9" eb="10">
      <t>ガツ</t>
    </rPh>
    <phoneticPr fontId="2"/>
  </si>
  <si>
    <t>医ケア児童数
(3月）</t>
    <rPh sb="0" eb="1">
      <t>イ</t>
    </rPh>
    <rPh sb="3" eb="5">
      <t>ジドウ</t>
    </rPh>
    <rPh sb="5" eb="6">
      <t>スウ</t>
    </rPh>
    <rPh sb="9" eb="10">
      <t>ガツ</t>
    </rPh>
    <phoneticPr fontId="2"/>
  </si>
  <si>
    <t>地域子育て支援センター実施</t>
    <rPh sb="0" eb="2">
      <t>チイキ</t>
    </rPh>
    <rPh sb="2" eb="4">
      <t>コソダ</t>
    </rPh>
    <rPh sb="5" eb="7">
      <t>シエン</t>
    </rPh>
    <rPh sb="11" eb="13">
      <t>ジッシ</t>
    </rPh>
    <phoneticPr fontId="2"/>
  </si>
  <si>
    <t>高齢者等活躍促進加算該当者数</t>
    <rPh sb="0" eb="3">
      <t>コウレイシャ</t>
    </rPh>
    <rPh sb="3" eb="4">
      <t>トウ</t>
    </rPh>
    <rPh sb="4" eb="6">
      <t>カツヤク</t>
    </rPh>
    <rPh sb="6" eb="8">
      <t>ソクシン</t>
    </rPh>
    <rPh sb="8" eb="10">
      <t>カサン</t>
    </rPh>
    <rPh sb="10" eb="12">
      <t>ガイトウ</t>
    </rPh>
    <rPh sb="12" eb="13">
      <t>シャ</t>
    </rPh>
    <rPh sb="13" eb="14">
      <t>スウ</t>
    </rPh>
    <phoneticPr fontId="2"/>
  </si>
  <si>
    <t>主任保育士加算適用
（4月）</t>
    <rPh sb="0" eb="2">
      <t>シュニン</t>
    </rPh>
    <rPh sb="2" eb="5">
      <t>ホイクシ</t>
    </rPh>
    <rPh sb="5" eb="7">
      <t>カサン</t>
    </rPh>
    <rPh sb="7" eb="9">
      <t>テキヨウ</t>
    </rPh>
    <rPh sb="12" eb="13">
      <t>ガツ</t>
    </rPh>
    <phoneticPr fontId="2"/>
  </si>
  <si>
    <t>主任保育士加算適用
（5月）</t>
    <rPh sb="0" eb="2">
      <t>シュニン</t>
    </rPh>
    <rPh sb="2" eb="5">
      <t>ホイクシ</t>
    </rPh>
    <rPh sb="5" eb="7">
      <t>カサン</t>
    </rPh>
    <rPh sb="7" eb="9">
      <t>テキヨウ</t>
    </rPh>
    <rPh sb="12" eb="13">
      <t>ガツ</t>
    </rPh>
    <phoneticPr fontId="2"/>
  </si>
  <si>
    <t>主任保育士加算適用
（6月）</t>
    <rPh sb="0" eb="2">
      <t>シュニン</t>
    </rPh>
    <rPh sb="2" eb="5">
      <t>ホイクシ</t>
    </rPh>
    <rPh sb="5" eb="7">
      <t>カサン</t>
    </rPh>
    <rPh sb="7" eb="9">
      <t>テキヨウ</t>
    </rPh>
    <rPh sb="12" eb="13">
      <t>ガツ</t>
    </rPh>
    <phoneticPr fontId="2"/>
  </si>
  <si>
    <t>主任保育士加算適用
（7月）</t>
    <rPh sb="0" eb="2">
      <t>シュニン</t>
    </rPh>
    <rPh sb="2" eb="5">
      <t>ホイクシ</t>
    </rPh>
    <rPh sb="5" eb="7">
      <t>カサン</t>
    </rPh>
    <rPh sb="7" eb="9">
      <t>テキヨウ</t>
    </rPh>
    <rPh sb="12" eb="13">
      <t>ガツ</t>
    </rPh>
    <phoneticPr fontId="2"/>
  </si>
  <si>
    <t>主任保育士加算適用
（8月）</t>
    <rPh sb="0" eb="2">
      <t>シュニン</t>
    </rPh>
    <rPh sb="2" eb="5">
      <t>ホイクシ</t>
    </rPh>
    <rPh sb="5" eb="7">
      <t>カサン</t>
    </rPh>
    <rPh sb="7" eb="9">
      <t>テキヨウ</t>
    </rPh>
    <rPh sb="12" eb="13">
      <t>ガツ</t>
    </rPh>
    <phoneticPr fontId="2"/>
  </si>
  <si>
    <t>主任保育士加算適用
（9月）</t>
    <rPh sb="0" eb="2">
      <t>シュニン</t>
    </rPh>
    <rPh sb="2" eb="5">
      <t>ホイクシ</t>
    </rPh>
    <rPh sb="5" eb="7">
      <t>カサン</t>
    </rPh>
    <rPh sb="7" eb="9">
      <t>テキヨウ</t>
    </rPh>
    <rPh sb="12" eb="13">
      <t>ガツ</t>
    </rPh>
    <phoneticPr fontId="2"/>
  </si>
  <si>
    <t>主任保育士加算適用
（10月）</t>
    <rPh sb="0" eb="2">
      <t>シュニン</t>
    </rPh>
    <rPh sb="2" eb="5">
      <t>ホイクシ</t>
    </rPh>
    <rPh sb="5" eb="7">
      <t>カサン</t>
    </rPh>
    <rPh sb="7" eb="9">
      <t>テキヨウ</t>
    </rPh>
    <rPh sb="13" eb="14">
      <t>ガツ</t>
    </rPh>
    <phoneticPr fontId="2"/>
  </si>
  <si>
    <t>主任保育士加算適用
（11月）</t>
    <rPh sb="0" eb="2">
      <t>シュニン</t>
    </rPh>
    <rPh sb="2" eb="5">
      <t>ホイクシ</t>
    </rPh>
    <rPh sb="5" eb="7">
      <t>カサン</t>
    </rPh>
    <rPh sb="7" eb="9">
      <t>テキヨウ</t>
    </rPh>
    <rPh sb="13" eb="14">
      <t>ガツ</t>
    </rPh>
    <phoneticPr fontId="2"/>
  </si>
  <si>
    <t>主任保育士加算適用
（12月）</t>
    <rPh sb="0" eb="2">
      <t>シュニン</t>
    </rPh>
    <rPh sb="2" eb="5">
      <t>ホイクシ</t>
    </rPh>
    <rPh sb="5" eb="7">
      <t>カサン</t>
    </rPh>
    <rPh sb="7" eb="9">
      <t>テキヨウ</t>
    </rPh>
    <rPh sb="13" eb="14">
      <t>ガツ</t>
    </rPh>
    <phoneticPr fontId="2"/>
  </si>
  <si>
    <t>主任保育士加算適用
（1月）</t>
    <rPh sb="0" eb="2">
      <t>シュニン</t>
    </rPh>
    <rPh sb="2" eb="5">
      <t>ホイクシ</t>
    </rPh>
    <rPh sb="5" eb="7">
      <t>カサン</t>
    </rPh>
    <rPh sb="7" eb="9">
      <t>テキヨウ</t>
    </rPh>
    <rPh sb="12" eb="13">
      <t>ガツ</t>
    </rPh>
    <phoneticPr fontId="2"/>
  </si>
  <si>
    <t>主任保育士加算適用
（2月）</t>
    <rPh sb="0" eb="2">
      <t>シュニン</t>
    </rPh>
    <rPh sb="2" eb="5">
      <t>ホイクシ</t>
    </rPh>
    <rPh sb="5" eb="7">
      <t>カサン</t>
    </rPh>
    <rPh sb="7" eb="9">
      <t>テキヨウ</t>
    </rPh>
    <rPh sb="12" eb="13">
      <t>ガツ</t>
    </rPh>
    <phoneticPr fontId="2"/>
  </si>
  <si>
    <t>主任保育士加算適用
（3月）</t>
    <rPh sb="0" eb="2">
      <t>シュニン</t>
    </rPh>
    <rPh sb="2" eb="5">
      <t>ホイクシ</t>
    </rPh>
    <rPh sb="5" eb="7">
      <t>カサン</t>
    </rPh>
    <rPh sb="7" eb="9">
      <t>テキヨウ</t>
    </rPh>
    <rPh sb="12" eb="13">
      <t>ガツ</t>
    </rPh>
    <phoneticPr fontId="2"/>
  </si>
  <si>
    <t>３歳児配置改善　適用有無
（4月）</t>
    <rPh sb="1" eb="3">
      <t>サイジ</t>
    </rPh>
    <rPh sb="3" eb="5">
      <t>ハイチ</t>
    </rPh>
    <rPh sb="5" eb="7">
      <t>カイゼン</t>
    </rPh>
    <rPh sb="8" eb="10">
      <t>テキヨウ</t>
    </rPh>
    <rPh sb="10" eb="12">
      <t>ウム</t>
    </rPh>
    <rPh sb="15" eb="16">
      <t>ガツ</t>
    </rPh>
    <phoneticPr fontId="2"/>
  </si>
  <si>
    <t>３歳児配置改善　適用有無
（5月）</t>
    <rPh sb="1" eb="3">
      <t>サイジ</t>
    </rPh>
    <rPh sb="3" eb="5">
      <t>ハイチ</t>
    </rPh>
    <rPh sb="5" eb="7">
      <t>カイゼン</t>
    </rPh>
    <rPh sb="8" eb="10">
      <t>テキヨウ</t>
    </rPh>
    <rPh sb="10" eb="12">
      <t>ウム</t>
    </rPh>
    <rPh sb="15" eb="16">
      <t>ガツ</t>
    </rPh>
    <phoneticPr fontId="2"/>
  </si>
  <si>
    <t>３歳児配置改善　適用有無
（6月）</t>
    <rPh sb="1" eb="3">
      <t>サイジ</t>
    </rPh>
    <rPh sb="3" eb="5">
      <t>ハイチ</t>
    </rPh>
    <rPh sb="5" eb="7">
      <t>カイゼン</t>
    </rPh>
    <rPh sb="8" eb="10">
      <t>テキヨウ</t>
    </rPh>
    <rPh sb="10" eb="12">
      <t>ウム</t>
    </rPh>
    <rPh sb="15" eb="16">
      <t>ガツ</t>
    </rPh>
    <phoneticPr fontId="2"/>
  </si>
  <si>
    <t>３歳児配置改善　適用有無
（7月）</t>
    <rPh sb="1" eb="3">
      <t>サイジ</t>
    </rPh>
    <rPh sb="3" eb="5">
      <t>ハイチ</t>
    </rPh>
    <rPh sb="5" eb="7">
      <t>カイゼン</t>
    </rPh>
    <rPh sb="8" eb="10">
      <t>テキヨウ</t>
    </rPh>
    <rPh sb="10" eb="12">
      <t>ウム</t>
    </rPh>
    <rPh sb="15" eb="16">
      <t>ガツ</t>
    </rPh>
    <phoneticPr fontId="2"/>
  </si>
  <si>
    <t>３歳児配置改善　適用有無
（9月）</t>
    <rPh sb="1" eb="3">
      <t>サイジ</t>
    </rPh>
    <rPh sb="3" eb="5">
      <t>ハイチ</t>
    </rPh>
    <rPh sb="5" eb="7">
      <t>カイゼン</t>
    </rPh>
    <rPh sb="8" eb="10">
      <t>テキヨウ</t>
    </rPh>
    <rPh sb="10" eb="12">
      <t>ウム</t>
    </rPh>
    <rPh sb="15" eb="16">
      <t>ガツ</t>
    </rPh>
    <phoneticPr fontId="2"/>
  </si>
  <si>
    <t>３歳児配置改善　適用有無
（10月）</t>
    <rPh sb="1" eb="3">
      <t>サイジ</t>
    </rPh>
    <rPh sb="3" eb="5">
      <t>ハイチ</t>
    </rPh>
    <rPh sb="5" eb="7">
      <t>カイゼン</t>
    </rPh>
    <rPh sb="8" eb="10">
      <t>テキヨウ</t>
    </rPh>
    <rPh sb="10" eb="12">
      <t>ウム</t>
    </rPh>
    <rPh sb="16" eb="17">
      <t>ガツ</t>
    </rPh>
    <phoneticPr fontId="2"/>
  </si>
  <si>
    <t>３歳児配置改善　適用有無
（11月）</t>
    <rPh sb="1" eb="3">
      <t>サイジ</t>
    </rPh>
    <rPh sb="3" eb="5">
      <t>ハイチ</t>
    </rPh>
    <rPh sb="5" eb="7">
      <t>カイゼン</t>
    </rPh>
    <rPh sb="8" eb="10">
      <t>テキヨウ</t>
    </rPh>
    <rPh sb="10" eb="12">
      <t>ウム</t>
    </rPh>
    <rPh sb="16" eb="17">
      <t>ガツ</t>
    </rPh>
    <phoneticPr fontId="2"/>
  </si>
  <si>
    <t>３歳児配置改善　適用有無
（12月）</t>
    <rPh sb="1" eb="3">
      <t>サイジ</t>
    </rPh>
    <rPh sb="3" eb="5">
      <t>ハイチ</t>
    </rPh>
    <rPh sb="5" eb="7">
      <t>カイゼン</t>
    </rPh>
    <rPh sb="8" eb="10">
      <t>テキヨウ</t>
    </rPh>
    <rPh sb="10" eb="12">
      <t>ウム</t>
    </rPh>
    <rPh sb="16" eb="17">
      <t>ガツ</t>
    </rPh>
    <phoneticPr fontId="2"/>
  </si>
  <si>
    <t>３歳児配置改善　適用有無
（1月）</t>
    <rPh sb="1" eb="3">
      <t>サイジ</t>
    </rPh>
    <rPh sb="3" eb="5">
      <t>ハイチ</t>
    </rPh>
    <rPh sb="5" eb="7">
      <t>カイゼン</t>
    </rPh>
    <rPh sb="8" eb="10">
      <t>テキヨウ</t>
    </rPh>
    <rPh sb="10" eb="12">
      <t>ウム</t>
    </rPh>
    <rPh sb="15" eb="16">
      <t>ガツ</t>
    </rPh>
    <phoneticPr fontId="2"/>
  </si>
  <si>
    <t>３歳児配置改善　適用有無
（2月）</t>
    <rPh sb="1" eb="3">
      <t>サイジ</t>
    </rPh>
    <rPh sb="3" eb="5">
      <t>ハイチ</t>
    </rPh>
    <rPh sb="5" eb="7">
      <t>カイゼン</t>
    </rPh>
    <rPh sb="8" eb="10">
      <t>テキヨウ</t>
    </rPh>
    <rPh sb="10" eb="12">
      <t>ウム</t>
    </rPh>
    <rPh sb="15" eb="16">
      <t>ガツ</t>
    </rPh>
    <phoneticPr fontId="2"/>
  </si>
  <si>
    <t>３歳児配置改善　適用有無
（3月）</t>
    <rPh sb="1" eb="3">
      <t>サイジ</t>
    </rPh>
    <rPh sb="3" eb="5">
      <t>ハイチ</t>
    </rPh>
    <rPh sb="5" eb="7">
      <t>カイゼン</t>
    </rPh>
    <rPh sb="8" eb="10">
      <t>テキヨウ</t>
    </rPh>
    <rPh sb="10" eb="12">
      <t>ウム</t>
    </rPh>
    <rPh sb="15" eb="16">
      <t>ガツ</t>
    </rPh>
    <phoneticPr fontId="2"/>
  </si>
  <si>
    <t>栄養管理加算
内容（4月）</t>
    <rPh sb="0" eb="2">
      <t>エイヨウ</t>
    </rPh>
    <rPh sb="2" eb="4">
      <t>カンリ</t>
    </rPh>
    <rPh sb="4" eb="6">
      <t>カサン</t>
    </rPh>
    <rPh sb="7" eb="9">
      <t>ナイヨウ</t>
    </rPh>
    <rPh sb="11" eb="12">
      <t>ガツ</t>
    </rPh>
    <phoneticPr fontId="2"/>
  </si>
  <si>
    <t>栄養管理加算
内容（5月）</t>
    <rPh sb="0" eb="2">
      <t>エイヨウ</t>
    </rPh>
    <rPh sb="2" eb="4">
      <t>カンリ</t>
    </rPh>
    <rPh sb="4" eb="6">
      <t>カサン</t>
    </rPh>
    <rPh sb="7" eb="9">
      <t>ナイヨウ</t>
    </rPh>
    <rPh sb="11" eb="12">
      <t>ガツ</t>
    </rPh>
    <phoneticPr fontId="2"/>
  </si>
  <si>
    <t>栄養管理加算
内容（6月）</t>
    <rPh sb="0" eb="2">
      <t>エイヨウ</t>
    </rPh>
    <rPh sb="2" eb="4">
      <t>カンリ</t>
    </rPh>
    <rPh sb="4" eb="6">
      <t>カサン</t>
    </rPh>
    <rPh sb="7" eb="9">
      <t>ナイヨウ</t>
    </rPh>
    <rPh sb="11" eb="12">
      <t>ガツ</t>
    </rPh>
    <phoneticPr fontId="2"/>
  </si>
  <si>
    <t>栄養管理加算
内容（7月）</t>
    <rPh sb="0" eb="2">
      <t>エイヨウ</t>
    </rPh>
    <rPh sb="2" eb="4">
      <t>カンリ</t>
    </rPh>
    <rPh sb="4" eb="6">
      <t>カサン</t>
    </rPh>
    <rPh sb="7" eb="9">
      <t>ナイヨウ</t>
    </rPh>
    <rPh sb="11" eb="12">
      <t>ガツ</t>
    </rPh>
    <phoneticPr fontId="2"/>
  </si>
  <si>
    <t>栄養管理加算
内容（8月）</t>
    <rPh sb="0" eb="2">
      <t>エイヨウ</t>
    </rPh>
    <rPh sb="2" eb="4">
      <t>カンリ</t>
    </rPh>
    <rPh sb="4" eb="6">
      <t>カサン</t>
    </rPh>
    <rPh sb="7" eb="9">
      <t>ナイヨウ</t>
    </rPh>
    <rPh sb="11" eb="12">
      <t>ガツ</t>
    </rPh>
    <phoneticPr fontId="2"/>
  </si>
  <si>
    <t>栄養管理加算
内容（9月）</t>
    <rPh sb="0" eb="2">
      <t>エイヨウ</t>
    </rPh>
    <rPh sb="2" eb="4">
      <t>カンリ</t>
    </rPh>
    <rPh sb="4" eb="6">
      <t>カサン</t>
    </rPh>
    <rPh sb="7" eb="9">
      <t>ナイヨウ</t>
    </rPh>
    <rPh sb="11" eb="12">
      <t>ガツ</t>
    </rPh>
    <phoneticPr fontId="2"/>
  </si>
  <si>
    <t>栄養管理加算
内容（10月）</t>
    <rPh sb="0" eb="2">
      <t>エイヨウ</t>
    </rPh>
    <rPh sb="2" eb="4">
      <t>カンリ</t>
    </rPh>
    <rPh sb="4" eb="6">
      <t>カサン</t>
    </rPh>
    <rPh sb="7" eb="9">
      <t>ナイヨウ</t>
    </rPh>
    <rPh sb="12" eb="13">
      <t>ガツ</t>
    </rPh>
    <phoneticPr fontId="2"/>
  </si>
  <si>
    <t>栄養管理加算
内容（11月）</t>
    <rPh sb="0" eb="2">
      <t>エイヨウ</t>
    </rPh>
    <rPh sb="2" eb="4">
      <t>カンリ</t>
    </rPh>
    <rPh sb="4" eb="6">
      <t>カサン</t>
    </rPh>
    <rPh sb="7" eb="9">
      <t>ナイヨウ</t>
    </rPh>
    <rPh sb="12" eb="13">
      <t>ガツ</t>
    </rPh>
    <phoneticPr fontId="2"/>
  </si>
  <si>
    <t>栄養管理加算
内容（12月）</t>
    <rPh sb="0" eb="2">
      <t>エイヨウ</t>
    </rPh>
    <rPh sb="2" eb="4">
      <t>カンリ</t>
    </rPh>
    <rPh sb="4" eb="6">
      <t>カサン</t>
    </rPh>
    <rPh sb="7" eb="9">
      <t>ナイヨウ</t>
    </rPh>
    <rPh sb="12" eb="13">
      <t>ガツ</t>
    </rPh>
    <phoneticPr fontId="2"/>
  </si>
  <si>
    <t>栄養管理加算
内容（1月）</t>
    <rPh sb="0" eb="2">
      <t>エイヨウ</t>
    </rPh>
    <rPh sb="2" eb="4">
      <t>カンリ</t>
    </rPh>
    <rPh sb="4" eb="6">
      <t>カサン</t>
    </rPh>
    <rPh sb="7" eb="9">
      <t>ナイヨウ</t>
    </rPh>
    <rPh sb="11" eb="12">
      <t>ガツ</t>
    </rPh>
    <phoneticPr fontId="2"/>
  </si>
  <si>
    <t>栄養管理加算
内容（2月）</t>
    <rPh sb="0" eb="2">
      <t>エイヨウ</t>
    </rPh>
    <rPh sb="2" eb="4">
      <t>カンリ</t>
    </rPh>
    <rPh sb="4" eb="6">
      <t>カサン</t>
    </rPh>
    <rPh sb="7" eb="9">
      <t>ナイヨウ</t>
    </rPh>
    <rPh sb="11" eb="12">
      <t>ガツ</t>
    </rPh>
    <phoneticPr fontId="2"/>
  </si>
  <si>
    <t>栄養管理加算
内容（3月）</t>
    <rPh sb="0" eb="2">
      <t>エイヨウ</t>
    </rPh>
    <rPh sb="2" eb="4">
      <t>カンリ</t>
    </rPh>
    <rPh sb="4" eb="6">
      <t>カサン</t>
    </rPh>
    <rPh sb="7" eb="9">
      <t>ナイヨウ</t>
    </rPh>
    <rPh sb="11" eb="12">
      <t>ガツ</t>
    </rPh>
    <phoneticPr fontId="2"/>
  </si>
  <si>
    <t>嘱託</t>
    <rPh sb="0" eb="2">
      <t>ショクタク</t>
    </rPh>
    <phoneticPr fontId="2"/>
  </si>
  <si>
    <t>配置</t>
    <rPh sb="0" eb="2">
      <t>ハイチ</t>
    </rPh>
    <phoneticPr fontId="2"/>
  </si>
  <si>
    <t>兼務</t>
    <rPh sb="0" eb="2">
      <t>ケンム</t>
    </rPh>
    <phoneticPr fontId="2"/>
  </si>
  <si>
    <t>増員</t>
    <rPh sb="0" eb="2">
      <t>ゾウイン</t>
    </rPh>
    <phoneticPr fontId="2"/>
  </si>
  <si>
    <t>賃金改善</t>
    <rPh sb="0" eb="2">
      <t>チンギン</t>
    </rPh>
    <rPh sb="2" eb="4">
      <t>カイゼン</t>
    </rPh>
    <phoneticPr fontId="2"/>
  </si>
  <si>
    <t>〒260-8722　千葉市中央区千葉港１－１　本庁舎８F</t>
    <rPh sb="10" eb="13">
      <t>チバシ</t>
    </rPh>
    <rPh sb="13" eb="16">
      <t>チュウオウク</t>
    </rPh>
    <rPh sb="16" eb="19">
      <t>チバミナト</t>
    </rPh>
    <rPh sb="23" eb="24">
      <t>ホン</t>
    </rPh>
    <rPh sb="24" eb="26">
      <t>チョウシャ</t>
    </rPh>
    <phoneticPr fontId="1"/>
  </si>
  <si>
    <t>千葉市こども未来局幼児教育・保育部幼保運営課</t>
    <rPh sb="9" eb="13">
      <t>ヨウジキョウイク</t>
    </rPh>
    <rPh sb="14" eb="16">
      <t>ホイク</t>
    </rPh>
    <phoneticPr fontId="1"/>
  </si>
  <si>
    <t>助成第１班　大岡・髙木</t>
    <rPh sb="6" eb="8">
      <t>オオオカ</t>
    </rPh>
    <rPh sb="9" eb="11">
      <t>タカギ</t>
    </rPh>
    <phoneticPr fontId="1"/>
  </si>
  <si>
    <t>チーム保育　適用内容（1人目）
（4月）</t>
    <rPh sb="3" eb="5">
      <t>ホイク</t>
    </rPh>
    <rPh sb="6" eb="8">
      <t>テキヨウ</t>
    </rPh>
    <rPh sb="8" eb="10">
      <t>ナイヨウ</t>
    </rPh>
    <rPh sb="12" eb="13">
      <t>ニン</t>
    </rPh>
    <rPh sb="13" eb="14">
      <t>メ</t>
    </rPh>
    <rPh sb="18" eb="19">
      <t>ガツ</t>
    </rPh>
    <phoneticPr fontId="2"/>
  </si>
  <si>
    <t>チーム保育　適用内容（1人目）
（5月）</t>
    <rPh sb="3" eb="5">
      <t>ホイク</t>
    </rPh>
    <rPh sb="6" eb="8">
      <t>テキヨウ</t>
    </rPh>
    <rPh sb="18" eb="19">
      <t>ガツ</t>
    </rPh>
    <phoneticPr fontId="2"/>
  </si>
  <si>
    <t>チーム保育　適用内容（1人目）
（6月）</t>
    <rPh sb="3" eb="5">
      <t>ホイク</t>
    </rPh>
    <rPh sb="6" eb="8">
      <t>テキヨウ</t>
    </rPh>
    <rPh sb="18" eb="19">
      <t>ガツ</t>
    </rPh>
    <phoneticPr fontId="2"/>
  </si>
  <si>
    <t>チーム保育　適用内容（1人目）
（7月）</t>
    <rPh sb="3" eb="5">
      <t>ホイク</t>
    </rPh>
    <rPh sb="6" eb="8">
      <t>テキヨウ</t>
    </rPh>
    <rPh sb="18" eb="19">
      <t>ガツ</t>
    </rPh>
    <phoneticPr fontId="2"/>
  </si>
  <si>
    <t>チーム保育　適用内容（1人目）
（8月）</t>
    <rPh sb="3" eb="5">
      <t>ホイク</t>
    </rPh>
    <rPh sb="6" eb="8">
      <t>テキヨウ</t>
    </rPh>
    <rPh sb="18" eb="19">
      <t>ガツ</t>
    </rPh>
    <phoneticPr fontId="2"/>
  </si>
  <si>
    <t>チーム保育　適用内容（1人目）
（9月）</t>
    <rPh sb="3" eb="5">
      <t>ホイク</t>
    </rPh>
    <rPh sb="6" eb="8">
      <t>テキヨウ</t>
    </rPh>
    <rPh sb="18" eb="19">
      <t>ガツ</t>
    </rPh>
    <phoneticPr fontId="2"/>
  </si>
  <si>
    <t>チーム保育　適用内容（1人目）
（10月）</t>
    <rPh sb="3" eb="5">
      <t>ホイク</t>
    </rPh>
    <rPh sb="6" eb="8">
      <t>テキヨウ</t>
    </rPh>
    <rPh sb="19" eb="20">
      <t>ガツ</t>
    </rPh>
    <phoneticPr fontId="2"/>
  </si>
  <si>
    <t>チーム保育　適用内容（1人目）
（11月）</t>
    <rPh sb="3" eb="5">
      <t>ホイク</t>
    </rPh>
    <rPh sb="6" eb="8">
      <t>テキヨウ</t>
    </rPh>
    <rPh sb="19" eb="20">
      <t>ガツ</t>
    </rPh>
    <phoneticPr fontId="2"/>
  </si>
  <si>
    <t>チーム保育　適用内容（1人目）
（12月）</t>
    <rPh sb="3" eb="5">
      <t>ホイク</t>
    </rPh>
    <rPh sb="6" eb="8">
      <t>テキヨウ</t>
    </rPh>
    <rPh sb="19" eb="20">
      <t>ガツ</t>
    </rPh>
    <phoneticPr fontId="2"/>
  </si>
  <si>
    <t>チーム保育　適用内容（1人目）
（1月）</t>
    <rPh sb="3" eb="5">
      <t>ホイク</t>
    </rPh>
    <rPh sb="6" eb="8">
      <t>テキヨウ</t>
    </rPh>
    <rPh sb="18" eb="19">
      <t>ガツ</t>
    </rPh>
    <phoneticPr fontId="2"/>
  </si>
  <si>
    <t>チーム保育　適用内容（1人目）
（2月）</t>
    <rPh sb="3" eb="5">
      <t>ホイク</t>
    </rPh>
    <rPh sb="6" eb="8">
      <t>テキヨウ</t>
    </rPh>
    <rPh sb="18" eb="19">
      <t>ガツ</t>
    </rPh>
    <phoneticPr fontId="2"/>
  </si>
  <si>
    <t>チーム保育　適用内容（1人目）
（3月）</t>
    <rPh sb="3" eb="5">
      <t>ホイク</t>
    </rPh>
    <rPh sb="6" eb="8">
      <t>テキヨウ</t>
    </rPh>
    <rPh sb="18" eb="19">
      <t>ガツ</t>
    </rPh>
    <phoneticPr fontId="2"/>
  </si>
  <si>
    <t>チーム保育　適用内容（2人目）
（4月）</t>
    <rPh sb="3" eb="5">
      <t>ホイク</t>
    </rPh>
    <rPh sb="6" eb="8">
      <t>テキヨウ</t>
    </rPh>
    <rPh sb="18" eb="19">
      <t>ガツ</t>
    </rPh>
    <phoneticPr fontId="2"/>
  </si>
  <si>
    <t>チーム保育　適用内容（2人目）
（5月）</t>
    <rPh sb="3" eb="5">
      <t>ホイク</t>
    </rPh>
    <rPh sb="6" eb="8">
      <t>テキヨウ</t>
    </rPh>
    <rPh sb="18" eb="19">
      <t>ガツ</t>
    </rPh>
    <phoneticPr fontId="2"/>
  </si>
  <si>
    <t>チーム保育　適用内容（2人目）
（6月）</t>
    <rPh sb="3" eb="5">
      <t>ホイク</t>
    </rPh>
    <rPh sb="6" eb="8">
      <t>テキヨウ</t>
    </rPh>
    <rPh sb="18" eb="19">
      <t>ガツ</t>
    </rPh>
    <phoneticPr fontId="2"/>
  </si>
  <si>
    <t>チーム保育　適用内容（2人目）
（7月）</t>
    <rPh sb="3" eb="5">
      <t>ホイク</t>
    </rPh>
    <rPh sb="6" eb="8">
      <t>テキヨウ</t>
    </rPh>
    <rPh sb="18" eb="19">
      <t>ガツ</t>
    </rPh>
    <phoneticPr fontId="2"/>
  </si>
  <si>
    <t>チーム保育　適用内容（2人目）
（8月）</t>
    <rPh sb="3" eb="5">
      <t>ホイク</t>
    </rPh>
    <rPh sb="6" eb="8">
      <t>テキヨウ</t>
    </rPh>
    <rPh sb="18" eb="19">
      <t>ガツ</t>
    </rPh>
    <phoneticPr fontId="2"/>
  </si>
  <si>
    <t>チーム保育　適用内容（2人目）
（9月）</t>
    <rPh sb="3" eb="5">
      <t>ホイク</t>
    </rPh>
    <rPh sb="6" eb="8">
      <t>テキヨウ</t>
    </rPh>
    <rPh sb="18" eb="19">
      <t>ガツ</t>
    </rPh>
    <phoneticPr fontId="2"/>
  </si>
  <si>
    <t>チーム保育　適用内容（2人目）
（10月）</t>
    <rPh sb="3" eb="5">
      <t>ホイク</t>
    </rPh>
    <rPh sb="6" eb="8">
      <t>テキヨウ</t>
    </rPh>
    <rPh sb="19" eb="20">
      <t>ガツ</t>
    </rPh>
    <phoneticPr fontId="2"/>
  </si>
  <si>
    <t>チーム保育　適用内容（2人目）
（11月）</t>
    <rPh sb="3" eb="5">
      <t>ホイク</t>
    </rPh>
    <rPh sb="6" eb="8">
      <t>テキヨウ</t>
    </rPh>
    <rPh sb="19" eb="20">
      <t>ガツ</t>
    </rPh>
    <phoneticPr fontId="2"/>
  </si>
  <si>
    <t>チーム保育　適用内容（2人目）
（12月）</t>
    <rPh sb="3" eb="5">
      <t>ホイク</t>
    </rPh>
    <rPh sb="6" eb="8">
      <t>テキヨウ</t>
    </rPh>
    <rPh sb="19" eb="20">
      <t>ガツ</t>
    </rPh>
    <phoneticPr fontId="2"/>
  </si>
  <si>
    <t>チーム保育　適用内容（2人目）
（1月）</t>
    <rPh sb="3" eb="5">
      <t>ホイク</t>
    </rPh>
    <rPh sb="6" eb="8">
      <t>テキヨウ</t>
    </rPh>
    <rPh sb="18" eb="19">
      <t>ガツ</t>
    </rPh>
    <phoneticPr fontId="2"/>
  </si>
  <si>
    <t>チーム保育　適用内容（2人目）
（2月）</t>
    <rPh sb="3" eb="5">
      <t>ホイク</t>
    </rPh>
    <rPh sb="6" eb="8">
      <t>テキヨウ</t>
    </rPh>
    <rPh sb="18" eb="19">
      <t>ガツ</t>
    </rPh>
    <phoneticPr fontId="2"/>
  </si>
  <si>
    <t>チーム保育　適用内容（2人目）
（3月）</t>
    <rPh sb="3" eb="5">
      <t>ホイク</t>
    </rPh>
    <rPh sb="6" eb="8">
      <t>テキヨウ</t>
    </rPh>
    <rPh sb="18" eb="19">
      <t>ガツ</t>
    </rPh>
    <phoneticPr fontId="2"/>
  </si>
  <si>
    <t>令和６年３月</t>
    <rPh sb="0" eb="2">
      <t>レイワ</t>
    </rPh>
    <rPh sb="3" eb="4">
      <t>ネン</t>
    </rPh>
    <rPh sb="5" eb="6">
      <t>ガツ</t>
    </rPh>
    <phoneticPr fontId="1"/>
  </si>
  <si>
    <t>　　令和６年４月１５日（月）　　　</t>
    <rPh sb="2" eb="4">
      <t>レイワ</t>
    </rPh>
    <rPh sb="5" eb="6">
      <t>ネン</t>
    </rPh>
    <rPh sb="7" eb="8">
      <t>ガツ</t>
    </rPh>
    <rPh sb="10" eb="11">
      <t>ニチ</t>
    </rPh>
    <rPh sb="12" eb="13">
      <t>ツキ</t>
    </rPh>
    <phoneticPr fontId="1"/>
  </si>
  <si>
    <t>〒260-8722　千葉市中央区千葉港１－１　本庁舎８F</t>
    <rPh sb="10" eb="13">
      <t>チバシ</t>
    </rPh>
    <rPh sb="13" eb="16">
      <t>チュウオウク</t>
    </rPh>
    <rPh sb="16" eb="19">
      <t>チバミナト</t>
    </rPh>
    <rPh sb="23" eb="26">
      <t>ホンチョウシャ</t>
    </rPh>
    <phoneticPr fontId="1"/>
  </si>
  <si>
    <t>　令和６年４月１日付け千葉市指令こ幼運第　　号　　により交付決定のあった補助金の分割事前交付を次のとおり受けたいので、千葉市施設型給付対象施設運営事業補助金交付要綱第８条の規定により請求します。</t>
    <rPh sb="1" eb="3">
      <t>レイワ</t>
    </rPh>
    <rPh sb="17" eb="18">
      <t>ヨウ</t>
    </rPh>
    <rPh sb="18" eb="19">
      <t>ウン</t>
    </rPh>
    <rPh sb="62" eb="65">
      <t>シセツガタ</t>
    </rPh>
    <rPh sb="65" eb="67">
      <t>キュウフ</t>
    </rPh>
    <rPh sb="67" eb="69">
      <t>タイショウ</t>
    </rPh>
    <rPh sb="69" eb="71">
      <t>シセツ</t>
    </rPh>
    <phoneticPr fontId="15"/>
  </si>
  <si>
    <t>・実績額が概算払い済額を下回る場合、令和７年５月末までに、過払い額を返還していただきます。</t>
    <phoneticPr fontId="1"/>
  </si>
  <si>
    <t>保育園</t>
    <rPh sb="0" eb="3">
      <t>ホイクエン</t>
    </rPh>
    <phoneticPr fontId="48"/>
  </si>
  <si>
    <t>幼保連携型認定こども園</t>
    <rPh sb="0" eb="1">
      <t>ヨウ</t>
    </rPh>
    <rPh sb="1" eb="2">
      <t>ホ</t>
    </rPh>
    <rPh sb="2" eb="5">
      <t>レンケイガタ</t>
    </rPh>
    <rPh sb="5" eb="7">
      <t>ニンテイ</t>
    </rPh>
    <rPh sb="10" eb="11">
      <t>エン</t>
    </rPh>
    <phoneticPr fontId="48"/>
  </si>
  <si>
    <t>保育所型認定こども園</t>
    <rPh sb="0" eb="2">
      <t>ホイク</t>
    </rPh>
    <rPh sb="2" eb="3">
      <t>ショ</t>
    </rPh>
    <rPh sb="3" eb="4">
      <t>ガタ</t>
    </rPh>
    <rPh sb="4" eb="6">
      <t>ニンテイ</t>
    </rPh>
    <rPh sb="9" eb="10">
      <t>エン</t>
    </rPh>
    <phoneticPr fontId="48"/>
  </si>
  <si>
    <t>地方裁量型認定こども園</t>
    <rPh sb="0" eb="2">
      <t>チホウ</t>
    </rPh>
    <rPh sb="2" eb="5">
      <t>サイリョウガタ</t>
    </rPh>
    <rPh sb="5" eb="7">
      <t>ニンテイ</t>
    </rPh>
    <rPh sb="10" eb="11">
      <t>エン</t>
    </rPh>
    <phoneticPr fontId="48"/>
  </si>
  <si>
    <t>認定こども園　おゆみ野南幼稚園</t>
  </si>
  <si>
    <t>認定こども園　青い鳥第二幼稚園</t>
  </si>
  <si>
    <t>認定こども園　土気中央幼稚園</t>
  </si>
  <si>
    <t>認定こども園　あすみ央幼稚園</t>
  </si>
  <si>
    <t>サフォークキッズ保育園</t>
    <rPh sb="8" eb="11">
      <t>ホイクエン</t>
    </rPh>
    <phoneticPr fontId="1"/>
  </si>
  <si>
    <t>みらくる保育園</t>
    <rPh sb="4" eb="7">
      <t>ホイクエン</t>
    </rPh>
    <phoneticPr fontId="1"/>
  </si>
  <si>
    <t>検見川はないろ保育園</t>
    <rPh sb="7" eb="10">
      <t>ホイクエン</t>
    </rPh>
    <phoneticPr fontId="1"/>
  </si>
  <si>
    <t>かえで保育園幕張駅前</t>
    <phoneticPr fontId="1"/>
  </si>
  <si>
    <t>千葉誉田雲母保育園</t>
    <rPh sb="0" eb="2">
      <t>チバ</t>
    </rPh>
    <rPh sb="2" eb="4">
      <t>ホンダ</t>
    </rPh>
    <rPh sb="4" eb="6">
      <t>キララ</t>
    </rPh>
    <rPh sb="6" eb="9">
      <t>ホイクエン</t>
    </rPh>
    <phoneticPr fontId="1"/>
  </si>
  <si>
    <t>かえで保育園おゆみ野</t>
    <rPh sb="3" eb="6">
      <t>ホイクエン</t>
    </rPh>
    <rPh sb="9" eb="10">
      <t>ノ</t>
    </rPh>
    <phoneticPr fontId="1"/>
  </si>
  <si>
    <t>もりのなかま保育園おゆみ野園サイエンス＋</t>
  </si>
  <si>
    <t>あおば保育園</t>
    <rPh sb="3" eb="6">
      <t>ホイクエン</t>
    </rPh>
    <phoneticPr fontId="1"/>
  </si>
  <si>
    <t>チャコ保育園</t>
    <rPh sb="3" eb="6">
      <t>ホイクエン</t>
    </rPh>
    <phoneticPr fontId="1"/>
  </si>
  <si>
    <t>かえで保育園千葉中央</t>
    <rPh sb="6" eb="8">
      <t>チバ</t>
    </rPh>
    <rPh sb="8" eb="10">
      <t>チュウオウ</t>
    </rPh>
    <phoneticPr fontId="1"/>
  </si>
  <si>
    <t>　令和６年度千葉市施設型給付対象施設保育士等配置基準改善事業補助金の交付を受けたいので、千葉市施設型給付対象施設運営事業補助金交付要綱第４条の規定により次のとおり申請します。　　</t>
    <rPh sb="1" eb="3">
      <t>レイワ</t>
    </rPh>
    <rPh sb="9" eb="12">
      <t>シセツガタ</t>
    </rPh>
    <rPh sb="12" eb="14">
      <t>キュウフ</t>
    </rPh>
    <rPh sb="14" eb="16">
      <t>タイショウ</t>
    </rPh>
    <rPh sb="16" eb="18">
      <t>シセツ</t>
    </rPh>
    <rPh sb="47" eb="50">
      <t>シセツガタ</t>
    </rPh>
    <rPh sb="50" eb="52">
      <t>キュウフ</t>
    </rPh>
    <rPh sb="52" eb="54">
      <t>タイショウ</t>
    </rPh>
    <rPh sb="54" eb="56">
      <t>シセツ</t>
    </rPh>
    <phoneticPr fontId="6"/>
  </si>
  <si>
    <t>この行より下には入力しないこと！！　行を増やしたいときは、ここより上の行で挿入すること。</t>
    <rPh sb="2" eb="3">
      <t>ギョウ</t>
    </rPh>
    <rPh sb="5" eb="6">
      <t>シタ</t>
    </rPh>
    <rPh sb="8" eb="10">
      <t>ニュウリョク</t>
    </rPh>
    <rPh sb="18" eb="19">
      <t>ギョウ</t>
    </rPh>
    <rPh sb="20" eb="21">
      <t>フ</t>
    </rPh>
    <rPh sb="33" eb="34">
      <t>ウエ</t>
    </rPh>
    <rPh sb="35" eb="36">
      <t>ギョウ</t>
    </rPh>
    <rPh sb="37" eb="39">
      <t>ソウニュウ</t>
    </rPh>
    <phoneticPr fontId="1"/>
  </si>
  <si>
    <t>あおば保育園</t>
    <rPh sb="3" eb="6">
      <t>ホイクエン</t>
    </rPh>
    <phoneticPr fontId="4"/>
  </si>
  <si>
    <t>CZN11549</t>
  </si>
  <si>
    <t>チャコ保育園</t>
    <rPh sb="3" eb="6">
      <t>ホイクエン</t>
    </rPh>
    <phoneticPr fontId="4"/>
  </si>
  <si>
    <t>かえで保育園千葉中央</t>
    <rPh sb="6" eb="8">
      <t>チバ</t>
    </rPh>
    <rPh sb="8" eb="10">
      <t>チュウオウ</t>
    </rPh>
    <phoneticPr fontId="4"/>
  </si>
  <si>
    <t>XLE56558</t>
  </si>
  <si>
    <t>かえで保育園おゆみ野</t>
    <rPh sb="3" eb="6">
      <t>ホイクエン</t>
    </rPh>
    <rPh sb="9" eb="10">
      <t>ノ</t>
    </rPh>
    <phoneticPr fontId="4"/>
  </si>
  <si>
    <t>IDL54946</t>
  </si>
  <si>
    <t>もりのなかま保育園おゆみ野園サイエンス＋</t>
    <rPh sb="6" eb="9">
      <t>ホイクエン</t>
    </rPh>
    <rPh sb="12" eb="13">
      <t>ノ</t>
    </rPh>
    <rPh sb="13" eb="14">
      <t>エン</t>
    </rPh>
    <phoneticPr fontId="4"/>
  </si>
  <si>
    <t>EQQ97990</t>
  </si>
  <si>
    <t>リトルガーデンインターナショナル幕張ベイパーク保育園</t>
    <rPh sb="16" eb="18">
      <t>マクハリ</t>
    </rPh>
    <rPh sb="23" eb="26">
      <t>ホイクエン</t>
    </rPh>
    <phoneticPr fontId="4"/>
  </si>
  <si>
    <t>PEB13593</t>
  </si>
  <si>
    <t>（福）末広会</t>
    <rPh sb="1" eb="2">
      <t>フク</t>
    </rPh>
    <rPh sb="3" eb="5">
      <t>スエヒロ</t>
    </rPh>
    <rPh sb="5" eb="6">
      <t>カイ</t>
    </rPh>
    <phoneticPr fontId="4"/>
  </si>
  <si>
    <t>トレンディワールド（株）</t>
  </si>
  <si>
    <t>（株）Think Education</t>
  </si>
  <si>
    <t>（株）リトルガーデン</t>
    <rPh sb="0" eb="3">
      <t>カブ</t>
    </rPh>
    <phoneticPr fontId="4"/>
  </si>
  <si>
    <t>斉藤　玄樹</t>
  </si>
  <si>
    <t>川村　陽介</t>
  </si>
  <si>
    <t>千葉市中央区末広４丁目２１番４</t>
  </si>
  <si>
    <t>リトルガーデンインターナショナル幕張ベイパーク認可保育園</t>
    <rPh sb="16" eb="18">
      <t>マクハリ</t>
    </rPh>
    <rPh sb="23" eb="25">
      <t>ニンカ</t>
    </rPh>
    <rPh sb="25" eb="28">
      <t>ホイクエン</t>
    </rPh>
    <phoneticPr fontId="4"/>
  </si>
  <si>
    <t>4　その他</t>
    <rPh sb="4" eb="5">
      <t>タ</t>
    </rPh>
    <phoneticPr fontId="1"/>
  </si>
  <si>
    <t>リトルガーデンインターナショナル幕張ベイパーク保育園</t>
    <phoneticPr fontId="1"/>
  </si>
  <si>
    <r>
      <t>・「正」、「-」と表記のセルは操作する必要はありません。
・「見込を入力」と記載されているセルについて、各月の勤務実績時間を記載してください。
・勤務実績時間は、</t>
    </r>
    <r>
      <rPr>
        <b/>
        <u/>
        <sz val="12"/>
        <color theme="1"/>
        <rFont val="游ゴシック"/>
        <family val="3"/>
        <charset val="128"/>
        <scheme val="minor"/>
      </rPr>
      <t>延長保育事業に係る勤務時間を除いた時間数</t>
    </r>
    <r>
      <rPr>
        <sz val="12"/>
        <color theme="1"/>
        <rFont val="游ゴシック"/>
        <family val="3"/>
        <charset val="128"/>
        <scheme val="minor"/>
      </rPr>
      <t>となります。</t>
    </r>
    <rPh sb="2" eb="3">
      <t>セイ</t>
    </rPh>
    <rPh sb="9" eb="11">
      <t>ヒョウキ</t>
    </rPh>
    <rPh sb="15" eb="17">
      <t>ソウサ</t>
    </rPh>
    <rPh sb="19" eb="21">
      <t>ヒツヨウ</t>
    </rPh>
    <rPh sb="31" eb="33">
      <t>ミコ</t>
    </rPh>
    <rPh sb="38" eb="40">
      <t>キサイ</t>
    </rPh>
    <rPh sb="52" eb="54">
      <t>カクツキ</t>
    </rPh>
    <rPh sb="55" eb="57">
      <t>キンム</t>
    </rPh>
    <rPh sb="57" eb="59">
      <t>ジッセキ</t>
    </rPh>
    <rPh sb="59" eb="61">
      <t>ジカン</t>
    </rPh>
    <rPh sb="62" eb="64">
      <t>キサイ</t>
    </rPh>
    <rPh sb="73" eb="75">
      <t>キンム</t>
    </rPh>
    <rPh sb="75" eb="77">
      <t>ジッセキ</t>
    </rPh>
    <rPh sb="77" eb="79">
      <t>ジカン</t>
    </rPh>
    <rPh sb="81" eb="83">
      <t>エンチョウ</t>
    </rPh>
    <rPh sb="83" eb="85">
      <t>ホイク</t>
    </rPh>
    <rPh sb="85" eb="87">
      <t>ジギョウ</t>
    </rPh>
    <rPh sb="88" eb="89">
      <t>カカ</t>
    </rPh>
    <rPh sb="90" eb="92">
      <t>キンム</t>
    </rPh>
    <rPh sb="92" eb="94">
      <t>ジカン</t>
    </rPh>
    <rPh sb="95" eb="96">
      <t>ノゾ</t>
    </rPh>
    <rPh sb="98" eb="101">
      <t>ジカンスウ</t>
    </rPh>
    <phoneticPr fontId="1"/>
  </si>
  <si>
    <t>F37～Q38セル</t>
    <phoneticPr fontId="1"/>
  </si>
  <si>
    <t>F41～Q41セル</t>
    <phoneticPr fontId="1"/>
  </si>
  <si>
    <t>給付費の額が定まっていないことから、今般の当初交付申請の額は例年どおりの積算となりますが、今後４・５歳児配置改善加算の加算額及び職員の配置状況等を踏まえ、実績報告の際に補助額の調整（減額）をさせていただく場合がございますのであらかじめご留意ください。（詳細は後日周知予定）</t>
    <phoneticPr fontId="1"/>
  </si>
  <si>
    <t>（株）Lateral Kids</t>
    <rPh sb="0" eb="3">
      <t>カブ</t>
    </rPh>
    <phoneticPr fontId="4"/>
  </si>
  <si>
    <t>令和６年9月</t>
    <rPh sb="0" eb="2">
      <t>レイワ</t>
    </rPh>
    <rPh sb="3" eb="4">
      <t>ネン</t>
    </rPh>
    <rPh sb="5" eb="6">
      <t>ガツ</t>
    </rPh>
    <phoneticPr fontId="1"/>
  </si>
  <si>
    <r>
      <rPr>
        <b/>
        <sz val="14"/>
        <rFont val="HG丸ｺﾞｼｯｸM-PRO"/>
        <family val="3"/>
        <charset val="128"/>
      </rPr>
      <t>【概要】</t>
    </r>
    <r>
      <rPr>
        <b/>
        <sz val="12"/>
        <rFont val="HG丸ｺﾞｼｯｸM-PRO"/>
        <family val="3"/>
        <charset val="128"/>
      </rPr>
      <t xml:space="preserve">
■第二期の分割請求を希望</t>
    </r>
    <r>
      <rPr>
        <b/>
        <u/>
        <sz val="12"/>
        <rFont val="HG丸ｺﾞｼｯｸM-PRO"/>
        <family val="3"/>
        <charset val="128"/>
      </rPr>
      <t>しない</t>
    </r>
    <r>
      <rPr>
        <b/>
        <sz val="12"/>
        <rFont val="HG丸ｺﾞｼｯｸM-PRO"/>
        <family val="3"/>
        <charset val="128"/>
      </rPr>
      <t xml:space="preserve">場合
</t>
    </r>
    <r>
      <rPr>
        <sz val="12"/>
        <rFont val="HG丸ｺﾞｼｯｸM-PRO"/>
        <family val="3"/>
        <charset val="128"/>
      </rPr>
      <t>　</t>
    </r>
    <r>
      <rPr>
        <b/>
        <sz val="12"/>
        <color rgb="FFFF0000"/>
        <rFont val="HG丸ｺﾞｼｯｸM-PRO"/>
        <family val="3"/>
        <charset val="128"/>
      </rPr>
      <t>このExcelは入力不要</t>
    </r>
    <r>
      <rPr>
        <sz val="12"/>
        <rFont val="HG丸ｺﾞｼｯｸM-PRO"/>
        <family val="3"/>
        <charset val="128"/>
      </rPr>
      <t xml:space="preserve">です（特段の作業は発生しません）。
</t>
    </r>
    <r>
      <rPr>
        <b/>
        <sz val="12"/>
        <rFont val="HG丸ｺﾞｼｯｸM-PRO"/>
        <family val="3"/>
        <charset val="128"/>
      </rPr>
      <t>■第二期の分割請求を希望</t>
    </r>
    <r>
      <rPr>
        <b/>
        <u/>
        <sz val="12"/>
        <rFont val="HG丸ｺﾞｼｯｸM-PRO"/>
        <family val="3"/>
        <charset val="128"/>
      </rPr>
      <t>する</t>
    </r>
    <r>
      <rPr>
        <b/>
        <sz val="12"/>
        <rFont val="HG丸ｺﾞｼｯｸM-PRO"/>
        <family val="3"/>
        <charset val="128"/>
      </rPr>
      <t>場合</t>
    </r>
    <r>
      <rPr>
        <sz val="12"/>
        <rFont val="HG丸ｺﾞｼｯｸM-PRO"/>
        <family val="3"/>
        <charset val="128"/>
      </rPr>
      <t xml:space="preserve">
　①～⑨のシートを入力の上、</t>
    </r>
    <r>
      <rPr>
        <b/>
        <sz val="12"/>
        <color rgb="FFFF0000"/>
        <rFont val="HG丸ｺﾞｼｯｸM-PRO"/>
        <family val="3"/>
        <charset val="128"/>
      </rPr>
      <t>「様式３（一番右のシート）」の１７行目</t>
    </r>
    <r>
      <rPr>
        <sz val="12"/>
        <rFont val="HG丸ｺﾞｼｯｸM-PRO"/>
        <family val="3"/>
        <charset val="128"/>
      </rPr>
      <t>をご確認ください。
　→　特にメッセージが無ければ、第２期の分割請求が可能です。
　　　このエクセルをメールにて提出ください（詳細は「様式３」シート欄外参照）。
　→　メッセージが表示された場合は、戻入の可能性があるため、第２期の分割請求は不可です。
　　　（メッセージが表示されるものの、当初交付申請時（令和６年４月～５月）の当課との
　　　　やり取りを踏まえ、戻入の可能性がないと思われる場合は、データを送付の上、
　　　　お電話等でご相談ください。）</t>
    </r>
    <rPh sb="1" eb="3">
      <t>ガイヨウ</t>
    </rPh>
    <rPh sb="12" eb="14">
      <t>セイキュウ</t>
    </rPh>
    <rPh sb="32" eb="34">
      <t>ニュウリョク</t>
    </rPh>
    <rPh sb="34" eb="36">
      <t>フヨウ</t>
    </rPh>
    <rPh sb="39" eb="41">
      <t>トクダン</t>
    </rPh>
    <rPh sb="42" eb="44">
      <t>サギョウ</t>
    </rPh>
    <rPh sb="45" eb="47">
      <t>ハッセイ</t>
    </rPh>
    <rPh sb="62" eb="64">
      <t>セイキュウ</t>
    </rPh>
    <rPh sb="81" eb="83">
      <t>ニュウリョク</t>
    </rPh>
    <rPh sb="84" eb="85">
      <t>ウエ</t>
    </rPh>
    <rPh sb="87" eb="89">
      <t>ヨウシキ</t>
    </rPh>
    <rPh sb="91" eb="93">
      <t>イチバン</t>
    </rPh>
    <rPh sb="93" eb="94">
      <t>ミギ</t>
    </rPh>
    <rPh sb="103" eb="105">
      <t>ギョウメ</t>
    </rPh>
    <rPh sb="107" eb="109">
      <t>カクニン</t>
    </rPh>
    <rPh sb="195" eb="197">
      <t>ヒョウジ</t>
    </rPh>
    <rPh sb="200" eb="202">
      <t>バアイ</t>
    </rPh>
    <rPh sb="204" eb="206">
      <t>レイニュウ</t>
    </rPh>
    <rPh sb="207" eb="210">
      <t>カノウセイ</t>
    </rPh>
    <rPh sb="225" eb="227">
      <t>フカ</t>
    </rPh>
    <phoneticPr fontId="1"/>
  </si>
  <si>
    <r>
      <rPr>
        <b/>
        <sz val="18"/>
        <color rgb="FFFF0000"/>
        <rFont val="HG丸ｺﾞｼｯｸM-PRO"/>
        <family val="3"/>
        <charset val="128"/>
      </rPr>
      <t>　　</t>
    </r>
    <r>
      <rPr>
        <b/>
        <u/>
        <sz val="18"/>
        <color rgb="FFFF0000"/>
        <rFont val="HG丸ｺﾞｼｯｸM-PRO"/>
        <family val="3"/>
        <charset val="128"/>
      </rPr>
      <t>令和６年９月３０日（月）必着</t>
    </r>
    <rPh sb="2" eb="4">
      <t>レイワ</t>
    </rPh>
    <rPh sb="5" eb="6">
      <t>ネン</t>
    </rPh>
    <rPh sb="12" eb="13">
      <t>ツキ</t>
    </rPh>
    <rPh sb="14" eb="16">
      <t>ヒッチャク</t>
    </rPh>
    <phoneticPr fontId="1"/>
  </si>
  <si>
    <r>
      <t xml:space="preserve"> （このエクセルをメール提出）　</t>
    </r>
    <r>
      <rPr>
        <sz val="12"/>
        <color rgb="FFFF0000"/>
        <rFont val="HGP創英角ﾎﾟｯﾌﾟ体"/>
        <family val="3"/>
        <charset val="128"/>
      </rPr>
      <t>※押印省略に伴い、紙の提出は不要です。</t>
    </r>
    <rPh sb="17" eb="19">
      <t>オウイン</t>
    </rPh>
    <rPh sb="19" eb="21">
      <t>ショウリャク</t>
    </rPh>
    <rPh sb="22" eb="23">
      <t>トモナ</t>
    </rPh>
    <rPh sb="25" eb="26">
      <t>カミ</t>
    </rPh>
    <rPh sb="27" eb="29">
      <t>テイシュツ</t>
    </rPh>
    <rPh sb="30" eb="32">
      <t>フヨウ</t>
    </rPh>
    <phoneticPr fontId="15"/>
  </si>
  <si>
    <t>幼保運営課 助成第１班　髙木</t>
    <rPh sb="12" eb="14">
      <t>タカギ</t>
    </rPh>
    <phoneticPr fontId="1"/>
  </si>
  <si>
    <t>〒260-8722　千葉市中央区千葉港１－１　高層棟8階</t>
    <phoneticPr fontId="1"/>
  </si>
  <si>
    <t>SOUキッズケア（株）</t>
    <rPh sb="8" eb="11">
      <t>カブ</t>
    </rPh>
    <phoneticPr fontId="4"/>
  </si>
  <si>
    <t>名古屋市中村区名駅2-38-2　オーキッドビル7F</t>
  </si>
  <si>
    <t>千葉市若葉区小倉台４－６－２</t>
  </si>
  <si>
    <t>東京都江東区木場五丁目8番40号</t>
  </si>
  <si>
    <t>東京都中央区日本橋3-12-2　朝日ビルヂング４F-B</t>
  </si>
  <si>
    <t>市原市瀬又字傾城谷507番</t>
  </si>
  <si>
    <t>東京都中央区日本橋3-12-2　朝日ビルヂング４F-A</t>
  </si>
  <si>
    <t>花見川区幕張本郷６－２５－２０　糸ビル２０１</t>
  </si>
  <si>
    <t>千葉市美浜区中瀬１－３　幕張テクノガーデンＢ棟５階</t>
  </si>
  <si>
    <t>宮城県仙台市青葉区一番町2丁目5-22　GC青葉通りプラザ2階</t>
  </si>
  <si>
    <t>飛彈　誠</t>
  </si>
  <si>
    <t>皆川　達也</t>
  </si>
  <si>
    <t>川久　充成</t>
  </si>
  <si>
    <t>田村　篤司</t>
  </si>
  <si>
    <t>吉井　はるか</t>
  </si>
  <si>
    <t>鳥居　敏</t>
  </si>
  <si>
    <t>田中　直人</t>
  </si>
  <si>
    <t>片岡  雅文</t>
  </si>
  <si>
    <t>伊藤　貴紀</t>
  </si>
  <si>
    <t>長谷川　卓也</t>
    <rPh sb="0" eb="3">
      <t>ハセガワ</t>
    </rPh>
    <rPh sb="4" eb="6">
      <t>タクヤ</t>
    </rPh>
    <phoneticPr fontId="13"/>
  </si>
  <si>
    <t>まなびの森　いなほ保育園</t>
    <rPh sb="4" eb="5">
      <t>モリ</t>
    </rPh>
    <phoneticPr fontId="4"/>
  </si>
  <si>
    <t>リトルガーデンインターナショナル幕張本郷認可保育園</t>
    <rPh sb="16" eb="18">
      <t>マクハリ</t>
    </rPh>
    <rPh sb="18" eb="20">
      <t>ホンゴウ</t>
    </rPh>
    <rPh sb="20" eb="22">
      <t>ニンカ</t>
    </rPh>
    <rPh sb="22" eb="25">
      <t>ホイクエン</t>
    </rPh>
    <phoneticPr fontId="1"/>
  </si>
  <si>
    <t>令和6年4月1日</t>
    <rPh sb="0" eb="2">
      <t>レイワ</t>
    </rPh>
    <rPh sb="3" eb="4">
      <t>ネン</t>
    </rPh>
    <rPh sb="5" eb="6">
      <t>ガツ</t>
    </rPh>
    <rPh sb="7" eb="8">
      <t>ニチ</t>
    </rPh>
    <phoneticPr fontId="6"/>
  </si>
  <si>
    <t>令和6年5月31日交付</t>
  </si>
  <si>
    <t>令和6年6月28日交付</t>
  </si>
  <si>
    <t>3号の43</t>
    <rPh sb="1" eb="2">
      <t>ゴウ</t>
    </rPh>
    <phoneticPr fontId="6"/>
  </si>
  <si>
    <t>3号の80</t>
    <rPh sb="1" eb="2">
      <t>ゴウ</t>
    </rPh>
    <phoneticPr fontId="6"/>
  </si>
  <si>
    <t>3号の81</t>
    <rPh sb="1" eb="2">
      <t>ゴウ</t>
    </rPh>
    <phoneticPr fontId="6"/>
  </si>
  <si>
    <t>3号の82</t>
    <rPh sb="1" eb="2">
      <t>ゴウ</t>
    </rPh>
    <phoneticPr fontId="6"/>
  </si>
  <si>
    <t>3号の83</t>
    <rPh sb="1" eb="2">
      <t>ゴウ</t>
    </rPh>
    <phoneticPr fontId="6"/>
  </si>
  <si>
    <t>3号の84</t>
    <rPh sb="1" eb="2">
      <t>ゴウ</t>
    </rPh>
    <phoneticPr fontId="6"/>
  </si>
  <si>
    <t>3号の85</t>
    <rPh sb="1" eb="2">
      <t>ゴウ</t>
    </rPh>
    <phoneticPr fontId="6"/>
  </si>
  <si>
    <t>3号の86</t>
    <rPh sb="1" eb="2">
      <t>ゴウ</t>
    </rPh>
    <phoneticPr fontId="6"/>
  </si>
  <si>
    <t>4号の35</t>
    <rPh sb="1" eb="2">
      <t>ゴウ</t>
    </rPh>
    <phoneticPr fontId="6"/>
  </si>
  <si>
    <t>4号の36</t>
    <rPh sb="1" eb="2">
      <t>ゴウ</t>
    </rPh>
    <phoneticPr fontId="6"/>
  </si>
  <si>
    <t>4号の37</t>
    <rPh sb="1" eb="2">
      <t>ゴウ</t>
    </rPh>
    <phoneticPr fontId="6"/>
  </si>
  <si>
    <t>4号の38</t>
    <rPh sb="1" eb="2">
      <t>ゴウ</t>
    </rPh>
    <phoneticPr fontId="6"/>
  </si>
  <si>
    <t>4号の39</t>
    <rPh sb="1" eb="2">
      <t>ゴウ</t>
    </rPh>
    <phoneticPr fontId="6"/>
  </si>
  <si>
    <t>4号の40</t>
    <rPh sb="1" eb="2">
      <t>ゴウ</t>
    </rPh>
    <phoneticPr fontId="6"/>
  </si>
  <si>
    <t>4号の41</t>
    <rPh sb="1" eb="2">
      <t>ゴウ</t>
    </rPh>
    <phoneticPr fontId="6"/>
  </si>
  <si>
    <t>4号の42</t>
    <rPh sb="1" eb="2">
      <t>ゴウ</t>
    </rPh>
    <phoneticPr fontId="6"/>
  </si>
  <si>
    <t>4号の43</t>
    <rPh sb="1" eb="2">
      <t>ゴウ</t>
    </rPh>
    <phoneticPr fontId="6"/>
  </si>
  <si>
    <t>4号の44</t>
    <rPh sb="1" eb="2">
      <t>ゴウ</t>
    </rPh>
    <phoneticPr fontId="6"/>
  </si>
  <si>
    <t>4号の45</t>
    <rPh sb="1" eb="2">
      <t>ゴウ</t>
    </rPh>
    <phoneticPr fontId="6"/>
  </si>
  <si>
    <t>4号の46</t>
    <rPh sb="1" eb="2">
      <t>ゴウ</t>
    </rPh>
    <phoneticPr fontId="6"/>
  </si>
  <si>
    <t>4号の47</t>
    <rPh sb="1" eb="2">
      <t>ゴウ</t>
    </rPh>
    <phoneticPr fontId="6"/>
  </si>
  <si>
    <t>4号の48</t>
    <rPh sb="1" eb="2">
      <t>ゴウ</t>
    </rPh>
    <phoneticPr fontId="6"/>
  </si>
  <si>
    <t>4号の49</t>
    <rPh sb="1" eb="2">
      <t>ゴウ</t>
    </rPh>
    <phoneticPr fontId="6"/>
  </si>
  <si>
    <t>4号の50</t>
    <rPh sb="1" eb="2">
      <t>ゴウ</t>
    </rPh>
    <phoneticPr fontId="6"/>
  </si>
  <si>
    <t>4号の51</t>
    <rPh sb="1" eb="2">
      <t>ゴウ</t>
    </rPh>
    <phoneticPr fontId="6"/>
  </si>
  <si>
    <t>4号の52</t>
    <rPh sb="1" eb="2">
      <t>ゴウ</t>
    </rPh>
    <phoneticPr fontId="6"/>
  </si>
  <si>
    <t>4号の53</t>
    <rPh sb="1" eb="2">
      <t>ゴウ</t>
    </rPh>
    <phoneticPr fontId="6"/>
  </si>
  <si>
    <t>4号の54</t>
    <rPh sb="1" eb="2">
      <t>ゴウ</t>
    </rPh>
    <phoneticPr fontId="6"/>
  </si>
  <si>
    <t>4号の55</t>
    <rPh sb="1" eb="2">
      <t>ゴウ</t>
    </rPh>
    <phoneticPr fontId="6"/>
  </si>
  <si>
    <t>4号の56</t>
    <rPh sb="1" eb="2">
      <t>ゴウ</t>
    </rPh>
    <phoneticPr fontId="6"/>
  </si>
  <si>
    <t>4号の57</t>
    <rPh sb="1" eb="2">
      <t>ゴウ</t>
    </rPh>
    <phoneticPr fontId="6"/>
  </si>
  <si>
    <t>4号の58</t>
    <rPh sb="1" eb="2">
      <t>ゴウ</t>
    </rPh>
    <phoneticPr fontId="6"/>
  </si>
  <si>
    <t>4号の59</t>
    <rPh sb="1" eb="2">
      <t>ゴウ</t>
    </rPh>
    <phoneticPr fontId="6"/>
  </si>
  <si>
    <t>4号の60</t>
    <rPh sb="1" eb="2">
      <t>ゴウ</t>
    </rPh>
    <phoneticPr fontId="6"/>
  </si>
  <si>
    <t>4号の61</t>
    <rPh sb="1" eb="2">
      <t>ゴウ</t>
    </rPh>
    <phoneticPr fontId="6"/>
  </si>
  <si>
    <t>4号の62</t>
    <rPh sb="1" eb="2">
      <t>ゴウ</t>
    </rPh>
    <phoneticPr fontId="6"/>
  </si>
  <si>
    <t>4号の63</t>
    <rPh sb="1" eb="2">
      <t>ゴウ</t>
    </rPh>
    <phoneticPr fontId="6"/>
  </si>
  <si>
    <t>4号の64</t>
    <rPh sb="1" eb="2">
      <t>ゴウ</t>
    </rPh>
    <phoneticPr fontId="6"/>
  </si>
  <si>
    <t>4号の65</t>
    <rPh sb="1" eb="2">
      <t>ゴウ</t>
    </rPh>
    <phoneticPr fontId="6"/>
  </si>
  <si>
    <t>4号の66</t>
    <rPh sb="1" eb="2">
      <t>ゴウ</t>
    </rPh>
    <phoneticPr fontId="6"/>
  </si>
  <si>
    <t>4号の67</t>
    <rPh sb="1" eb="2">
      <t>ゴウ</t>
    </rPh>
    <phoneticPr fontId="6"/>
  </si>
  <si>
    <t>4号の68</t>
    <rPh sb="1" eb="2">
      <t>ゴウ</t>
    </rPh>
    <phoneticPr fontId="6"/>
  </si>
  <si>
    <t>4号の69</t>
    <rPh sb="1" eb="2">
      <t>ゴウ</t>
    </rPh>
    <phoneticPr fontId="6"/>
  </si>
  <si>
    <t>4号の70</t>
    <rPh sb="1" eb="2">
      <t>ゴウ</t>
    </rPh>
    <phoneticPr fontId="6"/>
  </si>
  <si>
    <t>4号の71</t>
    <rPh sb="1" eb="2">
      <t>ゴウ</t>
    </rPh>
    <phoneticPr fontId="6"/>
  </si>
  <si>
    <t>4号の72</t>
    <rPh sb="1" eb="2">
      <t>ゴウ</t>
    </rPh>
    <phoneticPr fontId="6"/>
  </si>
  <si>
    <t>4号の73</t>
    <rPh sb="1" eb="2">
      <t>ゴウ</t>
    </rPh>
    <phoneticPr fontId="6"/>
  </si>
  <si>
    <t>4号の74</t>
    <rPh sb="1" eb="2">
      <t>ゴウ</t>
    </rPh>
    <phoneticPr fontId="6"/>
  </si>
  <si>
    <t>4号の75</t>
    <rPh sb="1" eb="2">
      <t>ゴウ</t>
    </rPh>
    <phoneticPr fontId="6"/>
  </si>
  <si>
    <t>4号の76</t>
    <rPh sb="1" eb="2">
      <t>ゴウ</t>
    </rPh>
    <phoneticPr fontId="6"/>
  </si>
  <si>
    <t>4号の77</t>
    <rPh sb="1" eb="2">
      <t>ゴウ</t>
    </rPh>
    <phoneticPr fontId="6"/>
  </si>
  <si>
    <t>4号の78</t>
    <rPh sb="1" eb="2">
      <t>ゴウ</t>
    </rPh>
    <phoneticPr fontId="6"/>
  </si>
  <si>
    <t>4号の79</t>
    <rPh sb="1" eb="2">
      <t>ゴウ</t>
    </rPh>
    <phoneticPr fontId="6"/>
  </si>
  <si>
    <t>4号の80</t>
    <rPh sb="1" eb="2">
      <t>ゴウ</t>
    </rPh>
    <phoneticPr fontId="6"/>
  </si>
  <si>
    <t>4号の81</t>
    <rPh sb="1" eb="2">
      <t>ゴウ</t>
    </rPh>
    <phoneticPr fontId="6"/>
  </si>
  <si>
    <t>4号の82</t>
    <rPh sb="1" eb="2">
      <t>ゴウ</t>
    </rPh>
    <phoneticPr fontId="6"/>
  </si>
  <si>
    <t>4号の83</t>
    <rPh sb="1" eb="2">
      <t>ゴウ</t>
    </rPh>
    <phoneticPr fontId="6"/>
  </si>
  <si>
    <t>4号の84</t>
    <rPh sb="1" eb="2">
      <t>ゴウ</t>
    </rPh>
    <phoneticPr fontId="6"/>
  </si>
  <si>
    <t>4号の85</t>
    <rPh sb="1" eb="2">
      <t>ゴウ</t>
    </rPh>
    <phoneticPr fontId="6"/>
  </si>
  <si>
    <t>4号の86</t>
    <rPh sb="1" eb="2">
      <t>ゴウ</t>
    </rPh>
    <phoneticPr fontId="6"/>
  </si>
  <si>
    <t>４月</t>
    <rPh sb="1" eb="2">
      <t>ツキ</t>
    </rPh>
    <phoneticPr fontId="1"/>
  </si>
  <si>
    <t>５月</t>
    <rPh sb="1" eb="2">
      <t>ツキ</t>
    </rPh>
    <phoneticPr fontId="1"/>
  </si>
  <si>
    <t>４・５歳児児童数</t>
    <rPh sb="3" eb="5">
      <t>サイジ</t>
    </rPh>
    <rPh sb="5" eb="8">
      <t>ジドウスウ</t>
    </rPh>
    <phoneticPr fontId="1"/>
  </si>
  <si>
    <t>加算単価</t>
    <rPh sb="0" eb="4">
      <t>カサンタンカ</t>
    </rPh>
    <phoneticPr fontId="1"/>
  </si>
  <si>
    <t>加算額</t>
    <rPh sb="0" eb="3">
      <t>カサンガク</t>
    </rPh>
    <phoneticPr fontId="1"/>
  </si>
  <si>
    <t>GKF22437</t>
    <phoneticPr fontId="1"/>
  </si>
  <si>
    <t>OUM73320</t>
    <phoneticPr fontId="1"/>
  </si>
  <si>
    <t>固有番号</t>
    <rPh sb="0" eb="4">
      <t>コユウバンゴウ</t>
    </rPh>
    <phoneticPr fontId="1"/>
  </si>
  <si>
    <t>4歳以上児加算単価</t>
    <rPh sb="1" eb="7">
      <t>サイイジョウジカサン</t>
    </rPh>
    <rPh sb="7" eb="9">
      <t>タンカ</t>
    </rPh>
    <phoneticPr fontId="1"/>
  </si>
  <si>
    <t>無</t>
  </si>
  <si>
    <t>令和７年２月</t>
    <rPh sb="0" eb="2">
      <t>レイワ</t>
    </rPh>
    <rPh sb="3" eb="4">
      <t>ネン</t>
    </rPh>
    <rPh sb="5" eb="6">
      <t>ガツ</t>
    </rPh>
    <phoneticPr fontId="1"/>
  </si>
  <si>
    <t>　令和７年３月７日（金）　　　</t>
    <rPh sb="1" eb="3">
      <t>レイワ</t>
    </rPh>
    <rPh sb="4" eb="5">
      <t>ネン</t>
    </rPh>
    <rPh sb="6" eb="7">
      <t>ガツ</t>
    </rPh>
    <rPh sb="8" eb="9">
      <t>ニチ</t>
    </rPh>
    <rPh sb="10" eb="11">
      <t>キン</t>
    </rPh>
    <phoneticPr fontId="1"/>
  </si>
  <si>
    <t>※提出後に経費等が確定することにより補助額が変更となり、書類を差し替える場合、４月１日（火）までにデータを必ず提出ください。</t>
    <phoneticPr fontId="1"/>
  </si>
  <si>
    <t>（あて先）千 葉 市 長</t>
    <rPh sb="3" eb="4">
      <t>サキ</t>
    </rPh>
    <rPh sb="5" eb="6">
      <t>セン</t>
    </rPh>
    <rPh sb="7" eb="8">
      <t>ハ</t>
    </rPh>
    <rPh sb="9" eb="10">
      <t>シ</t>
    </rPh>
    <rPh sb="11" eb="12">
      <t>チョウ</t>
    </rPh>
    <phoneticPr fontId="6"/>
  </si>
  <si>
    <t>（園ごとの固有番号）</t>
    <rPh sb="1" eb="2">
      <t>エン</t>
    </rPh>
    <rPh sb="5" eb="9">
      <t>コユウバンゴウ</t>
    </rPh>
    <phoneticPr fontId="1"/>
  </si>
  <si>
    <t>公定価格加算分</t>
    <rPh sb="0" eb="7">
      <t>コウテイカカクカサンブン</t>
    </rPh>
    <phoneticPr fontId="29"/>
  </si>
  <si>
    <t>(園ごとの固有番号)</t>
    <rPh sb="1" eb="2">
      <t>エン</t>
    </rPh>
    <rPh sb="5" eb="9">
      <t>コユウバンゴウ</t>
    </rPh>
    <phoneticPr fontId="15"/>
  </si>
  <si>
    <t>　令和７年３月３１日付け千葉市達こ幼運第　　　　号　  　　千葉市施設型給付対象施設保育士等配置基準改善事業補助金額確定通知書により確定した補助金の交付について、千葉市施設型給付対象施設運営事業補助金交付要綱第１２条の規定に基づき次のとおり請求します。</t>
    <rPh sb="4" eb="5">
      <t>ネン</t>
    </rPh>
    <rPh sb="6" eb="7">
      <t>ガツ</t>
    </rPh>
    <rPh sb="9" eb="10">
      <t>ニチ</t>
    </rPh>
    <rPh sb="10" eb="11">
      <t>ツ</t>
    </rPh>
    <rPh sb="12" eb="15">
      <t>チバシ</t>
    </rPh>
    <rPh sb="15" eb="16">
      <t>タツ</t>
    </rPh>
    <rPh sb="17" eb="18">
      <t>ヨウ</t>
    </rPh>
    <rPh sb="18" eb="19">
      <t>ウン</t>
    </rPh>
    <rPh sb="19" eb="20">
      <t>ダイ</t>
    </rPh>
    <rPh sb="24" eb="25">
      <t>ゴウ</t>
    </rPh>
    <rPh sb="30" eb="32">
      <t>チバ</t>
    </rPh>
    <rPh sb="32" eb="33">
      <t>シ</t>
    </rPh>
    <rPh sb="33" eb="42">
      <t>シセツガタキュウフタイショウシセツ</t>
    </rPh>
    <rPh sb="42" eb="45">
      <t>ホイクシ</t>
    </rPh>
    <rPh sb="45" eb="46">
      <t>トウ</t>
    </rPh>
    <rPh sb="46" eb="48">
      <t>ハイチ</t>
    </rPh>
    <rPh sb="84" eb="93">
      <t>シセツガタキュウフタイショウシセツ</t>
    </rPh>
    <phoneticPr fontId="6"/>
  </si>
  <si>
    <t>（園ごとの固有番号）</t>
    <rPh sb="1" eb="2">
      <t>エン</t>
    </rPh>
    <rPh sb="5" eb="9">
      <t>コユウバンゴウ</t>
    </rPh>
    <rPh sb="9" eb="10">
      <t>ヤスナ</t>
    </rPh>
    <phoneticPr fontId="15"/>
  </si>
  <si>
    <t>調理員等判定</t>
    <rPh sb="0" eb="3">
      <t>チョウリイン</t>
    </rPh>
    <rPh sb="3" eb="4">
      <t>トウ</t>
    </rPh>
    <rPh sb="4" eb="6">
      <t>ハンテイ</t>
    </rPh>
    <phoneticPr fontId="1"/>
  </si>
  <si>
    <t>４歳以上児数
（10月）</t>
    <rPh sb="1" eb="2">
      <t>サイ</t>
    </rPh>
    <rPh sb="2" eb="4">
      <t>イジョウ</t>
    </rPh>
    <rPh sb="4" eb="5">
      <t>ジ</t>
    </rPh>
    <rPh sb="5" eb="6">
      <t>スウ</t>
    </rPh>
    <rPh sb="10" eb="11">
      <t>ツキ</t>
    </rPh>
    <phoneticPr fontId="1"/>
  </si>
  <si>
    <t>４歳以上児数
（4月）</t>
    <rPh sb="1" eb="2">
      <t>サイ</t>
    </rPh>
    <rPh sb="2" eb="4">
      <t>イジョウ</t>
    </rPh>
    <rPh sb="4" eb="5">
      <t>ジ</t>
    </rPh>
    <rPh sb="5" eb="6">
      <t>スウ</t>
    </rPh>
    <rPh sb="9" eb="10">
      <t>ツキ</t>
    </rPh>
    <phoneticPr fontId="1"/>
  </si>
  <si>
    <t>４歳以上児数
（5月）</t>
    <rPh sb="1" eb="2">
      <t>サイ</t>
    </rPh>
    <rPh sb="2" eb="4">
      <t>イジョウ</t>
    </rPh>
    <rPh sb="4" eb="5">
      <t>ジ</t>
    </rPh>
    <rPh sb="5" eb="6">
      <t>スウ</t>
    </rPh>
    <rPh sb="9" eb="10">
      <t>ツキ</t>
    </rPh>
    <phoneticPr fontId="1"/>
  </si>
  <si>
    <t>４歳以上児数
（6月）</t>
    <rPh sb="1" eb="2">
      <t>サイ</t>
    </rPh>
    <rPh sb="2" eb="4">
      <t>イジョウ</t>
    </rPh>
    <rPh sb="4" eb="5">
      <t>ジ</t>
    </rPh>
    <rPh sb="5" eb="6">
      <t>スウ</t>
    </rPh>
    <rPh sb="9" eb="10">
      <t>ツキ</t>
    </rPh>
    <phoneticPr fontId="1"/>
  </si>
  <si>
    <t>４歳以上児数
（7月）</t>
    <rPh sb="1" eb="2">
      <t>サイ</t>
    </rPh>
    <rPh sb="2" eb="4">
      <t>イジョウ</t>
    </rPh>
    <rPh sb="4" eb="5">
      <t>ジ</t>
    </rPh>
    <rPh sb="5" eb="6">
      <t>スウ</t>
    </rPh>
    <rPh sb="9" eb="10">
      <t>ツキ</t>
    </rPh>
    <phoneticPr fontId="1"/>
  </si>
  <si>
    <t>４歳以上児数
（8月）</t>
    <rPh sb="1" eb="2">
      <t>サイ</t>
    </rPh>
    <rPh sb="2" eb="4">
      <t>イジョウ</t>
    </rPh>
    <rPh sb="4" eb="5">
      <t>ジ</t>
    </rPh>
    <rPh sb="5" eb="6">
      <t>スウ</t>
    </rPh>
    <rPh sb="9" eb="10">
      <t>ツキ</t>
    </rPh>
    <phoneticPr fontId="1"/>
  </si>
  <si>
    <t>４歳以上児数
（9月）</t>
    <rPh sb="1" eb="2">
      <t>サイ</t>
    </rPh>
    <rPh sb="2" eb="4">
      <t>イジョウ</t>
    </rPh>
    <rPh sb="4" eb="5">
      <t>ジ</t>
    </rPh>
    <rPh sb="5" eb="6">
      <t>スウ</t>
    </rPh>
    <rPh sb="9" eb="10">
      <t>ツキ</t>
    </rPh>
    <phoneticPr fontId="1"/>
  </si>
  <si>
    <t>４歳以上児数
（11月）</t>
    <rPh sb="1" eb="2">
      <t>サイ</t>
    </rPh>
    <rPh sb="2" eb="4">
      <t>イジョウ</t>
    </rPh>
    <rPh sb="4" eb="5">
      <t>ジ</t>
    </rPh>
    <rPh sb="5" eb="6">
      <t>スウ</t>
    </rPh>
    <rPh sb="10" eb="11">
      <t>ツキ</t>
    </rPh>
    <phoneticPr fontId="1"/>
  </si>
  <si>
    <t>４歳以上児数
（12月）</t>
    <rPh sb="1" eb="2">
      <t>サイ</t>
    </rPh>
    <rPh sb="2" eb="4">
      <t>イジョウ</t>
    </rPh>
    <rPh sb="4" eb="5">
      <t>ジ</t>
    </rPh>
    <rPh sb="5" eb="6">
      <t>スウ</t>
    </rPh>
    <rPh sb="10" eb="11">
      <t>ツキ</t>
    </rPh>
    <phoneticPr fontId="1"/>
  </si>
  <si>
    <t>４歳以上児数
（1月）</t>
    <rPh sb="1" eb="2">
      <t>サイ</t>
    </rPh>
    <rPh sb="2" eb="4">
      <t>イジョウ</t>
    </rPh>
    <rPh sb="4" eb="5">
      <t>ジ</t>
    </rPh>
    <rPh sb="5" eb="6">
      <t>スウ</t>
    </rPh>
    <rPh sb="9" eb="10">
      <t>ツキ</t>
    </rPh>
    <phoneticPr fontId="1"/>
  </si>
  <si>
    <t>4歳以上児加算有無
（4月）</t>
    <rPh sb="1" eb="7">
      <t>サイイジョウジカサン</t>
    </rPh>
    <rPh sb="7" eb="9">
      <t>ウム</t>
    </rPh>
    <rPh sb="12" eb="13">
      <t>ツキ</t>
    </rPh>
    <phoneticPr fontId="1"/>
  </si>
  <si>
    <t>4歳以上児加算有無
（5月）</t>
    <rPh sb="1" eb="7">
      <t>サイイジョウジカサン</t>
    </rPh>
    <rPh sb="7" eb="9">
      <t>ウム</t>
    </rPh>
    <rPh sb="12" eb="13">
      <t>ツキ</t>
    </rPh>
    <phoneticPr fontId="1"/>
  </si>
  <si>
    <t>4歳以上児加算有無
（6月）</t>
    <rPh sb="1" eb="7">
      <t>サイイジョウジカサン</t>
    </rPh>
    <rPh sb="7" eb="9">
      <t>ウム</t>
    </rPh>
    <rPh sb="12" eb="13">
      <t>ツキ</t>
    </rPh>
    <phoneticPr fontId="1"/>
  </si>
  <si>
    <t>4歳以上児加算有無
（7月）</t>
    <rPh sb="1" eb="7">
      <t>サイイジョウジカサン</t>
    </rPh>
    <rPh sb="7" eb="9">
      <t>ウム</t>
    </rPh>
    <rPh sb="12" eb="13">
      <t>ツキ</t>
    </rPh>
    <phoneticPr fontId="1"/>
  </si>
  <si>
    <t>4歳以上児加算有無
（8月）</t>
    <rPh sb="1" eb="7">
      <t>サイイジョウジカサン</t>
    </rPh>
    <rPh sb="7" eb="9">
      <t>ウム</t>
    </rPh>
    <rPh sb="12" eb="13">
      <t>ツキ</t>
    </rPh>
    <phoneticPr fontId="1"/>
  </si>
  <si>
    <t>4歳以上児加算有無
（9月）</t>
    <rPh sb="1" eb="7">
      <t>サイイジョウジカサン</t>
    </rPh>
    <rPh sb="7" eb="9">
      <t>ウム</t>
    </rPh>
    <rPh sb="12" eb="13">
      <t>ツキ</t>
    </rPh>
    <phoneticPr fontId="1"/>
  </si>
  <si>
    <t>4歳以上児加算有無
（10月）</t>
    <rPh sb="1" eb="7">
      <t>サイイジョウジカサン</t>
    </rPh>
    <rPh sb="7" eb="9">
      <t>ウム</t>
    </rPh>
    <rPh sb="13" eb="14">
      <t>ツキ</t>
    </rPh>
    <phoneticPr fontId="1"/>
  </si>
  <si>
    <t>4歳以上児加算有無
（11月）</t>
    <rPh sb="1" eb="7">
      <t>サイイジョウジカサン</t>
    </rPh>
    <rPh sb="7" eb="9">
      <t>ウム</t>
    </rPh>
    <rPh sb="13" eb="14">
      <t>ツキ</t>
    </rPh>
    <phoneticPr fontId="1"/>
  </si>
  <si>
    <t>4歳以上児加算有無
（12月）</t>
    <rPh sb="1" eb="7">
      <t>サイイジョウジカサン</t>
    </rPh>
    <rPh sb="7" eb="9">
      <t>ウム</t>
    </rPh>
    <rPh sb="13" eb="14">
      <t>ツキ</t>
    </rPh>
    <phoneticPr fontId="1"/>
  </si>
  <si>
    <t>4歳以上児加算有無
（1月）</t>
    <rPh sb="1" eb="7">
      <t>サイイジョウジカサン</t>
    </rPh>
    <rPh sb="7" eb="9">
      <t>ウム</t>
    </rPh>
    <rPh sb="12" eb="13">
      <t>ツキ</t>
    </rPh>
    <phoneticPr fontId="1"/>
  </si>
  <si>
    <t>4歳以上児加算有無
（2月）</t>
    <rPh sb="1" eb="7">
      <t>サイイジョウジカサン</t>
    </rPh>
    <rPh sb="7" eb="9">
      <t>ウム</t>
    </rPh>
    <rPh sb="12" eb="13">
      <t>ツキ</t>
    </rPh>
    <phoneticPr fontId="1"/>
  </si>
  <si>
    <t>4歳以上児加算有無
（3月）</t>
    <rPh sb="1" eb="7">
      <t>サイイジョウジカサン</t>
    </rPh>
    <rPh sb="7" eb="9">
      <t>ウム</t>
    </rPh>
    <rPh sb="12" eb="13">
      <t>ツキ</t>
    </rPh>
    <phoneticPr fontId="1"/>
  </si>
  <si>
    <t>加算有無</t>
    <rPh sb="0" eb="2">
      <t>カサン</t>
    </rPh>
    <rPh sb="2" eb="4">
      <t>ウム</t>
    </rPh>
    <phoneticPr fontId="1"/>
  </si>
  <si>
    <t>VLOOKUP</t>
  </si>
  <si>
    <t>児童数</t>
    <rPh sb="0" eb="3">
      <t>ジドウスウ</t>
    </rPh>
    <phoneticPr fontId="1"/>
  </si>
  <si>
    <t>余裕活用型</t>
    <rPh sb="0" eb="2">
      <t>ヨユウ</t>
    </rPh>
    <rPh sb="2" eb="5">
      <t>カツヨウガタ</t>
    </rPh>
    <phoneticPr fontId="1"/>
  </si>
  <si>
    <t>基幹型</t>
    <rPh sb="0" eb="3">
      <t>キカンガタ</t>
    </rPh>
    <phoneticPr fontId="1"/>
  </si>
  <si>
    <t>配置</t>
  </si>
  <si>
    <t>嘱託</t>
  </si>
  <si>
    <t>兼務</t>
  </si>
  <si>
    <t>令和6年10月31日交付</t>
  </si>
  <si>
    <t>←栄養管理加算　基本額</t>
    <rPh sb="1" eb="5">
      <t>エイヨウカンリ</t>
    </rPh>
    <rPh sb="5" eb="7">
      <t>カサン</t>
    </rPh>
    <rPh sb="8" eb="11">
      <t>キホンガク</t>
    </rPh>
    <phoneticPr fontId="1"/>
  </si>
  <si>
    <t xml:space="preserve">確認させていただいたところ、貴園の職員配置上、補助額はでませんでしたので、ご連絡です。
園で定める常勤時間数が空欄でしたので、前回以前のデータを参考に入力しております。
貴園の職員配置状況を踏まえ、入力・修正しております。
契約時間、勤務時間等から常勤職員となりますので、「パート・常」へ修正しております。
契約時間、勤務時間等から非常勤職員となりますので、「パート・非」へ修正しております。
黄色セルへ賃金単価等を入力ください。
栄養士がおり、人工が充足している月は、栄養管理加算を配置へ修正しておりますのでご留意ください。
　　（この点についてご不明な点等があれば、給付担当までご連絡ください。）
</t>
    <rPh sb="76" eb="78">
      <t>ニュウリョク</t>
    </rPh>
    <rPh sb="87" eb="89">
      <t>キエン</t>
    </rPh>
    <rPh sb="90" eb="92">
      <t>ショクイン</t>
    </rPh>
    <rPh sb="92" eb="94">
      <t>ハイチ</t>
    </rPh>
    <rPh sb="94" eb="96">
      <t>ジョウキョウ</t>
    </rPh>
    <rPh sb="97" eb="98">
      <t>フ</t>
    </rPh>
    <rPh sb="101" eb="103">
      <t>ニュウリョク</t>
    </rPh>
    <rPh sb="104" eb="106">
      <t>シュウセイ</t>
    </rPh>
    <rPh sb="170" eb="173">
      <t>ヒジョウキン</t>
    </rPh>
    <phoneticPr fontId="1"/>
  </si>
  <si>
    <t>【よく使う文言】</t>
    <rPh sb="3" eb="4">
      <t>ツカ</t>
    </rPh>
    <rPh sb="5" eb="7">
      <t>モンゴン</t>
    </rPh>
    <phoneticPr fontId="1"/>
  </si>
  <si>
    <t>様式４</t>
    <phoneticPr fontId="1"/>
  </si>
  <si>
    <t>様式６</t>
    <phoneticPr fontId="1"/>
  </si>
  <si>
    <t>様式８</t>
    <rPh sb="0" eb="2">
      <t>ヨウシキ</t>
    </rPh>
    <phoneticPr fontId="1"/>
  </si>
  <si>
    <t>精算書</t>
    <rPh sb="0" eb="3">
      <t>セイサンショ</t>
    </rPh>
    <phoneticPr fontId="1"/>
  </si>
  <si>
    <t>小野　政宏</t>
  </si>
  <si>
    <t>丸山　豊</t>
  </si>
  <si>
    <t>法人情報（3月31日時点）</t>
    <rPh sb="0" eb="2">
      <t>ホウジン</t>
    </rPh>
    <rPh sb="2" eb="4">
      <t>ジョウホウ</t>
    </rPh>
    <rPh sb="6" eb="7">
      <t>ガツ</t>
    </rPh>
    <rPh sb="9" eb="10">
      <t>ニチ</t>
    </rPh>
    <rPh sb="10" eb="12">
      <t>ジテン</t>
    </rPh>
    <phoneticPr fontId="4"/>
  </si>
  <si>
    <t>代理人情報（3月31日時点）</t>
    <rPh sb="0" eb="3">
      <t>ダイリニン</t>
    </rPh>
    <rPh sb="3" eb="5">
      <t>ジョウホウ</t>
    </rPh>
    <rPh sb="7" eb="8">
      <t>ガツ</t>
    </rPh>
    <rPh sb="10" eb="11">
      <t>ニチ</t>
    </rPh>
    <rPh sb="11" eb="13">
      <t>ジテン</t>
    </rPh>
    <phoneticPr fontId="4"/>
  </si>
  <si>
    <t>PEB13593</t>
    <phoneticPr fontId="1"/>
  </si>
  <si>
    <t>JMQ28190</t>
    <phoneticPr fontId="1"/>
  </si>
  <si>
    <t>8．</t>
    <phoneticPr fontId="1"/>
  </si>
  <si>
    <t>公定価格加算分</t>
    <rPh sb="0" eb="4">
      <t>コウテイカカク</t>
    </rPh>
    <rPh sb="4" eb="7">
      <t>カサンブン</t>
    </rPh>
    <phoneticPr fontId="1"/>
  </si>
  <si>
    <t>千葉市施設型給付対象施設保育士等配置基準改善費算出内訳書（１０）</t>
    <rPh sb="0" eb="12">
      <t>＠</t>
    </rPh>
    <rPh sb="12" eb="15">
      <t>ホイクシ</t>
    </rPh>
    <rPh sb="15" eb="16">
      <t>トウ</t>
    </rPh>
    <rPh sb="16" eb="18">
      <t>ハイチ</t>
    </rPh>
    <rPh sb="18" eb="20">
      <t>キジュン</t>
    </rPh>
    <rPh sb="20" eb="23">
      <t>カイゼンヒ</t>
    </rPh>
    <rPh sb="23" eb="25">
      <t>サンシュツ</t>
    </rPh>
    <rPh sb="25" eb="28">
      <t>ウチワケショ</t>
    </rPh>
    <phoneticPr fontId="15"/>
  </si>
  <si>
    <t>①4歳以上児配置改善加算額相当額</t>
    <rPh sb="2" eb="5">
      <t>サイイジョウ</t>
    </rPh>
    <rPh sb="5" eb="6">
      <t>ジ</t>
    </rPh>
    <rPh sb="6" eb="8">
      <t>ハイチ</t>
    </rPh>
    <rPh sb="8" eb="10">
      <t>カイゼン</t>
    </rPh>
    <rPh sb="10" eb="12">
      <t>カサン</t>
    </rPh>
    <rPh sb="12" eb="13">
      <t>ガク</t>
    </rPh>
    <rPh sb="13" eb="16">
      <t>ソウトウガク</t>
    </rPh>
    <phoneticPr fontId="1"/>
  </si>
  <si>
    <t>助成第１班　神谷・髙木</t>
    <rPh sb="6" eb="8">
      <t>カミヤ</t>
    </rPh>
    <rPh sb="9" eb="11">
      <t>タカギ</t>
    </rPh>
    <phoneticPr fontId="1"/>
  </si>
  <si>
    <t>このシートは貴園は対象外ですので入力の必要はありません。</t>
    <phoneticPr fontId="1"/>
  </si>
  <si>
    <t>QVY33597</t>
    <phoneticPr fontId="1"/>
  </si>
  <si>
    <t>４歳以上児配置改善加算の適用</t>
    <rPh sb="1" eb="4">
      <t>サイイジョウ</t>
    </rPh>
    <rPh sb="4" eb="5">
      <t>ジ</t>
    </rPh>
    <rPh sb="5" eb="7">
      <t>ハイチ</t>
    </rPh>
    <rPh sb="7" eb="9">
      <t>カイゼン</t>
    </rPh>
    <rPh sb="9" eb="11">
      <t>カサン</t>
    </rPh>
    <rPh sb="12" eb="14">
      <t>テキヨウ</t>
    </rPh>
    <phoneticPr fontId="1"/>
  </si>
  <si>
    <t>「各月の園の常勤時間（A）」と、「各職員の雇用形態（常勤・非常勤）に応じた契約時間（B）」の突合</t>
  </si>
  <si>
    <t>×の合計</t>
    <rPh sb="2" eb="4">
      <t>ゴウケイ</t>
    </rPh>
    <phoneticPr fontId="1"/>
  </si>
  <si>
    <t>×の数</t>
    <rPh sb="2" eb="3">
      <t>カズ</t>
    </rPh>
    <phoneticPr fontId="1"/>
  </si>
  <si>
    <t>契約時間</t>
    <rPh sb="0" eb="2">
      <t>ケイヤク</t>
    </rPh>
    <rPh sb="2" eb="4">
      <t>ジカン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</si>
</sst>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0_ "/>
    <numFmt numFmtId="177" formatCode="#,##0&quot;人&quot;"/>
    <numFmt numFmtId="178" formatCode="[$-411]ge\.m\.d;@"/>
    <numFmt numFmtId="179" formatCode="0&quot;月&quot;"/>
    <numFmt numFmtId="180" formatCode="#,##0_ "/>
    <numFmt numFmtId="181" formatCode="0.0_ "/>
    <numFmt numFmtId="182" formatCode="#,##0_);[Red]\(#,##0\)"/>
    <numFmt numFmtId="183" formatCode="#,##0;&quot;△ &quot;#,##0"/>
    <numFmt numFmtId="184" formatCode="#,##0&quot;（人工）&quot;"/>
    <numFmt numFmtId="185" formatCode="_(* #,##0_);_(* \(#,##0\);_(* &quot;-&quot;_);_(@_)"/>
    <numFmt numFmtId="186" formatCode="#,##0.0_ "/>
    <numFmt numFmtId="187" formatCode="#,##0.0;&quot;▲ &quot;#,##0.0"/>
    <numFmt numFmtId="188" formatCode="#,##0&quot;月&quot;"/>
    <numFmt numFmtId="189" formatCode="0.00_);[Red]\(0.00\)"/>
    <numFmt numFmtId="190" formatCode="&quot;金&quot;#,##0&quot;円&quot;"/>
    <numFmt numFmtId="191" formatCode="&quot;&quot;#,##0&quot;&quot;"/>
    <numFmt numFmtId="192" formatCode="#,##0.0_ ;[Red]\-#,##0.0\ "/>
    <numFmt numFmtId="193" formatCode="#,##0&quot;円&quot;"/>
  </numFmts>
  <fonts count="123">
    <font>
      <sz val="11"/>
      <color theme="1"/>
      <name val="游ゴシック"/>
      <family val="2"/>
      <charset val="128"/>
      <scheme val="minor"/>
    </font>
    <font>
      <sz val="6"/>
      <name val="游ゴシック"/>
      <family val="2"/>
      <charset val="128"/>
      <scheme val="minor"/>
    </font>
    <font>
      <sz val="8"/>
      <color theme="1"/>
      <name val="游ゴシック"/>
      <family val="2"/>
      <charset val="128"/>
      <scheme val="minor"/>
    </font>
    <font>
      <sz val="8"/>
      <color theme="1"/>
      <name val="游ゴシック"/>
      <family val="3"/>
      <charset val="128"/>
      <scheme val="minor"/>
    </font>
    <font>
      <sz val="10"/>
      <name val="ＭＳ Ｐ明朝"/>
      <family val="1"/>
      <charset val="128"/>
    </font>
    <font>
      <sz val="16"/>
      <name val="ＭＳ Ｐゴシック"/>
      <family val="3"/>
      <charset val="128"/>
    </font>
    <font>
      <sz val="6"/>
      <name val="ＭＳ Ｐ明朝"/>
      <family val="1"/>
      <charset val="128"/>
    </font>
    <font>
      <sz val="12"/>
      <name val="ＭＳ Ｐゴシック"/>
      <family val="3"/>
      <charset val="128"/>
    </font>
    <font>
      <sz val="10"/>
      <name val="ＭＳ Ｐゴシック"/>
      <family val="3"/>
      <charset val="128"/>
    </font>
    <font>
      <sz val="9"/>
      <name val="ＭＳ Ｐゴシック"/>
      <family val="3"/>
      <charset val="128"/>
    </font>
    <font>
      <sz val="11"/>
      <name val="ＭＳ Ｐゴシック"/>
      <family val="3"/>
      <charset val="128"/>
    </font>
    <font>
      <sz val="9"/>
      <color rgb="FFFF0000"/>
      <name val="ＭＳ Ｐゴシック"/>
      <family val="3"/>
      <charset val="128"/>
    </font>
    <font>
      <sz val="10"/>
      <color indexed="10"/>
      <name val="ＭＳ Ｐゴシック"/>
      <family val="3"/>
      <charset val="128"/>
    </font>
    <font>
      <sz val="8"/>
      <name val="ＭＳ Ｐゴシック"/>
      <family val="3"/>
      <charset val="128"/>
    </font>
    <font>
      <sz val="10"/>
      <color indexed="8"/>
      <name val="ＭＳ Ｐゴシック"/>
      <family val="3"/>
      <charset val="128"/>
    </font>
    <font>
      <sz val="6"/>
      <name val="ＭＳ Ｐゴシック"/>
      <family val="3"/>
      <charset val="128"/>
    </font>
    <font>
      <sz val="11"/>
      <color indexed="8"/>
      <name val="ＭＳ Ｐゴシック"/>
      <family val="3"/>
      <charset val="128"/>
    </font>
    <font>
      <sz val="10"/>
      <color rgb="FFFF0000"/>
      <name val="ＭＳ Ｐゴシック"/>
      <family val="3"/>
      <charset val="128"/>
    </font>
    <font>
      <u/>
      <sz val="10"/>
      <color rgb="FFFF0000"/>
      <name val="ＭＳ Ｐゴシック"/>
      <family val="3"/>
      <charset val="128"/>
    </font>
    <font>
      <u/>
      <sz val="10"/>
      <name val="ＭＳ Ｐゴシック"/>
      <family val="3"/>
      <charset val="128"/>
    </font>
    <font>
      <b/>
      <sz val="11"/>
      <color theme="1"/>
      <name val="游ゴシック"/>
      <family val="3"/>
      <charset val="128"/>
      <scheme val="minor"/>
    </font>
    <font>
      <b/>
      <sz val="16"/>
      <color rgb="FFFF0000"/>
      <name val="ＭＳ Ｐゴシック"/>
      <family val="3"/>
      <charset val="128"/>
    </font>
    <font>
      <b/>
      <sz val="11"/>
      <name val="ＭＳ Ｐゴシック"/>
      <family val="3"/>
      <charset val="128"/>
    </font>
    <font>
      <sz val="14"/>
      <name val="ＭＳ Ｐゴシック"/>
      <family val="3"/>
      <charset val="128"/>
    </font>
    <font>
      <sz val="11"/>
      <color indexed="10"/>
      <name val="ＭＳ Ｐゴシック"/>
      <family val="3"/>
      <charset val="128"/>
    </font>
    <font>
      <sz val="11"/>
      <color theme="0"/>
      <name val="ＭＳ Ｐゴシック"/>
      <family val="3"/>
      <charset val="128"/>
    </font>
    <font>
      <sz val="11"/>
      <color rgb="FFFF0000"/>
      <name val="ＭＳ Ｐゴシック"/>
      <family val="3"/>
      <charset val="128"/>
    </font>
    <font>
      <b/>
      <sz val="14"/>
      <color theme="1"/>
      <name val="游ゴシック"/>
      <family val="3"/>
      <charset val="128"/>
      <scheme val="minor"/>
    </font>
    <font>
      <sz val="11"/>
      <name val="ＭＳ 明朝"/>
      <family val="1"/>
      <charset val="128"/>
    </font>
    <font>
      <sz val="6"/>
      <name val="ＭＳ 明朝"/>
      <family val="1"/>
      <charset val="128"/>
    </font>
    <font>
      <sz val="16"/>
      <name val="ＭＳ 明朝"/>
      <family val="1"/>
      <charset val="128"/>
    </font>
    <font>
      <sz val="18"/>
      <name val="ＭＳ 明朝"/>
      <family val="1"/>
      <charset val="128"/>
    </font>
    <font>
      <sz val="10"/>
      <name val="ＭＳ 明朝"/>
      <family val="1"/>
      <charset val="128"/>
    </font>
    <font>
      <sz val="11"/>
      <name val="明朝"/>
      <family val="1"/>
      <charset val="128"/>
    </font>
    <font>
      <sz val="6"/>
      <color indexed="8"/>
      <name val="ＭＳ Ｐ明朝"/>
      <family val="1"/>
      <charset val="128"/>
    </font>
    <font>
      <sz val="12"/>
      <color theme="1"/>
      <name val="游ゴシック"/>
      <family val="3"/>
      <charset val="128"/>
      <scheme val="minor"/>
    </font>
    <font>
      <b/>
      <u/>
      <sz val="12"/>
      <color theme="1"/>
      <name val="游ゴシック"/>
      <family val="3"/>
      <charset val="128"/>
      <scheme val="minor"/>
    </font>
    <font>
      <u/>
      <sz val="11"/>
      <color theme="1"/>
      <name val="游ゴシック"/>
      <family val="2"/>
      <charset val="128"/>
      <scheme val="minor"/>
    </font>
    <font>
      <u/>
      <sz val="11"/>
      <color theme="1"/>
      <name val="游ゴシック"/>
      <family val="3"/>
      <charset val="128"/>
      <scheme val="minor"/>
    </font>
    <font>
      <u/>
      <sz val="11"/>
      <color theme="10"/>
      <name val="游ゴシック"/>
      <family val="2"/>
      <charset val="128"/>
      <scheme val="minor"/>
    </font>
    <font>
      <sz val="14"/>
      <name val="HG丸ｺﾞｼｯｸM-PRO"/>
      <family val="3"/>
      <charset val="128"/>
    </font>
    <font>
      <sz val="20"/>
      <name val="HG丸ｺﾞｼｯｸM-PRO"/>
      <family val="3"/>
      <charset val="128"/>
    </font>
    <font>
      <b/>
      <sz val="14"/>
      <color rgb="FFFF0000"/>
      <name val="HG丸ｺﾞｼｯｸM-PRO"/>
      <family val="3"/>
      <charset val="128"/>
    </font>
    <font>
      <sz val="12"/>
      <name val="HG丸ｺﾞｼｯｸM-PRO"/>
      <family val="3"/>
      <charset val="128"/>
    </font>
    <font>
      <u val="double"/>
      <sz val="14"/>
      <name val="HG丸ｺﾞｼｯｸM-PRO"/>
      <family val="3"/>
      <charset val="128"/>
    </font>
    <font>
      <sz val="12"/>
      <color rgb="FFFF0000"/>
      <name val="HG丸ｺﾞｼｯｸM-PRO"/>
      <family val="3"/>
      <charset val="128"/>
    </font>
    <font>
      <sz val="11"/>
      <color theme="1"/>
      <name val="游ゴシック"/>
      <family val="2"/>
      <scheme val="minor"/>
    </font>
    <font>
      <sz val="11"/>
      <color theme="1"/>
      <name val="游ゴシック"/>
      <family val="2"/>
      <charset val="128"/>
      <scheme val="minor"/>
    </font>
    <font>
      <sz val="6"/>
      <name val="游ゴシック"/>
      <family val="3"/>
      <charset val="128"/>
      <scheme val="minor"/>
    </font>
    <font>
      <sz val="11"/>
      <name val="游ゴシック"/>
      <family val="3"/>
      <charset val="128"/>
      <scheme val="minor"/>
    </font>
    <font>
      <b/>
      <u/>
      <sz val="14"/>
      <color rgb="FFFF0000"/>
      <name val="游ゴシック"/>
      <family val="3"/>
      <charset val="128"/>
      <scheme val="minor"/>
    </font>
    <font>
      <sz val="11"/>
      <name val="游ゴシック"/>
      <family val="2"/>
      <charset val="128"/>
      <scheme val="minor"/>
    </font>
    <font>
      <sz val="8"/>
      <color rgb="FFFFFF00"/>
      <name val="游ゴシック"/>
      <family val="2"/>
      <charset val="128"/>
      <scheme val="minor"/>
    </font>
    <font>
      <sz val="8"/>
      <color rgb="FFFFFF00"/>
      <name val="游ゴシック"/>
      <family val="3"/>
      <charset val="128"/>
      <scheme val="minor"/>
    </font>
    <font>
      <sz val="8"/>
      <color rgb="FFFF0000"/>
      <name val="游ゴシック"/>
      <family val="3"/>
      <charset val="128"/>
      <scheme val="minor"/>
    </font>
    <font>
      <sz val="14"/>
      <name val="ＭＳ 明朝"/>
      <family val="1"/>
      <charset val="128"/>
    </font>
    <font>
      <sz val="8"/>
      <color rgb="FFFF0000"/>
      <name val="游ゴシック"/>
      <family val="2"/>
      <charset val="128"/>
      <scheme val="minor"/>
    </font>
    <font>
      <sz val="10"/>
      <color theme="1"/>
      <name val="游ゴシック"/>
      <family val="2"/>
      <charset val="128"/>
      <scheme val="minor"/>
    </font>
    <font>
      <sz val="8"/>
      <name val="游ゴシック"/>
      <family val="3"/>
      <charset val="128"/>
      <scheme val="minor"/>
    </font>
    <font>
      <b/>
      <sz val="9"/>
      <color indexed="81"/>
      <name val="MS P ゴシック"/>
      <family val="3"/>
      <charset val="128"/>
    </font>
    <font>
      <b/>
      <sz val="12"/>
      <color indexed="9"/>
      <name val="MS P ゴシック"/>
      <family val="3"/>
      <charset val="128"/>
    </font>
    <font>
      <u/>
      <sz val="11"/>
      <color theme="0"/>
      <name val="游ゴシック"/>
      <family val="3"/>
      <charset val="128"/>
      <scheme val="minor"/>
    </font>
    <font>
      <sz val="11"/>
      <color theme="0"/>
      <name val="游ゴシック"/>
      <family val="2"/>
      <charset val="128"/>
      <scheme val="minor"/>
    </font>
    <font>
      <sz val="16"/>
      <color theme="0"/>
      <name val="ＭＳ Ｐゴシック"/>
      <family val="3"/>
      <charset val="128"/>
    </font>
    <font>
      <sz val="9"/>
      <name val="ＭＳ 明朝"/>
      <family val="1"/>
      <charset val="128"/>
    </font>
    <font>
      <b/>
      <sz val="14"/>
      <color rgb="FFFF0000"/>
      <name val="ＭＳ 明朝"/>
      <family val="1"/>
      <charset val="128"/>
    </font>
    <font>
      <sz val="16"/>
      <name val="ＭＳ ゴシック"/>
      <family val="3"/>
      <charset val="128"/>
    </font>
    <font>
      <sz val="12"/>
      <name val="HGｺﾞｼｯｸE"/>
      <family val="3"/>
      <charset val="128"/>
    </font>
    <font>
      <sz val="16"/>
      <color indexed="10"/>
      <name val="ＭＳ ゴシック"/>
      <family val="3"/>
      <charset val="128"/>
    </font>
    <font>
      <b/>
      <sz val="14"/>
      <color indexed="81"/>
      <name val="MS P ゴシック"/>
      <family val="3"/>
      <charset val="128"/>
    </font>
    <font>
      <sz val="14"/>
      <color indexed="81"/>
      <name val="MS P ゴシック"/>
      <family val="3"/>
      <charset val="128"/>
    </font>
    <font>
      <sz val="10"/>
      <color theme="1"/>
      <name val="HGｺﾞｼｯｸM"/>
      <family val="3"/>
      <charset val="128"/>
    </font>
    <font>
      <sz val="12"/>
      <color theme="1"/>
      <name val="HGSｺﾞｼｯｸE"/>
      <family val="3"/>
      <charset val="128"/>
    </font>
    <font>
      <sz val="10"/>
      <color theme="1"/>
      <name val="HGSｺﾞｼｯｸE"/>
      <family val="3"/>
      <charset val="128"/>
    </font>
    <font>
      <sz val="9"/>
      <color theme="1"/>
      <name val="HGｺﾞｼｯｸM"/>
      <family val="3"/>
      <charset val="128"/>
    </font>
    <font>
      <sz val="10"/>
      <color theme="0"/>
      <name val="HGｺﾞｼｯｸM"/>
      <family val="3"/>
      <charset val="128"/>
    </font>
    <font>
      <sz val="11"/>
      <color theme="5" tint="0.79998168889431442"/>
      <name val="ＭＳ Ｐゴシック"/>
      <family val="3"/>
      <charset val="128"/>
    </font>
    <font>
      <sz val="11"/>
      <color theme="0"/>
      <name val="游ゴシック"/>
      <family val="3"/>
      <charset val="128"/>
      <scheme val="minor"/>
    </font>
    <font>
      <sz val="11"/>
      <color theme="1"/>
      <name val="ＭＳ Ｐゴシック"/>
      <family val="3"/>
      <charset val="128"/>
    </font>
    <font>
      <sz val="11"/>
      <color theme="1"/>
      <name val="游ゴシック"/>
      <family val="3"/>
      <charset val="128"/>
      <scheme val="minor"/>
    </font>
    <font>
      <sz val="24"/>
      <color theme="1"/>
      <name val="ＭＳ Ｐゴシック"/>
      <family val="3"/>
      <charset val="128"/>
    </font>
    <font>
      <sz val="20"/>
      <color theme="1"/>
      <name val="ＭＳ Ｐゴシック"/>
      <family val="3"/>
      <charset val="128"/>
    </font>
    <font>
      <b/>
      <sz val="11"/>
      <color theme="1"/>
      <name val="ＭＳ Ｐゴシック"/>
      <family val="3"/>
      <charset val="128"/>
    </font>
    <font>
      <sz val="12"/>
      <color theme="1"/>
      <name val="ＭＳ Ｐゴシック"/>
      <family val="3"/>
      <charset val="128"/>
    </font>
    <font>
      <sz val="9"/>
      <color indexed="81"/>
      <name val="MS P ゴシック"/>
      <family val="3"/>
      <charset val="128"/>
    </font>
    <font>
      <b/>
      <sz val="12"/>
      <color indexed="81"/>
      <name val="MS P ゴシック"/>
      <family val="3"/>
      <charset val="128"/>
    </font>
    <font>
      <sz val="12"/>
      <color theme="1"/>
      <name val="ＭＳ Ｐ明朝"/>
      <family val="1"/>
      <charset val="128"/>
    </font>
    <font>
      <b/>
      <sz val="18"/>
      <color theme="1"/>
      <name val="ＭＳ Ｐ明朝"/>
      <family val="1"/>
      <charset val="128"/>
    </font>
    <font>
      <sz val="14"/>
      <color theme="1"/>
      <name val="ＭＳ Ｐ明朝"/>
      <family val="1"/>
      <charset val="128"/>
    </font>
    <font>
      <sz val="18"/>
      <color theme="1"/>
      <name val="ＭＳ Ｐ明朝"/>
      <family val="1"/>
      <charset val="128"/>
    </font>
    <font>
      <sz val="16"/>
      <color theme="1"/>
      <name val="ＭＳ Ｐ明朝"/>
      <family val="1"/>
      <charset val="128"/>
    </font>
    <font>
      <sz val="6"/>
      <color theme="1"/>
      <name val="ＭＳ Ｐ明朝"/>
      <family val="1"/>
      <charset val="128"/>
    </font>
    <font>
      <sz val="10"/>
      <color indexed="8"/>
      <name val="ＭＳ Ｐ明朝"/>
      <family val="1"/>
      <charset val="128"/>
    </font>
    <font>
      <sz val="11"/>
      <color theme="1"/>
      <name val="ＭＳ Ｐ明朝"/>
      <family val="1"/>
      <charset val="128"/>
    </font>
    <font>
      <i/>
      <sz val="12"/>
      <color theme="1"/>
      <name val="ＭＳ Ｐ明朝"/>
      <family val="1"/>
      <charset val="128"/>
    </font>
    <font>
      <b/>
      <sz val="9"/>
      <color rgb="FFFF0000"/>
      <name val="ＭＳ Ｐゴシック"/>
      <family val="3"/>
      <charset val="128"/>
    </font>
    <font>
      <sz val="22"/>
      <name val="HG丸ｺﾞｼｯｸM-PRO"/>
      <family val="3"/>
      <charset val="128"/>
    </font>
    <font>
      <b/>
      <u val="double"/>
      <sz val="16"/>
      <color rgb="FFFF0000"/>
      <name val="HG丸ｺﾞｼｯｸM-PRO"/>
      <family val="3"/>
      <charset val="128"/>
    </font>
    <font>
      <sz val="12"/>
      <color rgb="FFFF0000"/>
      <name val="HGP創英角ﾎﾟｯﾌﾟ体"/>
      <family val="3"/>
      <charset val="128"/>
    </font>
    <font>
      <u/>
      <sz val="16"/>
      <color rgb="FFFF0000"/>
      <name val="HGP創英角ﾎﾟｯﾌﾟ体"/>
      <family val="3"/>
      <charset val="128"/>
    </font>
    <font>
      <sz val="11"/>
      <color theme="1"/>
      <name val="HGｺﾞｼｯｸM"/>
      <family val="3"/>
      <charset val="128"/>
    </font>
    <font>
      <sz val="11"/>
      <color theme="1"/>
      <name val="HGｺﾞｼｯｸE"/>
      <family val="3"/>
      <charset val="128"/>
    </font>
    <font>
      <sz val="12"/>
      <color theme="1"/>
      <name val="HGｺﾞｼｯｸE"/>
      <family val="3"/>
      <charset val="128"/>
    </font>
    <font>
      <u val="double"/>
      <sz val="12"/>
      <color rgb="FFFF0000"/>
      <name val="HG丸ｺﾞｼｯｸM-PRO"/>
      <family val="3"/>
      <charset val="128"/>
    </font>
    <font>
      <sz val="9"/>
      <color theme="1"/>
      <name val="游ゴシック"/>
      <family val="3"/>
      <charset val="128"/>
      <scheme val="minor"/>
    </font>
    <font>
      <sz val="6"/>
      <color theme="1"/>
      <name val="HGｺﾞｼｯｸM"/>
      <family val="3"/>
      <charset val="128"/>
    </font>
    <font>
      <b/>
      <sz val="20"/>
      <color theme="0"/>
      <name val="HG丸ｺﾞｼｯｸM-PRO"/>
      <family val="3"/>
      <charset val="128"/>
    </font>
    <font>
      <b/>
      <sz val="22"/>
      <color theme="0"/>
      <name val="HG丸ｺﾞｼｯｸM-PRO"/>
      <family val="3"/>
      <charset val="128"/>
    </font>
    <font>
      <b/>
      <sz val="14"/>
      <name val="HG丸ｺﾞｼｯｸM-PRO"/>
      <family val="3"/>
      <charset val="128"/>
    </font>
    <font>
      <b/>
      <sz val="12"/>
      <name val="HG丸ｺﾞｼｯｸM-PRO"/>
      <family val="3"/>
      <charset val="128"/>
    </font>
    <font>
      <b/>
      <u/>
      <sz val="12"/>
      <color rgb="FFFF0000"/>
      <name val="HG丸ｺﾞｼｯｸM-PRO"/>
      <family val="3"/>
      <charset val="128"/>
    </font>
    <font>
      <b/>
      <sz val="12"/>
      <color rgb="FFFF0000"/>
      <name val="HG丸ｺﾞｼｯｸM-PRO"/>
      <family val="3"/>
      <charset val="128"/>
    </font>
    <font>
      <b/>
      <u/>
      <sz val="12"/>
      <name val="HG丸ｺﾞｼｯｸM-PRO"/>
      <family val="3"/>
      <charset val="128"/>
    </font>
    <font>
      <b/>
      <u val="double"/>
      <sz val="14"/>
      <color rgb="FFFF0000"/>
      <name val="HG丸ｺﾞｼｯｸM-PRO"/>
      <family val="3"/>
      <charset val="128"/>
    </font>
    <font>
      <sz val="12"/>
      <name val="HGP創英角ﾎﾟｯﾌﾟ体"/>
      <family val="3"/>
      <charset val="128"/>
    </font>
    <font>
      <b/>
      <u/>
      <sz val="18"/>
      <color rgb="FFFF0000"/>
      <name val="HG丸ｺﾞｼｯｸM-PRO"/>
      <family val="3"/>
      <charset val="128"/>
    </font>
    <font>
      <b/>
      <sz val="18"/>
      <color rgb="FFFF0000"/>
      <name val="HG丸ｺﾞｼｯｸM-PRO"/>
      <family val="3"/>
      <charset val="128"/>
    </font>
    <font>
      <sz val="11"/>
      <color rgb="FFFF0000"/>
      <name val="游ゴシック"/>
      <family val="2"/>
      <charset val="128"/>
      <scheme val="minor"/>
    </font>
    <font>
      <b/>
      <sz val="11"/>
      <color theme="1"/>
      <name val="Meiryo UI"/>
      <family val="3"/>
      <charset val="128"/>
    </font>
    <font>
      <sz val="10"/>
      <color theme="1"/>
      <name val="ＭＳ Ｐゴシック"/>
      <family val="3"/>
      <charset val="128"/>
    </font>
    <font>
      <b/>
      <sz val="11"/>
      <color theme="1"/>
      <name val="HGｺﾞｼｯｸM"/>
      <family val="3"/>
      <charset val="128"/>
    </font>
    <font>
      <sz val="11"/>
      <color rgb="FFFF0000"/>
      <name val="游ゴシック"/>
      <family val="3"/>
      <charset val="128"/>
      <scheme val="minor"/>
    </font>
    <font>
      <b/>
      <i/>
      <sz val="16"/>
      <color rgb="FFFF0000"/>
      <name val="ＭＳ Ｐゴシック"/>
      <family val="3"/>
      <charset val="128"/>
    </font>
  </fonts>
  <fills count="20">
    <fill>
      <patternFill patternType="none"/>
    </fill>
    <fill>
      <patternFill patternType="gray125"/>
    </fill>
    <fill>
      <patternFill patternType="solid">
        <fgColor rgb="FFFFFF99"/>
        <bgColor indexed="64"/>
      </patternFill>
    </fill>
    <fill>
      <patternFill patternType="solid">
        <fgColor rgb="FFFFFFCC"/>
        <bgColor indexed="64"/>
      </patternFill>
    </fill>
    <fill>
      <patternFill patternType="solid">
        <fgColor rgb="FFFFFF00"/>
        <bgColor indexed="64"/>
      </patternFill>
    </fill>
    <fill>
      <patternFill patternType="solid">
        <fgColor theme="3" tint="0.79998168889431442"/>
        <bgColor indexed="64"/>
      </patternFill>
    </fill>
    <fill>
      <patternFill patternType="solid">
        <fgColor theme="0"/>
        <bgColor indexed="64"/>
      </patternFill>
    </fill>
    <fill>
      <patternFill patternType="solid">
        <fgColor indexed="9"/>
        <bgColor indexed="64"/>
      </patternFill>
    </fill>
    <fill>
      <patternFill patternType="solid">
        <fgColor theme="9" tint="0.79998168889431442"/>
        <bgColor indexed="64"/>
      </patternFill>
    </fill>
    <fill>
      <patternFill patternType="solid">
        <fgColor rgb="FFFF0000"/>
        <bgColor indexed="64"/>
      </patternFill>
    </fill>
    <fill>
      <patternFill patternType="solid">
        <fgColor rgb="FFFFCCFF"/>
        <bgColor indexed="64"/>
      </patternFill>
    </fill>
    <fill>
      <patternFill patternType="solid">
        <fgColor rgb="FF92D050"/>
        <bgColor indexed="64"/>
      </patternFill>
    </fill>
    <fill>
      <patternFill patternType="solid">
        <fgColor rgb="FF00B050"/>
        <bgColor indexed="64"/>
      </patternFill>
    </fill>
    <fill>
      <patternFill patternType="solid">
        <fgColor rgb="FF00B0F0"/>
        <bgColor indexed="64"/>
      </patternFill>
    </fill>
    <fill>
      <patternFill patternType="solid">
        <fgColor theme="1"/>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499984740745262"/>
        <bgColor indexed="64"/>
      </patternFill>
    </fill>
  </fills>
  <borders count="9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dotted">
        <color indexed="64"/>
      </left>
      <right/>
      <top style="thin">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style="dashed">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top style="thin">
        <color indexed="64"/>
      </top>
      <bottom/>
      <diagonal/>
    </border>
    <border>
      <left style="medium">
        <color indexed="64"/>
      </left>
      <right/>
      <top/>
      <bottom style="thin">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ck">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thick">
        <color indexed="64"/>
      </left>
      <right style="thick">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n">
        <color indexed="64"/>
      </right>
      <top style="thick">
        <color indexed="64"/>
      </top>
      <bottom style="thin">
        <color indexed="64"/>
      </bottom>
      <diagonal/>
    </border>
    <border>
      <left/>
      <right style="thin">
        <color indexed="64"/>
      </right>
      <top/>
      <bottom style="thick">
        <color indexed="64"/>
      </bottom>
      <diagonal/>
    </border>
    <border>
      <left style="thick">
        <color indexed="64"/>
      </left>
      <right style="thin">
        <color indexed="64"/>
      </right>
      <top/>
      <bottom style="thin">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s>
  <cellStyleXfs count="18">
    <xf numFmtId="0" fontId="0" fillId="0" borderId="0">
      <alignment vertical="center"/>
    </xf>
    <xf numFmtId="0" fontId="4" fillId="0" borderId="0"/>
    <xf numFmtId="0" fontId="16" fillId="0" borderId="0"/>
    <xf numFmtId="0" fontId="10" fillId="0" borderId="0"/>
    <xf numFmtId="0" fontId="28" fillId="0" borderId="0"/>
    <xf numFmtId="0" fontId="33" fillId="0" borderId="0"/>
    <xf numFmtId="185" fontId="34" fillId="0" borderId="0" applyFont="0" applyFill="0" applyBorder="0" applyAlignment="0" applyProtection="0"/>
    <xf numFmtId="0" fontId="39" fillId="0" borderId="0" applyNumberFormat="0" applyFill="0" applyBorder="0" applyAlignment="0" applyProtection="0">
      <alignment vertical="center"/>
    </xf>
    <xf numFmtId="0" fontId="46" fillId="0" borderId="0"/>
    <xf numFmtId="0" fontId="10" fillId="0" borderId="0">
      <alignment vertical="center"/>
    </xf>
    <xf numFmtId="0" fontId="10" fillId="0" borderId="0">
      <alignment vertical="center"/>
    </xf>
    <xf numFmtId="0" fontId="28" fillId="0" borderId="0" applyProtection="0"/>
    <xf numFmtId="9" fontId="28" fillId="0" borderId="0" applyFont="0" applyFill="0" applyBorder="0" applyAlignment="0" applyProtection="0">
      <alignment vertical="center"/>
    </xf>
    <xf numFmtId="38" fontId="28" fillId="0" borderId="0" applyFont="0" applyFill="0" applyBorder="0" applyAlignment="0" applyProtection="0"/>
    <xf numFmtId="0" fontId="28" fillId="0" borderId="0"/>
    <xf numFmtId="0" fontId="10" fillId="0" borderId="0"/>
    <xf numFmtId="0" fontId="10" fillId="0" borderId="0"/>
    <xf numFmtId="38" fontId="47" fillId="0" borderId="0" applyFont="0" applyFill="0" applyBorder="0" applyAlignment="0" applyProtection="0">
      <alignment vertical="center"/>
    </xf>
  </cellStyleXfs>
  <cellXfs count="999">
    <xf numFmtId="0" fontId="0" fillId="0" borderId="0" xfId="0">
      <alignment vertical="center"/>
    </xf>
    <xf numFmtId="0" fontId="0" fillId="0" borderId="1" xfId="0" applyBorder="1">
      <alignment vertical="center"/>
    </xf>
    <xf numFmtId="178" fontId="10" fillId="0" borderId="1" xfId="1" applyNumberFormat="1" applyFont="1" applyBorder="1" applyAlignment="1">
      <alignment horizontal="center" vertical="center" shrinkToFit="1"/>
    </xf>
    <xf numFmtId="0" fontId="8" fillId="0" borderId="21" xfId="1" applyFont="1" applyBorder="1" applyAlignment="1">
      <alignment horizontal="center" vertical="center"/>
    </xf>
    <xf numFmtId="0" fontId="12" fillId="0" borderId="1" xfId="1" applyFont="1" applyBorder="1" applyAlignment="1" applyProtection="1">
      <alignment horizontal="center" vertical="center"/>
      <protection locked="0"/>
    </xf>
    <xf numFmtId="0" fontId="14" fillId="0" borderId="24" xfId="1" applyFont="1" applyBorder="1" applyAlignment="1" applyProtection="1">
      <alignment horizontal="center" vertical="center"/>
      <protection locked="0"/>
    </xf>
    <xf numFmtId="0" fontId="14" fillId="0" borderId="5" xfId="1" applyFont="1" applyBorder="1" applyAlignment="1" applyProtection="1">
      <alignment horizontal="center" vertical="center"/>
      <protection locked="0"/>
    </xf>
    <xf numFmtId="0" fontId="14" fillId="0" borderId="1" xfId="1" applyFont="1" applyBorder="1" applyAlignment="1" applyProtection="1">
      <alignment horizontal="center" vertical="center" wrapText="1"/>
      <protection locked="0"/>
    </xf>
    <xf numFmtId="0" fontId="8" fillId="0" borderId="1" xfId="1" applyFont="1" applyBorder="1" applyAlignment="1" applyProtection="1">
      <alignment horizontal="center" vertical="center"/>
      <protection locked="0"/>
    </xf>
    <xf numFmtId="0" fontId="14" fillId="0" borderId="1" xfId="1" applyFont="1" applyBorder="1" applyAlignment="1" applyProtection="1">
      <alignment horizontal="center" vertical="center"/>
      <protection locked="0"/>
    </xf>
    <xf numFmtId="0" fontId="8" fillId="0" borderId="1" xfId="1" applyFont="1" applyBorder="1" applyAlignment="1" applyProtection="1">
      <alignment horizontal="center" vertical="center" shrinkToFit="1"/>
      <protection locked="0"/>
    </xf>
    <xf numFmtId="178" fontId="8" fillId="0" borderId="1" xfId="1" applyNumberFormat="1" applyFont="1" applyBorder="1" applyAlignment="1" applyProtection="1">
      <alignment horizontal="center" vertical="center"/>
      <protection locked="0"/>
    </xf>
    <xf numFmtId="178" fontId="8" fillId="0" borderId="1" xfId="1" applyNumberFormat="1" applyFont="1" applyBorder="1" applyAlignment="1" applyProtection="1">
      <alignment horizontal="center" vertical="center" shrinkToFit="1"/>
      <protection locked="0"/>
    </xf>
    <xf numFmtId="0" fontId="8" fillId="0" borderId="4" xfId="1" applyFont="1" applyBorder="1" applyAlignment="1" applyProtection="1">
      <alignment horizontal="center" vertical="center" shrinkToFit="1"/>
      <protection locked="0"/>
    </xf>
    <xf numFmtId="0" fontId="13" fillId="0" borderId="23" xfId="1" applyFont="1" applyBorder="1" applyAlignment="1" applyProtection="1">
      <alignment horizontal="center" vertical="center" wrapText="1"/>
      <protection locked="0"/>
    </xf>
    <xf numFmtId="0" fontId="12" fillId="0" borderId="1" xfId="1" applyFont="1" applyBorder="1" applyAlignment="1" applyProtection="1">
      <alignment horizontal="center" vertical="center" shrinkToFit="1"/>
      <protection locked="0"/>
    </xf>
    <xf numFmtId="0" fontId="13" fillId="0" borderId="23" xfId="1" applyFont="1" applyBorder="1" applyAlignment="1" applyProtection="1">
      <alignment horizontal="center" vertical="center"/>
      <protection locked="0"/>
    </xf>
    <xf numFmtId="0" fontId="15" fillId="0" borderId="1" xfId="1" applyFont="1" applyBorder="1" applyAlignment="1" applyProtection="1">
      <alignment horizontal="center" vertical="center" shrinkToFit="1"/>
      <protection locked="0"/>
    </xf>
    <xf numFmtId="178" fontId="17" fillId="0" borderId="1" xfId="2" applyNumberFormat="1" applyFont="1" applyBorder="1" applyAlignment="1" applyProtection="1">
      <alignment horizontal="center" vertical="center" shrinkToFit="1"/>
      <protection locked="0"/>
    </xf>
    <xf numFmtId="14" fontId="10" fillId="0" borderId="0" xfId="1" applyNumberFormat="1" applyFont="1" applyAlignment="1">
      <alignment horizontal="center" vertical="center" shrinkToFit="1"/>
    </xf>
    <xf numFmtId="0" fontId="8" fillId="0" borderId="1" xfId="1" applyFont="1" applyBorder="1" applyAlignment="1" applyProtection="1">
      <alignment horizontal="center" vertical="center" wrapText="1"/>
      <protection locked="0"/>
    </xf>
    <xf numFmtId="0" fontId="5" fillId="0" borderId="0" xfId="3" applyFont="1"/>
    <xf numFmtId="0" fontId="5" fillId="0" borderId="0" xfId="3" applyFont="1" applyAlignment="1">
      <alignment horizontal="left"/>
    </xf>
    <xf numFmtId="0" fontId="5" fillId="0" borderId="0" xfId="3" applyFont="1" applyAlignment="1">
      <alignment horizontal="left" shrinkToFit="1"/>
    </xf>
    <xf numFmtId="0" fontId="5" fillId="0" borderId="0" xfId="3" applyFont="1" applyAlignment="1">
      <alignment shrinkToFit="1"/>
    </xf>
    <xf numFmtId="0" fontId="10" fillId="0" borderId="0" xfId="3" applyAlignment="1">
      <alignment horizontal="center" vertical="center" wrapText="1"/>
    </xf>
    <xf numFmtId="0" fontId="10" fillId="0" borderId="0" xfId="3" applyAlignment="1">
      <alignment vertical="center" wrapText="1"/>
    </xf>
    <xf numFmtId="0" fontId="9" fillId="0" borderId="1" xfId="0" applyFont="1" applyBorder="1" applyAlignment="1">
      <alignment horizontal="center" vertical="center" shrinkToFit="1"/>
    </xf>
    <xf numFmtId="0" fontId="15" fillId="0" borderId="1" xfId="3" applyFont="1" applyBorder="1" applyAlignment="1">
      <alignment horizontal="center" vertical="center" wrapText="1"/>
    </xf>
    <xf numFmtId="0" fontId="23" fillId="0" borderId="0" xfId="3" applyFont="1" applyAlignment="1">
      <alignment horizontal="center" vertical="center" wrapText="1"/>
    </xf>
    <xf numFmtId="0" fontId="23" fillId="0" borderId="0" xfId="3" applyFont="1" applyAlignment="1">
      <alignment vertical="center" wrapText="1"/>
    </xf>
    <xf numFmtId="0" fontId="10" fillId="0" borderId="39" xfId="3" applyBorder="1" applyAlignment="1">
      <alignment horizontal="center" wrapText="1"/>
    </xf>
    <xf numFmtId="0" fontId="23" fillId="0" borderId="39" xfId="3" applyFont="1" applyBorder="1" applyAlignment="1">
      <alignment horizontal="center" vertical="center" wrapText="1"/>
    </xf>
    <xf numFmtId="0" fontId="9" fillId="0" borderId="1" xfId="0" applyFont="1" applyBorder="1" applyAlignment="1">
      <alignment horizontal="center" vertical="center" wrapText="1"/>
    </xf>
    <xf numFmtId="0" fontId="13" fillId="0" borderId="22" xfId="3" applyFont="1" applyBorder="1" applyAlignment="1">
      <alignment horizontal="center" vertical="center" wrapText="1"/>
    </xf>
    <xf numFmtId="0" fontId="10" fillId="7" borderId="0" xfId="3" applyFill="1"/>
    <xf numFmtId="0" fontId="10" fillId="0" borderId="0" xfId="3" applyAlignment="1">
      <alignment horizontal="center" vertical="center"/>
    </xf>
    <xf numFmtId="0" fontId="10" fillId="0" borderId="0" xfId="3" applyAlignment="1">
      <alignment horizontal="right"/>
    </xf>
    <xf numFmtId="0" fontId="10" fillId="0" borderId="0" xfId="3"/>
    <xf numFmtId="0" fontId="0" fillId="0" borderId="0" xfId="0" applyAlignment="1">
      <alignment horizontal="left" shrinkToFit="1"/>
    </xf>
    <xf numFmtId="0" fontId="10" fillId="0" borderId="0" xfId="3" applyAlignment="1">
      <alignment vertical="center"/>
    </xf>
    <xf numFmtId="0" fontId="24" fillId="0" borderId="0" xfId="3" applyFont="1" applyAlignment="1">
      <alignment vertical="center"/>
    </xf>
    <xf numFmtId="0" fontId="10" fillId="0" borderId="0" xfId="3" applyAlignment="1">
      <alignment vertical="center" shrinkToFit="1"/>
    </xf>
    <xf numFmtId="0" fontId="0" fillId="0" borderId="0" xfId="0" applyAlignment="1">
      <alignment horizontal="right"/>
    </xf>
    <xf numFmtId="0" fontId="0" fillId="0" borderId="0" xfId="0" applyAlignment="1"/>
    <xf numFmtId="0" fontId="0" fillId="0" borderId="0" xfId="0" applyAlignment="1">
      <alignment wrapText="1"/>
    </xf>
    <xf numFmtId="0" fontId="10" fillId="0" borderId="0" xfId="0" applyFont="1">
      <alignment vertical="center"/>
    </xf>
    <xf numFmtId="0" fontId="24" fillId="0" borderId="0" xfId="0" applyFont="1">
      <alignment vertical="center"/>
    </xf>
    <xf numFmtId="0" fontId="0" fillId="0" borderId="0" xfId="0" applyAlignment="1">
      <alignment shrinkToFit="1"/>
    </xf>
    <xf numFmtId="0" fontId="0" fillId="0" borderId="0" xfId="0" applyAlignment="1">
      <alignment horizontal="left"/>
    </xf>
    <xf numFmtId="0" fontId="10" fillId="0" borderId="0" xfId="3" applyAlignment="1">
      <alignment shrinkToFit="1"/>
    </xf>
    <xf numFmtId="0" fontId="23" fillId="0" borderId="0" xfId="3" applyFont="1" applyAlignment="1">
      <alignment horizontal="center" shrinkToFit="1"/>
    </xf>
    <xf numFmtId="0" fontId="13" fillId="0" borderId="1" xfId="3" applyFont="1" applyBorder="1" applyAlignment="1">
      <alignment vertical="center" textRotation="255" wrapText="1"/>
    </xf>
    <xf numFmtId="0" fontId="13" fillId="0" borderId="1" xfId="3" applyFont="1" applyBorder="1" applyAlignment="1">
      <alignment horizontal="center" vertical="center" textRotation="255" wrapText="1"/>
    </xf>
    <xf numFmtId="0" fontId="10" fillId="0" borderId="0" xfId="3" applyAlignment="1">
      <alignment horizontal="center" vertical="center" textRotation="255" wrapText="1"/>
    </xf>
    <xf numFmtId="0" fontId="0" fillId="0" borderId="1" xfId="0" applyBorder="1" applyAlignment="1">
      <alignment horizontal="center" vertical="center"/>
    </xf>
    <xf numFmtId="0" fontId="10" fillId="0" borderId="0" xfId="3" applyAlignment="1">
      <alignment horizontal="center" vertical="center" shrinkToFit="1"/>
    </xf>
    <xf numFmtId="0" fontId="25" fillId="0" borderId="22" xfId="3" applyFont="1" applyBorder="1" applyAlignment="1">
      <alignment vertical="center" wrapText="1"/>
    </xf>
    <xf numFmtId="180" fontId="10" fillId="0" borderId="0" xfId="3" applyNumberFormat="1"/>
    <xf numFmtId="0" fontId="0" fillId="0" borderId="0" xfId="0" quotePrefix="1" applyAlignment="1">
      <alignment horizontal="right" vertical="center"/>
    </xf>
    <xf numFmtId="0" fontId="0" fillId="8" borderId="1" xfId="0" applyFill="1" applyBorder="1" applyAlignment="1">
      <alignment vertical="center" wrapText="1"/>
    </xf>
    <xf numFmtId="179" fontId="10" fillId="0" borderId="4" xfId="3" applyNumberFormat="1" applyBorder="1" applyAlignment="1">
      <alignment horizontal="center"/>
    </xf>
    <xf numFmtId="183" fontId="0" fillId="0" borderId="1" xfId="0" applyNumberFormat="1" applyBorder="1">
      <alignment vertical="center"/>
    </xf>
    <xf numFmtId="183" fontId="0" fillId="0" borderId="1" xfId="0" applyNumberFormat="1" applyBorder="1" applyAlignment="1">
      <alignment horizontal="center" vertical="center"/>
    </xf>
    <xf numFmtId="183" fontId="0" fillId="0" borderId="0" xfId="0" applyNumberFormat="1">
      <alignment vertical="center"/>
    </xf>
    <xf numFmtId="0" fontId="0" fillId="8" borderId="1" xfId="0" applyFill="1" applyBorder="1">
      <alignment vertical="center"/>
    </xf>
    <xf numFmtId="183" fontId="27" fillId="0" borderId="1" xfId="0" applyNumberFormat="1" applyFont="1" applyBorder="1">
      <alignment vertical="center"/>
    </xf>
    <xf numFmtId="0" fontId="0" fillId="0" borderId="1" xfId="0" applyBorder="1" applyAlignment="1">
      <alignment horizontal="center" vertical="center" wrapText="1"/>
    </xf>
    <xf numFmtId="0" fontId="10" fillId="0" borderId="0" xfId="3" applyAlignment="1">
      <alignment horizontal="center"/>
    </xf>
    <xf numFmtId="0" fontId="10" fillId="0" borderId="0" xfId="3" applyAlignment="1">
      <alignment horizontal="center" shrinkToFit="1"/>
    </xf>
    <xf numFmtId="184" fontId="0" fillId="0" borderId="1" xfId="0" applyNumberFormat="1" applyBorder="1">
      <alignment vertical="center"/>
    </xf>
    <xf numFmtId="0" fontId="5" fillId="0" borderId="0" xfId="3" applyFont="1" applyAlignment="1">
      <alignment vertical="center"/>
    </xf>
    <xf numFmtId="0" fontId="5" fillId="0" borderId="0" xfId="3" applyFont="1" applyAlignment="1">
      <alignment vertical="center" shrinkToFit="1"/>
    </xf>
    <xf numFmtId="0" fontId="21" fillId="0" borderId="0" xfId="3" applyFont="1" applyAlignment="1">
      <alignment vertical="center"/>
    </xf>
    <xf numFmtId="0" fontId="7" fillId="0" borderId="0" xfId="3" applyFont="1" applyAlignment="1">
      <alignment horizontal="center" vertical="center"/>
    </xf>
    <xf numFmtId="0" fontId="0" fillId="6" borderId="1" xfId="0" applyFill="1" applyBorder="1" applyAlignment="1">
      <alignment horizontal="center" vertical="center" shrinkToFit="1"/>
    </xf>
    <xf numFmtId="0" fontId="10" fillId="0" borderId="1" xfId="3" applyBorder="1" applyAlignment="1">
      <alignment vertical="center"/>
    </xf>
    <xf numFmtId="0" fontId="22" fillId="6" borderId="1" xfId="0" applyFont="1" applyFill="1" applyBorder="1">
      <alignment vertical="center"/>
    </xf>
    <xf numFmtId="0" fontId="10" fillId="0" borderId="4" xfId="3" applyBorder="1" applyAlignment="1">
      <alignment vertical="center"/>
    </xf>
    <xf numFmtId="0" fontId="10" fillId="6" borderId="37" xfId="3" applyFill="1" applyBorder="1" applyAlignment="1">
      <alignment vertical="center"/>
    </xf>
    <xf numFmtId="0" fontId="10" fillId="6" borderId="5" xfId="3" applyFill="1" applyBorder="1" applyAlignment="1">
      <alignment vertical="center"/>
    </xf>
    <xf numFmtId="0" fontId="10" fillId="6" borderId="38" xfId="3" applyFill="1" applyBorder="1" applyAlignment="1">
      <alignment vertical="center"/>
    </xf>
    <xf numFmtId="0" fontId="10" fillId="0" borderId="1" xfId="3" applyBorder="1" applyAlignment="1" applyProtection="1">
      <alignment vertical="center"/>
      <protection locked="0"/>
    </xf>
    <xf numFmtId="0" fontId="10" fillId="0" borderId="1" xfId="3" applyBorder="1" applyAlignment="1">
      <alignment horizontal="center" vertical="center"/>
    </xf>
    <xf numFmtId="0" fontId="10" fillId="0" borderId="1" xfId="3" applyBorder="1" applyAlignment="1">
      <alignment horizontal="center" vertical="center" shrinkToFit="1"/>
    </xf>
    <xf numFmtId="0" fontId="0" fillId="4" borderId="0" xfId="0" applyFill="1">
      <alignment vertical="center"/>
    </xf>
    <xf numFmtId="0" fontId="5" fillId="0" borderId="0" xfId="1" applyFont="1" applyAlignment="1">
      <alignment vertical="center" shrinkToFit="1"/>
    </xf>
    <xf numFmtId="0" fontId="5" fillId="0" borderId="0" xfId="1" applyFont="1" applyAlignment="1">
      <alignment vertical="center"/>
    </xf>
    <xf numFmtId="0" fontId="7"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7" fillId="0" borderId="0" xfId="1" applyFont="1" applyAlignment="1">
      <alignment vertical="center"/>
    </xf>
    <xf numFmtId="0" fontId="0" fillId="0" borderId="0" xfId="0" applyAlignment="1">
      <alignment vertical="center" shrinkToFit="1"/>
    </xf>
    <xf numFmtId="0" fontId="7" fillId="0" borderId="2" xfId="1" applyFont="1" applyBorder="1" applyAlignment="1">
      <alignment horizontal="left" vertical="center"/>
    </xf>
    <xf numFmtId="0" fontId="10" fillId="0" borderId="0" xfId="1" applyFont="1" applyAlignment="1">
      <alignment horizontal="center" vertical="center"/>
    </xf>
    <xf numFmtId="178" fontId="10" fillId="0" borderId="1" xfId="1" applyNumberFormat="1" applyFont="1" applyBorder="1" applyAlignment="1">
      <alignment horizontal="center" vertical="center"/>
    </xf>
    <xf numFmtId="0" fontId="8" fillId="0" borderId="1" xfId="1" applyFont="1" applyBorder="1" applyAlignment="1">
      <alignment vertical="center" textRotation="255" wrapText="1"/>
    </xf>
    <xf numFmtId="0" fontId="8" fillId="0" borderId="1" xfId="1" applyFont="1" applyBorder="1" applyAlignment="1">
      <alignment vertical="center" textRotation="255" shrinkToFit="1"/>
    </xf>
    <xf numFmtId="0" fontId="10" fillId="0" borderId="1" xfId="1" applyFont="1" applyBorder="1" applyAlignment="1">
      <alignment vertical="center" textRotation="255" wrapText="1"/>
    </xf>
    <xf numFmtId="0" fontId="10" fillId="0" borderId="1" xfId="1" applyFont="1" applyBorder="1" applyAlignment="1">
      <alignment horizontal="center" vertical="center" wrapText="1"/>
    </xf>
    <xf numFmtId="0" fontId="10" fillId="0" borderId="1" xfId="1" applyFont="1" applyBorder="1" applyAlignment="1">
      <alignment horizontal="center" vertical="center"/>
    </xf>
    <xf numFmtId="0" fontId="12" fillId="0" borderId="1" xfId="1" applyFont="1" applyBorder="1" applyAlignment="1">
      <alignment horizontal="center" vertical="center"/>
    </xf>
    <xf numFmtId="0" fontId="8" fillId="0" borderId="1" xfId="1" applyFont="1" applyBorder="1" applyAlignment="1">
      <alignment horizontal="center" vertical="center"/>
    </xf>
    <xf numFmtId="0" fontId="14" fillId="0" borderId="1" xfId="1" applyFont="1" applyBorder="1" applyAlignment="1">
      <alignment horizontal="center" vertical="center"/>
    </xf>
    <xf numFmtId="0" fontId="8" fillId="0" borderId="1" xfId="1" applyFont="1" applyBorder="1" applyAlignment="1">
      <alignment horizontal="center" vertical="center" shrinkToFit="1"/>
    </xf>
    <xf numFmtId="0" fontId="8" fillId="0" borderId="1" xfId="1" applyFont="1" applyBorder="1" applyAlignment="1">
      <alignment vertical="center"/>
    </xf>
    <xf numFmtId="0" fontId="8" fillId="0" borderId="0" xfId="1" applyFont="1" applyAlignment="1">
      <alignment horizontal="center" vertical="center"/>
    </xf>
    <xf numFmtId="0" fontId="8" fillId="0" borderId="22" xfId="1" applyFont="1" applyBorder="1" applyAlignment="1">
      <alignment horizontal="center" vertical="center"/>
    </xf>
    <xf numFmtId="0" fontId="12" fillId="0" borderId="27" xfId="1" applyFont="1" applyBorder="1" applyAlignment="1">
      <alignment horizontal="center" vertical="center"/>
    </xf>
    <xf numFmtId="0" fontId="12" fillId="0" borderId="26" xfId="1" applyFont="1" applyBorder="1" applyAlignment="1">
      <alignment horizontal="center" vertical="center"/>
    </xf>
    <xf numFmtId="0" fontId="12" fillId="0" borderId="28" xfId="1" applyFont="1" applyBorder="1" applyAlignment="1">
      <alignment horizontal="center" vertical="center"/>
    </xf>
    <xf numFmtId="0" fontId="8" fillId="0" borderId="28" xfId="1" applyFont="1" applyBorder="1" applyAlignment="1">
      <alignment horizontal="center" vertical="center"/>
    </xf>
    <xf numFmtId="178" fontId="8" fillId="0" borderId="28" xfId="1" applyNumberFormat="1" applyFont="1" applyBorder="1" applyAlignment="1">
      <alignment horizontal="center" vertical="center" shrinkToFit="1"/>
    </xf>
    <xf numFmtId="0" fontId="8" fillId="0" borderId="28" xfId="1" applyFont="1" applyBorder="1" applyAlignment="1">
      <alignment horizontal="center" vertical="center" shrinkToFit="1"/>
    </xf>
    <xf numFmtId="178" fontId="17" fillId="0" borderId="28" xfId="2" applyNumberFormat="1" applyFont="1" applyBorder="1" applyAlignment="1">
      <alignment horizontal="center" vertical="center" shrinkToFit="1"/>
    </xf>
    <xf numFmtId="0" fontId="8" fillId="0" borderId="29" xfId="1" applyFont="1" applyBorder="1" applyAlignment="1">
      <alignment horizontal="center" vertical="center" wrapText="1"/>
    </xf>
    <xf numFmtId="0" fontId="8" fillId="0" borderId="30" xfId="1" applyFont="1" applyBorder="1"/>
    <xf numFmtId="0" fontId="8" fillId="0" borderId="0" xfId="1" applyFont="1"/>
    <xf numFmtId="0" fontId="8" fillId="0" borderId="0" xfId="1" applyFont="1" applyAlignment="1">
      <alignment horizontal="left" vertical="center"/>
    </xf>
    <xf numFmtId="0" fontId="19" fillId="0" borderId="0" xfId="1" applyFont="1" applyAlignment="1">
      <alignment vertical="center" shrinkToFit="1"/>
    </xf>
    <xf numFmtId="0" fontId="19" fillId="0" borderId="0" xfId="1" applyFont="1" applyAlignment="1">
      <alignment horizontal="left" vertical="center"/>
    </xf>
    <xf numFmtId="0" fontId="8" fillId="0" borderId="0" xfId="1" applyFont="1" applyAlignment="1">
      <alignment horizontal="left" vertical="center" wrapText="1"/>
    </xf>
    <xf numFmtId="0" fontId="9" fillId="0" borderId="0" xfId="1" applyFont="1" applyAlignment="1">
      <alignment horizontal="left" vertical="center" wrapText="1"/>
    </xf>
    <xf numFmtId="0" fontId="2" fillId="0" borderId="0" xfId="0" applyFont="1">
      <alignment vertical="center"/>
    </xf>
    <xf numFmtId="0" fontId="8" fillId="0" borderId="30" xfId="1" applyFont="1" applyBorder="1" applyProtection="1">
      <protection locked="0"/>
    </xf>
    <xf numFmtId="0" fontId="8" fillId="0" borderId="0" xfId="1" applyFont="1" applyAlignment="1" applyProtection="1">
      <alignment vertical="center"/>
      <protection locked="0"/>
    </xf>
    <xf numFmtId="0" fontId="19" fillId="0" borderId="0" xfId="1" applyFont="1" applyAlignment="1" applyProtection="1">
      <alignment vertical="center"/>
      <protection locked="0"/>
    </xf>
    <xf numFmtId="0" fontId="19" fillId="0" borderId="0" xfId="1" applyFont="1" applyAlignment="1" applyProtection="1">
      <alignment horizontal="left" vertical="center"/>
      <protection locked="0"/>
    </xf>
    <xf numFmtId="0" fontId="19" fillId="0" borderId="0" xfId="1" applyFont="1" applyAlignment="1" applyProtection="1">
      <alignment horizontal="left" vertical="center" wrapText="1"/>
      <protection locked="0"/>
    </xf>
    <xf numFmtId="0" fontId="9" fillId="0" borderId="0" xfId="1" applyFont="1" applyAlignment="1" applyProtection="1">
      <alignment horizontal="left" vertical="center" wrapText="1"/>
      <protection locked="0"/>
    </xf>
    <xf numFmtId="0" fontId="20" fillId="0" borderId="0" xfId="0" applyFont="1" applyAlignment="1">
      <alignment vertical="center" shrinkToFit="1"/>
    </xf>
    <xf numFmtId="0" fontId="0" fillId="0" borderId="0" xfId="1" applyFont="1" applyAlignment="1">
      <alignment horizontal="center" vertical="center" shrinkToFit="1"/>
    </xf>
    <xf numFmtId="0" fontId="10" fillId="0" borderId="31" xfId="1" applyFont="1" applyBorder="1" applyAlignment="1">
      <alignment vertical="center"/>
    </xf>
    <xf numFmtId="0" fontId="10" fillId="0" borderId="1" xfId="1" applyFont="1" applyBorder="1" applyAlignment="1">
      <alignment vertical="center" wrapText="1"/>
    </xf>
    <xf numFmtId="0" fontId="8" fillId="0" borderId="1" xfId="1" applyFont="1" applyBorder="1" applyAlignment="1">
      <alignment vertical="center" wrapText="1" shrinkToFit="1"/>
    </xf>
    <xf numFmtId="179" fontId="8" fillId="0" borderId="1" xfId="1" applyNumberFormat="1" applyFont="1" applyBorder="1" applyAlignment="1">
      <alignment horizontal="center" vertical="center"/>
    </xf>
    <xf numFmtId="0" fontId="8" fillId="5" borderId="1" xfId="1" applyFont="1" applyFill="1" applyBorder="1" applyAlignment="1">
      <alignment horizontal="center" vertical="center" shrinkToFit="1"/>
    </xf>
    <xf numFmtId="0" fontId="10" fillId="0" borderId="1" xfId="1" applyFont="1" applyBorder="1" applyAlignment="1" applyProtection="1">
      <alignment horizontal="center" vertical="center" wrapText="1"/>
      <protection locked="0"/>
    </xf>
    <xf numFmtId="0" fontId="35" fillId="4" borderId="0" xfId="0" applyFont="1" applyFill="1">
      <alignment vertical="center"/>
    </xf>
    <xf numFmtId="0" fontId="7" fillId="4" borderId="0" xfId="1" applyFont="1" applyFill="1" applyAlignment="1">
      <alignment vertical="center"/>
    </xf>
    <xf numFmtId="0" fontId="7" fillId="4" borderId="1" xfId="1" applyFont="1" applyFill="1" applyBorder="1" applyAlignment="1">
      <alignment vertical="center"/>
    </xf>
    <xf numFmtId="0" fontId="7" fillId="4" borderId="1" xfId="1" applyFont="1" applyFill="1" applyBorder="1" applyAlignment="1">
      <alignment vertical="center" wrapText="1"/>
    </xf>
    <xf numFmtId="0" fontId="10" fillId="4" borderId="0" xfId="3" applyFill="1"/>
    <xf numFmtId="181" fontId="10" fillId="4" borderId="0" xfId="3" applyNumberFormat="1" applyFill="1"/>
    <xf numFmtId="0" fontId="0" fillId="4" borderId="1" xfId="0" applyFill="1" applyBorder="1">
      <alignment vertical="center"/>
    </xf>
    <xf numFmtId="0" fontId="0" fillId="0" borderId="1" xfId="0" applyBorder="1" applyProtection="1">
      <alignment vertical="center"/>
      <protection locked="0"/>
    </xf>
    <xf numFmtId="183" fontId="0" fillId="0" borderId="1" xfId="0" applyNumberFormat="1" applyBorder="1" applyProtection="1">
      <alignment vertical="center"/>
      <protection locked="0"/>
    </xf>
    <xf numFmtId="0" fontId="0" fillId="2" borderId="1" xfId="0" applyFill="1" applyBorder="1">
      <alignment vertical="center"/>
    </xf>
    <xf numFmtId="0" fontId="0" fillId="2" borderId="0" xfId="0" applyFill="1">
      <alignment vertical="center"/>
    </xf>
    <xf numFmtId="0" fontId="0" fillId="0" borderId="0" xfId="0" applyAlignment="1">
      <alignment horizontal="right"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4" xfId="0" applyBorder="1">
      <alignment vertical="center"/>
    </xf>
    <xf numFmtId="0" fontId="0" fillId="0" borderId="3" xfId="0" applyBorder="1">
      <alignment vertical="center"/>
    </xf>
    <xf numFmtId="0" fontId="0" fillId="0" borderId="5" xfId="0" applyBorder="1">
      <alignment vertical="center"/>
    </xf>
    <xf numFmtId="0" fontId="0" fillId="0" borderId="6" xfId="0" applyBorder="1">
      <alignment vertical="center"/>
    </xf>
    <xf numFmtId="0" fontId="0" fillId="0" borderId="8" xfId="0" applyBorder="1" applyAlignment="1">
      <alignment horizontal="center" vertical="center"/>
    </xf>
    <xf numFmtId="0" fontId="0" fillId="0" borderId="9" xfId="0" applyBorder="1">
      <alignment vertical="center"/>
    </xf>
    <xf numFmtId="0" fontId="0" fillId="0" borderId="11" xfId="0" applyBorder="1">
      <alignment vertical="center"/>
    </xf>
    <xf numFmtId="0" fontId="0" fillId="0" borderId="12" xfId="0" applyBorder="1">
      <alignment vertical="center"/>
    </xf>
    <xf numFmtId="0" fontId="0" fillId="0" borderId="2" xfId="0" applyBorder="1">
      <alignment vertical="center"/>
    </xf>
    <xf numFmtId="0" fontId="0" fillId="0" borderId="13" xfId="0" applyBorder="1">
      <alignment vertical="center"/>
    </xf>
    <xf numFmtId="0" fontId="0" fillId="0" borderId="8" xfId="0" applyBorder="1">
      <alignment vertical="center"/>
    </xf>
    <xf numFmtId="0" fontId="0" fillId="4" borderId="1" xfId="0" applyFill="1" applyBorder="1" applyAlignment="1">
      <alignment horizontal="center" vertical="center"/>
    </xf>
    <xf numFmtId="0" fontId="23" fillId="0" borderId="0" xfId="3" applyFont="1"/>
    <xf numFmtId="0" fontId="40" fillId="6" borderId="0" xfId="3" applyFont="1" applyFill="1" applyAlignment="1">
      <alignment horizontal="center"/>
    </xf>
    <xf numFmtId="0" fontId="40" fillId="6" borderId="0" xfId="3" applyFont="1" applyFill="1"/>
    <xf numFmtId="0" fontId="40" fillId="6" borderId="0" xfId="3" applyFont="1" applyFill="1" applyAlignment="1">
      <alignment shrinkToFit="1"/>
    </xf>
    <xf numFmtId="0" fontId="10" fillId="0" borderId="1" xfId="3" applyBorder="1" applyAlignment="1">
      <alignment horizontal="center" vertical="center" wrapText="1"/>
    </xf>
    <xf numFmtId="0" fontId="23" fillId="0" borderId="4" xfId="3" applyFont="1" applyBorder="1" applyAlignment="1">
      <alignment horizontal="center" vertical="center"/>
    </xf>
    <xf numFmtId="0" fontId="23" fillId="0" borderId="1" xfId="3" applyFont="1" applyBorder="1" applyAlignment="1">
      <alignment horizontal="center" vertical="center"/>
    </xf>
    <xf numFmtId="180" fontId="24" fillId="7" borderId="1" xfId="3" applyNumberFormat="1" applyFont="1" applyFill="1" applyBorder="1" applyAlignment="1">
      <alignment vertical="center" shrinkToFit="1"/>
    </xf>
    <xf numFmtId="180" fontId="10" fillId="7" borderId="1" xfId="3" applyNumberFormat="1" applyFill="1" applyBorder="1" applyAlignment="1">
      <alignment vertical="center" shrinkToFit="1"/>
    </xf>
    <xf numFmtId="179" fontId="10" fillId="7" borderId="1" xfId="3" applyNumberFormat="1" applyFill="1" applyBorder="1" applyAlignment="1">
      <alignment vertical="center"/>
    </xf>
    <xf numFmtId="180" fontId="10" fillId="0" borderId="1" xfId="3" applyNumberFormat="1" applyBorder="1" applyAlignment="1">
      <alignment vertical="center" shrinkToFit="1"/>
    </xf>
    <xf numFmtId="180" fontId="10" fillId="0" borderId="35" xfId="3" applyNumberFormat="1" applyBorder="1" applyAlignment="1">
      <alignment vertical="center" shrinkToFit="1"/>
    </xf>
    <xf numFmtId="180" fontId="24" fillId="0" borderId="1" xfId="3" applyNumberFormat="1" applyFont="1" applyBorder="1" applyAlignment="1">
      <alignment vertical="center" shrinkToFit="1"/>
    </xf>
    <xf numFmtId="180" fontId="26" fillId="0" borderId="1" xfId="3" applyNumberFormat="1" applyFont="1" applyBorder="1" applyAlignment="1">
      <alignment vertical="center" shrinkToFit="1"/>
    </xf>
    <xf numFmtId="0" fontId="3" fillId="0" borderId="1" xfId="0" applyFont="1" applyBorder="1" applyAlignment="1">
      <alignment vertical="center" wrapText="1"/>
    </xf>
    <xf numFmtId="0" fontId="0" fillId="0" borderId="11" xfId="0" applyBorder="1" applyAlignment="1">
      <alignment vertical="center" shrinkToFit="1"/>
    </xf>
    <xf numFmtId="0" fontId="0" fillId="0" borderId="10" xfId="0" applyBorder="1">
      <alignment vertical="center"/>
    </xf>
    <xf numFmtId="0" fontId="49" fillId="0" borderId="0" xfId="9" applyFont="1">
      <alignment vertical="center"/>
    </xf>
    <xf numFmtId="0" fontId="49" fillId="0" borderId="0" xfId="9" applyFont="1" applyAlignment="1">
      <alignment horizontal="center" vertical="center"/>
    </xf>
    <xf numFmtId="187" fontId="24" fillId="7" borderId="1" xfId="3" applyNumberFormat="1" applyFont="1" applyFill="1" applyBorder="1" applyAlignment="1">
      <alignment vertical="center" shrinkToFit="1"/>
    </xf>
    <xf numFmtId="180" fontId="24" fillId="0" borderId="0" xfId="3" applyNumberFormat="1" applyFont="1" applyAlignment="1">
      <alignment vertical="center" shrinkToFit="1"/>
    </xf>
    <xf numFmtId="186" fontId="24" fillId="7" borderId="1" xfId="3" applyNumberFormat="1" applyFont="1" applyFill="1" applyBorder="1" applyAlignment="1">
      <alignment vertical="center" shrinkToFit="1"/>
    </xf>
    <xf numFmtId="186" fontId="24" fillId="0" borderId="1" xfId="3" applyNumberFormat="1" applyFont="1" applyBorder="1" applyAlignment="1">
      <alignment vertical="center" shrinkToFit="1"/>
    </xf>
    <xf numFmtId="0" fontId="28" fillId="0" borderId="0" xfId="4" applyAlignment="1">
      <alignment vertical="center"/>
    </xf>
    <xf numFmtId="0" fontId="0" fillId="0" borderId="1" xfId="0" applyBorder="1" applyAlignment="1">
      <alignment horizontal="center" vertical="center" shrinkToFit="1"/>
    </xf>
    <xf numFmtId="183" fontId="0" fillId="0" borderId="1" xfId="0" applyNumberFormat="1" applyBorder="1" applyAlignment="1">
      <alignment horizontal="center" vertical="center" shrinkToFit="1"/>
    </xf>
    <xf numFmtId="183" fontId="0" fillId="0" borderId="1" xfId="0" applyNumberFormat="1" applyBorder="1" applyAlignment="1">
      <alignment vertical="center" shrinkToFit="1"/>
    </xf>
    <xf numFmtId="184" fontId="0" fillId="0" borderId="1" xfId="0" applyNumberFormat="1" applyBorder="1" applyAlignment="1">
      <alignment vertical="center" shrinkToFit="1"/>
    </xf>
    <xf numFmtId="180" fontId="0" fillId="0" borderId="0" xfId="0" applyNumberFormat="1" applyAlignment="1">
      <alignment vertical="center" shrinkToFit="1"/>
    </xf>
    <xf numFmtId="0" fontId="0" fillId="0" borderId="7" xfId="0" applyBorder="1">
      <alignment vertical="center"/>
    </xf>
    <xf numFmtId="188" fontId="0" fillId="0" borderId="1" xfId="0" applyNumberFormat="1" applyBorder="1" applyAlignment="1">
      <alignment horizontal="center" vertical="center"/>
    </xf>
    <xf numFmtId="176" fontId="0" fillId="15" borderId="2" xfId="0" applyNumberFormat="1" applyFill="1" applyBorder="1" applyAlignment="1" applyProtection="1">
      <alignment horizontal="center" vertical="center"/>
      <protection locked="0"/>
    </xf>
    <xf numFmtId="176" fontId="0" fillId="15" borderId="1" xfId="0" applyNumberFormat="1" applyFill="1" applyBorder="1" applyAlignment="1" applyProtection="1">
      <alignment horizontal="center" vertical="center"/>
      <protection locked="0"/>
    </xf>
    <xf numFmtId="176" fontId="0" fillId="15" borderId="2" xfId="0" applyNumberFormat="1" applyFill="1" applyBorder="1" applyProtection="1">
      <alignment vertical="center"/>
      <protection locked="0"/>
    </xf>
    <xf numFmtId="0" fontId="20" fillId="0" borderId="0" xfId="0" applyFont="1">
      <alignment vertical="center"/>
    </xf>
    <xf numFmtId="180" fontId="10" fillId="7" borderId="1" xfId="3" applyNumberFormat="1" applyFill="1" applyBorder="1" applyAlignment="1">
      <alignment horizontal="center" vertical="center" shrinkToFit="1"/>
    </xf>
    <xf numFmtId="0" fontId="52" fillId="0" borderId="0" xfId="0" applyFont="1">
      <alignment vertical="center"/>
    </xf>
    <xf numFmtId="0" fontId="53" fillId="0" borderId="0" xfId="0" applyFont="1">
      <alignment vertical="center"/>
    </xf>
    <xf numFmtId="0" fontId="54" fillId="0" borderId="0" xfId="0" applyFont="1">
      <alignment vertical="center"/>
    </xf>
    <xf numFmtId="0" fontId="5" fillId="0" borderId="0" xfId="3" applyFont="1" applyAlignment="1">
      <alignment horizontal="center"/>
    </xf>
    <xf numFmtId="0" fontId="56" fillId="0" borderId="0" xfId="0" applyFont="1">
      <alignment vertical="center"/>
    </xf>
    <xf numFmtId="0" fontId="57" fillId="0" borderId="1" xfId="0" applyFont="1" applyBorder="1" applyAlignment="1">
      <alignment horizontal="center" vertical="center" wrapText="1"/>
    </xf>
    <xf numFmtId="0" fontId="28" fillId="0" borderId="0" xfId="3" applyFont="1"/>
    <xf numFmtId="58" fontId="28" fillId="0" borderId="0" xfId="3" applyNumberFormat="1" applyFont="1"/>
    <xf numFmtId="0" fontId="28" fillId="0" borderId="0" xfId="3" applyFont="1" applyAlignment="1">
      <alignment vertical="center" wrapText="1"/>
    </xf>
    <xf numFmtId="0" fontId="55" fillId="0" borderId="0" xfId="3" applyFont="1"/>
    <xf numFmtId="0" fontId="28" fillId="0" borderId="53" xfId="3" applyFont="1" applyBorder="1"/>
    <xf numFmtId="0" fontId="28" fillId="0" borderId="4" xfId="3" applyFont="1" applyBorder="1" applyAlignment="1">
      <alignment horizontal="center" vertical="center"/>
    </xf>
    <xf numFmtId="0" fontId="28" fillId="0" borderId="3" xfId="3" applyFont="1" applyBorder="1" applyAlignment="1">
      <alignment vertical="center"/>
    </xf>
    <xf numFmtId="0" fontId="28" fillId="0" borderId="5" xfId="3" applyFont="1" applyBorder="1" applyAlignment="1">
      <alignment vertical="center"/>
    </xf>
    <xf numFmtId="0" fontId="28" fillId="0" borderId="43" xfId="3" applyFont="1" applyBorder="1" applyAlignment="1">
      <alignment vertical="center"/>
    </xf>
    <xf numFmtId="0" fontId="28" fillId="0" borderId="64" xfId="3" applyFont="1" applyBorder="1" applyAlignment="1">
      <alignment vertical="center"/>
    </xf>
    <xf numFmtId="0" fontId="28" fillId="0" borderId="0" xfId="3" applyFont="1" applyAlignment="1">
      <alignment vertical="center"/>
    </xf>
    <xf numFmtId="0" fontId="28" fillId="0" borderId="54" xfId="3" applyFont="1" applyBorder="1"/>
    <xf numFmtId="0" fontId="28" fillId="0" borderId="11" xfId="3" applyFont="1" applyBorder="1" applyAlignment="1">
      <alignment vertical="center"/>
    </xf>
    <xf numFmtId="0" fontId="28" fillId="0" borderId="45" xfId="3" applyFont="1" applyBorder="1" applyAlignment="1">
      <alignment vertical="center"/>
    </xf>
    <xf numFmtId="0" fontId="28" fillId="0" borderId="6" xfId="3" applyFont="1" applyBorder="1" applyAlignment="1">
      <alignment vertical="center"/>
    </xf>
    <xf numFmtId="0" fontId="28" fillId="0" borderId="10" xfId="3" applyFont="1" applyBorder="1" applyAlignment="1">
      <alignment vertical="center"/>
    </xf>
    <xf numFmtId="58" fontId="28" fillId="0" borderId="0" xfId="3" applyNumberFormat="1" applyFont="1" applyAlignment="1">
      <alignment horizontal="center"/>
    </xf>
    <xf numFmtId="0" fontId="28" fillId="0" borderId="0" xfId="3" applyFont="1" applyAlignment="1">
      <alignment horizontal="center"/>
    </xf>
    <xf numFmtId="0" fontId="28" fillId="0" borderId="0" xfId="3" applyFont="1" applyAlignment="1">
      <alignment horizontal="left" vertical="center"/>
    </xf>
    <xf numFmtId="0" fontId="28" fillId="0" borderId="0" xfId="4" applyAlignment="1">
      <alignment horizontal="left" vertical="center"/>
    </xf>
    <xf numFmtId="180" fontId="30" fillId="0" borderId="0" xfId="3" applyNumberFormat="1" applyFont="1"/>
    <xf numFmtId="0" fontId="28" fillId="0" borderId="40" xfId="3" applyFont="1" applyBorder="1" applyAlignment="1">
      <alignment horizontal="distributed" vertical="center"/>
    </xf>
    <xf numFmtId="0" fontId="28" fillId="0" borderId="10" xfId="3" applyFont="1" applyBorder="1"/>
    <xf numFmtId="0" fontId="28" fillId="0" borderId="11" xfId="3" applyFont="1" applyBorder="1"/>
    <xf numFmtId="0" fontId="28" fillId="0" borderId="10" xfId="3" applyFont="1" applyBorder="1" applyAlignment="1">
      <alignment horizontal="left" vertical="top"/>
    </xf>
    <xf numFmtId="0" fontId="28" fillId="0" borderId="12" xfId="3" applyFont="1" applyBorder="1" applyAlignment="1">
      <alignment horizontal="left" vertical="top"/>
    </xf>
    <xf numFmtId="0" fontId="28" fillId="0" borderId="45" xfId="3" applyFont="1" applyBorder="1"/>
    <xf numFmtId="0" fontId="28" fillId="0" borderId="2" xfId="3" applyFont="1" applyBorder="1" applyAlignment="1">
      <alignment horizontal="center"/>
    </xf>
    <xf numFmtId="0" fontId="28" fillId="0" borderId="13" xfId="3" applyFont="1" applyBorder="1" applyAlignment="1">
      <alignment horizontal="center"/>
    </xf>
    <xf numFmtId="0" fontId="28" fillId="0" borderId="44" xfId="3" applyFont="1" applyBorder="1" applyAlignment="1">
      <alignment horizontal="center"/>
    </xf>
    <xf numFmtId="0" fontId="28" fillId="0" borderId="48" xfId="3" applyFont="1" applyBorder="1" applyAlignment="1">
      <alignment horizontal="center"/>
    </xf>
    <xf numFmtId="0" fontId="28" fillId="0" borderId="50" xfId="3" applyFont="1" applyBorder="1" applyAlignment="1">
      <alignment horizontal="center"/>
    </xf>
    <xf numFmtId="0" fontId="28" fillId="0" borderId="49" xfId="3" applyFont="1" applyBorder="1" applyAlignment="1">
      <alignment horizontal="center"/>
    </xf>
    <xf numFmtId="0" fontId="28" fillId="0" borderId="4" xfId="3" applyFont="1" applyBorder="1" applyAlignment="1">
      <alignment vertical="center"/>
    </xf>
    <xf numFmtId="180" fontId="55" fillId="0" borderId="9" xfId="3" applyNumberFormat="1" applyFont="1" applyBorder="1" applyAlignment="1">
      <alignment horizontal="right"/>
    </xf>
    <xf numFmtId="0" fontId="55" fillId="0" borderId="10" xfId="3" applyFont="1" applyBorder="1"/>
    <xf numFmtId="180" fontId="55" fillId="0" borderId="9" xfId="3" applyNumberFormat="1" applyFont="1" applyBorder="1"/>
    <xf numFmtId="0" fontId="0" fillId="0" borderId="0" xfId="0" applyAlignment="1">
      <alignment horizontal="left" vertical="center"/>
    </xf>
    <xf numFmtId="0" fontId="0" fillId="4" borderId="0" xfId="0" applyFill="1" applyAlignment="1">
      <alignment horizontal="center" vertical="center"/>
    </xf>
    <xf numFmtId="0" fontId="0" fillId="0" borderId="0" xfId="0" applyProtection="1">
      <alignment vertical="center"/>
      <protection locked="0"/>
    </xf>
    <xf numFmtId="0" fontId="0" fillId="4" borderId="0" xfId="0" applyFill="1" applyAlignment="1">
      <alignment horizontal="left" vertical="center"/>
    </xf>
    <xf numFmtId="188" fontId="0" fillId="0" borderId="0" xfId="0" applyNumberFormat="1" applyAlignment="1">
      <alignment horizontal="center" vertical="center"/>
    </xf>
    <xf numFmtId="0" fontId="0" fillId="15" borderId="0" xfId="0" applyFill="1" applyAlignment="1" applyProtection="1">
      <alignment horizontal="center" vertical="center"/>
      <protection locked="0"/>
    </xf>
    <xf numFmtId="0" fontId="0" fillId="15" borderId="0" xfId="0" applyFill="1" applyAlignment="1">
      <alignment horizontal="center" vertical="center"/>
    </xf>
    <xf numFmtId="177" fontId="0" fillId="15" borderId="0" xfId="0" applyNumberFormat="1" applyFill="1" applyAlignment="1">
      <alignment horizontal="center" vertical="center"/>
    </xf>
    <xf numFmtId="177" fontId="0" fillId="4" borderId="0" xfId="0" applyNumberFormat="1" applyFill="1" applyAlignment="1" applyProtection="1">
      <alignment horizontal="center" vertical="center"/>
      <protection locked="0"/>
    </xf>
    <xf numFmtId="177" fontId="0" fillId="15" borderId="0" xfId="0" applyNumberFormat="1" applyFill="1" applyAlignment="1" applyProtection="1">
      <alignment horizontal="center" vertical="center"/>
      <protection locked="0"/>
    </xf>
    <xf numFmtId="176" fontId="0" fillId="15" borderId="0" xfId="0" applyNumberFormat="1" applyFill="1" applyAlignment="1" applyProtection="1">
      <alignment horizontal="center" vertical="center"/>
      <protection locked="0"/>
    </xf>
    <xf numFmtId="180" fontId="0" fillId="15" borderId="0" xfId="0" applyNumberFormat="1" applyFill="1" applyAlignment="1" applyProtection="1">
      <alignment horizontal="center" vertical="center" shrinkToFit="1"/>
      <protection locked="0"/>
    </xf>
    <xf numFmtId="0" fontId="10" fillId="0" borderId="0" xfId="3" applyAlignment="1">
      <alignment wrapText="1"/>
    </xf>
    <xf numFmtId="0" fontId="37" fillId="4" borderId="0" xfId="0" applyFont="1" applyFill="1" applyAlignment="1">
      <alignment vertical="center" wrapText="1"/>
    </xf>
    <xf numFmtId="0" fontId="38" fillId="4" borderId="0" xfId="0" applyFont="1" applyFill="1" applyAlignment="1">
      <alignment vertical="center" wrapText="1"/>
    </xf>
    <xf numFmtId="177" fontId="0" fillId="0" borderId="8" xfId="0" applyNumberFormat="1" applyBorder="1" applyAlignment="1">
      <alignment horizontal="center" vertical="center"/>
    </xf>
    <xf numFmtId="0" fontId="0" fillId="0" borderId="1" xfId="0" applyBorder="1" applyAlignment="1">
      <alignment horizontal="center" vertical="center" wrapText="1" shrinkToFit="1"/>
    </xf>
    <xf numFmtId="1" fontId="26" fillId="0" borderId="1" xfId="3" applyNumberFormat="1" applyFont="1" applyBorder="1" applyAlignment="1">
      <alignment vertical="center" shrinkToFit="1"/>
    </xf>
    <xf numFmtId="1" fontId="26" fillId="7" borderId="1" xfId="3" applyNumberFormat="1" applyFont="1" applyFill="1" applyBorder="1" applyAlignment="1">
      <alignment vertical="center" shrinkToFit="1"/>
    </xf>
    <xf numFmtId="1" fontId="24" fillId="7" borderId="1" xfId="3" applyNumberFormat="1" applyFont="1" applyFill="1" applyBorder="1" applyAlignment="1">
      <alignment vertical="center" shrinkToFit="1"/>
    </xf>
    <xf numFmtId="1" fontId="10" fillId="7" borderId="0" xfId="3" applyNumberFormat="1" applyFill="1"/>
    <xf numFmtId="1" fontId="26" fillId="7" borderId="0" xfId="3" applyNumberFormat="1" applyFont="1" applyFill="1"/>
    <xf numFmtId="0" fontId="58" fillId="0" borderId="0" xfId="0" applyFont="1">
      <alignment vertical="center"/>
    </xf>
    <xf numFmtId="0" fontId="7" fillId="0" borderId="2" xfId="3" applyFont="1" applyBorder="1" applyAlignment="1">
      <alignment horizontal="center" vertical="center"/>
    </xf>
    <xf numFmtId="0" fontId="0" fillId="16" borderId="0" xfId="0" applyFill="1">
      <alignment vertical="center"/>
    </xf>
    <xf numFmtId="0" fontId="7" fillId="6" borderId="0" xfId="3" applyFont="1" applyFill="1" applyAlignment="1">
      <alignment horizontal="center" vertical="center" shrinkToFit="1"/>
    </xf>
    <xf numFmtId="0" fontId="10" fillId="0" borderId="4" xfId="3" applyBorder="1" applyAlignment="1">
      <alignment horizontal="center" vertical="center"/>
    </xf>
    <xf numFmtId="0" fontId="7" fillId="6" borderId="0" xfId="3" applyFont="1" applyFill="1" applyAlignment="1">
      <alignment horizontal="right" vertical="center"/>
    </xf>
    <xf numFmtId="0" fontId="49" fillId="0" borderId="0" xfId="8" applyFont="1"/>
    <xf numFmtId="0" fontId="49" fillId="0" borderId="0" xfId="8" applyFont="1" applyAlignment="1">
      <alignment vertical="center" wrapText="1"/>
    </xf>
    <xf numFmtId="0" fontId="57" fillId="0" borderId="4" xfId="0" applyFont="1" applyBorder="1" applyAlignment="1">
      <alignment horizontal="center" vertical="center" wrapText="1" shrinkToFit="1"/>
    </xf>
    <xf numFmtId="0" fontId="49" fillId="14" borderId="0" xfId="8" applyFont="1" applyFill="1"/>
    <xf numFmtId="0" fontId="0" fillId="6" borderId="0" xfId="0" applyFill="1" applyAlignment="1">
      <alignment horizontal="right" vertical="center"/>
    </xf>
    <xf numFmtId="0" fontId="0" fillId="6" borderId="0" xfId="0" applyFill="1">
      <alignment vertical="center"/>
    </xf>
    <xf numFmtId="0" fontId="0" fillId="0" borderId="1" xfId="0" applyBorder="1" applyAlignment="1" applyProtection="1">
      <alignment horizontal="center" vertical="center"/>
      <protection locked="0"/>
    </xf>
    <xf numFmtId="177" fontId="0" fillId="0" borderId="1" xfId="0" applyNumberFormat="1" applyBorder="1" applyAlignment="1">
      <alignment horizontal="center" vertical="center"/>
    </xf>
    <xf numFmtId="183" fontId="0" fillId="0" borderId="35" xfId="0" applyNumberFormat="1" applyBorder="1">
      <alignment vertical="center"/>
    </xf>
    <xf numFmtId="179" fontId="10" fillId="0" borderId="1" xfId="3" applyNumberFormat="1" applyBorder="1" applyAlignment="1">
      <alignment vertical="center"/>
    </xf>
    <xf numFmtId="189" fontId="24" fillId="7" borderId="1" xfId="3" applyNumberFormat="1" applyFont="1" applyFill="1" applyBorder="1" applyAlignment="1">
      <alignment vertical="center" shrinkToFit="1"/>
    </xf>
    <xf numFmtId="178" fontId="8" fillId="0" borderId="0" xfId="1" applyNumberFormat="1" applyFont="1" applyAlignment="1">
      <alignment horizontal="center" vertical="center"/>
    </xf>
    <xf numFmtId="189" fontId="24" fillId="0" borderId="1" xfId="3" applyNumberFormat="1" applyFont="1" applyBorder="1" applyAlignment="1">
      <alignment vertical="center" shrinkToFit="1"/>
    </xf>
    <xf numFmtId="0" fontId="63" fillId="0" borderId="0" xfId="3" applyFont="1" applyAlignment="1">
      <alignment horizontal="center"/>
    </xf>
    <xf numFmtId="0" fontId="63" fillId="0" borderId="0" xfId="3" applyFont="1"/>
    <xf numFmtId="0" fontId="62" fillId="0" borderId="0" xfId="0" applyFont="1">
      <alignment vertical="center"/>
    </xf>
    <xf numFmtId="183" fontId="62" fillId="0" borderId="0" xfId="0" applyNumberFormat="1" applyFont="1">
      <alignment vertical="center"/>
    </xf>
    <xf numFmtId="0" fontId="28" fillId="0" borderId="0" xfId="14" applyAlignment="1">
      <alignment vertical="center"/>
    </xf>
    <xf numFmtId="0" fontId="28" fillId="17" borderId="0" xfId="14" applyFill="1" applyAlignment="1">
      <alignment vertical="center"/>
    </xf>
    <xf numFmtId="38" fontId="28" fillId="0" borderId="0" xfId="13" applyFont="1" applyAlignment="1" applyProtection="1">
      <alignment vertical="center" shrinkToFit="1"/>
    </xf>
    <xf numFmtId="0" fontId="28" fillId="0" borderId="0" xfId="14" applyAlignment="1">
      <alignment vertical="center" shrinkToFit="1"/>
    </xf>
    <xf numFmtId="0" fontId="64" fillId="5" borderId="0" xfId="4" applyFont="1" applyFill="1" applyAlignment="1" applyProtection="1">
      <alignment horizontal="right" vertical="center"/>
      <protection locked="0"/>
    </xf>
    <xf numFmtId="0" fontId="31" fillId="0" borderId="0" xfId="3" applyFont="1" applyAlignment="1">
      <alignment vertical="center"/>
    </xf>
    <xf numFmtId="0" fontId="31" fillId="0" borderId="0" xfId="14" applyFont="1" applyAlignment="1">
      <alignment vertical="center"/>
    </xf>
    <xf numFmtId="0" fontId="28" fillId="0" borderId="6" xfId="14" applyBorder="1" applyAlignment="1">
      <alignment vertical="center"/>
    </xf>
    <xf numFmtId="0" fontId="28" fillId="0" borderId="7" xfId="14" applyBorder="1" applyAlignment="1">
      <alignment vertical="center"/>
    </xf>
    <xf numFmtId="0" fontId="28" fillId="0" borderId="7" xfId="14" applyBorder="1" applyAlignment="1">
      <alignment horizontal="center" vertical="center"/>
    </xf>
    <xf numFmtId="0" fontId="28" fillId="0" borderId="13" xfId="14" applyBorder="1" applyAlignment="1">
      <alignment horizontal="center" vertical="center"/>
    </xf>
    <xf numFmtId="180" fontId="30" fillId="0" borderId="10" xfId="14" applyNumberFormat="1" applyFont="1" applyBorder="1" applyAlignment="1">
      <alignment vertical="center"/>
    </xf>
    <xf numFmtId="180" fontId="30" fillId="0" borderId="11" xfId="14" applyNumberFormat="1" applyFont="1" applyBorder="1" applyAlignment="1">
      <alignment vertical="center"/>
    </xf>
    <xf numFmtId="0" fontId="28" fillId="0" borderId="12" xfId="14" applyBorder="1" applyAlignment="1">
      <alignment vertical="center"/>
    </xf>
    <xf numFmtId="0" fontId="28" fillId="0" borderId="10" xfId="14" applyBorder="1" applyAlignment="1">
      <alignment vertical="center"/>
    </xf>
    <xf numFmtId="0" fontId="28" fillId="0" borderId="11" xfId="14" applyBorder="1" applyAlignment="1">
      <alignment vertical="center"/>
    </xf>
    <xf numFmtId="180" fontId="30" fillId="0" borderId="65" xfId="14" applyNumberFormat="1" applyFont="1" applyBorder="1" applyAlignment="1">
      <alignment vertical="center"/>
    </xf>
    <xf numFmtId="180" fontId="30" fillId="0" borderId="66" xfId="14" applyNumberFormat="1" applyFont="1" applyBorder="1" applyAlignment="1">
      <alignment vertical="center"/>
    </xf>
    <xf numFmtId="0" fontId="28" fillId="0" borderId="67" xfId="14" applyBorder="1" applyAlignment="1">
      <alignment vertical="center"/>
    </xf>
    <xf numFmtId="0" fontId="28" fillId="0" borderId="70" xfId="14" applyBorder="1" applyAlignment="1">
      <alignment horizontal="center" vertical="center"/>
    </xf>
    <xf numFmtId="58" fontId="31" fillId="0" borderId="0" xfId="3" applyNumberFormat="1" applyFont="1"/>
    <xf numFmtId="0" fontId="71" fillId="6" borderId="0" xfId="8" applyFont="1" applyFill="1"/>
    <xf numFmtId="0" fontId="72" fillId="6" borderId="0" xfId="8" applyFont="1" applyFill="1" applyAlignment="1">
      <alignment vertical="center"/>
    </xf>
    <xf numFmtId="0" fontId="71" fillId="0" borderId="0" xfId="8" applyFont="1"/>
    <xf numFmtId="0" fontId="71" fillId="6" borderId="3" xfId="8" applyFont="1" applyFill="1" applyBorder="1" applyAlignment="1">
      <alignment horizontal="center" vertical="center"/>
    </xf>
    <xf numFmtId="0" fontId="71" fillId="6" borderId="5" xfId="8" applyFont="1" applyFill="1" applyBorder="1" applyAlignment="1">
      <alignment horizontal="center" vertical="center"/>
    </xf>
    <xf numFmtId="0" fontId="71" fillId="6" borderId="1" xfId="8" applyFont="1" applyFill="1" applyBorder="1" applyAlignment="1">
      <alignment horizontal="center" vertical="center"/>
    </xf>
    <xf numFmtId="0" fontId="71" fillId="6" borderId="4" xfId="8" applyFont="1" applyFill="1" applyBorder="1" applyAlignment="1">
      <alignment horizontal="center" vertical="center"/>
    </xf>
    <xf numFmtId="0" fontId="71" fillId="6" borderId="73" xfId="8" applyFont="1" applyFill="1" applyBorder="1" applyAlignment="1">
      <alignment horizontal="center" vertical="center"/>
    </xf>
    <xf numFmtId="0" fontId="74" fillId="6" borderId="4" xfId="8" applyFont="1" applyFill="1" applyBorder="1" applyAlignment="1">
      <alignment horizontal="center" vertical="center"/>
    </xf>
    <xf numFmtId="0" fontId="74" fillId="6" borderId="74" xfId="8" applyFont="1" applyFill="1" applyBorder="1" applyAlignment="1">
      <alignment horizontal="center" vertical="center" wrapText="1"/>
    </xf>
    <xf numFmtId="0" fontId="74" fillId="6" borderId="5" xfId="8" applyFont="1" applyFill="1" applyBorder="1" applyAlignment="1">
      <alignment horizontal="center" vertical="center" wrapText="1"/>
    </xf>
    <xf numFmtId="0" fontId="74" fillId="6" borderId="1" xfId="8" applyFont="1" applyFill="1" applyBorder="1" applyAlignment="1">
      <alignment horizontal="center" vertical="center" wrapText="1"/>
    </xf>
    <xf numFmtId="0" fontId="71" fillId="6" borderId="0" xfId="8" applyFont="1" applyFill="1" applyAlignment="1">
      <alignment vertical="center" wrapText="1"/>
    </xf>
    <xf numFmtId="0" fontId="74" fillId="6" borderId="0" xfId="8" applyFont="1" applyFill="1" applyAlignment="1">
      <alignment vertical="center" wrapText="1"/>
    </xf>
    <xf numFmtId="0" fontId="71" fillId="6" borderId="0" xfId="8" applyFont="1" applyFill="1" applyAlignment="1">
      <alignment vertical="center"/>
    </xf>
    <xf numFmtId="0" fontId="75" fillId="6" borderId="0" xfId="8" applyFont="1" applyFill="1"/>
    <xf numFmtId="0" fontId="71" fillId="6" borderId="0" xfId="8" applyFont="1" applyFill="1" applyAlignment="1">
      <alignment horizontal="center" vertical="center"/>
    </xf>
    <xf numFmtId="0" fontId="71" fillId="6" borderId="1" xfId="8" applyFont="1" applyFill="1" applyBorder="1" applyAlignment="1">
      <alignment horizontal="center" vertical="center" wrapText="1" shrinkToFit="1"/>
    </xf>
    <xf numFmtId="0" fontId="46" fillId="0" borderId="0" xfId="8"/>
    <xf numFmtId="0" fontId="71" fillId="6" borderId="0" xfId="8" applyFont="1" applyFill="1" applyAlignment="1">
      <alignment horizontal="left" vertical="center"/>
    </xf>
    <xf numFmtId="1" fontId="76" fillId="7" borderId="0" xfId="3" applyNumberFormat="1" applyFont="1" applyFill="1"/>
    <xf numFmtId="0" fontId="76" fillId="0" borderId="6" xfId="3" applyFont="1" applyBorder="1"/>
    <xf numFmtId="0" fontId="76" fillId="0" borderId="0" xfId="3" applyFont="1"/>
    <xf numFmtId="192" fontId="24" fillId="5" borderId="1" xfId="3" applyNumberFormat="1" applyFont="1" applyFill="1" applyBorder="1" applyAlignment="1">
      <alignment horizontal="center" vertical="center" shrinkToFit="1"/>
    </xf>
    <xf numFmtId="0" fontId="77" fillId="0" borderId="0" xfId="8" applyFont="1"/>
    <xf numFmtId="0" fontId="77" fillId="0" borderId="0" xfId="8" applyFont="1" applyAlignment="1">
      <alignment vertical="center" wrapText="1"/>
    </xf>
    <xf numFmtId="0" fontId="77" fillId="14" borderId="0" xfId="8" applyFont="1" applyFill="1"/>
    <xf numFmtId="180" fontId="24" fillId="6" borderId="1" xfId="3" applyNumberFormat="1" applyFont="1" applyFill="1" applyBorder="1" applyAlignment="1">
      <alignment vertical="center" shrinkToFit="1"/>
    </xf>
    <xf numFmtId="0" fontId="10" fillId="6" borderId="1" xfId="3" applyFill="1" applyBorder="1" applyAlignment="1">
      <alignment vertical="center"/>
    </xf>
    <xf numFmtId="180" fontId="10" fillId="6" borderId="1" xfId="3" applyNumberFormat="1" applyFill="1" applyBorder="1" applyAlignment="1">
      <alignment vertical="center" shrinkToFit="1"/>
    </xf>
    <xf numFmtId="180" fontId="10" fillId="6" borderId="35" xfId="3" applyNumberFormat="1" applyFill="1" applyBorder="1" applyAlignment="1">
      <alignment vertical="center" shrinkToFit="1"/>
    </xf>
    <xf numFmtId="0" fontId="10" fillId="6" borderId="35" xfId="3" applyFill="1" applyBorder="1" applyAlignment="1">
      <alignment vertical="center"/>
    </xf>
    <xf numFmtId="180" fontId="26" fillId="6" borderId="1" xfId="3" applyNumberFormat="1" applyFont="1" applyFill="1" applyBorder="1" applyAlignment="1">
      <alignment vertical="center" shrinkToFit="1"/>
    </xf>
    <xf numFmtId="186" fontId="24" fillId="6" borderId="1" xfId="3" applyNumberFormat="1" applyFont="1" applyFill="1" applyBorder="1" applyAlignment="1">
      <alignment vertical="center" shrinkToFit="1"/>
    </xf>
    <xf numFmtId="0" fontId="10" fillId="6" borderId="0" xfId="3" applyFill="1" applyAlignment="1">
      <alignment vertical="center"/>
    </xf>
    <xf numFmtId="180" fontId="10" fillId="6" borderId="35" xfId="3" applyNumberFormat="1" applyFill="1" applyBorder="1" applyAlignment="1">
      <alignment vertical="center"/>
    </xf>
    <xf numFmtId="180" fontId="10" fillId="6" borderId="1" xfId="3" applyNumberFormat="1" applyFill="1" applyBorder="1" applyAlignment="1">
      <alignment vertical="center"/>
    </xf>
    <xf numFmtId="0" fontId="10" fillId="6" borderId="1" xfId="3" applyFill="1" applyBorder="1"/>
    <xf numFmtId="0" fontId="78" fillId="6" borderId="0" xfId="9" applyFont="1" applyFill="1">
      <alignment vertical="center"/>
    </xf>
    <xf numFmtId="0" fontId="78" fillId="6" borderId="0" xfId="9" applyFont="1" applyFill="1" applyAlignment="1">
      <alignment horizontal="center" vertical="center"/>
    </xf>
    <xf numFmtId="0" fontId="79" fillId="6" borderId="0" xfId="9" applyFont="1" applyFill="1">
      <alignment vertical="center"/>
    </xf>
    <xf numFmtId="0" fontId="78" fillId="6" borderId="1" xfId="9" applyFont="1" applyFill="1" applyBorder="1">
      <alignment vertical="center"/>
    </xf>
    <xf numFmtId="0" fontId="79" fillId="6" borderId="0" xfId="0" applyFont="1" applyFill="1">
      <alignment vertical="center"/>
    </xf>
    <xf numFmtId="0" fontId="78" fillId="6" borderId="1" xfId="9" applyFont="1" applyFill="1" applyBorder="1" applyAlignment="1">
      <alignment horizontal="center" vertical="center"/>
    </xf>
    <xf numFmtId="0" fontId="79" fillId="6" borderId="0" xfId="9" applyFont="1" applyFill="1" applyAlignment="1">
      <alignment horizontal="center" vertical="center"/>
    </xf>
    <xf numFmtId="0" fontId="79" fillId="6" borderId="0" xfId="9" applyFont="1" applyFill="1" applyAlignment="1">
      <alignment horizontal="left" vertical="center"/>
    </xf>
    <xf numFmtId="0" fontId="79" fillId="0" borderId="0" xfId="8" applyFont="1"/>
    <xf numFmtId="0" fontId="79" fillId="0" borderId="0" xfId="8" applyFont="1" applyAlignment="1">
      <alignment vertical="center" wrapText="1"/>
    </xf>
    <xf numFmtId="0" fontId="79" fillId="14" borderId="0" xfId="8" applyFont="1" applyFill="1"/>
    <xf numFmtId="0" fontId="10" fillId="0" borderId="22" xfId="3" applyBorder="1" applyAlignment="1">
      <alignment horizontal="center" vertical="center" wrapText="1"/>
    </xf>
    <xf numFmtId="178" fontId="80" fillId="6" borderId="0" xfId="9" applyNumberFormat="1" applyFont="1" applyFill="1" applyAlignment="1">
      <alignment horizontal="center" vertical="center"/>
    </xf>
    <xf numFmtId="0" fontId="81" fillId="6" borderId="0" xfId="9" applyFont="1" applyFill="1">
      <alignment vertical="center"/>
    </xf>
    <xf numFmtId="0" fontId="81" fillId="6" borderId="0" xfId="9" applyFont="1" applyFill="1" applyAlignment="1">
      <alignment horizontal="left" vertical="center"/>
    </xf>
    <xf numFmtId="0" fontId="78" fillId="6" borderId="0" xfId="9" applyFont="1" applyFill="1" applyAlignment="1">
      <alignment horizontal="left" vertical="center"/>
    </xf>
    <xf numFmtId="0" fontId="78" fillId="6" borderId="4" xfId="9" applyFont="1" applyFill="1" applyBorder="1">
      <alignment vertical="center"/>
    </xf>
    <xf numFmtId="0" fontId="78" fillId="6" borderId="3" xfId="9" applyFont="1" applyFill="1" applyBorder="1">
      <alignment vertical="center"/>
    </xf>
    <xf numFmtId="0" fontId="78" fillId="6" borderId="5" xfId="9" applyFont="1" applyFill="1" applyBorder="1">
      <alignment vertical="center"/>
    </xf>
    <xf numFmtId="0" fontId="81" fillId="6" borderId="0" xfId="10" applyFont="1" applyFill="1">
      <alignment vertical="center"/>
    </xf>
    <xf numFmtId="0" fontId="78" fillId="6" borderId="1" xfId="9" applyFont="1" applyFill="1" applyBorder="1" applyAlignment="1">
      <alignment horizontal="center" vertical="center" wrapText="1"/>
    </xf>
    <xf numFmtId="0" fontId="78" fillId="6" borderId="1" xfId="9" applyFont="1" applyFill="1" applyBorder="1" applyAlignment="1">
      <alignment vertical="center" wrapText="1"/>
    </xf>
    <xf numFmtId="0" fontId="82" fillId="6" borderId="1" xfId="9" applyFont="1" applyFill="1" applyBorder="1" applyAlignment="1">
      <alignment horizontal="center" vertical="center"/>
    </xf>
    <xf numFmtId="0" fontId="78" fillId="6" borderId="7" xfId="9" applyFont="1" applyFill="1" applyBorder="1">
      <alignment vertical="center"/>
    </xf>
    <xf numFmtId="0" fontId="79" fillId="6" borderId="1" xfId="0" applyFont="1" applyFill="1" applyBorder="1" applyAlignment="1">
      <alignment horizontal="center" vertical="center" shrinkToFit="1"/>
    </xf>
    <xf numFmtId="0" fontId="78" fillId="6" borderId="1" xfId="9" applyFont="1" applyFill="1" applyBorder="1" applyAlignment="1">
      <alignment horizontal="center" vertical="center" shrinkToFit="1"/>
    </xf>
    <xf numFmtId="0" fontId="79" fillId="6" borderId="1" xfId="0" applyFont="1" applyFill="1" applyBorder="1">
      <alignment vertical="center"/>
    </xf>
    <xf numFmtId="0" fontId="47" fillId="0" borderId="0" xfId="0" applyFont="1">
      <alignment vertical="center"/>
    </xf>
    <xf numFmtId="0" fontId="47" fillId="6" borderId="0" xfId="0" applyFont="1" applyFill="1">
      <alignment vertical="center"/>
    </xf>
    <xf numFmtId="0" fontId="47" fillId="6" borderId="0" xfId="0" applyFont="1" applyFill="1" applyAlignment="1">
      <alignment vertical="center" wrapText="1"/>
    </xf>
    <xf numFmtId="0" fontId="47" fillId="6" borderId="1" xfId="0" applyFont="1" applyFill="1" applyBorder="1" applyAlignment="1">
      <alignment vertical="center" wrapText="1"/>
    </xf>
    <xf numFmtId="0" fontId="79" fillId="6" borderId="1" xfId="9" applyFont="1" applyFill="1" applyBorder="1" applyAlignment="1">
      <alignment horizontal="center" vertical="center"/>
    </xf>
    <xf numFmtId="0" fontId="47" fillId="6" borderId="1" xfId="0" applyFont="1" applyFill="1" applyBorder="1">
      <alignment vertical="center"/>
    </xf>
    <xf numFmtId="0" fontId="79" fillId="6" borderId="1" xfId="9" applyFont="1" applyFill="1" applyBorder="1" applyAlignment="1">
      <alignment horizontal="center" vertical="center" shrinkToFit="1"/>
    </xf>
    <xf numFmtId="0" fontId="47" fillId="15" borderId="1" xfId="0" applyFont="1" applyFill="1" applyBorder="1">
      <alignment vertical="center"/>
    </xf>
    <xf numFmtId="0" fontId="0" fillId="6" borderId="0" xfId="0" applyFill="1" applyAlignment="1">
      <alignment vertical="center" wrapText="1"/>
    </xf>
    <xf numFmtId="58" fontId="10" fillId="0" borderId="0" xfId="3" applyNumberFormat="1"/>
    <xf numFmtId="0" fontId="10" fillId="0" borderId="40" xfId="3" applyBorder="1" applyAlignment="1">
      <alignment horizontal="distributed" vertical="center"/>
    </xf>
    <xf numFmtId="0" fontId="10" fillId="0" borderId="10" xfId="3" applyBorder="1"/>
    <xf numFmtId="0" fontId="10" fillId="0" borderId="11" xfId="3" applyBorder="1"/>
    <xf numFmtId="0" fontId="28" fillId="0" borderId="11" xfId="3" applyFont="1" applyBorder="1" applyAlignment="1">
      <alignment horizontal="left" vertical="top"/>
    </xf>
    <xf numFmtId="0" fontId="10" fillId="0" borderId="6" xfId="3" applyBorder="1"/>
    <xf numFmtId="0" fontId="10" fillId="0" borderId="43" xfId="3" applyBorder="1"/>
    <xf numFmtId="182" fontId="30" fillId="0" borderId="9" xfId="3" applyNumberFormat="1" applyFont="1" applyBorder="1"/>
    <xf numFmtId="0" fontId="10" fillId="0" borderId="2" xfId="3" applyBorder="1" applyAlignment="1">
      <alignment horizontal="center"/>
    </xf>
    <xf numFmtId="180" fontId="30" fillId="0" borderId="9" xfId="3" applyNumberFormat="1" applyFont="1" applyBorder="1"/>
    <xf numFmtId="0" fontId="10" fillId="0" borderId="44" xfId="3" applyBorder="1" applyAlignment="1">
      <alignment horizontal="center"/>
    </xf>
    <xf numFmtId="182" fontId="10" fillId="0" borderId="10" xfId="3" applyNumberFormat="1" applyBorder="1"/>
    <xf numFmtId="0" fontId="10" fillId="0" borderId="45" xfId="3" applyBorder="1"/>
    <xf numFmtId="182" fontId="30" fillId="0" borderId="47" xfId="3" applyNumberFormat="1" applyFont="1" applyBorder="1"/>
    <xf numFmtId="0" fontId="10" fillId="0" borderId="48" xfId="3" applyBorder="1" applyAlignment="1">
      <alignment horizontal="center"/>
    </xf>
    <xf numFmtId="180" fontId="30" fillId="0" borderId="47" xfId="3" applyNumberFormat="1" applyFont="1" applyBorder="1"/>
    <xf numFmtId="0" fontId="10" fillId="0" borderId="49" xfId="3" applyBorder="1" applyAlignment="1">
      <alignment horizontal="center"/>
    </xf>
    <xf numFmtId="0" fontId="28" fillId="0" borderId="30" xfId="4" applyBorder="1" applyAlignment="1">
      <alignment vertical="center"/>
    </xf>
    <xf numFmtId="0" fontId="10" fillId="0" borderId="48" xfId="3" applyBorder="1" applyAlignment="1">
      <alignment vertical="center" wrapText="1"/>
    </xf>
    <xf numFmtId="0" fontId="10" fillId="0" borderId="50" xfId="3" applyBorder="1" applyAlignment="1">
      <alignment horizontal="center"/>
    </xf>
    <xf numFmtId="0" fontId="28" fillId="0" borderId="51" xfId="3" applyFont="1" applyBorder="1" applyAlignment="1">
      <alignment horizontal="center" vertical="center"/>
    </xf>
    <xf numFmtId="0" fontId="32" fillId="0" borderId="30" xfId="3" applyFont="1" applyBorder="1" applyAlignment="1">
      <alignment horizontal="center" vertical="center"/>
    </xf>
    <xf numFmtId="0" fontId="28" fillId="0" borderId="16" xfId="3" applyFont="1" applyBorder="1" applyAlignment="1">
      <alignment horizontal="center" vertical="center"/>
    </xf>
    <xf numFmtId="0" fontId="10" fillId="0" borderId="16" xfId="3" applyBorder="1" applyAlignment="1">
      <alignment horizontal="center" vertical="center"/>
    </xf>
    <xf numFmtId="0" fontId="10" fillId="0" borderId="41" xfId="3" applyBorder="1" applyAlignment="1">
      <alignment horizontal="center" vertical="center"/>
    </xf>
    <xf numFmtId="0" fontId="28" fillId="0" borderId="10" xfId="3" applyFont="1" applyBorder="1" applyAlignment="1">
      <alignment horizontal="center" vertical="center"/>
    </xf>
    <xf numFmtId="0" fontId="32" fillId="0" borderId="11" xfId="3" applyFont="1" applyBorder="1" applyAlignment="1">
      <alignment horizontal="center" vertical="center"/>
    </xf>
    <xf numFmtId="0" fontId="32" fillId="0" borderId="12" xfId="3" applyFont="1" applyBorder="1" applyAlignment="1">
      <alignment horizontal="center" vertical="center"/>
    </xf>
    <xf numFmtId="0" fontId="10" fillId="0" borderId="43" xfId="3" applyBorder="1" applyAlignment="1">
      <alignment horizontal="center" vertical="center"/>
    </xf>
    <xf numFmtId="0" fontId="28" fillId="0" borderId="6" xfId="3" applyFont="1" applyBorder="1" applyAlignment="1">
      <alignment horizontal="center" vertical="center"/>
    </xf>
    <xf numFmtId="0" fontId="32" fillId="0" borderId="0" xfId="3" applyFont="1" applyAlignment="1">
      <alignment horizontal="center" vertical="center"/>
    </xf>
    <xf numFmtId="0" fontId="32" fillId="0" borderId="7" xfId="3" applyFont="1" applyBorder="1" applyAlignment="1">
      <alignment horizontal="center" vertical="center"/>
    </xf>
    <xf numFmtId="0" fontId="28" fillId="0" borderId="7" xfId="3" applyFont="1" applyBorder="1" applyAlignment="1">
      <alignment horizontal="left" vertical="top"/>
    </xf>
    <xf numFmtId="0" fontId="10" fillId="0" borderId="13" xfId="3" applyBorder="1" applyAlignment="1">
      <alignment horizontal="center"/>
    </xf>
    <xf numFmtId="180" fontId="30" fillId="0" borderId="2" xfId="3" applyNumberFormat="1" applyFont="1" applyBorder="1"/>
    <xf numFmtId="0" fontId="10" fillId="0" borderId="11" xfId="3" applyBorder="1" applyAlignment="1">
      <alignment horizontal="center"/>
    </xf>
    <xf numFmtId="0" fontId="10" fillId="0" borderId="12" xfId="3" applyBorder="1" applyAlignment="1">
      <alignment horizontal="center"/>
    </xf>
    <xf numFmtId="0" fontId="10" fillId="0" borderId="43" xfId="3" applyBorder="1" applyAlignment="1">
      <alignment horizontal="center"/>
    </xf>
    <xf numFmtId="0" fontId="10" fillId="0" borderId="7" xfId="3" applyBorder="1" applyAlignment="1">
      <alignment horizontal="center"/>
    </xf>
    <xf numFmtId="0" fontId="10" fillId="0" borderId="7" xfId="3" applyBorder="1"/>
    <xf numFmtId="180" fontId="30" fillId="0" borderId="6" xfId="3" applyNumberFormat="1" applyFont="1" applyBorder="1" applyAlignment="1">
      <alignment horizontal="right"/>
    </xf>
    <xf numFmtId="180" fontId="30" fillId="0" borderId="48" xfId="3" applyNumberFormat="1" applyFont="1" applyBorder="1"/>
    <xf numFmtId="0" fontId="86" fillId="0" borderId="0" xfId="5" applyFont="1" applyAlignment="1">
      <alignment vertical="center"/>
    </xf>
    <xf numFmtId="58" fontId="86" fillId="0" borderId="0" xfId="5" quotePrefix="1" applyNumberFormat="1" applyFont="1" applyAlignment="1">
      <alignment horizontal="right" vertical="center"/>
    </xf>
    <xf numFmtId="0" fontId="89" fillId="0" borderId="0" xfId="5" applyFont="1" applyAlignment="1">
      <alignment vertical="center"/>
    </xf>
    <xf numFmtId="0" fontId="86" fillId="0" borderId="0" xfId="5" applyFont="1" applyAlignment="1">
      <alignment horizontal="right" vertical="center"/>
    </xf>
    <xf numFmtId="0" fontId="90" fillId="0" borderId="0" xfId="5" applyFont="1" applyAlignment="1">
      <alignment vertical="center"/>
    </xf>
    <xf numFmtId="0" fontId="86" fillId="0" borderId="0" xfId="5" applyFont="1" applyAlignment="1">
      <alignment horizontal="distributed" vertical="center"/>
    </xf>
    <xf numFmtId="0" fontId="86" fillId="0" borderId="0" xfId="5" applyFont="1" applyAlignment="1">
      <alignment horizontal="center" vertical="center"/>
    </xf>
    <xf numFmtId="0" fontId="86" fillId="0" borderId="0" xfId="5" applyFont="1" applyAlignment="1">
      <alignment vertical="center" shrinkToFit="1"/>
    </xf>
    <xf numFmtId="0" fontId="86" fillId="0" borderId="0" xfId="5" applyFont="1" applyAlignment="1">
      <alignment vertical="top"/>
    </xf>
    <xf numFmtId="0" fontId="91" fillId="0" borderId="0" xfId="5" applyFont="1" applyAlignment="1">
      <alignment horizontal="center" vertical="center"/>
    </xf>
    <xf numFmtId="0" fontId="86" fillId="0" borderId="0" xfId="5" applyFont="1" applyAlignment="1">
      <alignment horizontal="left" vertical="center"/>
    </xf>
    <xf numFmtId="0" fontId="86" fillId="0" borderId="0" xfId="5" applyFont="1" applyAlignment="1">
      <alignment horizontal="right"/>
    </xf>
    <xf numFmtId="0" fontId="86" fillId="0" borderId="4" xfId="5" applyFont="1" applyBorder="1" applyAlignment="1">
      <alignment horizontal="center" vertical="center"/>
    </xf>
    <xf numFmtId="0" fontId="86" fillId="0" borderId="1" xfId="5" applyFont="1" applyBorder="1" applyAlignment="1">
      <alignment horizontal="center" vertical="center"/>
    </xf>
    <xf numFmtId="0" fontId="86" fillId="0" borderId="1" xfId="5" applyFont="1" applyBorder="1" applyAlignment="1">
      <alignment horizontal="center" vertical="center" wrapText="1"/>
    </xf>
    <xf numFmtId="193" fontId="94" fillId="0" borderId="0" xfId="6" applyNumberFormat="1" applyFont="1" applyAlignment="1">
      <alignment horizontal="center" vertical="center"/>
    </xf>
    <xf numFmtId="0" fontId="94" fillId="0" borderId="0" xfId="5" applyFont="1" applyAlignment="1">
      <alignment vertical="center"/>
    </xf>
    <xf numFmtId="185" fontId="94" fillId="0" borderId="0" xfId="6" applyFont="1" applyAlignment="1">
      <alignment vertical="center"/>
    </xf>
    <xf numFmtId="185" fontId="86" fillId="0" borderId="0" xfId="5" applyNumberFormat="1" applyFont="1" applyAlignment="1">
      <alignment vertical="center"/>
    </xf>
    <xf numFmtId="0" fontId="49" fillId="6" borderId="0" xfId="0" applyFont="1" applyFill="1">
      <alignment vertical="center"/>
    </xf>
    <xf numFmtId="0" fontId="49" fillId="15" borderId="0" xfId="0" applyFont="1" applyFill="1">
      <alignment vertical="center"/>
    </xf>
    <xf numFmtId="0" fontId="49" fillId="9" borderId="0" xfId="0" applyFont="1" applyFill="1">
      <alignment vertical="center"/>
    </xf>
    <xf numFmtId="176" fontId="0" fillId="0" borderId="2" xfId="0" applyNumberFormat="1" applyBorder="1" applyAlignment="1">
      <alignment horizontal="center" vertical="center"/>
    </xf>
    <xf numFmtId="176" fontId="0" fillId="0" borderId="1" xfId="0" applyNumberFormat="1" applyBorder="1" applyAlignment="1">
      <alignment horizontal="center" vertical="center"/>
    </xf>
    <xf numFmtId="0" fontId="8" fillId="6" borderId="30" xfId="1" applyFont="1" applyFill="1" applyBorder="1" applyProtection="1">
      <protection locked="0"/>
    </xf>
    <xf numFmtId="0" fontId="8" fillId="6" borderId="0" xfId="1" applyFont="1" applyFill="1" applyAlignment="1" applyProtection="1">
      <alignment horizontal="left" vertical="center"/>
      <protection locked="0"/>
    </xf>
    <xf numFmtId="0" fontId="8" fillId="6" borderId="0" xfId="1" applyFont="1" applyFill="1" applyAlignment="1" applyProtection="1">
      <alignment vertical="center"/>
      <protection locked="0"/>
    </xf>
    <xf numFmtId="0" fontId="10" fillId="0" borderId="1" xfId="1" applyFont="1" applyBorder="1" applyAlignment="1">
      <alignment vertical="center" textRotation="255" shrinkToFit="1"/>
    </xf>
    <xf numFmtId="0" fontId="10" fillId="0" borderId="35" xfId="3" applyBorder="1" applyAlignment="1">
      <alignment vertical="center"/>
    </xf>
    <xf numFmtId="0" fontId="10" fillId="0" borderId="10" xfId="3" applyBorder="1" applyAlignment="1">
      <alignment horizontal="left" vertical="top"/>
    </xf>
    <xf numFmtId="180" fontId="30" fillId="0" borderId="9" xfId="3" applyNumberFormat="1" applyFont="1" applyBorder="1" applyAlignment="1">
      <alignment horizontal="right"/>
    </xf>
    <xf numFmtId="180" fontId="30" fillId="0" borderId="47" xfId="3" applyNumberFormat="1" applyFont="1" applyBorder="1" applyAlignment="1">
      <alignment horizontal="right"/>
    </xf>
    <xf numFmtId="0" fontId="64" fillId="0" borderId="10" xfId="3" applyFont="1" applyBorder="1" applyAlignment="1">
      <alignment horizontal="distributed" vertical="center" wrapText="1"/>
    </xf>
    <xf numFmtId="0" fontId="93" fillId="0" borderId="1" xfId="5" applyFont="1" applyBorder="1" applyAlignment="1">
      <alignment horizontal="distributed" vertical="center" wrapText="1"/>
    </xf>
    <xf numFmtId="193" fontId="86" fillId="0" borderId="9" xfId="6" applyNumberFormat="1" applyFont="1" applyBorder="1" applyAlignment="1" applyProtection="1">
      <alignment horizontal="center" vertical="center"/>
    </xf>
    <xf numFmtId="193" fontId="86" fillId="0" borderId="22" xfId="5" applyNumberFormat="1" applyFont="1" applyBorder="1" applyAlignment="1">
      <alignment horizontal="center" vertical="center"/>
    </xf>
    <xf numFmtId="180" fontId="55" fillId="0" borderId="47" xfId="3" applyNumberFormat="1" applyFont="1" applyBorder="1" applyAlignment="1">
      <alignment horizontal="right"/>
    </xf>
    <xf numFmtId="0" fontId="46" fillId="0" borderId="0" xfId="8" applyAlignment="1">
      <alignment horizontal="center" vertical="center"/>
    </xf>
    <xf numFmtId="0" fontId="42" fillId="6" borderId="0" xfId="3" applyFont="1" applyFill="1"/>
    <xf numFmtId="0" fontId="23" fillId="6" borderId="0" xfId="3" applyFont="1" applyFill="1"/>
    <xf numFmtId="0" fontId="23" fillId="6" borderId="0" xfId="3" applyFont="1" applyFill="1" applyAlignment="1">
      <alignment horizontal="center"/>
    </xf>
    <xf numFmtId="58" fontId="40" fillId="6" borderId="0" xfId="3" applyNumberFormat="1" applyFont="1" applyFill="1" applyAlignment="1">
      <alignment horizontal="center"/>
    </xf>
    <xf numFmtId="0" fontId="49" fillId="0" borderId="1" xfId="9" applyFont="1" applyBorder="1" applyAlignment="1">
      <alignment horizontal="center" vertical="center"/>
    </xf>
    <xf numFmtId="0" fontId="49" fillId="0" borderId="1" xfId="9" applyFont="1" applyBorder="1" applyAlignment="1">
      <alignment horizontal="center" vertical="center" shrinkToFit="1"/>
    </xf>
    <xf numFmtId="0" fontId="100" fillId="0" borderId="0" xfId="0" applyFont="1">
      <alignment vertical="center"/>
    </xf>
    <xf numFmtId="0" fontId="100" fillId="0" borderId="11" xfId="0" applyFont="1" applyBorder="1">
      <alignment vertical="center"/>
    </xf>
    <xf numFmtId="0" fontId="100" fillId="0" borderId="12" xfId="0" applyFont="1" applyBorder="1">
      <alignment vertical="center"/>
    </xf>
    <xf numFmtId="0" fontId="100" fillId="0" borderId="0" xfId="0" applyFont="1" applyAlignment="1">
      <alignment horizontal="left" vertical="center"/>
    </xf>
    <xf numFmtId="0" fontId="100" fillId="0" borderId="0" xfId="0" applyFont="1" applyAlignment="1">
      <alignment horizontal="left" vertical="center" wrapText="1"/>
    </xf>
    <xf numFmtId="0" fontId="100" fillId="0" borderId="7" xfId="0" applyFont="1" applyBorder="1">
      <alignment vertical="center"/>
    </xf>
    <xf numFmtId="0" fontId="100" fillId="0" borderId="13" xfId="0" applyFont="1" applyBorder="1">
      <alignment vertical="center"/>
    </xf>
    <xf numFmtId="0" fontId="100" fillId="0" borderId="2" xfId="0" applyFont="1" applyBorder="1">
      <alignment vertical="center"/>
    </xf>
    <xf numFmtId="0" fontId="101" fillId="0" borderId="0" xfId="0" applyFont="1">
      <alignment vertical="center"/>
    </xf>
    <xf numFmtId="0" fontId="102" fillId="0" borderId="0" xfId="0" applyFont="1">
      <alignment vertical="center"/>
    </xf>
    <xf numFmtId="0" fontId="71" fillId="0" borderId="30" xfId="0" applyFont="1" applyBorder="1" applyAlignment="1">
      <alignment horizontal="left" vertical="center"/>
    </xf>
    <xf numFmtId="0" fontId="71" fillId="0" borderId="63" xfId="0" applyFont="1" applyBorder="1" applyAlignment="1">
      <alignment horizontal="left" vertical="center"/>
    </xf>
    <xf numFmtId="0" fontId="71" fillId="0" borderId="75" xfId="0" applyFont="1" applyBorder="1" applyAlignment="1">
      <alignment horizontal="left" vertical="center"/>
    </xf>
    <xf numFmtId="0" fontId="71" fillId="0" borderId="0" xfId="0" applyFont="1" applyAlignment="1">
      <alignment horizontal="left" vertical="center"/>
    </xf>
    <xf numFmtId="0" fontId="71" fillId="0" borderId="43" xfId="0" applyFont="1" applyBorder="1" applyAlignment="1">
      <alignment horizontal="left" vertical="center"/>
    </xf>
    <xf numFmtId="0" fontId="71" fillId="0" borderId="77" xfId="0" applyFont="1" applyBorder="1" applyAlignment="1">
      <alignment horizontal="left" vertical="center"/>
    </xf>
    <xf numFmtId="0" fontId="71" fillId="0" borderId="48" xfId="0" applyFont="1" applyBorder="1" applyAlignment="1">
      <alignment horizontal="left" vertical="center" wrapText="1"/>
    </xf>
    <xf numFmtId="0" fontId="71" fillId="0" borderId="49" xfId="0" applyFont="1" applyBorder="1" applyAlignment="1">
      <alignment horizontal="left" vertical="center" wrapText="1"/>
    </xf>
    <xf numFmtId="0" fontId="100" fillId="18" borderId="10" xfId="0" applyFont="1" applyFill="1" applyBorder="1">
      <alignment vertical="center"/>
    </xf>
    <xf numFmtId="0" fontId="100" fillId="18" borderId="12" xfId="0" applyFont="1" applyFill="1" applyBorder="1">
      <alignment vertical="center"/>
    </xf>
    <xf numFmtId="0" fontId="100" fillId="18" borderId="6" xfId="0" applyFont="1" applyFill="1" applyBorder="1" applyAlignment="1">
      <alignment horizontal="left" vertical="center" wrapText="1"/>
    </xf>
    <xf numFmtId="0" fontId="100" fillId="18" borderId="9" xfId="0" applyFont="1" applyFill="1" applyBorder="1">
      <alignment vertical="center"/>
    </xf>
    <xf numFmtId="0" fontId="100" fillId="18" borderId="6" xfId="0" applyFont="1" applyFill="1" applyBorder="1">
      <alignment vertical="center"/>
    </xf>
    <xf numFmtId="0" fontId="40" fillId="4" borderId="4" xfId="3" applyFont="1" applyFill="1" applyBorder="1"/>
    <xf numFmtId="0" fontId="40" fillId="4" borderId="5" xfId="3" applyFont="1" applyFill="1" applyBorder="1"/>
    <xf numFmtId="0" fontId="40" fillId="15" borderId="4" xfId="3" applyFont="1" applyFill="1" applyBorder="1"/>
    <xf numFmtId="0" fontId="40" fillId="15" borderId="5" xfId="3" applyFont="1" applyFill="1" applyBorder="1"/>
    <xf numFmtId="180" fontId="0" fillId="6" borderId="13" xfId="0" applyNumberFormat="1" applyFill="1" applyBorder="1" applyAlignment="1" applyProtection="1">
      <alignment horizontal="center" vertical="center" shrinkToFit="1"/>
      <protection locked="0"/>
    </xf>
    <xf numFmtId="0" fontId="104" fillId="0" borderId="1" xfId="8" applyFont="1" applyBorder="1" applyAlignment="1">
      <alignment horizontal="center" vertical="center" shrinkToFit="1"/>
    </xf>
    <xf numFmtId="0" fontId="104" fillId="18" borderId="1" xfId="8" applyFont="1" applyFill="1" applyBorder="1" applyAlignment="1">
      <alignment horizontal="center" vertical="center" shrinkToFit="1"/>
    </xf>
    <xf numFmtId="0" fontId="74" fillId="18" borderId="11" xfId="8" applyFont="1" applyFill="1" applyBorder="1" applyAlignment="1">
      <alignment horizontal="center" vertical="center"/>
    </xf>
    <xf numFmtId="0" fontId="74" fillId="18" borderId="5" xfId="8" applyFont="1" applyFill="1" applyBorder="1" applyAlignment="1">
      <alignment horizontal="center" vertical="center"/>
    </xf>
    <xf numFmtId="0" fontId="74" fillId="18" borderId="1" xfId="8" applyFont="1" applyFill="1" applyBorder="1" applyAlignment="1">
      <alignment horizontal="center" vertical="center"/>
    </xf>
    <xf numFmtId="0" fontId="74" fillId="18" borderId="4" xfId="8" applyFont="1" applyFill="1" applyBorder="1" applyAlignment="1">
      <alignment vertical="center" wrapText="1"/>
    </xf>
    <xf numFmtId="0" fontId="74" fillId="18" borderId="3" xfId="8" applyFont="1" applyFill="1" applyBorder="1" applyAlignment="1">
      <alignment vertical="center" wrapText="1"/>
    </xf>
    <xf numFmtId="0" fontId="104" fillId="18" borderId="4" xfId="8" applyFont="1" applyFill="1" applyBorder="1" applyAlignment="1">
      <alignment horizontal="center" vertical="center" shrinkToFit="1"/>
    </xf>
    <xf numFmtId="0" fontId="104" fillId="0" borderId="5" xfId="8" applyFont="1" applyBorder="1" applyAlignment="1">
      <alignment horizontal="center" vertical="center" shrinkToFit="1"/>
    </xf>
    <xf numFmtId="0" fontId="104" fillId="18" borderId="73" xfId="8" applyFont="1" applyFill="1" applyBorder="1" applyAlignment="1">
      <alignment horizontal="center" vertical="center" shrinkToFit="1"/>
    </xf>
    <xf numFmtId="0" fontId="104" fillId="18" borderId="78" xfId="8" applyFont="1" applyFill="1" applyBorder="1" applyAlignment="1">
      <alignment horizontal="center" vertical="center" shrinkToFit="1"/>
    </xf>
    <xf numFmtId="0" fontId="104" fillId="18" borderId="74" xfId="8" applyFont="1" applyFill="1" applyBorder="1" applyAlignment="1">
      <alignment horizontal="center" vertical="center" shrinkToFit="1"/>
    </xf>
    <xf numFmtId="0" fontId="104" fillId="4" borderId="5" xfId="8" applyFont="1" applyFill="1" applyBorder="1" applyAlignment="1">
      <alignment horizontal="center" vertical="center" shrinkToFit="1"/>
    </xf>
    <xf numFmtId="0" fontId="104" fillId="4" borderId="1" xfId="8" applyFont="1" applyFill="1" applyBorder="1" applyAlignment="1">
      <alignment horizontal="center" vertical="center" shrinkToFit="1"/>
    </xf>
    <xf numFmtId="1" fontId="104" fillId="0" borderId="4" xfId="8" applyNumberFormat="1" applyFont="1" applyBorder="1" applyAlignment="1">
      <alignment horizontal="center" vertical="center" shrinkToFit="1"/>
    </xf>
    <xf numFmtId="0" fontId="104" fillId="18" borderId="5" xfId="8" applyFont="1" applyFill="1" applyBorder="1" applyAlignment="1">
      <alignment horizontal="center" vertical="center" shrinkToFit="1"/>
    </xf>
    <xf numFmtId="0" fontId="104" fillId="18" borderId="79" xfId="8" applyFont="1" applyFill="1" applyBorder="1" applyAlignment="1">
      <alignment horizontal="center" vertical="center" shrinkToFit="1"/>
    </xf>
    <xf numFmtId="0" fontId="104" fillId="0" borderId="80" xfId="8" applyFont="1" applyBorder="1" applyAlignment="1">
      <alignment horizontal="center" vertical="center" shrinkToFit="1"/>
    </xf>
    <xf numFmtId="0" fontId="104" fillId="18" borderId="81" xfId="8" applyFont="1" applyFill="1" applyBorder="1" applyAlignment="1">
      <alignment horizontal="center" vertical="center" shrinkToFit="1"/>
    </xf>
    <xf numFmtId="0" fontId="104" fillId="0" borderId="82" xfId="8" applyFont="1" applyBorder="1" applyAlignment="1">
      <alignment horizontal="center" vertical="center" shrinkToFit="1"/>
    </xf>
    <xf numFmtId="0" fontId="104" fillId="18" borderId="83" xfId="8" applyFont="1" applyFill="1" applyBorder="1" applyAlignment="1">
      <alignment horizontal="center" vertical="center" shrinkToFit="1"/>
    </xf>
    <xf numFmtId="0" fontId="104" fillId="0" borderId="84" xfId="8" applyFont="1" applyBorder="1" applyAlignment="1">
      <alignment horizontal="center" vertical="center" shrinkToFit="1"/>
    </xf>
    <xf numFmtId="0" fontId="104" fillId="0" borderId="13" xfId="8" applyFont="1" applyBorder="1" applyAlignment="1">
      <alignment horizontal="center" vertical="center" shrinkToFit="1"/>
    </xf>
    <xf numFmtId="0" fontId="104" fillId="0" borderId="85" xfId="8" applyFont="1" applyBorder="1" applyAlignment="1">
      <alignment horizontal="center" vertical="center" shrinkToFit="1"/>
    </xf>
    <xf numFmtId="0" fontId="104" fillId="0" borderId="86" xfId="8" applyFont="1" applyBorder="1" applyAlignment="1">
      <alignment horizontal="center" vertical="center" shrinkToFit="1"/>
    </xf>
    <xf numFmtId="0" fontId="104" fillId="18" borderId="87" xfId="8" applyFont="1" applyFill="1" applyBorder="1" applyAlignment="1">
      <alignment horizontal="center" vertical="center" shrinkToFit="1"/>
    </xf>
    <xf numFmtId="0" fontId="104" fillId="18" borderId="88" xfId="8" applyFont="1" applyFill="1" applyBorder="1" applyAlignment="1">
      <alignment horizontal="center" vertical="center" shrinkToFit="1"/>
    </xf>
    <xf numFmtId="176" fontId="0" fillId="6" borderId="2" xfId="0" applyNumberFormat="1" applyFill="1" applyBorder="1" applyAlignment="1">
      <alignment horizontal="center" vertical="center"/>
    </xf>
    <xf numFmtId="0" fontId="79" fillId="6" borderId="0" xfId="8" applyFont="1" applyFill="1"/>
    <xf numFmtId="0" fontId="79" fillId="13" borderId="1" xfId="0" applyFont="1" applyFill="1" applyBorder="1" applyAlignment="1">
      <alignment vertical="center" shrinkToFit="1"/>
    </xf>
    <xf numFmtId="0" fontId="78" fillId="13" borderId="1" xfId="9" applyFont="1" applyFill="1" applyBorder="1" applyAlignment="1">
      <alignment horizontal="center" vertical="center"/>
    </xf>
    <xf numFmtId="0" fontId="78" fillId="13" borderId="1" xfId="9" applyFont="1" applyFill="1" applyBorder="1">
      <alignment vertical="center"/>
    </xf>
    <xf numFmtId="0" fontId="78" fillId="13" borderId="7" xfId="9" applyFont="1" applyFill="1" applyBorder="1">
      <alignment vertical="center"/>
    </xf>
    <xf numFmtId="0" fontId="78" fillId="13" borderId="5" xfId="9" applyFont="1" applyFill="1" applyBorder="1">
      <alignment vertical="center"/>
    </xf>
    <xf numFmtId="0" fontId="79" fillId="13" borderId="0" xfId="9" applyFont="1" applyFill="1">
      <alignment vertical="center"/>
    </xf>
    <xf numFmtId="0" fontId="47" fillId="13" borderId="1" xfId="0" applyFont="1" applyFill="1" applyBorder="1" applyAlignment="1">
      <alignment horizontal="left" vertical="center"/>
    </xf>
    <xf numFmtId="0" fontId="83" fillId="13" borderId="1" xfId="0" applyFont="1" applyFill="1" applyBorder="1" applyAlignment="1">
      <alignment vertical="center" shrinkToFit="1"/>
    </xf>
    <xf numFmtId="0" fontId="47" fillId="13" borderId="28" xfId="0" applyFont="1" applyFill="1" applyBorder="1" applyAlignment="1">
      <alignment horizontal="left" vertical="center"/>
    </xf>
    <xf numFmtId="0" fontId="10" fillId="13" borderId="5" xfId="9" applyFill="1" applyBorder="1">
      <alignment vertical="center"/>
    </xf>
    <xf numFmtId="0" fontId="10" fillId="13" borderId="1" xfId="9" applyFill="1" applyBorder="1">
      <alignment vertical="center"/>
    </xf>
    <xf numFmtId="0" fontId="10" fillId="13" borderId="1" xfId="9" applyFill="1" applyBorder="1" applyAlignment="1">
      <alignment vertical="center" wrapText="1"/>
    </xf>
    <xf numFmtId="0" fontId="78" fillId="13" borderId="1" xfId="9" applyFont="1" applyFill="1" applyBorder="1" applyAlignment="1">
      <alignment vertical="center" shrinkToFit="1"/>
    </xf>
    <xf numFmtId="14" fontId="79" fillId="13" borderId="1" xfId="0" applyNumberFormat="1" applyFont="1" applyFill="1" applyBorder="1" applyAlignment="1">
      <alignment vertical="center" shrinkToFit="1"/>
    </xf>
    <xf numFmtId="0" fontId="79" fillId="13" borderId="1" xfId="0" applyFont="1" applyFill="1" applyBorder="1" applyAlignment="1">
      <alignment horizontal="center" vertical="center" shrinkToFit="1"/>
    </xf>
    <xf numFmtId="0" fontId="79" fillId="13" borderId="1" xfId="9" applyFont="1" applyFill="1" applyBorder="1">
      <alignment vertical="center"/>
    </xf>
    <xf numFmtId="186" fontId="24" fillId="11" borderId="1" xfId="3" applyNumberFormat="1" applyFont="1" applyFill="1" applyBorder="1" applyAlignment="1">
      <alignment vertical="center" shrinkToFit="1"/>
    </xf>
    <xf numFmtId="0" fontId="107" fillId="0" borderId="0" xfId="3" applyFont="1" applyAlignment="1">
      <alignment horizontal="center" vertical="center"/>
    </xf>
    <xf numFmtId="0" fontId="40" fillId="6" borderId="0" xfId="3" quotePrefix="1" applyFont="1" applyFill="1" applyAlignment="1">
      <alignment horizontal="right" vertical="top"/>
    </xf>
    <xf numFmtId="0" fontId="43" fillId="6" borderId="0" xfId="3" applyFont="1" applyFill="1" applyAlignment="1">
      <alignment horizontal="left" vertical="center" wrapText="1"/>
    </xf>
    <xf numFmtId="0" fontId="74" fillId="18" borderId="22" xfId="8" applyFont="1" applyFill="1" applyBorder="1" applyAlignment="1">
      <alignment horizontal="center" vertical="center"/>
    </xf>
    <xf numFmtId="0" fontId="74" fillId="18" borderId="13" xfId="8" applyFont="1" applyFill="1" applyBorder="1" applyAlignment="1">
      <alignment horizontal="center" vertical="center"/>
    </xf>
    <xf numFmtId="0" fontId="46" fillId="0" borderId="4" xfId="8" applyBorder="1" applyAlignment="1">
      <alignment shrinkToFit="1"/>
    </xf>
    <xf numFmtId="0" fontId="46" fillId="0" borderId="3" xfId="8" applyBorder="1" applyAlignment="1">
      <alignment shrinkToFit="1"/>
    </xf>
    <xf numFmtId="0" fontId="46" fillId="0" borderId="1" xfId="8" applyBorder="1" applyAlignment="1">
      <alignment horizontal="center" vertical="center" shrinkToFit="1"/>
    </xf>
    <xf numFmtId="0" fontId="104" fillId="0" borderId="0" xfId="8" applyFont="1" applyAlignment="1">
      <alignment horizontal="center" vertical="center" shrinkToFit="1"/>
    </xf>
    <xf numFmtId="0" fontId="104" fillId="18" borderId="0" xfId="8" applyFont="1" applyFill="1" applyAlignment="1">
      <alignment horizontal="center" vertical="center" shrinkToFit="1"/>
    </xf>
    <xf numFmtId="1" fontId="104" fillId="0" borderId="0" xfId="8" applyNumberFormat="1" applyFont="1" applyAlignment="1">
      <alignment horizontal="center" vertical="center" shrinkToFit="1"/>
    </xf>
    <xf numFmtId="0" fontId="46" fillId="0" borderId="0" xfId="8" applyAlignment="1">
      <alignment horizontal="center" vertical="center" shrinkToFit="1"/>
    </xf>
    <xf numFmtId="0" fontId="104" fillId="6" borderId="0" xfId="8" applyFont="1" applyFill="1" applyAlignment="1">
      <alignment horizontal="center" vertical="center" shrinkToFit="1"/>
    </xf>
    <xf numFmtId="0" fontId="40" fillId="6" borderId="0" xfId="3" applyFont="1" applyFill="1" applyAlignment="1">
      <alignment horizontal="right" vertical="top"/>
    </xf>
    <xf numFmtId="0" fontId="79" fillId="0" borderId="1" xfId="0" applyFont="1" applyBorder="1">
      <alignment vertical="center"/>
    </xf>
    <xf numFmtId="0" fontId="79" fillId="6" borderId="0" xfId="9" applyFont="1" applyFill="1" applyAlignment="1">
      <alignment vertical="center" shrinkToFit="1"/>
    </xf>
    <xf numFmtId="0" fontId="79" fillId="0" borderId="1" xfId="9" applyFont="1" applyBorder="1" applyAlignment="1">
      <alignment vertical="center" shrinkToFit="1"/>
    </xf>
    <xf numFmtId="0" fontId="79" fillId="18" borderId="1" xfId="9" applyFont="1" applyFill="1" applyBorder="1" applyAlignment="1">
      <alignment horizontal="center" vertical="center" shrinkToFit="1"/>
    </xf>
    <xf numFmtId="0" fontId="79" fillId="18" borderId="1" xfId="0" applyFont="1" applyFill="1" applyBorder="1" applyAlignment="1">
      <alignment horizontal="center" vertical="center"/>
    </xf>
    <xf numFmtId="0" fontId="79" fillId="18" borderId="1" xfId="9" applyFont="1" applyFill="1" applyBorder="1" applyAlignment="1">
      <alignment horizontal="center" vertical="center"/>
    </xf>
    <xf numFmtId="0" fontId="51" fillId="6" borderId="1" xfId="0" applyFont="1" applyFill="1" applyBorder="1" applyAlignment="1">
      <alignment vertical="center" wrapText="1"/>
    </xf>
    <xf numFmtId="0" fontId="51" fillId="6" borderId="1" xfId="0" applyFont="1" applyFill="1" applyBorder="1">
      <alignment vertical="center"/>
    </xf>
    <xf numFmtId="0" fontId="117" fillId="4" borderId="1" xfId="0" applyFont="1" applyFill="1" applyBorder="1">
      <alignment vertical="center"/>
    </xf>
    <xf numFmtId="176" fontId="0" fillId="15" borderId="1" xfId="0" quotePrefix="1" applyNumberFormat="1" applyFill="1" applyBorder="1" applyAlignment="1" applyProtection="1">
      <alignment horizontal="center" vertical="center"/>
      <protection locked="0"/>
    </xf>
    <xf numFmtId="176" fontId="0" fillId="15" borderId="5" xfId="0" applyNumberFormat="1" applyFill="1" applyBorder="1" applyAlignment="1" applyProtection="1">
      <alignment horizontal="center" vertical="center"/>
      <protection locked="0"/>
    </xf>
    <xf numFmtId="180" fontId="0" fillId="15" borderId="5" xfId="0" applyNumberFormat="1" applyFill="1" applyBorder="1" applyAlignment="1" applyProtection="1">
      <alignment horizontal="center" vertical="center" shrinkToFit="1"/>
      <protection locked="0"/>
    </xf>
    <xf numFmtId="176" fontId="0" fillId="15" borderId="1" xfId="0" applyNumberFormat="1" applyFill="1" applyBorder="1" applyAlignment="1" applyProtection="1">
      <alignment horizontal="center" vertical="center" shrinkToFit="1"/>
      <protection locked="0"/>
    </xf>
    <xf numFmtId="178" fontId="46" fillId="4" borderId="0" xfId="8" applyNumberFormat="1" applyFill="1"/>
    <xf numFmtId="0" fontId="46" fillId="0" borderId="0" xfId="8" applyAlignment="1">
      <alignment vertical="center" wrapText="1"/>
    </xf>
    <xf numFmtId="0" fontId="46" fillId="4" borderId="0" xfId="8" applyFill="1"/>
    <xf numFmtId="0" fontId="79" fillId="9" borderId="0" xfId="9" applyFont="1" applyFill="1">
      <alignment vertical="center"/>
    </xf>
    <xf numFmtId="0" fontId="79" fillId="9" borderId="0" xfId="9" applyFont="1" applyFill="1" applyAlignment="1">
      <alignment horizontal="left" vertical="center"/>
    </xf>
    <xf numFmtId="0" fontId="79" fillId="9" borderId="0" xfId="9" applyFont="1" applyFill="1" applyAlignment="1">
      <alignment horizontal="center" vertical="center"/>
    </xf>
    <xf numFmtId="0" fontId="79" fillId="9" borderId="0" xfId="0" applyFont="1" applyFill="1">
      <alignment vertical="center"/>
    </xf>
    <xf numFmtId="0" fontId="79" fillId="9" borderId="0" xfId="9" applyFont="1" applyFill="1" applyAlignment="1">
      <alignment vertical="center" shrinkToFit="1"/>
    </xf>
    <xf numFmtId="0" fontId="49" fillId="9" borderId="0" xfId="9" applyFont="1" applyFill="1" applyAlignment="1">
      <alignment horizontal="center" vertical="center"/>
    </xf>
    <xf numFmtId="0" fontId="118" fillId="9" borderId="0" xfId="9" applyFont="1" applyFill="1">
      <alignment vertical="center"/>
    </xf>
    <xf numFmtId="0" fontId="78" fillId="13" borderId="1" xfId="9" applyFont="1" applyFill="1" applyBorder="1" applyAlignment="1">
      <alignment horizontal="left" vertical="center"/>
    </xf>
    <xf numFmtId="0" fontId="28" fillId="0" borderId="86" xfId="14" applyBorder="1" applyAlignment="1">
      <alignment horizontal="center" vertical="center"/>
    </xf>
    <xf numFmtId="0" fontId="78" fillId="0" borderId="0" xfId="0" applyFont="1">
      <alignment vertical="center"/>
    </xf>
    <xf numFmtId="0" fontId="78" fillId="0" borderId="1" xfId="0" applyFont="1" applyBorder="1">
      <alignment vertical="center"/>
    </xf>
    <xf numFmtId="0" fontId="78" fillId="0" borderId="1" xfId="0" applyFont="1" applyBorder="1" applyAlignment="1">
      <alignment horizontal="center" vertical="center"/>
    </xf>
    <xf numFmtId="176" fontId="0" fillId="15" borderId="2" xfId="0" quotePrefix="1" applyNumberFormat="1" applyFill="1" applyBorder="1" applyAlignment="1" applyProtection="1">
      <alignment horizontal="center" vertical="center"/>
      <protection locked="0"/>
    </xf>
    <xf numFmtId="0" fontId="0" fillId="0" borderId="0" xfId="0" quotePrefix="1">
      <alignment vertical="center"/>
    </xf>
    <xf numFmtId="38" fontId="78" fillId="0" borderId="1" xfId="17" applyFont="1" applyBorder="1">
      <alignment vertical="center"/>
    </xf>
    <xf numFmtId="0" fontId="78" fillId="0" borderId="35" xfId="0" applyFont="1" applyBorder="1">
      <alignment vertical="center"/>
    </xf>
    <xf numFmtId="38" fontId="78" fillId="0" borderId="35" xfId="17" applyFont="1" applyBorder="1">
      <alignment vertical="center"/>
    </xf>
    <xf numFmtId="0" fontId="78" fillId="0" borderId="91" xfId="0" applyFont="1" applyBorder="1" applyAlignment="1">
      <alignment horizontal="center" vertical="center"/>
    </xf>
    <xf numFmtId="0" fontId="78" fillId="0" borderId="92" xfId="0" applyFont="1" applyBorder="1">
      <alignment vertical="center"/>
    </xf>
    <xf numFmtId="38" fontId="78" fillId="0" borderId="92" xfId="17" applyFont="1" applyBorder="1">
      <alignment vertical="center"/>
    </xf>
    <xf numFmtId="38" fontId="78" fillId="0" borderId="93" xfId="17" applyFont="1" applyBorder="1">
      <alignment vertical="center"/>
    </xf>
    <xf numFmtId="0" fontId="78" fillId="0" borderId="94" xfId="0" applyFont="1" applyBorder="1" applyAlignment="1">
      <alignment horizontal="center" vertical="center"/>
    </xf>
    <xf numFmtId="0" fontId="78" fillId="0" borderId="35" xfId="0" applyFont="1" applyBorder="1" applyAlignment="1">
      <alignment horizontal="center" vertical="center"/>
    </xf>
    <xf numFmtId="0" fontId="25" fillId="0" borderId="0" xfId="0" applyFont="1">
      <alignment vertical="center"/>
    </xf>
    <xf numFmtId="0" fontId="10" fillId="0" borderId="0" xfId="3" applyAlignment="1" applyProtection="1">
      <alignment horizontal="left" shrinkToFit="1"/>
      <protection locked="0"/>
    </xf>
    <xf numFmtId="0" fontId="28" fillId="0" borderId="0" xfId="4" applyAlignment="1">
      <alignment horizontal="right"/>
    </xf>
    <xf numFmtId="0" fontId="47" fillId="6" borderId="2" xfId="0" applyFont="1" applyFill="1" applyBorder="1" applyAlignment="1">
      <alignment vertical="center" wrapText="1"/>
    </xf>
    <xf numFmtId="0" fontId="0" fillId="6" borderId="2" xfId="0" applyFill="1" applyBorder="1" applyAlignment="1">
      <alignment vertical="center" wrapText="1"/>
    </xf>
    <xf numFmtId="176" fontId="0" fillId="15" borderId="13" xfId="0" applyNumberFormat="1" applyFill="1" applyBorder="1" applyAlignment="1" applyProtection="1">
      <alignment horizontal="center" vertical="center"/>
      <protection locked="0"/>
    </xf>
    <xf numFmtId="0" fontId="119" fillId="0" borderId="0" xfId="0" applyFont="1">
      <alignment vertical="center"/>
    </xf>
    <xf numFmtId="0" fontId="47" fillId="8" borderId="1" xfId="0" applyFont="1" applyFill="1" applyBorder="1">
      <alignment vertical="center"/>
    </xf>
    <xf numFmtId="49" fontId="0" fillId="8" borderId="1" xfId="0" applyNumberFormat="1" applyFill="1" applyBorder="1" applyAlignment="1">
      <alignment vertical="center" shrinkToFit="1"/>
    </xf>
    <xf numFmtId="49" fontId="47" fillId="8" borderId="1" xfId="0" applyNumberFormat="1" applyFont="1" applyFill="1" applyBorder="1" applyAlignment="1">
      <alignment vertical="center" shrinkToFit="1"/>
    </xf>
    <xf numFmtId="0" fontId="47" fillId="8" borderId="1" xfId="0" applyFont="1" applyFill="1" applyBorder="1" applyAlignment="1">
      <alignment vertical="center" shrinkToFit="1"/>
    </xf>
    <xf numFmtId="49" fontId="47" fillId="8" borderId="1" xfId="0" applyNumberFormat="1" applyFont="1" applyFill="1" applyBorder="1">
      <alignment vertical="center"/>
    </xf>
    <xf numFmtId="0" fontId="47" fillId="19" borderId="1" xfId="0" applyFont="1" applyFill="1" applyBorder="1">
      <alignment vertical="center"/>
    </xf>
    <xf numFmtId="0" fontId="51" fillId="8" borderId="1" xfId="0" applyFont="1" applyFill="1" applyBorder="1">
      <alignment vertical="center"/>
    </xf>
    <xf numFmtId="0" fontId="51" fillId="15" borderId="1" xfId="0" applyFont="1" applyFill="1" applyBorder="1">
      <alignment vertical="center"/>
    </xf>
    <xf numFmtId="0" fontId="47" fillId="8" borderId="1" xfId="0" applyFont="1" applyFill="1" applyBorder="1" applyAlignment="1">
      <alignment vertical="center" wrapText="1"/>
    </xf>
    <xf numFmtId="0" fontId="120" fillId="0" borderId="0" xfId="0" applyFont="1">
      <alignment vertical="center"/>
    </xf>
    <xf numFmtId="0" fontId="121" fillId="4" borderId="1" xfId="0" applyFont="1" applyFill="1" applyBorder="1">
      <alignment vertical="center"/>
    </xf>
    <xf numFmtId="0" fontId="79" fillId="13" borderId="0" xfId="8" applyFont="1" applyFill="1" applyAlignment="1">
      <alignment horizontal="center"/>
    </xf>
    <xf numFmtId="0" fontId="79" fillId="9" borderId="0" xfId="8" applyFont="1" applyFill="1" applyAlignment="1">
      <alignment horizontal="center"/>
    </xf>
    <xf numFmtId="0" fontId="79" fillId="10" borderId="0" xfId="8" applyFont="1" applyFill="1" applyAlignment="1">
      <alignment horizontal="center"/>
    </xf>
    <xf numFmtId="0" fontId="79" fillId="4" borderId="0" xfId="8" applyFont="1" applyFill="1" applyAlignment="1">
      <alignment horizontal="center"/>
    </xf>
    <xf numFmtId="0" fontId="79" fillId="11" borderId="0" xfId="8" applyFont="1" applyFill="1" applyAlignment="1">
      <alignment horizontal="center"/>
    </xf>
    <xf numFmtId="0" fontId="79" fillId="12" borderId="0" xfId="8" applyFont="1" applyFill="1" applyAlignment="1">
      <alignment horizontal="center"/>
    </xf>
    <xf numFmtId="0" fontId="79" fillId="6" borderId="4" xfId="9" applyFont="1" applyFill="1" applyBorder="1" applyAlignment="1">
      <alignment horizontal="center" vertical="center" shrinkToFit="1"/>
    </xf>
    <xf numFmtId="0" fontId="79" fillId="6" borderId="3" xfId="9" applyFont="1" applyFill="1" applyBorder="1" applyAlignment="1">
      <alignment horizontal="center" vertical="center" shrinkToFit="1"/>
    </xf>
    <xf numFmtId="0" fontId="79" fillId="6" borderId="5" xfId="9" applyFont="1" applyFill="1" applyBorder="1" applyAlignment="1">
      <alignment horizontal="center" vertical="center" shrinkToFit="1"/>
    </xf>
    <xf numFmtId="0" fontId="79" fillId="18" borderId="4" xfId="9" applyFont="1" applyFill="1" applyBorder="1" applyAlignment="1">
      <alignment horizontal="center" vertical="center"/>
    </xf>
    <xf numFmtId="0" fontId="79" fillId="18" borderId="5" xfId="9" applyFont="1" applyFill="1" applyBorder="1" applyAlignment="1">
      <alignment horizontal="center" vertical="center"/>
    </xf>
    <xf numFmtId="0" fontId="79" fillId="18" borderId="3" xfId="9" applyFont="1" applyFill="1" applyBorder="1" applyAlignment="1">
      <alignment horizontal="center" vertical="center"/>
    </xf>
    <xf numFmtId="0" fontId="0" fillId="6" borderId="1" xfId="0" applyFill="1" applyBorder="1" applyAlignment="1">
      <alignment horizontal="center" vertical="center"/>
    </xf>
    <xf numFmtId="0" fontId="47" fillId="6" borderId="1" xfId="0" applyFont="1" applyFill="1" applyBorder="1" applyAlignment="1">
      <alignment horizontal="center" vertical="center"/>
    </xf>
    <xf numFmtId="0" fontId="0" fillId="6" borderId="9" xfId="0" applyFill="1" applyBorder="1" applyAlignment="1">
      <alignment horizontal="left" vertical="center" wrapText="1"/>
    </xf>
    <xf numFmtId="0" fontId="0" fillId="6" borderId="2" xfId="0" applyFill="1" applyBorder="1" applyAlignment="1">
      <alignment horizontal="left" vertical="center" wrapText="1"/>
    </xf>
    <xf numFmtId="0" fontId="100" fillId="0" borderId="6" xfId="0" applyFont="1" applyBorder="1" applyAlignment="1">
      <alignment horizontal="center" vertical="center" shrinkToFit="1"/>
    </xf>
    <xf numFmtId="0" fontId="100" fillId="0" borderId="0" xfId="0" applyFont="1" applyAlignment="1">
      <alignment horizontal="center" vertical="center" shrinkToFit="1"/>
    </xf>
    <xf numFmtId="0" fontId="100" fillId="18" borderId="3" xfId="0" applyFont="1" applyFill="1" applyBorder="1" applyAlignment="1">
      <alignment horizontal="center" vertical="center"/>
    </xf>
    <xf numFmtId="0" fontId="100" fillId="18" borderId="1" xfId="0" applyFont="1" applyFill="1" applyBorder="1" applyAlignment="1">
      <alignment horizontal="center" vertical="center"/>
    </xf>
    <xf numFmtId="0" fontId="100" fillId="18" borderId="4" xfId="0" applyFont="1" applyFill="1" applyBorder="1" applyAlignment="1">
      <alignment horizontal="center" vertical="center"/>
    </xf>
    <xf numFmtId="0" fontId="100" fillId="18" borderId="56" xfId="0" applyFont="1" applyFill="1" applyBorder="1" applyAlignment="1">
      <alignment horizontal="center" vertical="center"/>
    </xf>
    <xf numFmtId="0" fontId="100" fillId="18" borderId="5" xfId="0" applyFont="1" applyFill="1" applyBorder="1" applyAlignment="1">
      <alignment horizontal="center" vertical="center"/>
    </xf>
    <xf numFmtId="0" fontId="100" fillId="0" borderId="10" xfId="0" applyFont="1" applyBorder="1" applyAlignment="1">
      <alignment horizontal="center" vertical="center" shrinkToFit="1"/>
    </xf>
    <xf numFmtId="0" fontId="100" fillId="0" borderId="11" xfId="0" applyFont="1" applyBorder="1" applyAlignment="1">
      <alignment horizontal="center" vertical="center" shrinkToFit="1"/>
    </xf>
    <xf numFmtId="0" fontId="100" fillId="0" borderId="58" xfId="0" applyFont="1" applyBorder="1">
      <alignment vertical="center"/>
    </xf>
    <xf numFmtId="0" fontId="100" fillId="0" borderId="7" xfId="0" applyFont="1" applyBorder="1">
      <alignment vertical="center"/>
    </xf>
    <xf numFmtId="0" fontId="100" fillId="18" borderId="6" xfId="0" applyFont="1" applyFill="1" applyBorder="1" applyAlignment="1">
      <alignment horizontal="left" vertical="center" wrapText="1"/>
    </xf>
    <xf numFmtId="0" fontId="100" fillId="0" borderId="9" xfId="0" applyFont="1" applyBorder="1" applyAlignment="1">
      <alignment horizontal="center" vertical="center" shrinkToFit="1"/>
    </xf>
    <xf numFmtId="0" fontId="100" fillId="0" borderId="2" xfId="0" applyFont="1" applyBorder="1" applyAlignment="1">
      <alignment horizontal="center" vertical="center" shrinkToFit="1"/>
    </xf>
    <xf numFmtId="0" fontId="71" fillId="0" borderId="76" xfId="0" applyFont="1" applyBorder="1" applyAlignment="1">
      <alignment horizontal="left" vertical="center" shrinkToFit="1"/>
    </xf>
    <xf numFmtId="0" fontId="71" fillId="0" borderId="30" xfId="0" applyFont="1" applyBorder="1" applyAlignment="1">
      <alignment horizontal="left" vertical="center" shrinkToFit="1"/>
    </xf>
    <xf numFmtId="0" fontId="100" fillId="18" borderId="10" xfId="0" applyFont="1" applyFill="1" applyBorder="1" applyAlignment="1">
      <alignment horizontal="center" vertical="center"/>
    </xf>
    <xf numFmtId="0" fontId="100" fillId="18" borderId="11" xfId="0" applyFont="1" applyFill="1" applyBorder="1" applyAlignment="1">
      <alignment horizontal="center" vertical="center"/>
    </xf>
    <xf numFmtId="0" fontId="100" fillId="18" borderId="12" xfId="0" applyFont="1" applyFill="1" applyBorder="1" applyAlignment="1">
      <alignment horizontal="center" vertical="center"/>
    </xf>
    <xf numFmtId="0" fontId="100" fillId="18" borderId="9" xfId="0" applyFont="1" applyFill="1" applyBorder="1" applyAlignment="1">
      <alignment horizontal="center" vertical="center"/>
    </xf>
    <xf numFmtId="0" fontId="100" fillId="18" borderId="2" xfId="0" applyFont="1" applyFill="1" applyBorder="1" applyAlignment="1">
      <alignment horizontal="center" vertical="center"/>
    </xf>
    <xf numFmtId="0" fontId="100" fillId="18" borderId="13" xfId="0" applyFont="1" applyFill="1" applyBorder="1" applyAlignment="1">
      <alignment horizontal="center" vertical="center"/>
    </xf>
    <xf numFmtId="0" fontId="100" fillId="0" borderId="57" xfId="0" applyFont="1" applyBorder="1" applyAlignment="1">
      <alignment horizontal="center" vertical="center"/>
    </xf>
    <xf numFmtId="0" fontId="100" fillId="0" borderId="12" xfId="0" applyFont="1" applyBorder="1" applyAlignment="1">
      <alignment horizontal="center" vertical="center"/>
    </xf>
    <xf numFmtId="0" fontId="100" fillId="18" borderId="39" xfId="0" applyFont="1" applyFill="1" applyBorder="1" applyAlignment="1">
      <alignment horizontal="left" vertical="center" wrapText="1"/>
    </xf>
    <xf numFmtId="0" fontId="100" fillId="0" borderId="59" xfId="0" applyFont="1" applyBorder="1">
      <alignment vertical="center"/>
    </xf>
    <xf numFmtId="0" fontId="100" fillId="0" borderId="13" xfId="0" applyFont="1" applyBorder="1">
      <alignment vertical="center"/>
    </xf>
    <xf numFmtId="0" fontId="100" fillId="0" borderId="57" xfId="0" applyFont="1" applyBorder="1">
      <alignment vertical="center"/>
    </xf>
    <xf numFmtId="0" fontId="100" fillId="0" borderId="12" xfId="0" applyFont="1" applyBorder="1">
      <alignment vertical="center"/>
    </xf>
    <xf numFmtId="0" fontId="100" fillId="0" borderId="0" xfId="0" applyFont="1" applyAlignment="1">
      <alignment vertical="top" wrapText="1"/>
    </xf>
    <xf numFmtId="0" fontId="74" fillId="18" borderId="4" xfId="8" applyFont="1" applyFill="1" applyBorder="1" applyAlignment="1">
      <alignment horizontal="right" vertical="center"/>
    </xf>
    <xf numFmtId="0" fontId="74" fillId="18" borderId="3" xfId="8" applyFont="1" applyFill="1" applyBorder="1" applyAlignment="1">
      <alignment horizontal="right" vertical="center"/>
    </xf>
    <xf numFmtId="0" fontId="74" fillId="18" borderId="5" xfId="8" applyFont="1" applyFill="1" applyBorder="1" applyAlignment="1">
      <alignment horizontal="right" vertical="center"/>
    </xf>
    <xf numFmtId="0" fontId="74" fillId="18" borderId="10" xfId="8" applyFont="1" applyFill="1" applyBorder="1" applyAlignment="1">
      <alignment horizontal="right" vertical="center"/>
    </xf>
    <xf numFmtId="0" fontId="74" fillId="18" borderId="11" xfId="8" applyFont="1" applyFill="1" applyBorder="1" applyAlignment="1">
      <alignment horizontal="right" vertical="center"/>
    </xf>
    <xf numFmtId="0" fontId="74" fillId="18" borderId="12" xfId="8" applyFont="1" applyFill="1" applyBorder="1" applyAlignment="1">
      <alignment horizontal="right" vertical="center"/>
    </xf>
    <xf numFmtId="0" fontId="74" fillId="18" borderId="35" xfId="8" applyFont="1" applyFill="1" applyBorder="1" applyAlignment="1">
      <alignment horizontal="center" vertical="center"/>
    </xf>
    <xf numFmtId="0" fontId="74" fillId="18" borderId="22" xfId="8" applyFont="1" applyFill="1" applyBorder="1" applyAlignment="1">
      <alignment horizontal="center" vertical="center"/>
    </xf>
    <xf numFmtId="0" fontId="74" fillId="18" borderId="10" xfId="8" applyFont="1" applyFill="1" applyBorder="1" applyAlignment="1">
      <alignment horizontal="center" vertical="center"/>
    </xf>
    <xf numFmtId="0" fontId="74" fillId="18" borderId="10" xfId="8" applyFont="1" applyFill="1" applyBorder="1" applyAlignment="1">
      <alignment horizontal="center" vertical="center" wrapText="1"/>
    </xf>
    <xf numFmtId="0" fontId="74" fillId="18" borderId="39" xfId="8" applyFont="1" applyFill="1" applyBorder="1" applyAlignment="1">
      <alignment horizontal="center" vertical="center"/>
    </xf>
    <xf numFmtId="0" fontId="74" fillId="18" borderId="12" xfId="8" applyFont="1" applyFill="1" applyBorder="1" applyAlignment="1">
      <alignment horizontal="center" vertical="center"/>
    </xf>
    <xf numFmtId="0" fontId="74" fillId="18" borderId="7" xfId="8" applyFont="1" applyFill="1" applyBorder="1" applyAlignment="1">
      <alignment horizontal="center" vertical="center"/>
    </xf>
    <xf numFmtId="0" fontId="74" fillId="18" borderId="4" xfId="8" applyFont="1" applyFill="1" applyBorder="1" applyAlignment="1">
      <alignment horizontal="center" vertical="center"/>
    </xf>
    <xf numFmtId="0" fontId="74" fillId="18" borderId="5" xfId="8" applyFont="1" applyFill="1" applyBorder="1" applyAlignment="1">
      <alignment horizontal="center" vertical="center"/>
    </xf>
    <xf numFmtId="0" fontId="74" fillId="18" borderId="11" xfId="8" applyFont="1" applyFill="1" applyBorder="1" applyAlignment="1">
      <alignment horizontal="center" vertical="center"/>
    </xf>
    <xf numFmtId="0" fontId="46" fillId="0" borderId="12" xfId="8" applyBorder="1" applyAlignment="1">
      <alignment horizontal="center" shrinkToFit="1"/>
    </xf>
    <xf numFmtId="0" fontId="46" fillId="0" borderId="39" xfId="8" applyBorder="1" applyAlignment="1">
      <alignment horizontal="center" shrinkToFit="1"/>
    </xf>
    <xf numFmtId="0" fontId="46" fillId="0" borderId="22" xfId="8" applyBorder="1" applyAlignment="1">
      <alignment horizontal="center" shrinkToFit="1"/>
    </xf>
    <xf numFmtId="0" fontId="74" fillId="18" borderId="13" xfId="8" applyFont="1" applyFill="1" applyBorder="1" applyAlignment="1">
      <alignment horizontal="center" vertical="center"/>
    </xf>
    <xf numFmtId="0" fontId="74" fillId="18" borderId="89" xfId="8" applyFont="1" applyFill="1" applyBorder="1" applyAlignment="1">
      <alignment horizontal="center" vertical="center"/>
    </xf>
    <xf numFmtId="0" fontId="46" fillId="0" borderId="35" xfId="8" applyBorder="1" applyAlignment="1">
      <alignment horizontal="center" shrinkToFit="1"/>
    </xf>
    <xf numFmtId="0" fontId="74" fillId="18" borderId="35" xfId="8" applyFont="1" applyFill="1" applyBorder="1" applyAlignment="1">
      <alignment horizontal="center" vertical="center" wrapText="1"/>
    </xf>
    <xf numFmtId="0" fontId="74" fillId="18" borderId="39" xfId="8" applyFont="1" applyFill="1" applyBorder="1" applyAlignment="1">
      <alignment horizontal="center" vertical="center" wrapText="1"/>
    </xf>
    <xf numFmtId="0" fontId="74" fillId="18" borderId="22" xfId="8" applyFont="1" applyFill="1" applyBorder="1" applyAlignment="1">
      <alignment horizontal="center" vertical="center" wrapText="1"/>
    </xf>
    <xf numFmtId="0" fontId="74" fillId="18" borderId="35" xfId="8" applyFont="1" applyFill="1" applyBorder="1" applyAlignment="1">
      <alignment horizontal="center" vertical="center" shrinkToFit="1"/>
    </xf>
    <xf numFmtId="0" fontId="74" fillId="18" borderId="39" xfId="8" applyFont="1" applyFill="1" applyBorder="1" applyAlignment="1">
      <alignment horizontal="center" vertical="center" shrinkToFit="1"/>
    </xf>
    <xf numFmtId="0" fontId="74" fillId="18" borderId="12" xfId="8" applyFont="1" applyFill="1" applyBorder="1" applyAlignment="1">
      <alignment horizontal="center" vertical="center" wrapText="1"/>
    </xf>
    <xf numFmtId="0" fontId="74" fillId="18" borderId="1" xfId="8" applyFont="1" applyFill="1" applyBorder="1" applyAlignment="1">
      <alignment horizontal="center" vertical="center"/>
    </xf>
    <xf numFmtId="0" fontId="40" fillId="6" borderId="0" xfId="3" applyFont="1" applyFill="1" applyAlignment="1">
      <alignment wrapText="1"/>
    </xf>
    <xf numFmtId="0" fontId="96" fillId="6" borderId="0" xfId="3" applyFont="1" applyFill="1" applyAlignment="1">
      <alignment horizontal="center"/>
    </xf>
    <xf numFmtId="58" fontId="40" fillId="6" borderId="0" xfId="3" applyNumberFormat="1" applyFont="1" applyFill="1" applyAlignment="1">
      <alignment horizontal="center"/>
    </xf>
    <xf numFmtId="0" fontId="41" fillId="6" borderId="0" xfId="3" applyFont="1" applyFill="1"/>
    <xf numFmtId="0" fontId="40" fillId="6" borderId="0" xfId="3" applyFont="1" applyFill="1" applyAlignment="1">
      <alignment horizontal="left" vertical="top" wrapText="1"/>
    </xf>
    <xf numFmtId="0" fontId="98" fillId="6" borderId="0" xfId="3" applyFont="1" applyFill="1" applyAlignment="1">
      <alignment horizontal="left" shrinkToFit="1"/>
    </xf>
    <xf numFmtId="0" fontId="40" fillId="6" borderId="0" xfId="3" applyFont="1" applyFill="1" applyAlignment="1">
      <alignment vertical="center" wrapText="1"/>
    </xf>
    <xf numFmtId="0" fontId="42" fillId="6" borderId="0" xfId="3" applyFont="1" applyFill="1"/>
    <xf numFmtId="0" fontId="39" fillId="0" borderId="0" xfId="7" applyFill="1" applyAlignment="1" applyProtection="1"/>
    <xf numFmtId="0" fontId="42" fillId="0" borderId="0" xfId="3" applyFont="1"/>
    <xf numFmtId="0" fontId="40" fillId="6" borderId="0" xfId="3" applyFont="1" applyFill="1"/>
    <xf numFmtId="0" fontId="39" fillId="6" borderId="0" xfId="7" applyFill="1" applyAlignment="1">
      <alignment horizontal="left"/>
    </xf>
    <xf numFmtId="0" fontId="23" fillId="6" borderId="0" xfId="3" applyFont="1" applyFill="1" applyAlignment="1">
      <alignment horizontal="center"/>
    </xf>
    <xf numFmtId="0" fontId="96" fillId="6" borderId="0" xfId="3" applyFont="1" applyFill="1" applyAlignment="1">
      <alignment horizontal="center" vertical="center"/>
    </xf>
    <xf numFmtId="55" fontId="40" fillId="6" borderId="0" xfId="3" applyNumberFormat="1" applyFont="1" applyFill="1" applyAlignment="1">
      <alignment horizontal="center"/>
    </xf>
    <xf numFmtId="0" fontId="40" fillId="6" borderId="0" xfId="3" applyFont="1" applyFill="1" applyAlignment="1">
      <alignment horizontal="center"/>
    </xf>
    <xf numFmtId="0" fontId="40" fillId="4" borderId="10" xfId="3" applyFont="1" applyFill="1" applyBorder="1" applyAlignment="1">
      <alignment horizontal="center"/>
    </xf>
    <xf numFmtId="0" fontId="40" fillId="4" borderId="12" xfId="3" applyFont="1" applyFill="1" applyBorder="1" applyAlignment="1">
      <alignment horizontal="center"/>
    </xf>
    <xf numFmtId="0" fontId="40" fillId="4" borderId="9" xfId="3" applyFont="1" applyFill="1" applyBorder="1" applyAlignment="1">
      <alignment horizontal="center"/>
    </xf>
    <xf numFmtId="0" fontId="40" fillId="4" borderId="13" xfId="3" applyFont="1" applyFill="1" applyBorder="1" applyAlignment="1">
      <alignment horizontal="center"/>
    </xf>
    <xf numFmtId="0" fontId="40" fillId="6" borderId="0" xfId="3" applyFont="1" applyFill="1" applyAlignment="1">
      <alignment horizontal="left" vertical="center" wrapText="1"/>
    </xf>
    <xf numFmtId="0" fontId="39" fillId="0" borderId="0" xfId="7" applyFill="1" applyAlignment="1"/>
    <xf numFmtId="0" fontId="40" fillId="6" borderId="0" xfId="3" applyFont="1" applyFill="1" applyAlignment="1">
      <alignment horizontal="left" vertical="top" wrapText="1" indent="2"/>
    </xf>
    <xf numFmtId="0" fontId="106" fillId="14" borderId="0" xfId="3" applyFont="1" applyFill="1" applyAlignment="1">
      <alignment horizontal="center" vertical="center"/>
    </xf>
    <xf numFmtId="0" fontId="43" fillId="6" borderId="61" xfId="3" applyFont="1" applyFill="1" applyBorder="1" applyAlignment="1">
      <alignment horizontal="left" vertical="center" wrapText="1"/>
    </xf>
    <xf numFmtId="0" fontId="114" fillId="6" borderId="0" xfId="3" applyFont="1" applyFill="1" applyAlignment="1">
      <alignment horizontal="left" vertical="top" shrinkToFit="1"/>
    </xf>
    <xf numFmtId="0" fontId="41" fillId="6" borderId="0" xfId="3" applyFont="1" applyFill="1" applyAlignment="1">
      <alignment horizontal="left"/>
    </xf>
    <xf numFmtId="0" fontId="115" fillId="6" borderId="0" xfId="3" applyFont="1" applyFill="1" applyAlignment="1">
      <alignment vertical="top"/>
    </xf>
    <xf numFmtId="0" fontId="114" fillId="6" borderId="0" xfId="3" applyFont="1" applyFill="1" applyAlignment="1">
      <alignment horizontal="center" vertical="top" shrinkToFit="1"/>
    </xf>
    <xf numFmtId="0" fontId="40" fillId="6" borderId="0" xfId="3" applyFont="1" applyFill="1" applyAlignment="1">
      <alignment vertical="top"/>
    </xf>
    <xf numFmtId="0" fontId="43" fillId="4" borderId="32" xfId="3" applyFont="1" applyFill="1" applyBorder="1" applyAlignment="1">
      <alignment vertical="center" wrapText="1"/>
    </xf>
    <xf numFmtId="0" fontId="40" fillId="4" borderId="33" xfId="3" applyFont="1" applyFill="1" applyBorder="1" applyAlignment="1">
      <alignment vertical="center"/>
    </xf>
    <xf numFmtId="0" fontId="40" fillId="4" borderId="34" xfId="3" applyFont="1" applyFill="1" applyBorder="1" applyAlignment="1">
      <alignment vertical="center"/>
    </xf>
    <xf numFmtId="0" fontId="40" fillId="6" borderId="6" xfId="3" applyFont="1" applyFill="1" applyBorder="1" applyAlignment="1">
      <alignment horizontal="left" wrapText="1"/>
    </xf>
    <xf numFmtId="0" fontId="40" fillId="6" borderId="0" xfId="3" applyFont="1" applyFill="1" applyAlignment="1">
      <alignment horizontal="left" wrapText="1"/>
    </xf>
    <xf numFmtId="0" fontId="2" fillId="0" borderId="1" xfId="0" applyFont="1" applyBorder="1" applyAlignment="1">
      <alignment vertical="center" wrapText="1"/>
    </xf>
    <xf numFmtId="0" fontId="3" fillId="0" borderId="1" xfId="0" applyFont="1" applyBorder="1" applyAlignment="1">
      <alignment vertical="center" wrapText="1"/>
    </xf>
    <xf numFmtId="0" fontId="0" fillId="0" borderId="1" xfId="0" applyBorder="1" applyAlignment="1">
      <alignment horizontal="center" vertical="center"/>
    </xf>
    <xf numFmtId="0" fontId="0" fillId="4" borderId="3" xfId="0" applyFill="1" applyBorder="1" applyAlignment="1" applyProtection="1">
      <alignment horizontal="left" vertical="center" shrinkToFit="1"/>
      <protection locked="0"/>
    </xf>
    <xf numFmtId="0" fontId="0" fillId="0" borderId="10" xfId="0" applyBorder="1" applyAlignment="1">
      <alignment vertical="center" shrinkToFit="1"/>
    </xf>
    <xf numFmtId="0" fontId="0" fillId="0" borderId="11" xfId="0" applyBorder="1" applyAlignment="1">
      <alignment vertical="center" shrinkToFit="1"/>
    </xf>
    <xf numFmtId="176" fontId="0" fillId="4" borderId="1" xfId="0" applyNumberFormat="1" applyFill="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2" xfId="0" applyBorder="1" applyProtection="1">
      <alignment vertical="center"/>
      <protection locked="0"/>
    </xf>
    <xf numFmtId="0" fontId="20" fillId="4" borderId="0" xfId="0" applyFont="1" applyFill="1" applyAlignment="1">
      <alignment horizontal="left" vertical="center" wrapText="1"/>
    </xf>
    <xf numFmtId="0" fontId="51" fillId="6" borderId="0" xfId="0" applyFont="1" applyFill="1" applyAlignment="1" applyProtection="1">
      <alignment horizontal="left" vertical="center"/>
      <protection locked="0"/>
    </xf>
    <xf numFmtId="0" fontId="0" fillId="0" borderId="39" xfId="0" applyBorder="1" applyAlignment="1">
      <alignment horizontal="center" vertical="center"/>
    </xf>
    <xf numFmtId="0" fontId="0" fillId="0" borderId="22" xfId="0" applyBorder="1" applyAlignment="1">
      <alignment horizontal="center" vertical="center"/>
    </xf>
    <xf numFmtId="0" fontId="35" fillId="4" borderId="0" xfId="0" applyFont="1" applyFill="1" applyAlignment="1">
      <alignment horizontal="left" vertical="center" wrapText="1"/>
    </xf>
    <xf numFmtId="0" fontId="35" fillId="4" borderId="1" xfId="0" applyFont="1" applyFill="1" applyBorder="1" applyAlignment="1">
      <alignment horizontal="left" vertical="center" wrapText="1"/>
    </xf>
    <xf numFmtId="0" fontId="0" fillId="4" borderId="2" xfId="0" applyFill="1" applyBorder="1" applyAlignment="1" applyProtection="1">
      <alignment horizontal="left" vertical="center" shrinkToFit="1"/>
      <protection locked="0"/>
    </xf>
    <xf numFmtId="0" fontId="0" fillId="0" borderId="1" xfId="0" applyBorder="1" applyAlignment="1">
      <alignment horizontal="center" vertical="center" shrinkToFit="1"/>
    </xf>
    <xf numFmtId="0" fontId="0" fillId="4" borderId="32" xfId="0" applyFill="1" applyBorder="1" applyAlignment="1" applyProtection="1">
      <alignment horizontal="left" vertical="center"/>
      <protection locked="0"/>
    </xf>
    <xf numFmtId="0" fontId="0" fillId="4" borderId="33" xfId="0" applyFill="1" applyBorder="1" applyAlignment="1" applyProtection="1">
      <alignment horizontal="left" vertical="center"/>
      <protection locked="0"/>
    </xf>
    <xf numFmtId="0" fontId="0" fillId="4" borderId="34" xfId="0" applyFill="1" applyBorder="1" applyAlignment="1" applyProtection="1">
      <alignment horizontal="left" vertical="center"/>
      <protection locked="0"/>
    </xf>
    <xf numFmtId="0" fontId="35" fillId="4" borderId="1" xfId="0" applyFont="1" applyFill="1" applyBorder="1" applyAlignment="1">
      <alignment horizontal="left" vertical="center" shrinkToFit="1"/>
    </xf>
    <xf numFmtId="0" fontId="18" fillId="4" borderId="0" xfId="1" applyFont="1" applyFill="1" applyAlignment="1" applyProtection="1">
      <alignment horizontal="left" vertical="center" shrinkToFit="1"/>
      <protection locked="0"/>
    </xf>
    <xf numFmtId="0" fontId="5" fillId="0" borderId="0" xfId="1" applyFont="1" applyAlignment="1">
      <alignment horizontal="center" vertical="center"/>
    </xf>
    <xf numFmtId="0" fontId="0" fillId="0" borderId="2" xfId="1" applyFont="1" applyBorder="1" applyAlignment="1">
      <alignment horizontal="left" vertical="center" shrinkToFit="1"/>
    </xf>
    <xf numFmtId="0" fontId="10" fillId="0" borderId="2" xfId="1" applyFont="1" applyBorder="1" applyAlignment="1">
      <alignment horizontal="left" vertical="center" shrinkToFit="1"/>
    </xf>
    <xf numFmtId="0" fontId="10" fillId="0" borderId="14" xfId="1" applyFont="1" applyBorder="1" applyAlignment="1">
      <alignment horizontal="center" vertical="center"/>
    </xf>
    <xf numFmtId="0" fontId="10" fillId="0" borderId="21" xfId="1" applyFont="1" applyBorder="1" applyAlignment="1">
      <alignment horizontal="center" vertical="center"/>
    </xf>
    <xf numFmtId="0" fontId="10" fillId="0" borderId="15" xfId="1" applyFont="1" applyBorder="1" applyAlignment="1">
      <alignment horizontal="center" vertical="center" wrapText="1"/>
    </xf>
    <xf numFmtId="0" fontId="10" fillId="0" borderId="1" xfId="1" applyFont="1" applyBorder="1" applyAlignment="1">
      <alignment horizontal="center" vertical="center" wrapText="1"/>
    </xf>
    <xf numFmtId="0" fontId="10" fillId="0" borderId="15" xfId="1" applyFont="1" applyBorder="1" applyAlignment="1">
      <alignment horizontal="center" vertical="center" textRotation="255" wrapText="1"/>
    </xf>
    <xf numFmtId="0" fontId="10" fillId="0" borderId="1" xfId="1" applyFont="1" applyBorder="1" applyAlignment="1">
      <alignment horizontal="center" vertical="center" textRotation="255" wrapText="1"/>
    </xf>
    <xf numFmtId="0" fontId="8" fillId="0" borderId="16" xfId="1" applyFont="1" applyBorder="1" applyAlignment="1">
      <alignment horizontal="center" vertical="center" wrapText="1"/>
    </xf>
    <xf numFmtId="0" fontId="8" fillId="0" borderId="17" xfId="1" applyFont="1" applyBorder="1" applyAlignment="1">
      <alignment horizontal="center" vertical="center" wrapText="1"/>
    </xf>
    <xf numFmtId="0" fontId="8" fillId="0" borderId="18" xfId="1" applyFont="1" applyBorder="1" applyAlignment="1">
      <alignment horizontal="center" vertical="center" wrapText="1"/>
    </xf>
    <xf numFmtId="0" fontId="11" fillId="3" borderId="19" xfId="1" applyFont="1" applyFill="1" applyBorder="1" applyAlignment="1">
      <alignment horizontal="center" vertical="center" wrapText="1"/>
    </xf>
    <xf numFmtId="0" fontId="11" fillId="3" borderId="22" xfId="1" applyFont="1" applyFill="1" applyBorder="1" applyAlignment="1">
      <alignment horizontal="center" vertical="center" wrapText="1"/>
    </xf>
    <xf numFmtId="0" fontId="10" fillId="0" borderId="1" xfId="1" applyFont="1" applyBorder="1" applyAlignment="1">
      <alignment horizontal="center" vertical="center"/>
    </xf>
    <xf numFmtId="0" fontId="16" fillId="0" borderId="25" xfId="1" applyFont="1" applyBorder="1" applyAlignment="1">
      <alignment horizontal="center" vertical="center"/>
    </xf>
    <xf numFmtId="0" fontId="16" fillId="0" borderId="26" xfId="1" applyFont="1" applyBorder="1" applyAlignment="1">
      <alignment horizontal="center" vertical="center"/>
    </xf>
    <xf numFmtId="0" fontId="10" fillId="0" borderId="16" xfId="1" applyFont="1" applyBorder="1" applyAlignment="1">
      <alignment horizontal="center" vertical="center" wrapText="1"/>
    </xf>
    <xf numFmtId="0" fontId="10" fillId="0" borderId="18" xfId="1" applyFont="1" applyBorder="1" applyAlignment="1">
      <alignment horizontal="center" vertical="center" wrapText="1"/>
    </xf>
    <xf numFmtId="0" fontId="10" fillId="0" borderId="20" xfId="1" applyFont="1" applyBorder="1" applyAlignment="1">
      <alignment horizontal="center" vertical="center" wrapText="1"/>
    </xf>
    <xf numFmtId="0" fontId="10" fillId="0" borderId="23" xfId="1" applyFont="1" applyBorder="1" applyAlignment="1">
      <alignment horizontal="center" vertical="center" wrapText="1"/>
    </xf>
    <xf numFmtId="0" fontId="0" fillId="0" borderId="1" xfId="0" applyBorder="1" applyAlignment="1">
      <alignment horizontal="left" vertical="center" wrapText="1"/>
    </xf>
    <xf numFmtId="0" fontId="5" fillId="0" borderId="0" xfId="1" applyFont="1" applyAlignment="1">
      <alignment horizontal="center" vertical="center" shrinkToFit="1"/>
    </xf>
    <xf numFmtId="0" fontId="0" fillId="0" borderId="2" xfId="1" applyFont="1" applyBorder="1" applyAlignment="1">
      <alignment horizontal="center" vertical="center" shrinkToFit="1"/>
    </xf>
    <xf numFmtId="0" fontId="10" fillId="5" borderId="35" xfId="1" applyFont="1" applyFill="1" applyBorder="1" applyAlignment="1">
      <alignment horizontal="center" vertical="center" wrapText="1"/>
    </xf>
    <xf numFmtId="0" fontId="0" fillId="5" borderId="22" xfId="0" applyFill="1" applyBorder="1" applyAlignment="1">
      <alignment horizontal="center" vertical="center"/>
    </xf>
    <xf numFmtId="0" fontId="0" fillId="6" borderId="5" xfId="0" applyFill="1" applyBorder="1" applyAlignment="1">
      <alignment horizontal="center" vertical="center" wrapText="1"/>
    </xf>
    <xf numFmtId="0" fontId="0" fillId="6" borderId="5" xfId="0" applyFill="1" applyBorder="1" applyAlignment="1"/>
    <xf numFmtId="177" fontId="7" fillId="0" borderId="2" xfId="3" applyNumberFormat="1" applyFont="1" applyBorder="1" applyAlignment="1">
      <alignment horizontal="center" vertical="center" shrinkToFit="1"/>
    </xf>
    <xf numFmtId="0" fontId="7" fillId="0" borderId="0" xfId="3" applyFont="1" applyAlignment="1">
      <alignment horizontal="center" vertical="center"/>
    </xf>
    <xf numFmtId="0" fontId="7" fillId="6" borderId="2" xfId="3" applyFont="1" applyFill="1" applyBorder="1" applyAlignment="1">
      <alignment horizontal="center" vertical="center" shrinkToFit="1"/>
    </xf>
    <xf numFmtId="0" fontId="10" fillId="0" borderId="36" xfId="3" applyBorder="1" applyAlignment="1">
      <alignment horizontal="center" vertical="center" wrapText="1"/>
    </xf>
    <xf numFmtId="0" fontId="10" fillId="0" borderId="37" xfId="3" applyBorder="1"/>
    <xf numFmtId="0" fontId="8" fillId="0" borderId="1" xfId="3" applyFont="1" applyBorder="1" applyAlignment="1">
      <alignment horizontal="center" vertical="center" wrapText="1"/>
    </xf>
    <xf numFmtId="0" fontId="8" fillId="0" borderId="4" xfId="3" applyFont="1" applyBorder="1" applyAlignment="1">
      <alignment horizontal="center" vertical="center" wrapText="1"/>
    </xf>
    <xf numFmtId="0" fontId="10" fillId="0" borderId="1" xfId="3" applyBorder="1" applyAlignment="1">
      <alignment horizontal="center" vertical="center"/>
    </xf>
    <xf numFmtId="0" fontId="10" fillId="0" borderId="1" xfId="3" applyBorder="1"/>
    <xf numFmtId="0" fontId="10" fillId="0" borderId="1" xfId="3" applyBorder="1" applyAlignment="1">
      <alignment horizontal="center" vertical="center" shrinkToFit="1"/>
    </xf>
    <xf numFmtId="0" fontId="10" fillId="0" borderId="1" xfId="3" applyBorder="1" applyAlignment="1">
      <alignment horizontal="center" vertical="center" wrapText="1"/>
    </xf>
    <xf numFmtId="0" fontId="13" fillId="0" borderId="1" xfId="3" applyFont="1" applyBorder="1" applyAlignment="1">
      <alignment horizontal="center" vertical="center" textRotation="255" wrapText="1"/>
    </xf>
    <xf numFmtId="0" fontId="10" fillId="0" borderId="1" xfId="3" applyBorder="1" applyAlignment="1">
      <alignment horizontal="center" vertical="center" textRotation="255" wrapText="1"/>
    </xf>
    <xf numFmtId="0" fontId="23" fillId="0" borderId="2" xfId="3" applyFont="1" applyBorder="1" applyAlignment="1">
      <alignment horizontal="center" shrinkToFit="1"/>
    </xf>
    <xf numFmtId="0" fontId="10" fillId="0" borderId="35" xfId="3" applyBorder="1" applyAlignment="1">
      <alignment horizontal="center" vertical="center" textRotation="255" wrapText="1"/>
    </xf>
    <xf numFmtId="0" fontId="10" fillId="0" borderId="39" xfId="3" applyBorder="1" applyAlignment="1">
      <alignment horizontal="center" vertical="center" textRotation="255" wrapText="1"/>
    </xf>
    <xf numFmtId="0" fontId="23" fillId="0" borderId="1" xfId="3" applyFont="1" applyBorder="1" applyAlignment="1">
      <alignment horizontal="center" vertical="center" wrapText="1"/>
    </xf>
    <xf numFmtId="0" fontId="13" fillId="0" borderId="1" xfId="3" applyFont="1" applyBorder="1" applyAlignment="1">
      <alignment vertical="center" textRotation="255" wrapText="1"/>
    </xf>
    <xf numFmtId="0" fontId="0" fillId="0" borderId="1" xfId="0" applyBorder="1">
      <alignment vertical="center"/>
    </xf>
    <xf numFmtId="0" fontId="15" fillId="0" borderId="1" xfId="3" applyFont="1" applyBorder="1" applyAlignment="1">
      <alignment horizontal="center" vertical="center" textRotation="255" wrapText="1"/>
    </xf>
    <xf numFmtId="0" fontId="9" fillId="0" borderId="1" xfId="0" applyFont="1" applyBorder="1" applyAlignment="1">
      <alignment horizontal="center" vertical="center" textRotation="255" shrinkToFit="1"/>
    </xf>
    <xf numFmtId="0" fontId="10" fillId="0" borderId="4" xfId="3" applyBorder="1" applyAlignment="1">
      <alignment horizontal="center" vertical="center" wrapText="1"/>
    </xf>
    <xf numFmtId="0" fontId="10" fillId="0" borderId="3" xfId="3" applyBorder="1" applyAlignment="1">
      <alignment horizontal="center" vertical="center" wrapText="1"/>
    </xf>
    <xf numFmtId="0" fontId="10" fillId="0" borderId="5" xfId="3" applyBorder="1" applyAlignment="1">
      <alignment horizontal="center" vertical="center" wrapText="1"/>
    </xf>
    <xf numFmtId="0" fontId="9" fillId="0" borderId="1" xfId="3" applyFont="1" applyBorder="1" applyAlignment="1">
      <alignment horizontal="center" vertical="center" wrapText="1"/>
    </xf>
    <xf numFmtId="0" fontId="9" fillId="0" borderId="35" xfId="0" applyFont="1" applyBorder="1" applyAlignment="1">
      <alignment horizontal="center" vertical="center" textRotation="255" shrinkToFit="1"/>
    </xf>
    <xf numFmtId="0" fontId="9" fillId="0" borderId="39" xfId="0" applyFont="1" applyBorder="1" applyAlignment="1">
      <alignment horizontal="center" vertical="center" textRotation="255" shrinkToFit="1"/>
    </xf>
    <xf numFmtId="0" fontId="9" fillId="0" borderId="22" xfId="0" applyFont="1" applyBorder="1" applyAlignment="1">
      <alignment horizontal="center" vertical="center" textRotation="255" shrinkToFit="1"/>
    </xf>
    <xf numFmtId="0" fontId="10" fillId="0" borderId="35" xfId="3" applyBorder="1" applyAlignment="1">
      <alignment horizontal="center" vertical="center" wrapText="1"/>
    </xf>
    <xf numFmtId="0" fontId="10" fillId="0" borderId="39" xfId="3" applyBorder="1" applyAlignment="1">
      <alignment horizontal="center" vertical="center" wrapText="1"/>
    </xf>
    <xf numFmtId="0" fontId="10" fillId="0" borderId="22" xfId="3" applyBorder="1" applyAlignment="1">
      <alignment horizontal="center" vertical="center" wrapText="1"/>
    </xf>
    <xf numFmtId="0" fontId="5" fillId="0" borderId="2" xfId="3" applyFont="1" applyBorder="1" applyAlignment="1">
      <alignment horizontal="center" shrinkToFit="1"/>
    </xf>
    <xf numFmtId="0" fontId="10" fillId="0" borderId="10" xfId="3" applyBorder="1" applyAlignment="1">
      <alignment horizontal="center" vertical="center" wrapText="1"/>
    </xf>
    <xf numFmtId="0" fontId="10" fillId="0" borderId="12" xfId="3" applyBorder="1" applyAlignment="1">
      <alignment horizontal="center" vertical="center" wrapText="1"/>
    </xf>
    <xf numFmtId="0" fontId="10" fillId="0" borderId="6" xfId="3" applyBorder="1" applyAlignment="1">
      <alignment horizontal="center" vertical="center" wrapText="1"/>
    </xf>
    <xf numFmtId="0" fontId="10" fillId="0" borderId="7" xfId="3" applyBorder="1" applyAlignment="1">
      <alignment horizontal="center" vertical="center" wrapText="1"/>
    </xf>
    <xf numFmtId="0" fontId="10" fillId="0" borderId="35" xfId="3" applyBorder="1" applyAlignment="1">
      <alignment wrapText="1"/>
    </xf>
    <xf numFmtId="0" fontId="10" fillId="0" borderId="39" xfId="3" applyBorder="1" applyAlignment="1">
      <alignment wrapText="1"/>
    </xf>
    <xf numFmtId="0" fontId="15" fillId="0" borderId="35" xfId="3" applyFont="1" applyBorder="1" applyAlignment="1">
      <alignment horizontal="center" vertical="center" textRotation="255" wrapText="1"/>
    </xf>
    <xf numFmtId="0" fontId="15" fillId="0" borderId="39" xfId="3" applyFont="1" applyBorder="1" applyAlignment="1">
      <alignment horizontal="center" vertical="center" textRotation="255" wrapText="1"/>
    </xf>
    <xf numFmtId="0" fontId="15" fillId="0" borderId="22" xfId="3" applyFont="1" applyBorder="1" applyAlignment="1">
      <alignment horizontal="center" vertical="center" textRotation="255" wrapText="1"/>
    </xf>
    <xf numFmtId="0" fontId="10" fillId="0" borderId="9" xfId="3" applyBorder="1" applyAlignment="1">
      <alignment horizontal="center" vertical="center" wrapText="1"/>
    </xf>
    <xf numFmtId="0" fontId="10" fillId="0" borderId="13" xfId="3" applyBorder="1" applyAlignment="1">
      <alignment horizontal="center" vertical="center" wrapText="1"/>
    </xf>
    <xf numFmtId="0" fontId="13" fillId="0" borderId="35" xfId="3" applyFont="1" applyBorder="1" applyAlignment="1">
      <alignment horizontal="center" vertical="center" textRotation="255" wrapText="1"/>
    </xf>
    <xf numFmtId="0" fontId="13" fillId="0" borderId="22" xfId="3" applyFont="1" applyBorder="1" applyAlignment="1">
      <alignment horizontal="center" vertical="center" textRotation="255" wrapText="1"/>
    </xf>
    <xf numFmtId="0" fontId="10" fillId="0" borderId="0" xfId="3" applyAlignment="1">
      <alignment horizontal="center" vertical="center" wrapText="1"/>
    </xf>
    <xf numFmtId="179" fontId="10" fillId="0" borderId="35" xfId="3" applyNumberFormat="1" applyBorder="1" applyAlignment="1">
      <alignment horizontal="center" vertical="center"/>
    </xf>
    <xf numFmtId="0" fontId="0" fillId="0" borderId="22" xfId="0" applyBorder="1">
      <alignment vertical="center"/>
    </xf>
    <xf numFmtId="182" fontId="0" fillId="0" borderId="35" xfId="0" applyNumberFormat="1" applyBorder="1" applyAlignment="1">
      <alignment horizontal="center" vertical="center" shrinkToFit="1"/>
    </xf>
    <xf numFmtId="182" fontId="0" fillId="0" borderId="22" xfId="0" applyNumberFormat="1" applyBorder="1" applyAlignment="1">
      <alignment horizontal="center" vertical="center" shrinkToFit="1"/>
    </xf>
    <xf numFmtId="182" fontId="0" fillId="0" borderId="35" xfId="0" applyNumberFormat="1" applyBorder="1" applyAlignment="1">
      <alignment horizontal="center" vertical="center"/>
    </xf>
    <xf numFmtId="182" fontId="0" fillId="0" borderId="22" xfId="0" applyNumberFormat="1" applyBorder="1" applyAlignment="1">
      <alignment horizontal="center" vertical="center"/>
    </xf>
    <xf numFmtId="0" fontId="5" fillId="0" borderId="0" xfId="3" applyFont="1" applyAlignment="1">
      <alignment horizontal="center"/>
    </xf>
    <xf numFmtId="0" fontId="5" fillId="0" borderId="2" xfId="3" applyFont="1" applyBorder="1" applyAlignment="1">
      <alignment horizontal="center"/>
    </xf>
    <xf numFmtId="0" fontId="0" fillId="8" borderId="4" xfId="0" applyFill="1" applyBorder="1" applyAlignment="1">
      <alignment horizontal="center" vertical="center"/>
    </xf>
    <xf numFmtId="0" fontId="0" fillId="8" borderId="5" xfId="0" applyFill="1" applyBorder="1" applyAlignment="1">
      <alignment horizontal="center" vertical="center"/>
    </xf>
    <xf numFmtId="0" fontId="0" fillId="4" borderId="1" xfId="0" applyFill="1" applyBorder="1" applyAlignment="1">
      <alignment horizontal="left" vertical="center" wrapText="1"/>
    </xf>
    <xf numFmtId="0" fontId="0" fillId="4" borderId="4" xfId="0" applyFill="1" applyBorder="1" applyAlignment="1">
      <alignment horizontal="left" vertical="center" wrapText="1"/>
    </xf>
    <xf numFmtId="0" fontId="0" fillId="4" borderId="3" xfId="0" applyFill="1" applyBorder="1" applyAlignment="1">
      <alignment horizontal="left" vertical="center" wrapText="1"/>
    </xf>
    <xf numFmtId="0" fontId="0" fillId="4" borderId="5" xfId="0" applyFill="1" applyBorder="1" applyAlignment="1">
      <alignment horizontal="left" vertical="center" wrapText="1"/>
    </xf>
    <xf numFmtId="182" fontId="0" fillId="0" borderId="39" xfId="0" applyNumberFormat="1" applyBorder="1" applyAlignment="1">
      <alignment horizontal="center" vertical="center" shrinkToFit="1"/>
    </xf>
    <xf numFmtId="182" fontId="0" fillId="6" borderId="35" xfId="0" applyNumberFormat="1" applyFill="1" applyBorder="1" applyAlignment="1">
      <alignment horizontal="center" vertical="center" shrinkToFit="1"/>
    </xf>
    <xf numFmtId="182" fontId="0" fillId="6" borderId="39" xfId="0" applyNumberFormat="1" applyFill="1" applyBorder="1" applyAlignment="1">
      <alignment horizontal="center" vertical="center" shrinkToFit="1"/>
    </xf>
    <xf numFmtId="182" fontId="0" fillId="6" borderId="22" xfId="0" applyNumberFormat="1" applyFill="1" applyBorder="1" applyAlignment="1">
      <alignment horizontal="center" vertical="center" shrinkToFit="1"/>
    </xf>
    <xf numFmtId="0" fontId="61" fillId="4" borderId="0" xfId="0" applyFont="1" applyFill="1" applyAlignment="1">
      <alignment horizontal="left" vertical="center" wrapText="1"/>
    </xf>
    <xf numFmtId="179" fontId="10" fillId="0" borderId="39" xfId="3" applyNumberFormat="1" applyBorder="1" applyAlignment="1">
      <alignment horizontal="center" vertical="center"/>
    </xf>
    <xf numFmtId="179" fontId="10" fillId="0" borderId="22" xfId="3" applyNumberFormat="1" applyBorder="1" applyAlignment="1">
      <alignment horizontal="center" vertical="center"/>
    </xf>
    <xf numFmtId="177" fontId="0" fillId="0" borderId="35" xfId="0" applyNumberFormat="1" applyBorder="1" applyAlignment="1">
      <alignment horizontal="center" vertical="center"/>
    </xf>
    <xf numFmtId="177" fontId="0" fillId="0" borderId="39" xfId="0" applyNumberFormat="1" applyBorder="1" applyAlignment="1">
      <alignment horizontal="center" vertical="center"/>
    </xf>
    <xf numFmtId="177" fontId="0" fillId="0" borderId="22" xfId="0" applyNumberFormat="1" applyBorder="1" applyAlignment="1">
      <alignment horizontal="center" vertical="center"/>
    </xf>
    <xf numFmtId="0" fontId="0" fillId="0" borderId="35" xfId="0" applyBorder="1" applyAlignment="1">
      <alignment horizontal="center" vertical="center"/>
    </xf>
    <xf numFmtId="0" fontId="0" fillId="6" borderId="35" xfId="0" applyFill="1" applyBorder="1" applyAlignment="1">
      <alignment horizontal="center" vertical="center"/>
    </xf>
    <xf numFmtId="0" fontId="0" fillId="6" borderId="39" xfId="0" applyFill="1" applyBorder="1" applyAlignment="1">
      <alignment horizontal="center" vertical="center"/>
    </xf>
    <xf numFmtId="0" fontId="0" fillId="6" borderId="22" xfId="0" applyFill="1" applyBorder="1" applyAlignment="1">
      <alignment horizontal="center" vertical="center"/>
    </xf>
    <xf numFmtId="177" fontId="0" fillId="0" borderId="60" xfId="0" applyNumberFormat="1" applyBorder="1" applyAlignment="1">
      <alignment horizontal="center" vertical="center"/>
    </xf>
    <xf numFmtId="0" fontId="10" fillId="0" borderId="2" xfId="3" applyBorder="1" applyAlignment="1">
      <alignment horizontal="center"/>
    </xf>
    <xf numFmtId="0" fontId="10" fillId="0" borderId="2" xfId="3" applyBorder="1" applyAlignment="1">
      <alignment horizontal="center" shrinkToFit="1"/>
    </xf>
    <xf numFmtId="0" fontId="37" fillId="4" borderId="0" xfId="0" applyFont="1" applyFill="1" applyAlignment="1">
      <alignment horizontal="left" vertical="center" wrapText="1"/>
    </xf>
    <xf numFmtId="0" fontId="38" fillId="4" borderId="0" xfId="0" applyFont="1" applyFill="1" applyAlignment="1">
      <alignment horizontal="left" vertical="center" wrapText="1"/>
    </xf>
    <xf numFmtId="0" fontId="0" fillId="0" borderId="39" xfId="0" applyBorder="1">
      <alignment vertical="center"/>
    </xf>
    <xf numFmtId="177" fontId="0" fillId="0" borderId="1" xfId="0" applyNumberFormat="1" applyBorder="1" applyAlignment="1">
      <alignment horizontal="center" vertical="center"/>
    </xf>
    <xf numFmtId="180" fontId="0" fillId="0" borderId="35" xfId="0" applyNumberFormat="1" applyBorder="1" applyAlignment="1">
      <alignment horizontal="center" vertical="center"/>
    </xf>
    <xf numFmtId="180" fontId="0" fillId="0" borderId="39" xfId="0" applyNumberFormat="1" applyBorder="1" applyAlignment="1">
      <alignment horizontal="center" vertical="center"/>
    </xf>
    <xf numFmtId="180" fontId="0" fillId="0" borderId="22" xfId="0" applyNumberFormat="1" applyBorder="1" applyAlignment="1">
      <alignment horizontal="center" vertical="center"/>
    </xf>
    <xf numFmtId="0" fontId="28" fillId="0" borderId="0" xfId="3" applyFont="1" applyAlignment="1">
      <alignment horizontal="distributed" indent="8"/>
    </xf>
    <xf numFmtId="0" fontId="10" fillId="0" borderId="0" xfId="3" applyAlignment="1">
      <alignment horizontal="distributed" indent="8"/>
    </xf>
    <xf numFmtId="0" fontId="10" fillId="0" borderId="0" xfId="3" applyAlignment="1" applyProtection="1">
      <alignment shrinkToFit="1"/>
      <protection locked="0"/>
    </xf>
    <xf numFmtId="0" fontId="0" fillId="0" borderId="0" xfId="0" applyAlignment="1" applyProtection="1">
      <alignment shrinkToFit="1"/>
      <protection locked="0"/>
    </xf>
    <xf numFmtId="0" fontId="28" fillId="0" borderId="0" xfId="3" applyFont="1" applyAlignment="1">
      <alignment horizontal="distributed" vertical="center"/>
    </xf>
    <xf numFmtId="0" fontId="28" fillId="0" borderId="0" xfId="3" applyFont="1" applyAlignment="1">
      <alignment horizontal="distributed"/>
    </xf>
    <xf numFmtId="38" fontId="28" fillId="0" borderId="0" xfId="3" applyNumberFormat="1" applyFont="1" applyAlignment="1" applyProtection="1">
      <alignment horizontal="left" shrinkToFit="1"/>
      <protection locked="0"/>
    </xf>
    <xf numFmtId="0" fontId="28" fillId="0" borderId="0" xfId="3" applyFont="1" applyAlignment="1" applyProtection="1">
      <alignment horizontal="left" shrinkToFit="1"/>
      <protection locked="0"/>
    </xf>
    <xf numFmtId="180" fontId="31" fillId="0" borderId="4" xfId="3" applyNumberFormat="1" applyFont="1" applyBorder="1" applyAlignment="1">
      <alignment vertical="center"/>
    </xf>
    <xf numFmtId="180" fontId="31" fillId="0" borderId="3" xfId="3" applyNumberFormat="1" applyFont="1" applyBorder="1" applyAlignment="1">
      <alignment vertical="center"/>
    </xf>
    <xf numFmtId="0" fontId="28" fillId="0" borderId="0" xfId="3" applyFont="1" applyAlignment="1">
      <alignment horizontal="center" shrinkToFit="1"/>
    </xf>
    <xf numFmtId="0" fontId="28" fillId="0" borderId="0" xfId="3" applyFont="1" applyAlignment="1">
      <alignment vertical="center" wrapText="1"/>
    </xf>
    <xf numFmtId="180" fontId="31" fillId="0" borderId="0" xfId="3" applyNumberFormat="1" applyFont="1"/>
    <xf numFmtId="0" fontId="31" fillId="0" borderId="0" xfId="3" applyFont="1"/>
    <xf numFmtId="0" fontId="28" fillId="0" borderId="62" xfId="3" applyFont="1" applyBorder="1" applyAlignment="1">
      <alignment horizontal="distributed" vertical="center" wrapText="1"/>
    </xf>
    <xf numFmtId="0" fontId="47" fillId="0" borderId="54" xfId="0" applyFont="1" applyBorder="1" applyAlignment="1">
      <alignment horizontal="distributed" vertical="center" wrapText="1"/>
    </xf>
    <xf numFmtId="0" fontId="28" fillId="0" borderId="51" xfId="3" applyFont="1" applyBorder="1" applyAlignment="1">
      <alignment vertical="center" wrapText="1"/>
    </xf>
    <xf numFmtId="0" fontId="28" fillId="0" borderId="30" xfId="3" applyFont="1" applyBorder="1" applyAlignment="1">
      <alignment vertical="center" wrapText="1"/>
    </xf>
    <xf numFmtId="0" fontId="28" fillId="0" borderId="63" xfId="3" applyFont="1" applyBorder="1" applyAlignment="1">
      <alignment vertical="center" wrapText="1"/>
    </xf>
    <xf numFmtId="0" fontId="28" fillId="0" borderId="9" xfId="3" applyFont="1" applyBorder="1" applyAlignment="1">
      <alignment vertical="center" wrapText="1"/>
    </xf>
    <xf numFmtId="0" fontId="28" fillId="0" borderId="2" xfId="3" applyFont="1" applyBorder="1" applyAlignment="1">
      <alignment vertical="center" wrapText="1"/>
    </xf>
    <xf numFmtId="0" fontId="28" fillId="0" borderId="44" xfId="3" applyFont="1" applyBorder="1" applyAlignment="1">
      <alignment vertical="center" wrapText="1"/>
    </xf>
    <xf numFmtId="0" fontId="28" fillId="0" borderId="52" xfId="3" applyFont="1" applyBorder="1" applyAlignment="1">
      <alignment horizontal="distributed" vertical="center"/>
    </xf>
    <xf numFmtId="0" fontId="28" fillId="0" borderId="53" xfId="3" applyFont="1" applyBorder="1" applyAlignment="1">
      <alignment horizontal="distributed" vertical="center"/>
    </xf>
    <xf numFmtId="0" fontId="28" fillId="0" borderId="55" xfId="3" applyFont="1" applyBorder="1" applyAlignment="1">
      <alignment horizontal="distributed" vertical="center"/>
    </xf>
    <xf numFmtId="0" fontId="28" fillId="0" borderId="6" xfId="3" applyFont="1" applyBorder="1" applyAlignment="1">
      <alignment shrinkToFit="1"/>
    </xf>
    <xf numFmtId="0" fontId="10" fillId="0" borderId="0" xfId="3" applyAlignment="1">
      <alignment shrinkToFit="1"/>
    </xf>
    <xf numFmtId="0" fontId="10" fillId="0" borderId="43" xfId="3" applyBorder="1" applyAlignment="1">
      <alignment shrinkToFit="1"/>
    </xf>
    <xf numFmtId="0" fontId="28" fillId="0" borderId="47" xfId="3" applyFont="1" applyBorder="1"/>
    <xf numFmtId="0" fontId="28" fillId="0" borderId="48" xfId="4" applyBorder="1"/>
    <xf numFmtId="0" fontId="28" fillId="0" borderId="48" xfId="3" applyFont="1" applyBorder="1"/>
    <xf numFmtId="0" fontId="28" fillId="0" borderId="49" xfId="3" applyFont="1" applyBorder="1"/>
    <xf numFmtId="0" fontId="28" fillId="0" borderId="52" xfId="3" applyFont="1" applyBorder="1" applyAlignment="1">
      <alignment horizontal="center" vertical="center"/>
    </xf>
    <xf numFmtId="0" fontId="28" fillId="0" borderId="53" xfId="3" applyFont="1" applyBorder="1" applyAlignment="1">
      <alignment horizontal="center" vertical="center"/>
    </xf>
    <xf numFmtId="0" fontId="28" fillId="0" borderId="10" xfId="3" applyFont="1" applyBorder="1" applyAlignment="1">
      <alignment vertical="center"/>
    </xf>
    <xf numFmtId="0" fontId="28" fillId="0" borderId="11" xfId="3" applyFont="1" applyBorder="1" applyAlignment="1">
      <alignment vertical="center"/>
    </xf>
    <xf numFmtId="0" fontId="28" fillId="0" borderId="0" xfId="3" applyFont="1" applyAlignment="1">
      <alignment vertical="center" shrinkToFit="1"/>
    </xf>
    <xf numFmtId="0" fontId="28" fillId="0" borderId="42" xfId="3" applyFont="1" applyBorder="1" applyAlignment="1">
      <alignment horizontal="distributed" vertical="center"/>
    </xf>
    <xf numFmtId="0" fontId="28" fillId="0" borderId="42" xfId="3" applyFont="1" applyBorder="1" applyAlignment="1">
      <alignment horizontal="distributed"/>
    </xf>
    <xf numFmtId="0" fontId="32" fillId="0" borderId="0" xfId="3" applyFont="1" applyAlignment="1">
      <alignment vertical="center" shrinkToFit="1"/>
    </xf>
    <xf numFmtId="0" fontId="0" fillId="0" borderId="0" xfId="0" applyAlignment="1">
      <alignment vertical="center" shrinkToFit="1"/>
    </xf>
    <xf numFmtId="0" fontId="32" fillId="0" borderId="0" xfId="3" applyFont="1" applyAlignment="1">
      <alignment horizontal="left" vertical="center" wrapText="1"/>
    </xf>
    <xf numFmtId="0" fontId="32" fillId="0" borderId="16" xfId="3" applyFont="1" applyBorder="1" applyAlignment="1">
      <alignment horizontal="center" vertical="center"/>
    </xf>
    <xf numFmtId="0" fontId="32" fillId="0" borderId="18" xfId="3" applyFont="1" applyBorder="1" applyAlignment="1">
      <alignment horizontal="center" vertical="center"/>
    </xf>
    <xf numFmtId="0" fontId="28" fillId="0" borderId="16" xfId="3" applyFont="1" applyBorder="1" applyAlignment="1">
      <alignment horizontal="center" vertical="center"/>
    </xf>
    <xf numFmtId="0" fontId="28" fillId="0" borderId="41" xfId="3" applyFont="1" applyBorder="1" applyAlignment="1">
      <alignment horizontal="center" vertical="center"/>
    </xf>
    <xf numFmtId="0" fontId="10" fillId="0" borderId="0" xfId="3" applyAlignment="1">
      <alignment horizontal="center" wrapText="1"/>
    </xf>
    <xf numFmtId="0" fontId="28" fillId="0" borderId="46" xfId="3" applyFont="1" applyBorder="1" applyAlignment="1">
      <alignment horizontal="distributed" vertical="center"/>
    </xf>
    <xf numFmtId="0" fontId="23" fillId="0" borderId="0" xfId="3" applyFont="1" applyAlignment="1">
      <alignment horizontal="center"/>
    </xf>
    <xf numFmtId="0" fontId="122" fillId="0" borderId="0" xfId="3" applyFont="1" applyAlignment="1">
      <alignment horizontal="center" vertical="center"/>
    </xf>
    <xf numFmtId="0" fontId="86" fillId="0" borderId="0" xfId="5" applyFont="1" applyAlignment="1">
      <alignment horizontal="center" vertical="center"/>
    </xf>
    <xf numFmtId="0" fontId="10" fillId="0" borderId="0" xfId="3" applyAlignment="1">
      <alignment horizontal="distributed"/>
    </xf>
    <xf numFmtId="0" fontId="10" fillId="0" borderId="0" xfId="3" applyAlignment="1" applyProtection="1">
      <alignment horizontal="left" shrinkToFit="1"/>
      <protection locked="0"/>
    </xf>
    <xf numFmtId="0" fontId="10" fillId="0" borderId="0" xfId="3" applyAlignment="1">
      <alignment horizontal="left" vertical="center" wrapText="1"/>
    </xf>
    <xf numFmtId="0" fontId="10" fillId="0" borderId="18" xfId="3" applyBorder="1" applyAlignment="1">
      <alignment horizontal="center" vertical="center"/>
    </xf>
    <xf numFmtId="0" fontId="10" fillId="0" borderId="16" xfId="3" applyBorder="1" applyAlignment="1">
      <alignment horizontal="center" vertical="center"/>
    </xf>
    <xf numFmtId="0" fontId="10" fillId="0" borderId="41" xfId="3" applyBorder="1" applyAlignment="1">
      <alignment horizontal="center" vertical="center"/>
    </xf>
    <xf numFmtId="0" fontId="10" fillId="0" borderId="42" xfId="3" applyBorder="1" applyAlignment="1">
      <alignment horizontal="distributed" vertical="center"/>
    </xf>
    <xf numFmtId="0" fontId="10" fillId="0" borderId="46" xfId="3" applyBorder="1" applyAlignment="1">
      <alignment horizontal="distributed" vertical="center"/>
    </xf>
    <xf numFmtId="0" fontId="10" fillId="0" borderId="42" xfId="3" applyBorder="1" applyAlignment="1">
      <alignment horizontal="distributed" vertical="center" wrapText="1"/>
    </xf>
    <xf numFmtId="0" fontId="10" fillId="0" borderId="21" xfId="3" applyBorder="1" applyAlignment="1">
      <alignment horizontal="distributed"/>
    </xf>
    <xf numFmtId="0" fontId="10" fillId="0" borderId="42" xfId="3" applyBorder="1" applyAlignment="1">
      <alignment horizontal="distributed" wrapText="1"/>
    </xf>
    <xf numFmtId="0" fontId="10" fillId="0" borderId="21" xfId="3" applyBorder="1" applyAlignment="1">
      <alignment horizontal="distributed" wrapText="1"/>
    </xf>
    <xf numFmtId="0" fontId="10" fillId="0" borderId="14" xfId="3" applyBorder="1" applyAlignment="1">
      <alignment horizontal="distributed" vertical="center"/>
    </xf>
    <xf numFmtId="0" fontId="10" fillId="0" borderId="21" xfId="3" applyBorder="1"/>
    <xf numFmtId="0" fontId="28" fillId="0" borderId="15" xfId="3" applyFont="1" applyBorder="1" applyAlignment="1">
      <alignment horizontal="center" vertical="center"/>
    </xf>
    <xf numFmtId="0" fontId="10" fillId="0" borderId="15" xfId="3" applyBorder="1"/>
    <xf numFmtId="0" fontId="10" fillId="0" borderId="15" xfId="3" applyBorder="1" applyAlignment="1">
      <alignment horizontal="distributed" vertical="center" wrapText="1"/>
    </xf>
    <xf numFmtId="0" fontId="10" fillId="0" borderId="20" xfId="3" applyBorder="1" applyAlignment="1">
      <alignment horizontal="distributed" wrapText="1"/>
    </xf>
    <xf numFmtId="0" fontId="10" fillId="0" borderId="1" xfId="3" applyBorder="1" applyAlignment="1">
      <alignment horizontal="distributed" wrapText="1"/>
    </xf>
    <xf numFmtId="0" fontId="10" fillId="0" borderId="23" xfId="3" applyBorder="1" applyAlignment="1">
      <alignment horizontal="distributed" wrapText="1"/>
    </xf>
    <xf numFmtId="180" fontId="30" fillId="0" borderId="10" xfId="3" applyNumberFormat="1" applyFont="1" applyBorder="1"/>
    <xf numFmtId="0" fontId="10" fillId="0" borderId="9" xfId="3" applyBorder="1"/>
    <xf numFmtId="0" fontId="10" fillId="0" borderId="47" xfId="3" applyBorder="1"/>
    <xf numFmtId="0" fontId="10" fillId="0" borderId="71" xfId="3" applyBorder="1" applyAlignment="1">
      <alignment horizontal="distributed" vertical="center" wrapText="1"/>
    </xf>
    <xf numFmtId="0" fontId="10" fillId="0" borderId="75" xfId="3" applyBorder="1" applyAlignment="1">
      <alignment horizontal="distributed"/>
    </xf>
    <xf numFmtId="0" fontId="10" fillId="0" borderId="72" xfId="3" applyBorder="1" applyAlignment="1">
      <alignment horizontal="distributed"/>
    </xf>
    <xf numFmtId="0" fontId="8" fillId="0" borderId="10" xfId="3" applyFont="1" applyBorder="1" applyAlignment="1">
      <alignment horizontal="distributed" vertical="center" wrapText="1"/>
    </xf>
    <xf numFmtId="0" fontId="8" fillId="0" borderId="6" xfId="3" applyFont="1" applyBorder="1" applyAlignment="1">
      <alignment horizontal="distributed" vertical="center" wrapText="1"/>
    </xf>
    <xf numFmtId="180" fontId="30" fillId="0" borderId="6" xfId="3" applyNumberFormat="1" applyFont="1" applyBorder="1"/>
    <xf numFmtId="0" fontId="10" fillId="0" borderId="71" xfId="3" applyBorder="1" applyAlignment="1">
      <alignment horizontal="distributed" vertical="center"/>
    </xf>
    <xf numFmtId="0" fontId="10" fillId="0" borderId="52" xfId="3" applyBorder="1" applyAlignment="1">
      <alignment horizontal="distributed" vertical="center"/>
    </xf>
    <xf numFmtId="0" fontId="10" fillId="0" borderId="53" xfId="3" applyBorder="1" applyAlignment="1">
      <alignment horizontal="distributed"/>
    </xf>
    <xf numFmtId="0" fontId="10" fillId="0" borderId="54" xfId="3" applyBorder="1" applyAlignment="1">
      <alignment horizontal="distributed"/>
    </xf>
    <xf numFmtId="0" fontId="10" fillId="0" borderId="55" xfId="3" applyBorder="1" applyAlignment="1">
      <alignment horizontal="distributed"/>
    </xf>
    <xf numFmtId="0" fontId="86" fillId="0" borderId="0" xfId="5" applyFont="1" applyAlignment="1" applyProtection="1">
      <alignment horizontal="left" vertical="center" shrinkToFit="1"/>
      <protection locked="0"/>
    </xf>
    <xf numFmtId="0" fontId="87" fillId="0" borderId="0" xfId="5" applyFont="1" applyAlignment="1">
      <alignment horizontal="center" vertical="center"/>
    </xf>
    <xf numFmtId="0" fontId="88" fillId="0" borderId="0" xfId="5" applyFont="1" applyAlignment="1">
      <alignment horizontal="center" vertical="center"/>
    </xf>
    <xf numFmtId="0" fontId="86" fillId="0" borderId="0" xfId="5" applyFont="1" applyAlignment="1" applyProtection="1">
      <alignment shrinkToFit="1"/>
      <protection locked="0"/>
    </xf>
    <xf numFmtId="191" fontId="68" fillId="0" borderId="90" xfId="14" applyNumberFormat="1" applyFont="1" applyBorder="1" applyAlignment="1">
      <alignment horizontal="right" vertical="center"/>
    </xf>
    <xf numFmtId="191" fontId="68" fillId="0" borderId="69" xfId="14" applyNumberFormat="1" applyFont="1" applyBorder="1" applyAlignment="1">
      <alignment horizontal="right" vertical="center"/>
    </xf>
    <xf numFmtId="191" fontId="68" fillId="0" borderId="68" xfId="14" applyNumberFormat="1" applyFont="1" applyBorder="1" applyAlignment="1">
      <alignment horizontal="right" vertical="center"/>
    </xf>
    <xf numFmtId="0" fontId="65" fillId="0" borderId="0" xfId="14" applyFont="1" applyAlignment="1">
      <alignment horizontal="center" vertical="center" wrapText="1" shrinkToFit="1"/>
    </xf>
    <xf numFmtId="0" fontId="28" fillId="0" borderId="10" xfId="14" applyBorder="1" applyAlignment="1">
      <alignment horizontal="center" vertical="center"/>
    </xf>
    <xf numFmtId="0" fontId="28" fillId="0" borderId="11" xfId="14" applyBorder="1" applyAlignment="1">
      <alignment horizontal="center" vertical="center"/>
    </xf>
    <xf numFmtId="0" fontId="28" fillId="0" borderId="12" xfId="14" applyBorder="1" applyAlignment="1">
      <alignment horizontal="center" vertical="center"/>
    </xf>
    <xf numFmtId="58" fontId="28" fillId="0" borderId="0" xfId="14" applyNumberFormat="1" applyAlignment="1">
      <alignment horizontal="center" vertical="center"/>
    </xf>
    <xf numFmtId="0" fontId="28" fillId="0" borderId="0" xfId="14" applyAlignment="1">
      <alignment horizontal="center" vertical="center"/>
    </xf>
    <xf numFmtId="0" fontId="28" fillId="0" borderId="0" xfId="14" applyAlignment="1">
      <alignment horizontal="left" vertical="center"/>
    </xf>
    <xf numFmtId="0" fontId="28" fillId="0" borderId="0" xfId="14" applyAlignment="1">
      <alignment horizontal="distributed" vertical="center" shrinkToFit="1"/>
    </xf>
    <xf numFmtId="0" fontId="64" fillId="5" borderId="0" xfId="14" applyFont="1" applyFill="1" applyAlignment="1" applyProtection="1">
      <alignment horizontal="left" vertical="center" shrinkToFit="1"/>
      <protection locked="0"/>
    </xf>
    <xf numFmtId="38" fontId="64" fillId="5" borderId="0" xfId="13" applyFont="1" applyFill="1" applyAlignment="1" applyProtection="1">
      <alignment horizontal="left" vertical="center" shrinkToFit="1"/>
      <protection locked="0"/>
    </xf>
    <xf numFmtId="38" fontId="28" fillId="0" borderId="0" xfId="13" applyFont="1" applyAlignment="1" applyProtection="1">
      <alignment horizontal="distributed" vertical="center" shrinkToFit="1"/>
    </xf>
    <xf numFmtId="0" fontId="64" fillId="5" borderId="0" xfId="4" applyFont="1" applyFill="1" applyAlignment="1" applyProtection="1">
      <alignment horizontal="left" vertical="center" shrinkToFit="1"/>
      <protection locked="0"/>
    </xf>
    <xf numFmtId="0" fontId="28" fillId="0" borderId="0" xfId="4" applyAlignment="1">
      <alignment vertical="center" wrapText="1"/>
    </xf>
    <xf numFmtId="0" fontId="28" fillId="0" borderId="0" xfId="14" applyAlignment="1">
      <alignment vertical="center" wrapText="1"/>
    </xf>
    <xf numFmtId="190" fontId="66" fillId="0" borderId="0" xfId="14" applyNumberFormat="1" applyFont="1" applyAlignment="1">
      <alignment horizontal="center" vertical="center"/>
    </xf>
    <xf numFmtId="0" fontId="28" fillId="0" borderId="1" xfId="14" applyBorder="1" applyAlignment="1">
      <alignment horizontal="distributed" vertical="center"/>
    </xf>
    <xf numFmtId="0" fontId="28" fillId="0" borderId="4" xfId="14" applyBorder="1" applyAlignment="1">
      <alignment horizontal="distributed" vertical="center"/>
    </xf>
    <xf numFmtId="0" fontId="67" fillId="0" borderId="61" xfId="14" applyFont="1" applyBorder="1" applyAlignment="1">
      <alignment horizontal="center" vertical="center"/>
    </xf>
    <xf numFmtId="0" fontId="32" fillId="0" borderId="3" xfId="14" applyFont="1" applyBorder="1" applyAlignment="1">
      <alignment horizontal="center" vertical="center"/>
    </xf>
    <xf numFmtId="0" fontId="32" fillId="0" borderId="5" xfId="14" applyFont="1" applyBorder="1" applyAlignment="1">
      <alignment horizontal="center" vertical="center"/>
    </xf>
    <xf numFmtId="0" fontId="67" fillId="0" borderId="61" xfId="14" applyFont="1" applyBorder="1" applyAlignment="1">
      <alignment horizontal="center" vertical="center" shrinkToFit="1"/>
    </xf>
    <xf numFmtId="0" fontId="28" fillId="0" borderId="71" xfId="3" applyFont="1" applyBorder="1" applyAlignment="1">
      <alignment horizontal="center" vertical="center"/>
    </xf>
    <xf numFmtId="0" fontId="28" fillId="0" borderId="11" xfId="3" applyFont="1" applyBorder="1" applyAlignment="1">
      <alignment horizontal="center" vertical="center"/>
    </xf>
    <xf numFmtId="0" fontId="28" fillId="0" borderId="12" xfId="3" applyFont="1" applyBorder="1" applyAlignment="1">
      <alignment horizontal="center" vertical="center"/>
    </xf>
    <xf numFmtId="0" fontId="28" fillId="0" borderId="72" xfId="3" applyFont="1" applyBorder="1" applyAlignment="1">
      <alignment horizontal="center" vertical="center"/>
    </xf>
    <xf numFmtId="0" fontId="28" fillId="0" borderId="2" xfId="3" applyFont="1" applyBorder="1" applyAlignment="1">
      <alignment horizontal="center" vertical="center"/>
    </xf>
    <xf numFmtId="0" fontId="28" fillId="0" borderId="13" xfId="3" applyFont="1" applyBorder="1" applyAlignment="1">
      <alignment horizontal="center" vertical="center"/>
    </xf>
    <xf numFmtId="191" fontId="66" fillId="5" borderId="9" xfId="14" applyNumberFormat="1" applyFont="1" applyFill="1" applyBorder="1" applyAlignment="1">
      <alignment horizontal="right" vertical="center"/>
    </xf>
    <xf numFmtId="191" fontId="66" fillId="5" borderId="2" xfId="14" applyNumberFormat="1" applyFont="1" applyFill="1" applyBorder="1" applyAlignment="1">
      <alignment horizontal="right" vertical="center"/>
    </xf>
    <xf numFmtId="191" fontId="66" fillId="5" borderId="9" xfId="14" applyNumberFormat="1" applyFont="1" applyFill="1" applyBorder="1" applyAlignment="1" applyProtection="1">
      <alignment horizontal="right" vertical="center"/>
      <protection locked="0"/>
    </xf>
    <xf numFmtId="191" fontId="66" fillId="5" borderId="2" xfId="14" applyNumberFormat="1" applyFont="1" applyFill="1" applyBorder="1" applyAlignment="1" applyProtection="1">
      <alignment horizontal="right" vertical="center"/>
      <protection locked="0"/>
    </xf>
    <xf numFmtId="191" fontId="68" fillId="0" borderId="9" xfId="14" applyNumberFormat="1" applyFont="1" applyBorder="1" applyAlignment="1">
      <alignment horizontal="right" vertical="center"/>
    </xf>
    <xf numFmtId="191" fontId="68" fillId="0" borderId="2" xfId="14" applyNumberFormat="1" applyFont="1" applyBorder="1" applyAlignment="1">
      <alignment horizontal="right" vertical="center"/>
    </xf>
    <xf numFmtId="0" fontId="28" fillId="0" borderId="4" xfId="14" applyBorder="1" applyAlignment="1">
      <alignment horizontal="center" vertical="center"/>
    </xf>
    <xf numFmtId="0" fontId="28" fillId="0" borderId="3" xfId="14" applyBorder="1" applyAlignment="1">
      <alignment horizontal="center" vertical="center"/>
    </xf>
    <xf numFmtId="0" fontId="28" fillId="0" borderId="5" xfId="14" applyBorder="1" applyAlignment="1">
      <alignment horizontal="center" vertical="center"/>
    </xf>
    <xf numFmtId="191" fontId="68" fillId="0" borderId="6" xfId="14" applyNumberFormat="1" applyFont="1" applyBorder="1" applyAlignment="1">
      <alignment horizontal="right" vertical="center"/>
    </xf>
    <xf numFmtId="191" fontId="68" fillId="0" borderId="0" xfId="14" applyNumberFormat="1" applyFont="1" applyAlignment="1">
      <alignment horizontal="right" vertical="center"/>
    </xf>
    <xf numFmtId="191" fontId="66" fillId="5" borderId="6" xfId="14" applyNumberFormat="1" applyFont="1" applyFill="1" applyBorder="1" applyAlignment="1">
      <alignment horizontal="right" vertical="center"/>
    </xf>
    <xf numFmtId="191" fontId="66" fillId="5" borderId="0" xfId="14" applyNumberFormat="1" applyFont="1" applyFill="1" applyAlignment="1">
      <alignment horizontal="right" vertical="center"/>
    </xf>
    <xf numFmtId="191" fontId="66" fillId="5" borderId="68" xfId="14" applyNumberFormat="1" applyFont="1" applyFill="1" applyBorder="1" applyAlignment="1">
      <alignment horizontal="right" vertical="center"/>
    </xf>
    <xf numFmtId="191" fontId="66" fillId="5" borderId="69" xfId="14" applyNumberFormat="1" applyFont="1" applyFill="1" applyBorder="1" applyAlignment="1">
      <alignment horizontal="right" vertical="center"/>
    </xf>
    <xf numFmtId="0" fontId="73" fillId="6" borderId="1" xfId="8" applyFont="1" applyFill="1" applyBorder="1" applyAlignment="1">
      <alignment horizontal="center" vertical="center"/>
    </xf>
    <xf numFmtId="0" fontId="71" fillId="6" borderId="1" xfId="8" applyFont="1" applyFill="1" applyBorder="1" applyAlignment="1">
      <alignment horizontal="center" vertical="center"/>
    </xf>
    <xf numFmtId="0" fontId="71" fillId="6" borderId="4" xfId="8" applyFont="1" applyFill="1" applyBorder="1" applyAlignment="1">
      <alignment horizontal="center" vertical="center"/>
    </xf>
    <xf numFmtId="0" fontId="71" fillId="6" borderId="35" xfId="8" applyFont="1" applyFill="1" applyBorder="1" applyAlignment="1">
      <alignment horizontal="center" vertical="center"/>
    </xf>
    <xf numFmtId="0" fontId="71" fillId="6" borderId="0" xfId="8" applyFont="1" applyFill="1" applyAlignment="1">
      <alignment horizontal="left" vertical="center"/>
    </xf>
    <xf numFmtId="0" fontId="71" fillId="6" borderId="0" xfId="8" applyFont="1" applyFill="1" applyAlignment="1">
      <alignment horizontal="left" vertical="center" wrapText="1" shrinkToFit="1"/>
    </xf>
    <xf numFmtId="0" fontId="71" fillId="6" borderId="0" xfId="8" applyFont="1" applyFill="1" applyAlignment="1">
      <alignment horizontal="left" vertical="center" wrapText="1"/>
    </xf>
  </cellXfs>
  <cellStyles count="18">
    <cellStyle name="パーセント 2" xfId="12" xr:uid="{6C8262E2-4CF7-46EB-AE05-7C35121F80C8}"/>
    <cellStyle name="ハイパーリンク" xfId="7" builtinId="8"/>
    <cellStyle name="桁区切り" xfId="17" builtinId="6"/>
    <cellStyle name="桁区切り 2" xfId="13" xr:uid="{FD517B2C-F9D5-42D6-BE84-4A9360624CB9}"/>
    <cellStyle name="桁区切り 4" xfId="6" xr:uid="{0C815BD3-3CDF-41D1-8AFA-0C54B0C1595F}"/>
    <cellStyle name="標準" xfId="0" builtinId="0"/>
    <cellStyle name="標準 14" xfId="5" xr:uid="{46245972-EBAC-492F-A1EC-6764277453A9}"/>
    <cellStyle name="標準 2" xfId="3" xr:uid="{00BDD4EB-149C-4756-9B93-37B01716852E}"/>
    <cellStyle name="標準 2 2" xfId="9" xr:uid="{CC6F3CB3-5060-4086-81F5-7980A9C254AE}"/>
    <cellStyle name="標準 2 3" xfId="14" xr:uid="{2749F4BF-2C77-458D-963A-A5C37007F79B}"/>
    <cellStyle name="標準 3" xfId="11" xr:uid="{FF004E05-5B40-4B91-9824-05DC95C50F1A}"/>
    <cellStyle name="標準 3 2" xfId="15" xr:uid="{E1F7E3DA-00B5-4A33-9ED9-D5D682FB8D2D}"/>
    <cellStyle name="標準 3 4" xfId="8" xr:uid="{FF5E1DCF-8525-497A-A76B-B37E9E9AA3B4}"/>
    <cellStyle name="標準 4" xfId="16" xr:uid="{F34D550A-FFE1-4C6B-91E2-651C99696B73}"/>
    <cellStyle name="標準 6 2" xfId="10" xr:uid="{5E777D77-FCFD-4072-9A19-433B4F439E38}"/>
    <cellStyle name="標準_Sheet1" xfId="2" xr:uid="{C8ABFD82-73CE-4718-8F18-6A61157CC3BE}"/>
    <cellStyle name="標準_Sheet1_確定通知 (2)" xfId="4" xr:uid="{6CC2FCBB-CF0F-4E19-8EA7-4E4E8B0CFD13}"/>
    <cellStyle name="標準_職員名簿" xfId="1" xr:uid="{AEAE0195-782F-4290-8BA6-5806B7D9305D}"/>
  </cellStyles>
  <dxfs count="106">
    <dxf>
      <fill>
        <patternFill>
          <bgColor rgb="FFFFFF00"/>
        </patternFill>
      </fill>
    </dxf>
    <dxf>
      <fill>
        <patternFill>
          <bgColor rgb="FFFFFF00"/>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00"/>
        </patternFill>
      </fill>
    </dxf>
    <dxf>
      <font>
        <b/>
        <i val="0"/>
        <color theme="0"/>
      </font>
      <fill>
        <patternFill>
          <bgColor rgb="FFFF0000"/>
        </patternFill>
      </fill>
    </dxf>
    <dxf>
      <font>
        <u/>
        <color auto="1"/>
      </font>
      <fill>
        <patternFill>
          <bgColor rgb="FFFFFF00"/>
        </patternFill>
      </fill>
    </dxf>
    <dxf>
      <font>
        <color auto="1"/>
      </font>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rgb="FFFFFF00"/>
        </patternFill>
      </fill>
    </dxf>
    <dxf>
      <font>
        <color auto="1"/>
      </font>
      <fill>
        <patternFill>
          <bgColor rgb="FFFFFF00"/>
        </patternFill>
      </fill>
    </dxf>
    <dxf>
      <fill>
        <patternFill>
          <bgColor rgb="FFFFFF00"/>
        </patternFill>
      </fill>
    </dxf>
    <dxf>
      <font>
        <color auto="1"/>
      </font>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ont>
        <color auto="1"/>
      </font>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font>
    </dxf>
    <dxf>
      <fill>
        <patternFill>
          <bgColor rgb="FFFFFF00"/>
        </patternFill>
      </fill>
    </dxf>
    <dxf>
      <font>
        <b/>
        <i val="0"/>
        <color theme="0"/>
      </font>
      <fill>
        <patternFill>
          <bgColor rgb="FFFF0000"/>
        </patternFill>
      </fill>
    </dxf>
    <dxf>
      <fill>
        <patternFill>
          <bgColor rgb="FFFF0000"/>
        </patternFill>
      </fill>
    </dxf>
    <dxf>
      <fill>
        <patternFill>
          <bgColor theme="1" tint="0.499984740745262"/>
        </patternFill>
      </fill>
    </dxf>
    <dxf>
      <fill>
        <patternFill>
          <bgColor theme="1" tint="0.499984740745262"/>
        </patternFill>
      </fill>
    </dxf>
    <dxf>
      <font>
        <color rgb="FF9C0006"/>
      </font>
      <fill>
        <patternFill>
          <bgColor rgb="FFFF0000"/>
        </patternFill>
      </fill>
    </dxf>
    <dxf>
      <fill>
        <patternFill>
          <bgColor rgb="FFFF0000"/>
        </patternFill>
      </fill>
    </dxf>
    <dxf>
      <fill>
        <patternFill>
          <bgColor theme="0" tint="-0.499984740745262"/>
        </patternFill>
      </fill>
    </dxf>
    <dxf>
      <fill>
        <patternFill>
          <bgColor rgb="FFFF0000"/>
        </patternFill>
      </fill>
    </dxf>
    <dxf>
      <fill>
        <patternFill>
          <bgColor rgb="FFFF0000"/>
        </patternFill>
      </fill>
    </dxf>
    <dxf>
      <fill>
        <patternFill>
          <bgColor theme="1" tint="0.499984740745262"/>
        </patternFill>
      </fill>
    </dxf>
    <dxf>
      <fill>
        <patternFill>
          <bgColor rgb="FFFF0000"/>
        </patternFill>
      </fill>
    </dxf>
    <dxf>
      <fill>
        <patternFill>
          <bgColor rgb="FFFF0000"/>
        </patternFill>
      </fill>
    </dxf>
    <dxf>
      <fill>
        <patternFill>
          <bgColor theme="0" tint="-0.499984740745262"/>
        </patternFill>
      </fill>
    </dxf>
    <dxf>
      <fill>
        <patternFill>
          <bgColor rgb="FFFF000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rgb="FFFF0000"/>
        </patternFill>
      </fill>
    </dxf>
    <dxf>
      <fill>
        <patternFill>
          <bgColor rgb="FFFF0000"/>
        </patternFill>
      </fill>
    </dxf>
    <dxf>
      <fill>
        <patternFill>
          <bgColor rgb="FFFFFF00"/>
        </patternFill>
      </fill>
    </dxf>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5.xml"/><Relationship Id="rId47" Type="http://schemas.openxmlformats.org/officeDocument/2006/relationships/externalLink" Target="externalLinks/externalLink10.xml"/><Relationship Id="rId50"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3.xml"/><Relationship Id="rId45" Type="http://schemas.openxmlformats.org/officeDocument/2006/relationships/externalLink" Target="externalLinks/externalLink8.xml"/><Relationship Id="rId53"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7.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6.xml"/><Relationship Id="rId48" Type="http://schemas.openxmlformats.org/officeDocument/2006/relationships/externalLink" Target="externalLinks/externalLink11.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46" Type="http://schemas.openxmlformats.org/officeDocument/2006/relationships/externalLink" Target="externalLinks/externalLink9.xml"/><Relationship Id="rId20" Type="http://schemas.openxmlformats.org/officeDocument/2006/relationships/worksheet" Target="worksheets/sheet20.xml"/><Relationship Id="rId41"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2.xml"/></Relationships>
</file>

<file path=xl/drawings/_rels/drawing10.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1" Type="http://schemas.openxmlformats.org/officeDocument/2006/relationships/image" Target="../media/image5.emf"/></Relationships>
</file>

<file path=xl/drawings/_rels/drawing13.xml.rels><?xml version="1.0" encoding="UTF-8" standalone="yes"?>
<Relationships xmlns="http://schemas.openxmlformats.org/package/2006/relationships"><Relationship Id="rId1" Type="http://schemas.openxmlformats.org/officeDocument/2006/relationships/image" Target="../media/image6.png"/></Relationships>
</file>

<file path=xl/drawings/_rels/drawing14.xml.rels><?xml version="1.0" encoding="UTF-8" standalone="yes"?>
<Relationships xmlns="http://schemas.openxmlformats.org/package/2006/relationships"><Relationship Id="rId1" Type="http://schemas.openxmlformats.org/officeDocument/2006/relationships/image" Target="../media/image6.png"/></Relationships>
</file>

<file path=xl/drawings/_rels/drawing15.xml.rels><?xml version="1.0" encoding="UTF-8" standalone="yes"?>
<Relationships xmlns="http://schemas.openxmlformats.org/package/2006/relationships"><Relationship Id="rId1" Type="http://schemas.openxmlformats.org/officeDocument/2006/relationships/image" Target="../media/image6.png"/></Relationships>
</file>

<file path=xl/drawings/_rels/drawing16.xml.rels><?xml version="1.0" encoding="UTF-8" standalone="yes"?>
<Relationships xmlns="http://schemas.openxmlformats.org/package/2006/relationships"><Relationship Id="rId1" Type="http://schemas.openxmlformats.org/officeDocument/2006/relationships/image" Target="../media/image6.png"/></Relationships>
</file>

<file path=xl/drawings/_rels/drawing18.xml.rels><?xml version="1.0" encoding="UTF-8" standalone="yes"?>
<Relationships xmlns="http://schemas.openxmlformats.org/package/2006/relationships"><Relationship Id="rId1" Type="http://schemas.openxmlformats.org/officeDocument/2006/relationships/image" Target="../media/image7.png"/></Relationships>
</file>

<file path=xl/drawings/_rels/drawing19.xml.rels><?xml version="1.0" encoding="UTF-8" standalone="yes"?>
<Relationships xmlns="http://schemas.openxmlformats.org/package/2006/relationships"><Relationship Id="rId1" Type="http://schemas.openxmlformats.org/officeDocument/2006/relationships/image" Target="../media/image7.png"/></Relationships>
</file>

<file path=xl/drawings/_rels/drawing20.xml.rels><?xml version="1.0" encoding="UTF-8" standalone="yes"?>
<Relationships xmlns="http://schemas.openxmlformats.org/package/2006/relationships"><Relationship Id="rId1" Type="http://schemas.openxmlformats.org/officeDocument/2006/relationships/image" Target="../media/image8.png"/></Relationships>
</file>

<file path=xl/drawings/_rels/drawing21.xml.rels><?xml version="1.0" encoding="UTF-8" standalone="yes"?>
<Relationships xmlns="http://schemas.openxmlformats.org/package/2006/relationships"><Relationship Id="rId1" Type="http://schemas.openxmlformats.org/officeDocument/2006/relationships/image" Target="../media/image9.emf"/></Relationships>
</file>

<file path=xl/drawings/_rels/drawing22.xml.rels><?xml version="1.0" encoding="UTF-8" standalone="yes"?>
<Relationships xmlns="http://schemas.openxmlformats.org/package/2006/relationships"><Relationship Id="rId1" Type="http://schemas.openxmlformats.org/officeDocument/2006/relationships/image" Target="../media/image9.emf"/></Relationships>
</file>

<file path=xl/drawings/_rels/drawing23.xml.rels><?xml version="1.0" encoding="UTF-8" standalone="yes"?>
<Relationships xmlns="http://schemas.openxmlformats.org/package/2006/relationships"><Relationship Id="rId1" Type="http://schemas.openxmlformats.org/officeDocument/2006/relationships/image" Target="../media/image10.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2.emf"/></Relationships>
</file>

<file path=xl/drawings/_rels/drawing33.xml.rels><?xml version="1.0" encoding="UTF-8" standalone="yes"?>
<Relationships xmlns="http://schemas.openxmlformats.org/package/2006/relationships"><Relationship Id="rId1" Type="http://schemas.openxmlformats.org/officeDocument/2006/relationships/image" Target="../media/image14.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3.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5.emf"/></Relationships>
</file>

<file path=xl/drawings/drawing1.xml><?xml version="1.0" encoding="utf-8"?>
<xdr:wsDr xmlns:xdr="http://schemas.openxmlformats.org/drawingml/2006/spreadsheetDrawing" xmlns:a="http://schemas.openxmlformats.org/drawingml/2006/main">
  <xdr:twoCellAnchor>
    <xdr:from>
      <xdr:col>4</xdr:col>
      <xdr:colOff>952500</xdr:colOff>
      <xdr:row>0</xdr:row>
      <xdr:rowOff>0</xdr:rowOff>
    </xdr:from>
    <xdr:to>
      <xdr:col>11</xdr:col>
      <xdr:colOff>11207</xdr:colOff>
      <xdr:row>2</xdr:row>
      <xdr:rowOff>22413</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5867400" y="0"/>
          <a:ext cx="6307232" cy="1832163"/>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t>【</a:t>
          </a:r>
          <a:r>
            <a:rPr kumimoji="1" lang="ja-JP" altLang="en-US" sz="1200"/>
            <a:t>補助金用パスワードについて</a:t>
          </a:r>
          <a:r>
            <a:rPr kumimoji="1" lang="en-US" altLang="ja-JP" sz="1200"/>
            <a:t>】</a:t>
          </a:r>
        </a:p>
        <a:p>
          <a:r>
            <a:rPr kumimoji="1" lang="ja-JP" altLang="en-US" sz="1600" b="1" u="sng">
              <a:solidFill>
                <a:schemeClr val="bg1"/>
              </a:solidFill>
            </a:rPr>
            <a:t>通常は変更厳禁！！！</a:t>
          </a:r>
        </a:p>
        <a:p>
          <a:r>
            <a:rPr kumimoji="1" lang="ja-JP" altLang="en-US" sz="1200">
              <a:solidFill>
                <a:srgbClr val="FFFF00"/>
              </a:solidFill>
            </a:rPr>
            <a:t>ただし、以下の場合は変更すること。</a:t>
          </a:r>
          <a:endParaRPr kumimoji="1" lang="en-US" altLang="ja-JP" sz="1200">
            <a:solidFill>
              <a:srgbClr val="FFFF00"/>
            </a:solidFill>
          </a:endParaRPr>
        </a:p>
        <a:p>
          <a:r>
            <a:rPr kumimoji="1" lang="ja-JP" altLang="en-US" sz="1200"/>
            <a:t>（</a:t>
          </a:r>
          <a:r>
            <a:rPr kumimoji="1" lang="en-US" altLang="ja-JP" sz="1200"/>
            <a:t>RANDBETWEEN</a:t>
          </a:r>
          <a:r>
            <a:rPr kumimoji="1" lang="ja-JP" altLang="en-US" sz="1200"/>
            <a:t>で付番（</a:t>
          </a:r>
          <a:r>
            <a:rPr kumimoji="1" lang="en-US" altLang="ja-JP" sz="1200"/>
            <a:t>3</a:t>
          </a:r>
          <a:r>
            <a:rPr kumimoji="1" lang="ja-JP" altLang="en-US" sz="1200"/>
            <a:t>行目参照。アルファベット</a:t>
          </a:r>
          <a:r>
            <a:rPr kumimoji="1" lang="en-US" altLang="ja-JP" sz="1200"/>
            <a:t>3</a:t>
          </a:r>
          <a:r>
            <a:rPr kumimoji="1" lang="ja-JP" altLang="en-US" sz="1200"/>
            <a:t>桁</a:t>
          </a:r>
          <a:r>
            <a:rPr kumimoji="1" lang="en-US" altLang="ja-JP" sz="1200"/>
            <a:t>+</a:t>
          </a:r>
          <a:r>
            <a:rPr kumimoji="1" lang="ja-JP" altLang="en-US" sz="1200"/>
            <a:t>数字</a:t>
          </a:r>
          <a:r>
            <a:rPr kumimoji="1" lang="en-US" altLang="ja-JP" sz="1200"/>
            <a:t>5</a:t>
          </a:r>
          <a:r>
            <a:rPr kumimoji="1" lang="ja-JP" altLang="en-US" sz="1200"/>
            <a:t>桁）→値貼り付けで固定）</a:t>
          </a:r>
        </a:p>
        <a:p>
          <a:endParaRPr kumimoji="1" lang="ja-JP" altLang="en-US" sz="1200"/>
        </a:p>
        <a:p>
          <a:r>
            <a:rPr kumimoji="1" lang="ja-JP" altLang="en-US" sz="1200"/>
            <a:t>・運営法人等が変更した場合</a:t>
          </a:r>
        </a:p>
        <a:p>
          <a:r>
            <a:rPr kumimoji="1" lang="ja-JP" altLang="en-US" sz="1200"/>
            <a:t>・当該施設以外に漏洩した場合</a:t>
          </a:r>
        </a:p>
        <a:p>
          <a:endParaRPr kumimoji="1" lang="ja-JP" altLang="en-US" sz="1100"/>
        </a:p>
        <a:p>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52</xdr:col>
      <xdr:colOff>593912</xdr:colOff>
      <xdr:row>0</xdr:row>
      <xdr:rowOff>257735</xdr:rowOff>
    </xdr:from>
    <xdr:to>
      <xdr:col>57</xdr:col>
      <xdr:colOff>280147</xdr:colOff>
      <xdr:row>5</xdr:row>
      <xdr:rowOff>235324</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27633706" y="257735"/>
          <a:ext cx="2711823" cy="1098177"/>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BB</a:t>
          </a:r>
          <a:r>
            <a:rPr kumimoji="1" lang="ja-JP" altLang="en-US" sz="1100"/>
            <a:t>列に職種（Ａ</a:t>
          </a:r>
          <a:r>
            <a:rPr kumimoji="1" lang="en-US" altLang="ja-JP" sz="1100"/>
            <a:t>~</a:t>
          </a:r>
          <a:r>
            <a:rPr kumimoji="1" lang="ja-JP" altLang="en-US" sz="1100"/>
            <a:t>Ｆ）表示させたい</a:t>
          </a:r>
          <a:endParaRPr kumimoji="1" lang="en-US" altLang="ja-JP" sz="1100"/>
        </a:p>
        <a:p>
          <a:endParaRPr kumimoji="1" lang="en-US" altLang="ja-JP" sz="1100"/>
        </a:p>
        <a:p>
          <a:r>
            <a:rPr kumimoji="1" lang="ja-JP" altLang="en-US" sz="1100"/>
            <a:t>簡単な式にできないか？</a:t>
          </a:r>
        </a:p>
      </xdr:txBody>
    </xdr:sp>
    <xdr:clientData/>
  </xdr:twoCellAnchor>
  <xdr:twoCellAnchor>
    <xdr:from>
      <xdr:col>4</xdr:col>
      <xdr:colOff>481854</xdr:colOff>
      <xdr:row>1</xdr:row>
      <xdr:rowOff>33617</xdr:rowOff>
    </xdr:from>
    <xdr:to>
      <xdr:col>18</xdr:col>
      <xdr:colOff>705973</xdr:colOff>
      <xdr:row>3</xdr:row>
      <xdr:rowOff>67235</xdr:rowOff>
    </xdr:to>
    <xdr:sp macro="" textlink="">
      <xdr:nvSpPr>
        <xdr:cNvPr id="5" name="吹き出し: 四角形 4">
          <a:extLst>
            <a:ext uri="{FF2B5EF4-FFF2-40B4-BE49-F238E27FC236}">
              <a16:creationId xmlns:a16="http://schemas.microsoft.com/office/drawing/2014/main" id="{00000000-0008-0000-0A00-000005000000}"/>
            </a:ext>
          </a:extLst>
        </xdr:cNvPr>
        <xdr:cNvSpPr/>
      </xdr:nvSpPr>
      <xdr:spPr>
        <a:xfrm>
          <a:off x="2297207" y="347382"/>
          <a:ext cx="4840942" cy="481853"/>
        </a:xfrm>
        <a:prstGeom prst="wedgeRectCallout">
          <a:avLst>
            <a:gd name="adj1" fmla="val 7305"/>
            <a:gd name="adj2" fmla="val 74548"/>
          </a:avLst>
        </a:prstGeom>
        <a:solidFill>
          <a:srgbClr val="FFFF00"/>
        </a:solidFill>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900">
              <a:latin typeface="ＭＳ Ｐゴシック" panose="020B0600070205080204" pitchFamily="50" charset="-128"/>
              <a:ea typeface="ＭＳ Ｐゴシック" panose="020B0600070205080204" pitchFamily="50" charset="-128"/>
            </a:rPr>
            <a:t>一番左の欄の「職種」に関連する資格以外の資格については、Ｅｘｃｅｌの便宜上入力不要です。</a:t>
          </a:r>
          <a:endParaRPr kumimoji="1" lang="en-US" altLang="ja-JP" sz="900">
            <a:latin typeface="ＭＳ Ｐゴシック" panose="020B0600070205080204" pitchFamily="50" charset="-128"/>
            <a:ea typeface="ＭＳ Ｐゴシック" panose="020B0600070205080204" pitchFamily="50" charset="-128"/>
          </a:endParaRPr>
        </a:p>
        <a:p>
          <a:pPr algn="l"/>
          <a:r>
            <a:rPr kumimoji="1" lang="ja-JP" altLang="en-US" sz="900">
              <a:latin typeface="ＭＳ Ｐゴシック" panose="020B0600070205080204" pitchFamily="50" charset="-128"/>
              <a:ea typeface="ＭＳ Ｐゴシック" panose="020B0600070205080204" pitchFamily="50" charset="-128"/>
            </a:rPr>
            <a:t>例）職種が「保育士」の場合、「看護師」資格を有していても、この欄への記載は不要です。</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24</xdr:col>
          <xdr:colOff>117582</xdr:colOff>
          <xdr:row>12</xdr:row>
          <xdr:rowOff>281647</xdr:rowOff>
        </xdr:from>
        <xdr:to>
          <xdr:col>34</xdr:col>
          <xdr:colOff>375316</xdr:colOff>
          <xdr:row>29</xdr:row>
          <xdr:rowOff>270441</xdr:rowOff>
        </xdr:to>
        <xdr:pic>
          <xdr:nvPicPr>
            <xdr:cNvPr id="8" name="図 7">
              <a:extLst>
                <a:ext uri="{FF2B5EF4-FFF2-40B4-BE49-F238E27FC236}">
                  <a16:creationId xmlns:a16="http://schemas.microsoft.com/office/drawing/2014/main" id="{00000000-0008-0000-0A00-000008000000}"/>
                </a:ext>
              </a:extLst>
            </xdr:cNvPr>
            <xdr:cNvPicPr>
              <a:picLocks noChangeAspect="1" noChangeArrowheads="1"/>
              <a:extLst>
                <a:ext uri="{84589F7E-364E-4C9E-8A38-B11213B215E9}">
                  <a14:cameraTool cellRange="$BK$136:$BL$151" spid="_x0000_s107109"/>
                </a:ext>
              </a:extLst>
            </xdr:cNvPicPr>
          </xdr:nvPicPr>
          <xdr:blipFill>
            <a:blip xmlns:r="http://schemas.openxmlformats.org/officeDocument/2006/relationships" r:embed="rId1"/>
            <a:srcRect/>
            <a:stretch>
              <a:fillRect/>
            </a:stretch>
          </xdr:blipFill>
          <xdr:spPr bwMode="auto">
            <a:xfrm>
              <a:off x="10931258" y="4013206"/>
              <a:ext cx="6533029" cy="4941794"/>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17</xdr:col>
      <xdr:colOff>0</xdr:colOff>
      <xdr:row>107</xdr:row>
      <xdr:rowOff>0</xdr:rowOff>
    </xdr:from>
    <xdr:to>
      <xdr:col>17</xdr:col>
      <xdr:colOff>666750</xdr:colOff>
      <xdr:row>109</xdr:row>
      <xdr:rowOff>38100</xdr:rowOff>
    </xdr:to>
    <xdr:sp macro="" textlink="">
      <xdr:nvSpPr>
        <xdr:cNvPr id="5534" name="AutoShape 414">
          <a:extLst>
            <a:ext uri="{FF2B5EF4-FFF2-40B4-BE49-F238E27FC236}">
              <a16:creationId xmlns:a16="http://schemas.microsoft.com/office/drawing/2014/main" id="{00000000-0008-0000-0A00-00009E150000}"/>
            </a:ext>
          </a:extLst>
        </xdr:cNvPr>
        <xdr:cNvSpPr>
          <a:spLocks noChangeAspect="1" noChangeArrowheads="1"/>
        </xdr:cNvSpPr>
      </xdr:nvSpPr>
      <xdr:spPr bwMode="auto">
        <a:xfrm>
          <a:off x="5762625" y="30841950"/>
          <a:ext cx="666750" cy="6000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22</xdr:col>
      <xdr:colOff>504826</xdr:colOff>
      <xdr:row>1</xdr:row>
      <xdr:rowOff>180975</xdr:rowOff>
    </xdr:from>
    <xdr:to>
      <xdr:col>22</xdr:col>
      <xdr:colOff>695325</xdr:colOff>
      <xdr:row>5</xdr:row>
      <xdr:rowOff>76200</xdr:rowOff>
    </xdr:to>
    <xdr:cxnSp macro="">
      <xdr:nvCxnSpPr>
        <xdr:cNvPr id="6" name="直線コネクタ 5">
          <a:extLst>
            <a:ext uri="{FF2B5EF4-FFF2-40B4-BE49-F238E27FC236}">
              <a16:creationId xmlns:a16="http://schemas.microsoft.com/office/drawing/2014/main" id="{00000000-0008-0000-0A00-000006000000}"/>
            </a:ext>
          </a:extLst>
        </xdr:cNvPr>
        <xdr:cNvCxnSpPr/>
      </xdr:nvCxnSpPr>
      <xdr:spPr>
        <a:xfrm flipH="1">
          <a:off x="9848851" y="495300"/>
          <a:ext cx="190499" cy="704850"/>
        </a:xfrm>
        <a:prstGeom prst="line">
          <a:avLst/>
        </a:prstGeom>
        <a:ln w="12700">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304800</xdr:colOff>
      <xdr:row>0</xdr:row>
      <xdr:rowOff>104774</xdr:rowOff>
    </xdr:from>
    <xdr:to>
      <xdr:col>23</xdr:col>
      <xdr:colOff>485775</xdr:colOff>
      <xdr:row>1</xdr:row>
      <xdr:rowOff>190500</xdr:rowOff>
    </xdr:to>
    <xdr:sp macro="" textlink="">
      <xdr:nvSpPr>
        <xdr:cNvPr id="10" name="吹き出し: 四角形 9">
          <a:extLst>
            <a:ext uri="{FF2B5EF4-FFF2-40B4-BE49-F238E27FC236}">
              <a16:creationId xmlns:a16="http://schemas.microsoft.com/office/drawing/2014/main" id="{00000000-0008-0000-0A00-00000A000000}"/>
            </a:ext>
          </a:extLst>
        </xdr:cNvPr>
        <xdr:cNvSpPr/>
      </xdr:nvSpPr>
      <xdr:spPr>
        <a:xfrm>
          <a:off x="8924925" y="104774"/>
          <a:ext cx="1704975" cy="400051"/>
        </a:xfrm>
        <a:prstGeom prst="wedgeRectCallout">
          <a:avLst>
            <a:gd name="adj1" fmla="val 7305"/>
            <a:gd name="adj2" fmla="val -7340"/>
          </a:avLst>
        </a:prstGeom>
        <a:solidFill>
          <a:srgbClr val="FFFF00"/>
        </a:solidFill>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900">
              <a:latin typeface="ＭＳ Ｐゴシック" panose="020B0600070205080204" pitchFamily="50" charset="-128"/>
              <a:ea typeface="ＭＳ Ｐゴシック" panose="020B0600070205080204" pitchFamily="50" charset="-128"/>
            </a:rPr>
            <a:t>キッズガードの方の場合は、「キッズガード」をご選択ください。</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24</xdr:col>
          <xdr:colOff>123825</xdr:colOff>
          <xdr:row>0</xdr:row>
          <xdr:rowOff>95250</xdr:rowOff>
        </xdr:from>
        <xdr:to>
          <xdr:col>32</xdr:col>
          <xdr:colOff>549648</xdr:colOff>
          <xdr:row>5</xdr:row>
          <xdr:rowOff>84044</xdr:rowOff>
        </xdr:to>
        <xdr:pic>
          <xdr:nvPicPr>
            <xdr:cNvPr id="11" name="図 10">
              <a:extLst>
                <a:ext uri="{FF2B5EF4-FFF2-40B4-BE49-F238E27FC236}">
                  <a16:creationId xmlns:a16="http://schemas.microsoft.com/office/drawing/2014/main" id="{00000000-0008-0000-0A00-00000B000000}"/>
                </a:ext>
              </a:extLst>
            </xdr:cNvPr>
            <xdr:cNvPicPr>
              <a:picLocks noChangeAspect="1" noChangeArrowheads="1"/>
              <a:extLst>
                <a:ext uri="{84589F7E-364E-4C9E-8A38-B11213B215E9}">
                  <a14:cameraTool cellRange="$B$108:$Q$112" spid="_x0000_s107110"/>
                </a:ext>
              </a:extLst>
            </xdr:cNvPicPr>
          </xdr:nvPicPr>
          <xdr:blipFill>
            <a:blip xmlns:r="http://schemas.openxmlformats.org/officeDocument/2006/relationships" r:embed="rId2"/>
            <a:srcRect/>
            <a:stretch>
              <a:fillRect/>
            </a:stretch>
          </xdr:blipFill>
          <xdr:spPr bwMode="auto">
            <a:xfrm>
              <a:off x="10937501" y="95250"/>
              <a:ext cx="5490882" cy="110938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24</xdr:col>
      <xdr:colOff>103910</xdr:colOff>
      <xdr:row>6</xdr:row>
      <xdr:rowOff>69273</xdr:rowOff>
    </xdr:from>
    <xdr:to>
      <xdr:col>33</xdr:col>
      <xdr:colOff>16402</xdr:colOff>
      <xdr:row>12</xdr:row>
      <xdr:rowOff>103910</xdr:rowOff>
    </xdr:to>
    <xdr:sp macro="" textlink="">
      <xdr:nvSpPr>
        <xdr:cNvPr id="12" name="テキスト ボックス 31">
          <a:extLst>
            <a:ext uri="{FF2B5EF4-FFF2-40B4-BE49-F238E27FC236}">
              <a16:creationId xmlns:a16="http://schemas.microsoft.com/office/drawing/2014/main" id="{00000000-0008-0000-0A00-00000C000000}"/>
            </a:ext>
          </a:extLst>
        </xdr:cNvPr>
        <xdr:cNvSpPr txBox="1"/>
      </xdr:nvSpPr>
      <xdr:spPr>
        <a:xfrm>
          <a:off x="10997046" y="2060864"/>
          <a:ext cx="5592856" cy="1801091"/>
        </a:xfrm>
        <a:prstGeom prst="rect">
          <a:avLst/>
        </a:prstGeom>
        <a:solidFill>
          <a:srgbClr val="FFFF00"/>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sz="1050" kern="100">
              <a:effectLst/>
              <a:latin typeface="Century" panose="02040604050505020304" pitchFamily="18" charset="0"/>
              <a:ea typeface="HG丸ｺﾞｼｯｸM-PRO" panose="020F0600000000000000" pitchFamily="50" charset="-128"/>
              <a:cs typeface="Times New Roman" panose="02020603050405020304" pitchFamily="18" charset="0"/>
            </a:rPr>
            <a:t>【注意点】</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spcAft>
              <a:spcPts val="0"/>
            </a:spcAft>
          </a:pPr>
          <a:r>
            <a:rPr lang="ja-JP" sz="1050" kern="100">
              <a:effectLst/>
              <a:latin typeface="Century" panose="02040604050505020304" pitchFamily="18" charset="0"/>
              <a:ea typeface="HG丸ｺﾞｼｯｸM-PRO" panose="020F0600000000000000" pitchFamily="50" charset="-128"/>
              <a:cs typeface="Times New Roman" panose="02020603050405020304" pitchFamily="18" charset="0"/>
            </a:rPr>
            <a:t>　</a:t>
          </a:r>
          <a:r>
            <a:rPr lang="ja-JP" sz="1050" b="1" u="sng" kern="100">
              <a:solidFill>
                <a:srgbClr val="FF0000"/>
              </a:solidFill>
              <a:effectLst/>
              <a:latin typeface="Century" panose="02040604050505020304" pitchFamily="18" charset="0"/>
              <a:ea typeface="HG丸ｺﾞｼｯｸM-PRO" panose="020F0600000000000000" pitchFamily="50" charset="-128"/>
              <a:cs typeface="Times New Roman" panose="02020603050405020304" pitchFamily="18" charset="0"/>
            </a:rPr>
            <a:t>１人の職員が複数の業務を兼務（例えば、通常保育と延長保育）する</a:t>
          </a:r>
          <a:r>
            <a:rPr lang="ja-JP" sz="1050" kern="100">
              <a:effectLst/>
              <a:latin typeface="Century" panose="02040604050505020304" pitchFamily="18" charset="0"/>
              <a:ea typeface="HG丸ｺﾞｼｯｸM-PRO" panose="020F0600000000000000" pitchFamily="50" charset="-128"/>
              <a:cs typeface="Times New Roman" panose="02020603050405020304" pitchFamily="18" charset="0"/>
            </a:rPr>
            <a:t>、あるいは</a:t>
          </a:r>
          <a:r>
            <a:rPr lang="ja-JP" sz="1050" b="1" u="sng" kern="100">
              <a:solidFill>
                <a:srgbClr val="FF0000"/>
              </a:solidFill>
              <a:effectLst/>
              <a:latin typeface="Century" panose="02040604050505020304" pitchFamily="18" charset="0"/>
              <a:ea typeface="HG丸ｺﾞｼｯｸM-PRO" panose="020F0600000000000000" pitchFamily="50" charset="-128"/>
              <a:cs typeface="Times New Roman" panose="02020603050405020304" pitchFamily="18" charset="0"/>
            </a:rPr>
            <a:t>他園でのヘルプなどをしている場合</a:t>
          </a:r>
          <a:r>
            <a:rPr lang="ja-JP" sz="1050" kern="100">
              <a:effectLst/>
              <a:latin typeface="Century" panose="02040604050505020304" pitchFamily="18" charset="0"/>
              <a:ea typeface="HG丸ｺﾞｼｯｸM-PRO" panose="020F0600000000000000" pitchFamily="50" charset="-128"/>
              <a:cs typeface="Times New Roman" panose="02020603050405020304" pitchFamily="18" charset="0"/>
            </a:rPr>
            <a:t>には、便宜上、勤務形態を「パート・非常勤」として、勤務時間を切り分けていただき、後述の「勤務時間数入力シート（シート②－２）」に</a:t>
          </a:r>
          <a:r>
            <a:rPr lang="ja-JP" sz="1050" b="1" u="sng" kern="100">
              <a:solidFill>
                <a:srgbClr val="FF0000"/>
              </a:solidFill>
              <a:effectLst/>
              <a:latin typeface="Century" panose="02040604050505020304" pitchFamily="18" charset="0"/>
              <a:ea typeface="HG丸ｺﾞｼｯｸM-PRO" panose="020F0600000000000000" pitchFamily="50" charset="-128"/>
              <a:cs typeface="Times New Roman" panose="02020603050405020304" pitchFamily="18" charset="0"/>
            </a:rPr>
            <a:t>申請園における通常保育の勤務時間のみを入力</a:t>
          </a:r>
          <a:r>
            <a:rPr lang="ja-JP" sz="1050" kern="100">
              <a:effectLst/>
              <a:latin typeface="Century" panose="02040604050505020304" pitchFamily="18" charset="0"/>
              <a:ea typeface="HG丸ｺﾞｼｯｸM-PRO" panose="020F0600000000000000" pitchFamily="50" charset="-128"/>
              <a:cs typeface="Times New Roman" panose="02020603050405020304" pitchFamily="18" charset="0"/>
            </a:rPr>
            <a:t>する必要があります。</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spcAft>
              <a:spcPts val="0"/>
            </a:spcAft>
          </a:pPr>
          <a:r>
            <a:rPr lang="ja-JP" sz="1050" kern="100">
              <a:effectLst/>
              <a:latin typeface="Century" panose="02040604050505020304" pitchFamily="18" charset="0"/>
              <a:ea typeface="HG丸ｺﾞｼｯｸM-PRO" panose="020F0600000000000000" pitchFamily="50" charset="-128"/>
              <a:cs typeface="Times New Roman" panose="02020603050405020304" pitchFamily="18" charset="0"/>
            </a:rPr>
            <a:t>（例）正規職員</a:t>
          </a:r>
          <a:r>
            <a:rPr lang="ja-JP" sz="1050" kern="100" baseline="30000">
              <a:effectLst/>
              <a:latin typeface="Century" panose="02040604050505020304" pitchFamily="18" charset="0"/>
              <a:ea typeface="HG丸ｺﾞｼｯｸM-PRO" panose="020F0600000000000000" pitchFamily="50" charset="-128"/>
              <a:cs typeface="Times New Roman" panose="02020603050405020304" pitchFamily="18" charset="0"/>
            </a:rPr>
            <a:t>※</a:t>
          </a:r>
          <a:r>
            <a:rPr lang="ja-JP" sz="1050" kern="100">
              <a:effectLst/>
              <a:latin typeface="Century" panose="02040604050505020304" pitchFamily="18" charset="0"/>
              <a:ea typeface="HG丸ｺﾞｼｯｸM-PRO" panose="020F0600000000000000" pitchFamily="50" charset="-128"/>
              <a:cs typeface="Times New Roman" panose="02020603050405020304" pitchFamily="18" charset="0"/>
            </a:rPr>
            <a:t>がある月において１００時間を申請園での通常保育、</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indent="400050" algn="just">
            <a:spcAft>
              <a:spcPts val="0"/>
            </a:spcAft>
          </a:pPr>
          <a:r>
            <a:rPr lang="ja-JP" sz="1050" kern="100">
              <a:effectLst/>
              <a:latin typeface="Century" panose="02040604050505020304" pitchFamily="18" charset="0"/>
              <a:ea typeface="HG丸ｺﾞｼｯｸM-PRO" panose="020F0600000000000000" pitchFamily="50" charset="-128"/>
              <a:cs typeface="Times New Roman" panose="02020603050405020304" pitchFamily="18" charset="0"/>
            </a:rPr>
            <a:t>６０時間を延長保育（あるいは他園でのヘルプ）をしている場合</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indent="133350" algn="just">
            <a:spcAft>
              <a:spcPts val="0"/>
            </a:spcAft>
          </a:pPr>
          <a:r>
            <a:rPr lang="ja-JP" sz="1050" kern="100">
              <a:effectLst/>
              <a:latin typeface="Century" panose="02040604050505020304" pitchFamily="18" charset="0"/>
              <a:ea typeface="HG丸ｺﾞｼｯｸM-PRO" panose="020F0600000000000000" pitchFamily="50" charset="-128"/>
              <a:cs typeface="Times New Roman" panose="02020603050405020304" pitchFamily="18" charset="0"/>
            </a:rPr>
            <a:t>　　　→　便宜上、「パート・非常勤」として、１００時間のみ入力</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indent="133350" algn="just">
            <a:spcAft>
              <a:spcPts val="0"/>
            </a:spcAft>
          </a:pPr>
          <a:r>
            <a:rPr lang="ja-JP" sz="1050" kern="100">
              <a:effectLst/>
              <a:latin typeface="Century" panose="02040604050505020304" pitchFamily="18" charset="0"/>
              <a:ea typeface="HG丸ｺﾞｼｯｸM-PRO" panose="020F0600000000000000" pitchFamily="50" charset="-128"/>
              <a:cs typeface="Times New Roman" panose="02020603050405020304" pitchFamily="18" charset="0"/>
            </a:rPr>
            <a:t>　　</a:t>
          </a:r>
          <a:r>
            <a:rPr lang="ja-JP" sz="800" kern="100">
              <a:effectLst/>
              <a:latin typeface="Century" panose="02040604050505020304" pitchFamily="18" charset="0"/>
              <a:ea typeface="HG丸ｺﾞｼｯｸM-PRO" panose="020F0600000000000000" pitchFamily="50" charset="-128"/>
              <a:cs typeface="Times New Roman" panose="02020603050405020304" pitchFamily="18" charset="0"/>
            </a:rPr>
            <a:t>※園で定める常勤時間数が１６０時間の場合</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22</xdr:col>
      <xdr:colOff>367393</xdr:colOff>
      <xdr:row>5</xdr:row>
      <xdr:rowOff>571500</xdr:rowOff>
    </xdr:from>
    <xdr:to>
      <xdr:col>24</xdr:col>
      <xdr:colOff>299357</xdr:colOff>
      <xdr:row>6</xdr:row>
      <xdr:rowOff>54428</xdr:rowOff>
    </xdr:to>
    <xdr:cxnSp macro="">
      <xdr:nvCxnSpPr>
        <xdr:cNvPr id="13" name="直線コネクタ 12">
          <a:extLst>
            <a:ext uri="{FF2B5EF4-FFF2-40B4-BE49-F238E27FC236}">
              <a16:creationId xmlns:a16="http://schemas.microsoft.com/office/drawing/2014/main" id="{00000000-0008-0000-0A00-00000D000000}"/>
            </a:ext>
          </a:extLst>
        </xdr:cNvPr>
        <xdr:cNvCxnSpPr/>
      </xdr:nvCxnSpPr>
      <xdr:spPr>
        <a:xfrm>
          <a:off x="9756322" y="1700893"/>
          <a:ext cx="1401535" cy="340178"/>
        </a:xfrm>
        <a:prstGeom prst="line">
          <a:avLst/>
        </a:prstGeom>
        <a:ln w="12700">
          <a:prstDash val="sysDash"/>
        </a:ln>
      </xdr:spPr>
      <xdr:style>
        <a:lnRef idx="1">
          <a:schemeClr val="dk1"/>
        </a:lnRef>
        <a:fillRef idx="0">
          <a:schemeClr val="dk1"/>
        </a:fillRef>
        <a:effectRef idx="0">
          <a:schemeClr val="dk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17</xdr:col>
      <xdr:colOff>173347</xdr:colOff>
      <xdr:row>6</xdr:row>
      <xdr:rowOff>159977</xdr:rowOff>
    </xdr:from>
    <xdr:to>
      <xdr:col>29</xdr:col>
      <xdr:colOff>129568</xdr:colOff>
      <xdr:row>12</xdr:row>
      <xdr:rowOff>228253</xdr:rowOff>
    </xdr:to>
    <xdr:sp macro="" textlink="">
      <xdr:nvSpPr>
        <xdr:cNvPr id="5" name="テキスト ボックス 30">
          <a:extLst>
            <a:ext uri="{FF2B5EF4-FFF2-40B4-BE49-F238E27FC236}">
              <a16:creationId xmlns:a16="http://schemas.microsoft.com/office/drawing/2014/main" id="{00000000-0008-0000-0B00-000005000000}"/>
            </a:ext>
          </a:extLst>
        </xdr:cNvPr>
        <xdr:cNvSpPr txBox="1"/>
      </xdr:nvSpPr>
      <xdr:spPr>
        <a:xfrm>
          <a:off x="9891115" y="2405156"/>
          <a:ext cx="6215507" cy="1837204"/>
        </a:xfrm>
        <a:prstGeom prst="rect">
          <a:avLst/>
        </a:prstGeom>
        <a:solidFill>
          <a:schemeClr val="lt1"/>
        </a:solidFill>
        <a:ln w="6350">
          <a:solidFill>
            <a:prstClr val="black"/>
          </a:solidFill>
          <a:prstDash val="sysDash"/>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200"/>
            </a:lnSpc>
            <a:spcAft>
              <a:spcPts val="0"/>
            </a:spcAft>
          </a:pPr>
          <a:r>
            <a:rPr lang="ja-JP" sz="800" kern="100">
              <a:effectLst/>
              <a:latin typeface="Century" panose="02040604050505020304" pitchFamily="18" charset="0"/>
              <a:ea typeface="HG丸ｺﾞｼｯｸM-PRO" panose="020F0600000000000000" pitchFamily="50" charset="-128"/>
              <a:cs typeface="Times New Roman" panose="02020603050405020304" pitchFamily="18" charset="0"/>
            </a:rPr>
            <a:t>〇勤務時間数に算入できないケース</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indent="101600" algn="just">
            <a:lnSpc>
              <a:spcPts val="1200"/>
            </a:lnSpc>
            <a:spcAft>
              <a:spcPts val="0"/>
            </a:spcAft>
          </a:pPr>
          <a:r>
            <a:rPr lang="ja-JP" sz="800" kern="100">
              <a:effectLst/>
              <a:latin typeface="Century" panose="02040604050505020304" pitchFamily="18" charset="0"/>
              <a:ea typeface="HG丸ｺﾞｼｯｸM-PRO" panose="020F0600000000000000" pitchFamily="50" charset="-128"/>
              <a:cs typeface="Times New Roman" panose="02020603050405020304" pitchFamily="18" charset="0"/>
            </a:rPr>
            <a:t>・欠勤など、園が人件費を支払っていない場合</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indent="101600" algn="just">
            <a:lnSpc>
              <a:spcPts val="1200"/>
            </a:lnSpc>
            <a:spcAft>
              <a:spcPts val="0"/>
            </a:spcAft>
          </a:pPr>
          <a:r>
            <a:rPr lang="ja-JP" sz="800" kern="100">
              <a:effectLst/>
              <a:latin typeface="Century" panose="02040604050505020304" pitchFamily="18" charset="0"/>
              <a:ea typeface="HG丸ｺﾞｼｯｸM-PRO" panose="020F0600000000000000" pitchFamily="50" charset="-128"/>
              <a:cs typeface="Times New Roman" panose="02020603050405020304" pitchFamily="18" charset="0"/>
            </a:rPr>
            <a:t>・国等からの補助金（ハローワークからの小学校休業等対応助成金など）が出ている場合</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indent="101600" algn="just">
            <a:lnSpc>
              <a:spcPts val="1200"/>
            </a:lnSpc>
            <a:spcAft>
              <a:spcPts val="0"/>
            </a:spcAft>
          </a:pPr>
          <a:r>
            <a:rPr lang="ja-JP" sz="800" kern="100">
              <a:effectLst/>
              <a:latin typeface="Century" panose="02040604050505020304" pitchFamily="18" charset="0"/>
              <a:ea typeface="HG丸ｺﾞｼｯｸM-PRO" panose="020F0600000000000000" pitchFamily="50" charset="-128"/>
              <a:cs typeface="Times New Roman" panose="02020603050405020304" pitchFamily="18" charset="0"/>
            </a:rPr>
            <a:t>　この場合は、勤務時間数から、国から出た補助金の金額を時給で割り返した時間数を、除いてください。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indent="101600" algn="just">
            <a:lnSpc>
              <a:spcPts val="1200"/>
            </a:lnSpc>
            <a:spcAft>
              <a:spcPts val="0"/>
            </a:spcAft>
          </a:pPr>
          <a:r>
            <a:rPr lang="ja-JP" sz="800" kern="100">
              <a:effectLst/>
              <a:latin typeface="Century" panose="02040604050505020304" pitchFamily="18" charset="0"/>
              <a:ea typeface="HG丸ｺﾞｼｯｸM-PRO" panose="020F0600000000000000" pitchFamily="50" charset="-128"/>
              <a:cs typeface="Times New Roman" panose="02020603050405020304" pitchFamily="18" charset="0"/>
            </a:rPr>
            <a:t>　例）勤務時間数１００時間、時給１千円、国から１万円補助が出た場合</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indent="101600" algn="just">
            <a:lnSpc>
              <a:spcPts val="1200"/>
            </a:lnSpc>
            <a:spcAft>
              <a:spcPts val="0"/>
            </a:spcAft>
          </a:pPr>
          <a:r>
            <a:rPr lang="ja-JP" sz="800" kern="100">
              <a:effectLst/>
              <a:latin typeface="Century" panose="02040604050505020304" pitchFamily="18" charset="0"/>
              <a:ea typeface="HG丸ｺﾞｼｯｸM-PRO" panose="020F0600000000000000" pitchFamily="50" charset="-128"/>
              <a:cs typeface="Times New Roman" panose="02020603050405020304" pitchFamily="18" charset="0"/>
            </a:rPr>
            <a:t>　　　→　１００時間　－　１万円÷１千円　＝　９０時間</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lnSpc>
              <a:spcPts val="1200"/>
            </a:lnSpc>
            <a:spcAft>
              <a:spcPts val="0"/>
            </a:spcAft>
          </a:pPr>
          <a:r>
            <a:rPr lang="ja-JP" sz="800" kern="100">
              <a:effectLst/>
              <a:latin typeface="Century" panose="02040604050505020304" pitchFamily="18" charset="0"/>
              <a:ea typeface="HG丸ｺﾞｼｯｸM-PRO" panose="020F0600000000000000" pitchFamily="50" charset="-128"/>
              <a:cs typeface="Times New Roman" panose="02020603050405020304" pitchFamily="18" charset="0"/>
            </a:rPr>
            <a:t>〇勤務時間数に算入できるケース</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lnSpc>
              <a:spcPts val="1200"/>
            </a:lnSpc>
            <a:spcAft>
              <a:spcPts val="0"/>
            </a:spcAft>
          </a:pPr>
          <a:r>
            <a:rPr lang="ja-JP" sz="800" kern="100">
              <a:effectLst/>
              <a:latin typeface="Century" panose="02040604050505020304" pitchFamily="18" charset="0"/>
              <a:ea typeface="HG丸ｺﾞｼｯｸM-PRO" panose="020F0600000000000000" pitchFamily="50" charset="-128"/>
              <a:cs typeface="Times New Roman" panose="02020603050405020304" pitchFamily="18" charset="0"/>
            </a:rPr>
            <a:t>　・有給休暇や特別休暇など、園が人件費を支払っている場合</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lnSpc>
              <a:spcPts val="1200"/>
            </a:lnSpc>
            <a:spcAft>
              <a:spcPts val="0"/>
            </a:spcAft>
          </a:pPr>
          <a:r>
            <a:rPr lang="ja-JP" sz="800" kern="100">
              <a:effectLst/>
              <a:latin typeface="Century" panose="02040604050505020304" pitchFamily="18" charset="0"/>
              <a:ea typeface="HG丸ｺﾞｼｯｸM-PRO" panose="020F0600000000000000" pitchFamily="50" charset="-128"/>
              <a:cs typeface="Times New Roman" panose="02020603050405020304" pitchFamily="18" charset="0"/>
            </a:rPr>
            <a:t>　・休園中に休業手当を出した場合</a:t>
          </a:r>
          <a:r>
            <a:rPr lang="ja-JP" altLang="en-US" sz="800" kern="100">
              <a:effectLst/>
              <a:latin typeface="Century" panose="02040604050505020304" pitchFamily="18" charset="0"/>
              <a:ea typeface="HG丸ｺﾞｼｯｸM-PRO" panose="020F0600000000000000" pitchFamily="50" charset="-128"/>
              <a:cs typeface="Times New Roman" panose="02020603050405020304" pitchFamily="18" charset="0"/>
            </a:rPr>
            <a:t>等</a:t>
          </a:r>
          <a:r>
            <a:rPr lang="ja-JP" sz="800" kern="100">
              <a:effectLst/>
              <a:latin typeface="Century" panose="02040604050505020304" pitchFamily="18" charset="0"/>
              <a:ea typeface="HG丸ｺﾞｼｯｸM-PRO" panose="020F0600000000000000" pitchFamily="50" charset="-128"/>
              <a:cs typeface="Times New Roman" panose="02020603050405020304" pitchFamily="18" charset="0"/>
            </a:rPr>
            <a:t>は、時給で割り返した時間数分を、勤務時間数としてください。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indent="101600" algn="just">
            <a:lnSpc>
              <a:spcPts val="1200"/>
            </a:lnSpc>
            <a:spcAft>
              <a:spcPts val="0"/>
            </a:spcAft>
          </a:pPr>
          <a:r>
            <a:rPr lang="ja-JP" sz="800" kern="100">
              <a:effectLst/>
              <a:latin typeface="Century" panose="02040604050505020304" pitchFamily="18" charset="0"/>
              <a:ea typeface="HG丸ｺﾞｼｯｸM-PRO" panose="020F0600000000000000" pitchFamily="50" charset="-128"/>
              <a:cs typeface="Times New Roman" panose="02020603050405020304" pitchFamily="18" charset="0"/>
            </a:rPr>
            <a:t>　例）時給１千円、園から休業手当１万円を出した場合</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indent="101600" algn="just">
            <a:lnSpc>
              <a:spcPts val="1200"/>
            </a:lnSpc>
            <a:spcAft>
              <a:spcPts val="0"/>
            </a:spcAft>
          </a:pPr>
          <a:r>
            <a:rPr lang="ja-JP" sz="800" kern="100">
              <a:effectLst/>
              <a:latin typeface="Century" panose="02040604050505020304" pitchFamily="18" charset="0"/>
              <a:ea typeface="HG丸ｺﾞｼｯｸM-PRO" panose="020F0600000000000000" pitchFamily="50" charset="-128"/>
              <a:cs typeface="Times New Roman" panose="02020603050405020304" pitchFamily="18" charset="0"/>
            </a:rPr>
            <a:t>　　　→　１万円　÷　１千円　＝　１０時間</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lnSpc>
              <a:spcPts val="1200"/>
            </a:lnSpc>
            <a:spcAft>
              <a:spcPts val="0"/>
            </a:spcAft>
          </a:pPr>
          <a:r>
            <a:rPr lang="en-US" sz="800" kern="100">
              <a:effectLst/>
              <a:latin typeface="HG丸ｺﾞｼｯｸM-PRO" panose="020F0600000000000000" pitchFamily="50" charset="-128"/>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17</xdr:col>
      <xdr:colOff>154774</xdr:colOff>
      <xdr:row>4</xdr:row>
      <xdr:rowOff>567844</xdr:rowOff>
    </xdr:from>
    <xdr:to>
      <xdr:col>26</xdr:col>
      <xdr:colOff>165122</xdr:colOff>
      <xdr:row>6</xdr:row>
      <xdr:rowOff>121956</xdr:rowOff>
    </xdr:to>
    <xdr:sp macro="" textlink="">
      <xdr:nvSpPr>
        <xdr:cNvPr id="7" name="テキスト ボックス 3">
          <a:extLst>
            <a:ext uri="{FF2B5EF4-FFF2-40B4-BE49-F238E27FC236}">
              <a16:creationId xmlns:a16="http://schemas.microsoft.com/office/drawing/2014/main" id="{00000000-0008-0000-0B00-000007000000}"/>
            </a:ext>
          </a:extLst>
        </xdr:cNvPr>
        <xdr:cNvSpPr txBox="1"/>
      </xdr:nvSpPr>
      <xdr:spPr>
        <a:xfrm>
          <a:off x="9872542" y="1429630"/>
          <a:ext cx="4704812" cy="937505"/>
        </a:xfrm>
        <a:prstGeom prst="rect">
          <a:avLst/>
        </a:prstGeom>
        <a:solidFill>
          <a:schemeClr val="lt1"/>
        </a:solidFill>
        <a:ln w="9525"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a:lnSpc>
              <a:spcPts val="1200"/>
            </a:lnSpc>
            <a:spcAft>
              <a:spcPts val="0"/>
            </a:spcAft>
          </a:pPr>
          <a:r>
            <a:rPr lang="ja-JP" sz="9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【補足： 常勤保育士及び短時間保育士の定義】</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lnSpc>
              <a:spcPts val="1200"/>
            </a:lnSpc>
            <a:spcAft>
              <a:spcPts val="0"/>
            </a:spcAft>
          </a:pPr>
          <a:r>
            <a:rPr lang="ja-JP" sz="9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　当該補助金については、令和４年度以前と同様、以下の定義で入力をお願いします。</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lnSpc>
              <a:spcPts val="1200"/>
            </a:lnSpc>
            <a:spcAft>
              <a:spcPts val="0"/>
            </a:spcAft>
          </a:pPr>
          <a:r>
            <a:rPr lang="ja-JP" sz="9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　　→　常　勤：園の就業規則で定める常勤時間</a:t>
          </a:r>
          <a:r>
            <a:rPr lang="ja-JP" sz="900" u="sng">
              <a:solidFill>
                <a:srgbClr val="FF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以上</a:t>
          </a:r>
          <a:r>
            <a:rPr lang="ja-JP" sz="9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の勤務を行う者</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lnSpc>
              <a:spcPts val="1200"/>
            </a:lnSpc>
            <a:spcAft>
              <a:spcPts val="0"/>
            </a:spcAft>
          </a:pPr>
          <a:r>
            <a:rPr lang="ja-JP" sz="9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　　　　非常勤：園の就業規則で定める常勤時間</a:t>
          </a:r>
          <a:r>
            <a:rPr lang="ja-JP" sz="900" u="sng">
              <a:solidFill>
                <a:srgbClr val="FF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未満</a:t>
          </a:r>
          <a:r>
            <a:rPr lang="ja-JP" sz="9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の勤務を行う者</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lnSpc>
              <a:spcPts val="1200"/>
            </a:lnSpc>
            <a:spcAft>
              <a:spcPts val="0"/>
            </a:spcAft>
          </a:pPr>
          <a:r>
            <a:rPr lang="ja-JP" sz="1000">
              <a:effectLst/>
              <a:latin typeface="ＭＳ Ｐゴシック" panose="020B0600070205080204" pitchFamily="50" charset="-128"/>
              <a:ea typeface="HG丸ｺﾞｼｯｸM-PRO" panose="020F0600000000000000" pitchFamily="50" charset="-128"/>
              <a:cs typeface="ＭＳ Ｐゴシック" panose="020B0600070205080204" pitchFamily="50" charset="-128"/>
            </a:rPr>
            <a:t>　※今後、国等の動向を踏まえ、変更する場合は別途ご連絡いたします。</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twoCellAnchor editAs="oneCell">
    <xdr:from>
      <xdr:col>17</xdr:col>
      <xdr:colOff>192766</xdr:colOff>
      <xdr:row>13</xdr:row>
      <xdr:rowOff>2835</xdr:rowOff>
    </xdr:from>
    <xdr:to>
      <xdr:col>29</xdr:col>
      <xdr:colOff>198323</xdr:colOff>
      <xdr:row>31</xdr:row>
      <xdr:rowOff>40936</xdr:rowOff>
    </xdr:to>
    <xdr:pic>
      <xdr:nvPicPr>
        <xdr:cNvPr id="6" name="図 5">
          <a:extLst>
            <a:ext uri="{FF2B5EF4-FFF2-40B4-BE49-F238E27FC236}">
              <a16:creationId xmlns:a16="http://schemas.microsoft.com/office/drawing/2014/main" id="{BFA248E1-466C-41D4-BBC4-F6FB8B832F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10534" y="4311764"/>
          <a:ext cx="6268018" cy="53448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21</xdr:row>
      <xdr:rowOff>116862</xdr:rowOff>
    </xdr:from>
    <xdr:to>
      <xdr:col>8</xdr:col>
      <xdr:colOff>102507</xdr:colOff>
      <xdr:row>37</xdr:row>
      <xdr:rowOff>55230</xdr:rowOff>
    </xdr:to>
    <xdr:sp macro="" textlink="">
      <xdr:nvSpPr>
        <xdr:cNvPr id="4" name="矢印: 上 3">
          <a:extLst>
            <a:ext uri="{FF2B5EF4-FFF2-40B4-BE49-F238E27FC236}">
              <a16:creationId xmlns:a16="http://schemas.microsoft.com/office/drawing/2014/main" id="{00000000-0008-0000-0C00-000004000000}"/>
            </a:ext>
          </a:extLst>
        </xdr:cNvPr>
        <xdr:cNvSpPr/>
      </xdr:nvSpPr>
      <xdr:spPr>
        <a:xfrm>
          <a:off x="0" y="6246480"/>
          <a:ext cx="5481331" cy="2448485"/>
        </a:xfrm>
        <a:prstGeom prst="upArrow">
          <a:avLst>
            <a:gd name="adj1" fmla="val 71297"/>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t>月の初日現在の入所児童数（管外受託の児童を含む）を記載してください。</a:t>
          </a: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37</xdr:col>
      <xdr:colOff>136072</xdr:colOff>
      <xdr:row>7</xdr:row>
      <xdr:rowOff>181426</xdr:rowOff>
    </xdr:from>
    <xdr:to>
      <xdr:col>52</xdr:col>
      <xdr:colOff>186885</xdr:colOff>
      <xdr:row>11</xdr:row>
      <xdr:rowOff>294819</xdr:rowOff>
    </xdr:to>
    <xdr:pic>
      <xdr:nvPicPr>
        <xdr:cNvPr id="3" name="図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a:stretch>
          <a:fillRect/>
        </a:stretch>
      </xdr:blipFill>
      <xdr:spPr>
        <a:xfrm>
          <a:off x="13346340" y="3753301"/>
          <a:ext cx="8816081" cy="198437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34</xdr:col>
      <xdr:colOff>113394</xdr:colOff>
      <xdr:row>6</xdr:row>
      <xdr:rowOff>782411</xdr:rowOff>
    </xdr:from>
    <xdr:to>
      <xdr:col>49</xdr:col>
      <xdr:colOff>164207</xdr:colOff>
      <xdr:row>10</xdr:row>
      <xdr:rowOff>351518</xdr:rowOff>
    </xdr:to>
    <xdr:pic>
      <xdr:nvPicPr>
        <xdr:cNvPr id="2" name="図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12722680" y="2698750"/>
          <a:ext cx="8816081" cy="198437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46</xdr:col>
      <xdr:colOff>135269</xdr:colOff>
      <xdr:row>5</xdr:row>
      <xdr:rowOff>97651</xdr:rowOff>
    </xdr:from>
    <xdr:to>
      <xdr:col>59</xdr:col>
      <xdr:colOff>264390</xdr:colOff>
      <xdr:row>8</xdr:row>
      <xdr:rowOff>36152</xdr:rowOff>
    </xdr:to>
    <xdr:pic>
      <xdr:nvPicPr>
        <xdr:cNvPr id="2" name="図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16273340" y="1526401"/>
          <a:ext cx="8973764" cy="206121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22</xdr:col>
      <xdr:colOff>134469</xdr:colOff>
      <xdr:row>4</xdr:row>
      <xdr:rowOff>235324</xdr:rowOff>
    </xdr:from>
    <xdr:to>
      <xdr:col>35</xdr:col>
      <xdr:colOff>64285</xdr:colOff>
      <xdr:row>7</xdr:row>
      <xdr:rowOff>247464</xdr:rowOff>
    </xdr:to>
    <xdr:pic>
      <xdr:nvPicPr>
        <xdr:cNvPr id="2" name="図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7844116" y="1322295"/>
          <a:ext cx="8816081" cy="198437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21</xdr:col>
      <xdr:colOff>671513</xdr:colOff>
      <xdr:row>10</xdr:row>
      <xdr:rowOff>61914</xdr:rowOff>
    </xdr:from>
    <xdr:to>
      <xdr:col>29</xdr:col>
      <xdr:colOff>9527</xdr:colOff>
      <xdr:row>13</xdr:row>
      <xdr:rowOff>3</xdr:rowOff>
    </xdr:to>
    <xdr:sp macro="" textlink="">
      <xdr:nvSpPr>
        <xdr:cNvPr id="2" name="右中かっこ 1">
          <a:extLst>
            <a:ext uri="{FF2B5EF4-FFF2-40B4-BE49-F238E27FC236}">
              <a16:creationId xmlns:a16="http://schemas.microsoft.com/office/drawing/2014/main" id="{00000000-0008-0000-1100-000002000000}"/>
            </a:ext>
          </a:extLst>
        </xdr:cNvPr>
        <xdr:cNvSpPr/>
      </xdr:nvSpPr>
      <xdr:spPr>
        <a:xfrm rot="5400000">
          <a:off x="17159288" y="357189"/>
          <a:ext cx="652464" cy="4824414"/>
        </a:xfrm>
        <a:prstGeom prst="rightBrace">
          <a:avLst>
            <a:gd name="adj1" fmla="val 36509"/>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19050</xdr:colOff>
      <xdr:row>13</xdr:row>
      <xdr:rowOff>228600</xdr:rowOff>
    </xdr:from>
    <xdr:to>
      <xdr:col>27</xdr:col>
      <xdr:colOff>657225</xdr:colOff>
      <xdr:row>15</xdr:row>
      <xdr:rowOff>190500</xdr:rowOff>
    </xdr:to>
    <xdr:sp macro="" textlink="">
      <xdr:nvSpPr>
        <xdr:cNvPr id="3" name="テキスト ボックス 2">
          <a:extLst>
            <a:ext uri="{FF2B5EF4-FFF2-40B4-BE49-F238E27FC236}">
              <a16:creationId xmlns:a16="http://schemas.microsoft.com/office/drawing/2014/main" id="{00000000-0008-0000-1100-000003000000}"/>
            </a:ext>
          </a:extLst>
        </xdr:cNvPr>
        <xdr:cNvSpPr txBox="1"/>
      </xdr:nvSpPr>
      <xdr:spPr>
        <a:xfrm>
          <a:off x="17164050" y="3324225"/>
          <a:ext cx="2009775" cy="438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①支出可能補助　算出</a:t>
          </a:r>
        </a:p>
      </xdr:txBody>
    </xdr:sp>
    <xdr:clientData/>
  </xdr:twoCellAnchor>
  <xdr:twoCellAnchor>
    <xdr:from>
      <xdr:col>31</xdr:col>
      <xdr:colOff>0</xdr:colOff>
      <xdr:row>9</xdr:row>
      <xdr:rowOff>219075</xdr:rowOff>
    </xdr:from>
    <xdr:to>
      <xdr:col>49</xdr:col>
      <xdr:colOff>4764</xdr:colOff>
      <xdr:row>12</xdr:row>
      <xdr:rowOff>157164</xdr:rowOff>
    </xdr:to>
    <xdr:sp macro="" textlink="">
      <xdr:nvSpPr>
        <xdr:cNvPr id="4" name="右中かっこ 3">
          <a:extLst>
            <a:ext uri="{FF2B5EF4-FFF2-40B4-BE49-F238E27FC236}">
              <a16:creationId xmlns:a16="http://schemas.microsoft.com/office/drawing/2014/main" id="{00000000-0008-0000-1100-000004000000}"/>
            </a:ext>
          </a:extLst>
        </xdr:cNvPr>
        <xdr:cNvSpPr/>
      </xdr:nvSpPr>
      <xdr:spPr>
        <a:xfrm rot="5400000">
          <a:off x="18869025" y="-66675"/>
          <a:ext cx="652464" cy="5510214"/>
        </a:xfrm>
        <a:prstGeom prst="rightBrace">
          <a:avLst>
            <a:gd name="adj1" fmla="val 36509"/>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190500</xdr:colOff>
      <xdr:row>14</xdr:row>
      <xdr:rowOff>190500</xdr:rowOff>
    </xdr:from>
    <xdr:to>
      <xdr:col>46</xdr:col>
      <xdr:colOff>533400</xdr:colOff>
      <xdr:row>17</xdr:row>
      <xdr:rowOff>171450</xdr:rowOff>
    </xdr:to>
    <xdr:sp macro="" textlink="">
      <xdr:nvSpPr>
        <xdr:cNvPr id="5" name="テキスト ボックス 4">
          <a:extLst>
            <a:ext uri="{FF2B5EF4-FFF2-40B4-BE49-F238E27FC236}">
              <a16:creationId xmlns:a16="http://schemas.microsoft.com/office/drawing/2014/main" id="{00000000-0008-0000-1100-000005000000}"/>
            </a:ext>
          </a:extLst>
        </xdr:cNvPr>
        <xdr:cNvSpPr txBox="1"/>
      </xdr:nvSpPr>
      <xdr:spPr>
        <a:xfrm>
          <a:off x="22821900" y="3524250"/>
          <a:ext cx="9258300" cy="695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②計算順　該当する職種　</a:t>
          </a:r>
        </a:p>
      </xdr:txBody>
    </xdr:sp>
    <xdr:clientData/>
  </xdr:twoCellAnchor>
  <xdr:twoCellAnchor>
    <xdr:from>
      <xdr:col>36</xdr:col>
      <xdr:colOff>276226</xdr:colOff>
      <xdr:row>34</xdr:row>
      <xdr:rowOff>142875</xdr:rowOff>
    </xdr:from>
    <xdr:to>
      <xdr:col>43</xdr:col>
      <xdr:colOff>314325</xdr:colOff>
      <xdr:row>44</xdr:row>
      <xdr:rowOff>142875</xdr:rowOff>
    </xdr:to>
    <xdr:sp macro="" textlink="">
      <xdr:nvSpPr>
        <xdr:cNvPr id="7" name="テキスト ボックス 6">
          <a:extLst>
            <a:ext uri="{FF2B5EF4-FFF2-40B4-BE49-F238E27FC236}">
              <a16:creationId xmlns:a16="http://schemas.microsoft.com/office/drawing/2014/main" id="{00000000-0008-0000-1100-000007000000}"/>
            </a:ext>
          </a:extLst>
        </xdr:cNvPr>
        <xdr:cNvSpPr txBox="1"/>
      </xdr:nvSpPr>
      <xdr:spPr>
        <a:xfrm>
          <a:off x="24965026" y="8791575"/>
          <a:ext cx="4838699" cy="23812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要件緩和の参入可能（補助可能）数について</a:t>
          </a:r>
          <a:endParaRPr kumimoji="1" lang="en-US" altLang="ja-JP" sz="1100"/>
        </a:p>
        <a:p>
          <a:r>
            <a:rPr kumimoji="1" lang="ja-JP" altLang="en-US" sz="1100"/>
            <a:t>基本マックス３（４）人</a:t>
          </a:r>
          <a:endParaRPr kumimoji="1" lang="en-US" altLang="ja-JP" sz="1100"/>
        </a:p>
        <a:p>
          <a:r>
            <a:rPr kumimoji="1" lang="ja-JP" altLang="en-US" sz="1100"/>
            <a:t>　→一般加算を含めて上記の人数だっけ？</a:t>
          </a:r>
          <a:endParaRPr kumimoji="1" lang="en-US" altLang="ja-JP" sz="1100"/>
        </a:p>
        <a:p>
          <a:r>
            <a:rPr kumimoji="1" lang="ja-JP" altLang="en-US" sz="1100"/>
            <a:t>　　特定加算だけ別？</a:t>
          </a:r>
          <a:endParaRPr kumimoji="1" lang="en-US" altLang="ja-JP" sz="1100"/>
        </a:p>
        <a:p>
          <a:r>
            <a:rPr kumimoji="1" lang="ja-JP" altLang="en-US" sz="1100"/>
            <a:t>今は基本加算でマックス３（４）になってる</a:t>
          </a:r>
          <a:endParaRPr kumimoji="1" lang="en-US" altLang="ja-JP" sz="1100"/>
        </a:p>
        <a:p>
          <a:r>
            <a:rPr kumimoji="1" lang="ja-JP" altLang="en-US" sz="1100"/>
            <a:t>　　　→基本、特定でマックス３</a:t>
          </a:r>
          <a:r>
            <a:rPr kumimoji="1" lang="en-US" altLang="ja-JP" sz="1100"/>
            <a:t>or</a:t>
          </a:r>
          <a:r>
            <a:rPr kumimoji="1" lang="ja-JP" altLang="en-US" sz="1100"/>
            <a:t>４。一般のみ除外</a:t>
          </a:r>
        </a:p>
      </xdr:txBody>
    </xdr:sp>
    <xdr:clientData/>
  </xdr:twoCellAnchor>
  <xdr:twoCellAnchor>
    <xdr:from>
      <xdr:col>26</xdr:col>
      <xdr:colOff>514351</xdr:colOff>
      <xdr:row>20</xdr:row>
      <xdr:rowOff>123825</xdr:rowOff>
    </xdr:from>
    <xdr:to>
      <xdr:col>33</xdr:col>
      <xdr:colOff>133351</xdr:colOff>
      <xdr:row>22</xdr:row>
      <xdr:rowOff>561975</xdr:rowOff>
    </xdr:to>
    <xdr:sp macro="" textlink="">
      <xdr:nvSpPr>
        <xdr:cNvPr id="8" name="テキスト ボックス 7">
          <a:extLst>
            <a:ext uri="{FF2B5EF4-FFF2-40B4-BE49-F238E27FC236}">
              <a16:creationId xmlns:a16="http://schemas.microsoft.com/office/drawing/2014/main" id="{00000000-0008-0000-1100-000008000000}"/>
            </a:ext>
          </a:extLst>
        </xdr:cNvPr>
        <xdr:cNvSpPr txBox="1"/>
      </xdr:nvSpPr>
      <xdr:spPr>
        <a:xfrm>
          <a:off x="18697576" y="4886325"/>
          <a:ext cx="4572000" cy="9144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AG</a:t>
          </a:r>
          <a:r>
            <a:rPr kumimoji="1" lang="ja-JP" altLang="en-US" sz="1100"/>
            <a:t>列</a:t>
          </a:r>
          <a:endParaRPr kumimoji="1" lang="en-US" altLang="ja-JP" sz="1100"/>
        </a:p>
        <a:p>
          <a:r>
            <a:rPr kumimoji="1" lang="en-US" altLang="ja-JP" sz="1100"/>
            <a:t>S</a:t>
          </a:r>
          <a:r>
            <a:rPr kumimoji="1" lang="ja-JP" altLang="en-US" sz="1100"/>
            <a:t>列の医ケアがいるときは看護師も対象</a:t>
          </a:r>
          <a:endParaRPr kumimoji="1" lang="en-US" altLang="ja-JP" sz="1100"/>
        </a:p>
        <a:p>
          <a:r>
            <a:rPr kumimoji="1" lang="ja-JP" altLang="en-US" sz="1100"/>
            <a:t>いないときは看護師を対象外とする</a:t>
          </a:r>
        </a:p>
      </xdr:txBody>
    </xdr:sp>
    <xdr:clientData/>
  </xdr:twoCellAnchor>
  <xdr:twoCellAnchor>
    <xdr:from>
      <xdr:col>36</xdr:col>
      <xdr:colOff>76200</xdr:colOff>
      <xdr:row>0</xdr:row>
      <xdr:rowOff>200025</xdr:rowOff>
    </xdr:from>
    <xdr:to>
      <xdr:col>41</xdr:col>
      <xdr:colOff>381000</xdr:colOff>
      <xdr:row>4</xdr:row>
      <xdr:rowOff>161925</xdr:rowOff>
    </xdr:to>
    <xdr:sp macro="" textlink="">
      <xdr:nvSpPr>
        <xdr:cNvPr id="9" name="テキスト ボックス 8">
          <a:extLst>
            <a:ext uri="{FF2B5EF4-FFF2-40B4-BE49-F238E27FC236}">
              <a16:creationId xmlns:a16="http://schemas.microsoft.com/office/drawing/2014/main" id="{00000000-0008-0000-1100-000009000000}"/>
            </a:ext>
          </a:extLst>
        </xdr:cNvPr>
        <xdr:cNvSpPr txBox="1"/>
      </xdr:nvSpPr>
      <xdr:spPr>
        <a:xfrm>
          <a:off x="25355550" y="200025"/>
          <a:ext cx="3876675" cy="9144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r>
            <a:rPr kumimoji="1" lang="ja-JP" altLang="en-US" sz="1100"/>
            <a:t>看護師１人「だけ」加配のとき、一般加算から出す？</a:t>
          </a:r>
          <a:endParaRPr kumimoji="1" lang="en-US" altLang="ja-JP" sz="1100"/>
        </a:p>
        <a:p>
          <a:r>
            <a:rPr kumimoji="1" lang="ja-JP" altLang="en-US" sz="1100"/>
            <a:t>　→　不要では。</a:t>
          </a:r>
        </a:p>
      </xdr:txBody>
    </xdr:sp>
    <xdr:clientData/>
  </xdr:twoCellAnchor>
  <xdr:twoCellAnchor>
    <xdr:from>
      <xdr:col>21</xdr:col>
      <xdr:colOff>9525</xdr:colOff>
      <xdr:row>3</xdr:row>
      <xdr:rowOff>47625</xdr:rowOff>
    </xdr:from>
    <xdr:to>
      <xdr:col>26</xdr:col>
      <xdr:colOff>314325</xdr:colOff>
      <xdr:row>7</xdr:row>
      <xdr:rowOff>9525</xdr:rowOff>
    </xdr:to>
    <xdr:sp macro="" textlink="">
      <xdr:nvSpPr>
        <xdr:cNvPr id="10" name="テキスト ボックス 9">
          <a:extLst>
            <a:ext uri="{FF2B5EF4-FFF2-40B4-BE49-F238E27FC236}">
              <a16:creationId xmlns:a16="http://schemas.microsoft.com/office/drawing/2014/main" id="{00000000-0008-0000-1100-00000A000000}"/>
            </a:ext>
          </a:extLst>
        </xdr:cNvPr>
        <xdr:cNvSpPr txBox="1"/>
      </xdr:nvSpPr>
      <xdr:spPr>
        <a:xfrm>
          <a:off x="14411325" y="762000"/>
          <a:ext cx="3733800" cy="914400"/>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r>
            <a:rPr kumimoji="1" lang="ja-JP" altLang="en-US" sz="1100"/>
            <a:t>他のブックへのリンク探せない・・・</a:t>
          </a:r>
        </a:p>
      </xdr:txBody>
    </xdr:sp>
    <xdr:clientData/>
  </xdr:twoCellAnchor>
  <xdr:twoCellAnchor>
    <xdr:from>
      <xdr:col>28</xdr:col>
      <xdr:colOff>657225</xdr:colOff>
      <xdr:row>15</xdr:row>
      <xdr:rowOff>19050</xdr:rowOff>
    </xdr:from>
    <xdr:to>
      <xdr:col>32</xdr:col>
      <xdr:colOff>600075</xdr:colOff>
      <xdr:row>19</xdr:row>
      <xdr:rowOff>123825</xdr:rowOff>
    </xdr:to>
    <xdr:sp macro="" textlink="">
      <xdr:nvSpPr>
        <xdr:cNvPr id="12" name="テキスト ボックス 11">
          <a:extLst>
            <a:ext uri="{FF2B5EF4-FFF2-40B4-BE49-F238E27FC236}">
              <a16:creationId xmlns:a16="http://schemas.microsoft.com/office/drawing/2014/main" id="{00000000-0008-0000-1100-00000C000000}"/>
            </a:ext>
          </a:extLst>
        </xdr:cNvPr>
        <xdr:cNvSpPr txBox="1"/>
      </xdr:nvSpPr>
      <xdr:spPr>
        <a:xfrm>
          <a:off x="19859625" y="3590925"/>
          <a:ext cx="2686050" cy="10572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r>
            <a:rPr kumimoji="1" lang="en-US" altLang="ja-JP" sz="1100"/>
            <a:t>W</a:t>
          </a:r>
          <a:r>
            <a:rPr kumimoji="1" lang="ja-JP" altLang="en-US" sz="1100"/>
            <a:t>列</a:t>
          </a:r>
          <a:endParaRPr kumimoji="1" lang="en-US" altLang="ja-JP" sz="1100"/>
        </a:p>
        <a:p>
          <a:r>
            <a:rPr kumimoji="1" lang="ja-JP" altLang="en-US" sz="1100"/>
            <a:t>全てのスタートは基本１</a:t>
          </a:r>
        </a:p>
      </xdr:txBody>
    </xdr:sp>
    <xdr:clientData/>
  </xdr:twoCellAnchor>
  <xdr:twoCellAnchor>
    <xdr:from>
      <xdr:col>5</xdr:col>
      <xdr:colOff>466724</xdr:colOff>
      <xdr:row>20</xdr:row>
      <xdr:rowOff>9525</xdr:rowOff>
    </xdr:from>
    <xdr:to>
      <xdr:col>12</xdr:col>
      <xdr:colOff>152399</xdr:colOff>
      <xdr:row>22</xdr:row>
      <xdr:rowOff>704850</xdr:rowOff>
    </xdr:to>
    <xdr:sp macro="" textlink="">
      <xdr:nvSpPr>
        <xdr:cNvPr id="14" name="テキスト ボックス 13">
          <a:extLst>
            <a:ext uri="{FF2B5EF4-FFF2-40B4-BE49-F238E27FC236}">
              <a16:creationId xmlns:a16="http://schemas.microsoft.com/office/drawing/2014/main" id="{00000000-0008-0000-1100-00000E000000}"/>
            </a:ext>
          </a:extLst>
        </xdr:cNvPr>
        <xdr:cNvSpPr txBox="1"/>
      </xdr:nvSpPr>
      <xdr:spPr>
        <a:xfrm>
          <a:off x="3895724" y="4772025"/>
          <a:ext cx="4486275" cy="11715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Ｋ列</a:t>
          </a:r>
          <a:endParaRPr kumimoji="1" lang="en-US" altLang="ja-JP" sz="1100"/>
        </a:p>
        <a:p>
          <a:r>
            <a:rPr kumimoji="1" lang="en-US" altLang="ja-JP" sz="1100"/>
            <a:t>S</a:t>
          </a:r>
          <a:r>
            <a:rPr kumimoji="1" lang="ja-JP" altLang="en-US" sz="1100"/>
            <a:t>列の医ケアがいるときは</a:t>
          </a:r>
          <a:r>
            <a:rPr kumimoji="1" lang="en-US" altLang="ja-JP" sz="1100"/>
            <a:t>min</a:t>
          </a:r>
          <a:r>
            <a:rPr kumimoji="1" lang="ja-JP" altLang="en-US" sz="1100"/>
            <a:t>（確保数</a:t>
          </a:r>
          <a:r>
            <a:rPr kumimoji="1" lang="en-US" altLang="ja-JP" sz="1100"/>
            <a:t>,</a:t>
          </a:r>
          <a:r>
            <a:rPr kumimoji="1" lang="ja-JP" altLang="en-US" sz="1100"/>
            <a:t>１</a:t>
          </a:r>
          <a:r>
            <a:rPr kumimoji="1" lang="en-US" altLang="ja-JP" sz="1100"/>
            <a:t>+</a:t>
          </a:r>
          <a:r>
            <a:rPr kumimoji="1" lang="ja-JP" altLang="en-US" sz="1100"/>
            <a:t>Ｒ列の要配慮加配数）</a:t>
          </a:r>
          <a:endParaRPr kumimoji="1" lang="en-US" altLang="ja-JP" sz="1100"/>
        </a:p>
        <a:p>
          <a:r>
            <a:rPr kumimoji="1" lang="en-US" altLang="ja-JP" sz="1100"/>
            <a:t>S</a:t>
          </a:r>
          <a:r>
            <a:rPr kumimoji="1" lang="ja-JP" altLang="en-US" sz="1100"/>
            <a:t>列の医ケアがいないときは１（看護師配置がある場合）</a:t>
          </a:r>
        </a:p>
      </xdr:txBody>
    </xdr:sp>
    <xdr:clientData/>
  </xdr:twoCellAnchor>
  <xdr:twoCellAnchor>
    <xdr:from>
      <xdr:col>29</xdr:col>
      <xdr:colOff>85725</xdr:colOff>
      <xdr:row>37</xdr:row>
      <xdr:rowOff>19050</xdr:rowOff>
    </xdr:from>
    <xdr:to>
      <xdr:col>34</xdr:col>
      <xdr:colOff>9525</xdr:colOff>
      <xdr:row>47</xdr:row>
      <xdr:rowOff>95250</xdr:rowOff>
    </xdr:to>
    <xdr:sp macro="" textlink="">
      <xdr:nvSpPr>
        <xdr:cNvPr id="13" name="テキスト ボックス 12">
          <a:extLst>
            <a:ext uri="{FF2B5EF4-FFF2-40B4-BE49-F238E27FC236}">
              <a16:creationId xmlns:a16="http://schemas.microsoft.com/office/drawing/2014/main" id="{00000000-0008-0000-1100-00000D000000}"/>
            </a:ext>
          </a:extLst>
        </xdr:cNvPr>
        <xdr:cNvSpPr txBox="1"/>
      </xdr:nvSpPr>
      <xdr:spPr>
        <a:xfrm>
          <a:off x="19973925" y="9382125"/>
          <a:ext cx="3352800" cy="24574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r>
            <a:rPr kumimoji="1" lang="en-US" altLang="ja-JP" sz="1100"/>
            <a:t>AE</a:t>
          </a:r>
          <a:r>
            <a:rPr kumimoji="1" lang="ja-JP" altLang="en-US" sz="1100"/>
            <a:t>列</a:t>
          </a:r>
          <a:endParaRPr kumimoji="1" lang="en-US" altLang="ja-JP" sz="1100"/>
        </a:p>
        <a:p>
          <a:r>
            <a:rPr kumimoji="1" lang="ja-JP" altLang="en-US" sz="1100"/>
            <a:t>保育士→要件緩和→看護師</a:t>
          </a:r>
          <a:endParaRPr kumimoji="1" lang="en-US" altLang="ja-JP" sz="1100"/>
        </a:p>
        <a:p>
          <a:r>
            <a:rPr kumimoji="1" lang="ja-JP" altLang="en-US" sz="1100"/>
            <a:t>上記でいない場合は、</a:t>
          </a:r>
          <a:r>
            <a:rPr kumimoji="1" lang="en-US" altLang="ja-JP" sz="1100"/>
            <a:t>AT</a:t>
          </a:r>
          <a:r>
            <a:rPr kumimoji="1" lang="ja-JP" altLang="en-US" sz="1100"/>
            <a:t>列で</a:t>
          </a:r>
          <a:endParaRPr kumimoji="1" lang="en-US" altLang="ja-JP" sz="1100"/>
        </a:p>
        <a:p>
          <a:r>
            <a:rPr kumimoji="1" lang="ja-JP" altLang="en-US" sz="1100"/>
            <a:t>支援者→栄養士以外→栄養士</a:t>
          </a:r>
          <a:endParaRPr kumimoji="1" lang="en-US" altLang="ja-JP" sz="1100"/>
        </a:p>
        <a:p>
          <a:endParaRPr kumimoji="1" lang="en-US" altLang="ja-JP" sz="1100"/>
        </a:p>
        <a:p>
          <a:r>
            <a:rPr kumimoji="1" lang="en-US" altLang="ja-JP" sz="1100"/>
            <a:t>AF</a:t>
          </a:r>
          <a:r>
            <a:rPr kumimoji="1" lang="ja-JP" altLang="en-US" sz="1100"/>
            <a:t>列以降は</a:t>
          </a:r>
          <a:endParaRPr kumimoji="1" lang="en-US" altLang="ja-JP" sz="1100"/>
        </a:p>
        <a:p>
          <a:r>
            <a:rPr kumimoji="1" lang="ja-JP" altLang="en-US" sz="1100"/>
            <a:t>要件緩和→看護師→保育士</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12</xdr:col>
      <xdr:colOff>0</xdr:colOff>
      <xdr:row>3</xdr:row>
      <xdr:rowOff>168275</xdr:rowOff>
    </xdr:from>
    <xdr:to>
      <xdr:col>20</xdr:col>
      <xdr:colOff>111974</xdr:colOff>
      <xdr:row>21</xdr:row>
      <xdr:rowOff>17966</xdr:rowOff>
    </xdr:to>
    <xdr:grpSp>
      <xdr:nvGrpSpPr>
        <xdr:cNvPr id="4" name="グループ化 3">
          <a:extLst>
            <a:ext uri="{FF2B5EF4-FFF2-40B4-BE49-F238E27FC236}">
              <a16:creationId xmlns:a16="http://schemas.microsoft.com/office/drawing/2014/main" id="{10DE720D-99F9-41EB-81ED-655B338335E3}"/>
            </a:ext>
          </a:extLst>
        </xdr:cNvPr>
        <xdr:cNvGrpSpPr/>
      </xdr:nvGrpSpPr>
      <xdr:grpSpPr>
        <a:xfrm>
          <a:off x="10191750" y="1025525"/>
          <a:ext cx="5369774" cy="3497766"/>
          <a:chOff x="152400" y="1905000"/>
          <a:chExt cx="5401524" cy="3615241"/>
        </a:xfrm>
      </xdr:grpSpPr>
      <xdr:pic>
        <xdr:nvPicPr>
          <xdr:cNvPr id="3" name="図 2">
            <a:extLst>
              <a:ext uri="{FF2B5EF4-FFF2-40B4-BE49-F238E27FC236}">
                <a16:creationId xmlns:a16="http://schemas.microsoft.com/office/drawing/2014/main" id="{C0BC8060-7E47-4654-8FD1-881075E86ABA}"/>
              </a:ext>
            </a:extLst>
          </xdr:cNvPr>
          <xdr:cNvPicPr>
            <a:picLocks noChangeAspect="1"/>
          </xdr:cNvPicPr>
        </xdr:nvPicPr>
        <xdr:blipFill>
          <a:blip xmlns:r="http://schemas.openxmlformats.org/officeDocument/2006/relationships" r:embed="rId1"/>
          <a:stretch>
            <a:fillRect/>
          </a:stretch>
        </xdr:blipFill>
        <xdr:spPr>
          <a:xfrm>
            <a:off x="152400" y="1905000"/>
            <a:ext cx="5401524" cy="3615241"/>
          </a:xfrm>
          <a:prstGeom prst="rect">
            <a:avLst/>
          </a:prstGeom>
        </xdr:spPr>
      </xdr:pic>
      <xdr:sp macro="" textlink="">
        <xdr:nvSpPr>
          <xdr:cNvPr id="2" name="正方形/長方形 1">
            <a:extLst>
              <a:ext uri="{FF2B5EF4-FFF2-40B4-BE49-F238E27FC236}">
                <a16:creationId xmlns:a16="http://schemas.microsoft.com/office/drawing/2014/main" id="{ED75AC07-01DE-4984-B854-C620E284DDB4}"/>
              </a:ext>
            </a:extLst>
          </xdr:cNvPr>
          <xdr:cNvSpPr/>
        </xdr:nvSpPr>
        <xdr:spPr>
          <a:xfrm>
            <a:off x="180975" y="5029200"/>
            <a:ext cx="542925" cy="304800"/>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游ゴシック" panose="020B0400000000000000" pitchFamily="50" charset="-128"/>
                <a:ea typeface="游ゴシック" panose="020B0400000000000000" pitchFamily="50" charset="-128"/>
              </a:rPr>
              <a:t>H</a:t>
            </a:r>
            <a:r>
              <a:rPr kumimoji="1" lang="ja-JP" altLang="en-US" sz="1100">
                <a:solidFill>
                  <a:sysClr val="windowText" lastClr="000000"/>
                </a:solidFill>
                <a:latin typeface="游ゴシック" panose="020B0400000000000000" pitchFamily="50" charset="-128"/>
                <a:ea typeface="游ゴシック" panose="020B0400000000000000" pitchFamily="50" charset="-128"/>
              </a:rPr>
              <a:t>列</a:t>
            </a:r>
          </a:p>
        </xdr:txBody>
      </xdr:sp>
    </xdr:grpSp>
    <xdr:clientData/>
  </xdr:twoCellAnchor>
</xdr:wsDr>
</file>

<file path=xl/drawings/drawing19.xml><?xml version="1.0" encoding="utf-8"?>
<xdr:wsDr xmlns:xdr="http://schemas.openxmlformats.org/drawingml/2006/spreadsheetDrawing" xmlns:a="http://schemas.openxmlformats.org/drawingml/2006/main">
  <xdr:twoCellAnchor editAs="oneCell">
    <xdr:from>
      <xdr:col>9</xdr:col>
      <xdr:colOff>1139825</xdr:colOff>
      <xdr:row>3</xdr:row>
      <xdr:rowOff>168275</xdr:rowOff>
    </xdr:from>
    <xdr:to>
      <xdr:col>19</xdr:col>
      <xdr:colOff>111974</xdr:colOff>
      <xdr:row>21</xdr:row>
      <xdr:rowOff>30666</xdr:rowOff>
    </xdr:to>
    <xdr:pic>
      <xdr:nvPicPr>
        <xdr:cNvPr id="2" name="図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xfrm>
          <a:off x="9236075" y="1025525"/>
          <a:ext cx="5372949" cy="35104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922110</xdr:colOff>
      <xdr:row>0</xdr:row>
      <xdr:rowOff>278948</xdr:rowOff>
    </xdr:from>
    <xdr:to>
      <xdr:col>4</xdr:col>
      <xdr:colOff>319994</xdr:colOff>
      <xdr:row>2</xdr:row>
      <xdr:rowOff>132670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2708048" y="278948"/>
          <a:ext cx="1922009" cy="44903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水色セル：パソナ貼付け</a:t>
          </a:r>
          <a:endParaRPr kumimoji="1" lang="en-US" altLang="ja-JP" sz="1100"/>
        </a:p>
      </xdr:txBody>
    </xdr:sp>
    <xdr:clientData/>
  </xdr:twoCellAnchor>
  <xdr:twoCellAnchor>
    <xdr:from>
      <xdr:col>0</xdr:col>
      <xdr:colOff>660174</xdr:colOff>
      <xdr:row>0</xdr:row>
      <xdr:rowOff>268514</xdr:rowOff>
    </xdr:from>
    <xdr:to>
      <xdr:col>3</xdr:col>
      <xdr:colOff>799420</xdr:colOff>
      <xdr:row>2</xdr:row>
      <xdr:rowOff>122236</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660174" y="268514"/>
          <a:ext cx="1925184" cy="44903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黄色セル：運営課修正</a:t>
          </a:r>
        </a:p>
      </xdr:txBody>
    </xdr:sp>
    <xdr:clientData/>
  </xdr:twoCellAnchor>
  <xdr:twoCellAnchor>
    <xdr:from>
      <xdr:col>0</xdr:col>
      <xdr:colOff>684213</xdr:colOff>
      <xdr:row>2</xdr:row>
      <xdr:rowOff>202408</xdr:rowOff>
    </xdr:from>
    <xdr:to>
      <xdr:col>3</xdr:col>
      <xdr:colOff>820284</xdr:colOff>
      <xdr:row>2</xdr:row>
      <xdr:rowOff>654618</xdr:rowOff>
    </xdr:to>
    <xdr:sp macro="" textlink="">
      <xdr:nvSpPr>
        <xdr:cNvPr id="2" name="テキスト ボックス 1">
          <a:extLst>
            <a:ext uri="{FF2B5EF4-FFF2-40B4-BE49-F238E27FC236}">
              <a16:creationId xmlns:a16="http://schemas.microsoft.com/office/drawing/2014/main" id="{E7C59A2D-5F04-4FEE-8635-0EFD633C74D3}"/>
            </a:ext>
          </a:extLst>
        </xdr:cNvPr>
        <xdr:cNvSpPr txBox="1"/>
      </xdr:nvSpPr>
      <xdr:spPr>
        <a:xfrm>
          <a:off x="684213" y="797721"/>
          <a:ext cx="1922009" cy="45221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緑セル：運営課貼付け</a:t>
          </a:r>
          <a:endParaRPr kumimoji="1" lang="en-US" altLang="ja-JP" sz="1100"/>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11</xdr:col>
      <xdr:colOff>25400</xdr:colOff>
      <xdr:row>4</xdr:row>
      <xdr:rowOff>6350</xdr:rowOff>
    </xdr:from>
    <xdr:to>
      <xdr:col>19</xdr:col>
      <xdr:colOff>143978</xdr:colOff>
      <xdr:row>20</xdr:row>
      <xdr:rowOff>151183</xdr:rowOff>
    </xdr:to>
    <xdr:pic>
      <xdr:nvPicPr>
        <xdr:cNvPr id="2" name="図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xfrm>
          <a:off x="9264650" y="1054100"/>
          <a:ext cx="5376378" cy="3411908"/>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3</xdr:col>
      <xdr:colOff>1326</xdr:colOff>
      <xdr:row>2</xdr:row>
      <xdr:rowOff>77147</xdr:rowOff>
    </xdr:from>
    <xdr:to>
      <xdr:col>8</xdr:col>
      <xdr:colOff>694764</xdr:colOff>
      <xdr:row>3</xdr:row>
      <xdr:rowOff>106455</xdr:rowOff>
    </xdr:to>
    <xdr:sp macro="" textlink="">
      <xdr:nvSpPr>
        <xdr:cNvPr id="3" name="吹き出し: 四角形 2">
          <a:extLst>
            <a:ext uri="{FF2B5EF4-FFF2-40B4-BE49-F238E27FC236}">
              <a16:creationId xmlns:a16="http://schemas.microsoft.com/office/drawing/2014/main" id="{00000000-0008-0000-1500-000003000000}"/>
            </a:ext>
          </a:extLst>
        </xdr:cNvPr>
        <xdr:cNvSpPr/>
      </xdr:nvSpPr>
      <xdr:spPr>
        <a:xfrm>
          <a:off x="1312414" y="547794"/>
          <a:ext cx="4974085" cy="567190"/>
        </a:xfrm>
        <a:prstGeom prst="wedgeRectCallout">
          <a:avLst>
            <a:gd name="adj1" fmla="val -58171"/>
            <a:gd name="adj2" fmla="val 88953"/>
          </a:avLst>
        </a:prstGeom>
        <a:solidFill>
          <a:srgbClr val="FFFF00"/>
        </a:solidFill>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栄養管理加算が「配置」の場合は、給付費で同一対象経費が支給されるため、</a:t>
          </a:r>
          <a:r>
            <a:rPr kumimoji="1" lang="ja-JP" altLang="en-US" sz="1050">
              <a:solidFill>
                <a:schemeClr val="dk1"/>
              </a:solidFill>
              <a:effectLst/>
              <a:latin typeface="+mn-lt"/>
              <a:ea typeface="+mn-ea"/>
              <a:cs typeface="+mn-cs"/>
            </a:rPr>
            <a:t>月額約</a:t>
          </a:r>
          <a:r>
            <a:rPr kumimoji="1" lang="en-US" altLang="ja-JP" sz="1050">
              <a:solidFill>
                <a:schemeClr val="dk1"/>
              </a:solidFill>
              <a:effectLst/>
              <a:latin typeface="+mn-lt"/>
              <a:ea typeface="+mn-ea"/>
              <a:cs typeface="+mn-cs"/>
            </a:rPr>
            <a:t>70,000</a:t>
          </a:r>
          <a:r>
            <a:rPr kumimoji="1" lang="ja-JP" altLang="en-US" sz="1050">
              <a:solidFill>
                <a:schemeClr val="dk1"/>
              </a:solidFill>
              <a:effectLst/>
              <a:latin typeface="+mn-lt"/>
              <a:ea typeface="+mn-ea"/>
              <a:cs typeface="+mn-cs"/>
            </a:rPr>
            <a:t>円を差し引いて、</a:t>
          </a:r>
          <a:r>
            <a:rPr kumimoji="1" lang="ja-JP" altLang="ja-JP" sz="1050">
              <a:solidFill>
                <a:schemeClr val="dk1"/>
              </a:solidFill>
              <a:effectLst/>
              <a:latin typeface="+mn-lt"/>
              <a:ea typeface="+mn-ea"/>
              <a:cs typeface="+mn-cs"/>
            </a:rPr>
            <a:t>「調理員等配置改善」の補助額</a:t>
          </a:r>
          <a:r>
            <a:rPr kumimoji="1" lang="ja-JP" altLang="en-US" sz="1050">
              <a:solidFill>
                <a:schemeClr val="dk1"/>
              </a:solidFill>
              <a:effectLst/>
              <a:latin typeface="+mn-lt"/>
              <a:ea typeface="+mn-ea"/>
              <a:cs typeface="+mn-cs"/>
            </a:rPr>
            <a:t>を支給いたします。</a:t>
          </a:r>
          <a:endParaRPr kumimoji="1" lang="ja-JP" altLang="en-US" sz="1000"/>
        </a:p>
      </xdr:txBody>
    </xdr:sp>
    <xdr:clientData/>
  </xdr:twoCellAnchor>
  <xdr:twoCellAnchor>
    <xdr:from>
      <xdr:col>8</xdr:col>
      <xdr:colOff>773207</xdr:colOff>
      <xdr:row>2</xdr:row>
      <xdr:rowOff>56029</xdr:rowOff>
    </xdr:from>
    <xdr:to>
      <xdr:col>13</xdr:col>
      <xdr:colOff>930088</xdr:colOff>
      <xdr:row>3</xdr:row>
      <xdr:rowOff>212912</xdr:rowOff>
    </xdr:to>
    <xdr:sp macro="" textlink="">
      <xdr:nvSpPr>
        <xdr:cNvPr id="6" name="吹き出し: 四角形 5">
          <a:extLst>
            <a:ext uri="{FF2B5EF4-FFF2-40B4-BE49-F238E27FC236}">
              <a16:creationId xmlns:a16="http://schemas.microsoft.com/office/drawing/2014/main" id="{00000000-0008-0000-1500-000006000000}"/>
            </a:ext>
          </a:extLst>
        </xdr:cNvPr>
        <xdr:cNvSpPr/>
      </xdr:nvSpPr>
      <xdr:spPr>
        <a:xfrm>
          <a:off x="6364942" y="526676"/>
          <a:ext cx="4471146" cy="694765"/>
        </a:xfrm>
        <a:prstGeom prst="wedgeRectCallout">
          <a:avLst>
            <a:gd name="adj1" fmla="val -33365"/>
            <a:gd name="adj2" fmla="val 60979"/>
          </a:avLst>
        </a:prstGeom>
        <a:solidFill>
          <a:srgbClr val="FFFF00"/>
        </a:solidFill>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t>月単位での</a:t>
          </a:r>
          <a:r>
            <a:rPr kumimoji="1" lang="ja-JP" altLang="en-US" sz="900">
              <a:solidFill>
                <a:srgbClr val="FF0000"/>
              </a:solidFill>
            </a:rPr>
            <a:t>定期利用の場合は「勤務日数」を「</a:t>
          </a:r>
          <a:r>
            <a:rPr kumimoji="1" lang="en-US" altLang="ja-JP" sz="900">
              <a:solidFill>
                <a:srgbClr val="FF0000"/>
              </a:solidFill>
            </a:rPr>
            <a:t>1</a:t>
          </a:r>
          <a:r>
            <a:rPr kumimoji="1" lang="ja-JP" altLang="en-US" sz="900">
              <a:solidFill>
                <a:srgbClr val="FF0000"/>
              </a:solidFill>
            </a:rPr>
            <a:t>」</a:t>
          </a:r>
          <a:r>
            <a:rPr kumimoji="1" lang="ja-JP" altLang="en-US" sz="900"/>
            <a:t>とし、</a:t>
          </a:r>
          <a:r>
            <a:rPr lang="ja-JP" altLang="ja-JP" sz="900">
              <a:solidFill>
                <a:schemeClr val="dk1"/>
              </a:solidFill>
              <a:effectLst/>
              <a:latin typeface="+mn-lt"/>
              <a:ea typeface="+mn-ea"/>
              <a:cs typeface="+mn-cs"/>
            </a:rPr>
            <a:t>「交通費単価」欄に「月当たりの金額」を入力してください。</a:t>
          </a:r>
          <a:endParaRPr kumimoji="1" lang="en-US" altLang="ja-JP" sz="900"/>
        </a:p>
        <a:p>
          <a:pPr algn="l"/>
          <a:r>
            <a:rPr kumimoji="1" lang="ja-JP" altLang="en-US" sz="900"/>
            <a:t>雇用契約内容証明書の「交通費」の欄は</a:t>
          </a:r>
          <a:r>
            <a:rPr kumimoji="1" lang="en-US" altLang="ja-JP" sz="900"/>
            <a:t>1</a:t>
          </a:r>
          <a:r>
            <a:rPr kumimoji="1" lang="ja-JP" altLang="en-US" sz="900"/>
            <a:t>か月単位の金額である旨を明記ください。</a:t>
          </a:r>
        </a:p>
      </xdr:txBody>
    </xdr:sp>
    <xdr:clientData/>
  </xdr:twoCellAnchor>
  <xdr:twoCellAnchor editAs="oneCell">
    <xdr:from>
      <xdr:col>15</xdr:col>
      <xdr:colOff>67235</xdr:colOff>
      <xdr:row>4</xdr:row>
      <xdr:rowOff>0</xdr:rowOff>
    </xdr:from>
    <xdr:to>
      <xdr:col>24</xdr:col>
      <xdr:colOff>131109</xdr:colOff>
      <xdr:row>32</xdr:row>
      <xdr:rowOff>115233</xdr:rowOff>
    </xdr:to>
    <xdr:pic>
      <xdr:nvPicPr>
        <xdr:cNvPr id="9" name="図 8">
          <a:extLst>
            <a:ext uri="{FF2B5EF4-FFF2-40B4-BE49-F238E27FC236}">
              <a16:creationId xmlns:a16="http://schemas.microsoft.com/office/drawing/2014/main" id="{6D2B09EB-10F8-A049-736E-E967EECF8B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59353" y="1232647"/>
          <a:ext cx="6014197" cy="51130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xdr:from>
      <xdr:col>2</xdr:col>
      <xdr:colOff>303886</xdr:colOff>
      <xdr:row>2</xdr:row>
      <xdr:rowOff>54735</xdr:rowOff>
    </xdr:from>
    <xdr:to>
      <xdr:col>8</xdr:col>
      <xdr:colOff>627530</xdr:colOff>
      <xdr:row>3</xdr:row>
      <xdr:rowOff>84043</xdr:rowOff>
    </xdr:to>
    <xdr:sp macro="" textlink="">
      <xdr:nvSpPr>
        <xdr:cNvPr id="3" name="吹き出し: 四角形 2">
          <a:extLst>
            <a:ext uri="{FF2B5EF4-FFF2-40B4-BE49-F238E27FC236}">
              <a16:creationId xmlns:a16="http://schemas.microsoft.com/office/drawing/2014/main" id="{00000000-0008-0000-1600-000003000000}"/>
            </a:ext>
          </a:extLst>
        </xdr:cNvPr>
        <xdr:cNvSpPr/>
      </xdr:nvSpPr>
      <xdr:spPr>
        <a:xfrm>
          <a:off x="1256386" y="525382"/>
          <a:ext cx="4962879" cy="567190"/>
        </a:xfrm>
        <a:prstGeom prst="wedgeRectCallout">
          <a:avLst>
            <a:gd name="adj1" fmla="val -56326"/>
            <a:gd name="adj2" fmla="val 81050"/>
          </a:avLst>
        </a:prstGeom>
        <a:solidFill>
          <a:srgbClr val="FFFF00"/>
        </a:solidFill>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栄養管理加算が「配置」の場合は、給付費で同一対象経費が支給されるため、</a:t>
          </a:r>
          <a:r>
            <a:rPr kumimoji="1" lang="ja-JP" altLang="en-US" sz="1050">
              <a:solidFill>
                <a:schemeClr val="dk1"/>
              </a:solidFill>
              <a:effectLst/>
              <a:latin typeface="+mn-lt"/>
              <a:ea typeface="+mn-ea"/>
              <a:cs typeface="+mn-cs"/>
            </a:rPr>
            <a:t>月額約</a:t>
          </a:r>
          <a:r>
            <a:rPr kumimoji="1" lang="en-US" altLang="ja-JP" sz="1050">
              <a:solidFill>
                <a:schemeClr val="dk1"/>
              </a:solidFill>
              <a:effectLst/>
              <a:latin typeface="+mn-lt"/>
              <a:ea typeface="+mn-ea"/>
              <a:cs typeface="+mn-cs"/>
            </a:rPr>
            <a:t>70,000</a:t>
          </a:r>
          <a:r>
            <a:rPr kumimoji="1" lang="ja-JP" altLang="en-US" sz="1050">
              <a:solidFill>
                <a:schemeClr val="dk1"/>
              </a:solidFill>
              <a:effectLst/>
              <a:latin typeface="+mn-lt"/>
              <a:ea typeface="+mn-ea"/>
              <a:cs typeface="+mn-cs"/>
            </a:rPr>
            <a:t>円を差し引いて、</a:t>
          </a:r>
          <a:r>
            <a:rPr kumimoji="1" lang="ja-JP" altLang="ja-JP" sz="1050">
              <a:solidFill>
                <a:schemeClr val="dk1"/>
              </a:solidFill>
              <a:effectLst/>
              <a:latin typeface="+mn-lt"/>
              <a:ea typeface="+mn-ea"/>
              <a:cs typeface="+mn-cs"/>
            </a:rPr>
            <a:t>「調理員等配置改善」の補助額</a:t>
          </a:r>
          <a:r>
            <a:rPr kumimoji="1" lang="ja-JP" altLang="en-US" sz="1050">
              <a:solidFill>
                <a:schemeClr val="dk1"/>
              </a:solidFill>
              <a:effectLst/>
              <a:latin typeface="+mn-lt"/>
              <a:ea typeface="+mn-ea"/>
              <a:cs typeface="+mn-cs"/>
            </a:rPr>
            <a:t>を支給いたします。</a:t>
          </a:r>
          <a:endParaRPr kumimoji="1" lang="ja-JP" altLang="en-US" sz="1000"/>
        </a:p>
      </xdr:txBody>
    </xdr:sp>
    <xdr:clientData/>
  </xdr:twoCellAnchor>
  <xdr:twoCellAnchor>
    <xdr:from>
      <xdr:col>8</xdr:col>
      <xdr:colOff>773206</xdr:colOff>
      <xdr:row>2</xdr:row>
      <xdr:rowOff>33617</xdr:rowOff>
    </xdr:from>
    <xdr:to>
      <xdr:col>13</xdr:col>
      <xdr:colOff>930087</xdr:colOff>
      <xdr:row>3</xdr:row>
      <xdr:rowOff>190500</xdr:rowOff>
    </xdr:to>
    <xdr:sp macro="" textlink="">
      <xdr:nvSpPr>
        <xdr:cNvPr id="6" name="吹き出し: 四角形 5">
          <a:extLst>
            <a:ext uri="{FF2B5EF4-FFF2-40B4-BE49-F238E27FC236}">
              <a16:creationId xmlns:a16="http://schemas.microsoft.com/office/drawing/2014/main" id="{00000000-0008-0000-1600-000006000000}"/>
            </a:ext>
          </a:extLst>
        </xdr:cNvPr>
        <xdr:cNvSpPr/>
      </xdr:nvSpPr>
      <xdr:spPr>
        <a:xfrm>
          <a:off x="6364941" y="504264"/>
          <a:ext cx="4471146" cy="694765"/>
        </a:xfrm>
        <a:prstGeom prst="wedgeRectCallout">
          <a:avLst>
            <a:gd name="adj1" fmla="val -36121"/>
            <a:gd name="adj2" fmla="val 70656"/>
          </a:avLst>
        </a:prstGeom>
        <a:solidFill>
          <a:srgbClr val="FFFF00"/>
        </a:solidFill>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t>月単位での</a:t>
          </a:r>
          <a:r>
            <a:rPr kumimoji="1" lang="ja-JP" altLang="en-US" sz="900">
              <a:solidFill>
                <a:srgbClr val="FF0000"/>
              </a:solidFill>
            </a:rPr>
            <a:t>定期利用の場合は「勤務日数」を「</a:t>
          </a:r>
          <a:r>
            <a:rPr kumimoji="1" lang="en-US" altLang="ja-JP" sz="900">
              <a:solidFill>
                <a:srgbClr val="FF0000"/>
              </a:solidFill>
            </a:rPr>
            <a:t>1</a:t>
          </a:r>
          <a:r>
            <a:rPr kumimoji="1" lang="ja-JP" altLang="en-US" sz="900">
              <a:solidFill>
                <a:srgbClr val="FF0000"/>
              </a:solidFill>
            </a:rPr>
            <a:t>」</a:t>
          </a:r>
          <a:r>
            <a:rPr kumimoji="1" lang="ja-JP" altLang="en-US" sz="900"/>
            <a:t>とし、</a:t>
          </a:r>
          <a:r>
            <a:rPr lang="ja-JP" altLang="ja-JP" sz="900">
              <a:solidFill>
                <a:schemeClr val="dk1"/>
              </a:solidFill>
              <a:effectLst/>
              <a:latin typeface="+mn-lt"/>
              <a:ea typeface="+mn-ea"/>
              <a:cs typeface="+mn-cs"/>
            </a:rPr>
            <a:t>「交通費単価」欄に「月当たりの金額」を入力してください。</a:t>
          </a:r>
          <a:endParaRPr kumimoji="1" lang="en-US" altLang="ja-JP" sz="900"/>
        </a:p>
        <a:p>
          <a:pPr algn="l"/>
          <a:r>
            <a:rPr kumimoji="1" lang="ja-JP" altLang="en-US" sz="900"/>
            <a:t>雇用契約内容証明書の「交通費」の欄は</a:t>
          </a:r>
          <a:r>
            <a:rPr kumimoji="1" lang="en-US" altLang="ja-JP" sz="900"/>
            <a:t>1</a:t>
          </a:r>
          <a:r>
            <a:rPr kumimoji="1" lang="ja-JP" altLang="en-US" sz="900"/>
            <a:t>か月単位の金額である旨を明記ください。</a:t>
          </a:r>
        </a:p>
      </xdr:txBody>
    </xdr:sp>
    <xdr:clientData/>
  </xdr:twoCellAnchor>
  <xdr:twoCellAnchor editAs="oneCell">
    <xdr:from>
      <xdr:col>15</xdr:col>
      <xdr:colOff>56030</xdr:colOff>
      <xdr:row>3</xdr:row>
      <xdr:rowOff>201706</xdr:rowOff>
    </xdr:from>
    <xdr:to>
      <xdr:col>24</xdr:col>
      <xdr:colOff>119904</xdr:colOff>
      <xdr:row>32</xdr:row>
      <xdr:rowOff>92821</xdr:rowOff>
    </xdr:to>
    <xdr:pic>
      <xdr:nvPicPr>
        <xdr:cNvPr id="7" name="図 6">
          <a:extLst>
            <a:ext uri="{FF2B5EF4-FFF2-40B4-BE49-F238E27FC236}">
              <a16:creationId xmlns:a16="http://schemas.microsoft.com/office/drawing/2014/main" id="{785E8620-793B-4EFE-A079-08D5F4FB19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48148" y="1210235"/>
          <a:ext cx="6014197" cy="51130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11</xdr:col>
      <xdr:colOff>78444</xdr:colOff>
      <xdr:row>4</xdr:row>
      <xdr:rowOff>8029</xdr:rowOff>
    </xdr:from>
    <xdr:to>
      <xdr:col>18</xdr:col>
      <xdr:colOff>335708</xdr:colOff>
      <xdr:row>22</xdr:row>
      <xdr:rowOff>15576</xdr:rowOff>
    </xdr:to>
    <xdr:pic>
      <xdr:nvPicPr>
        <xdr:cNvPr id="2" name="図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xfrm>
          <a:off x="9704297" y="635558"/>
          <a:ext cx="4882118" cy="3321314"/>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11</xdr:col>
      <xdr:colOff>33618</xdr:colOff>
      <xdr:row>3</xdr:row>
      <xdr:rowOff>182470</xdr:rowOff>
    </xdr:from>
    <xdr:to>
      <xdr:col>18</xdr:col>
      <xdr:colOff>293804</xdr:colOff>
      <xdr:row>22</xdr:row>
      <xdr:rowOff>60229</xdr:rowOff>
    </xdr:to>
    <xdr:pic>
      <xdr:nvPicPr>
        <xdr:cNvPr id="2" name="図 1">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stretch>
          <a:fillRect/>
        </a:stretch>
      </xdr:blipFill>
      <xdr:spPr>
        <a:xfrm>
          <a:off x="9659471" y="619499"/>
          <a:ext cx="4891390" cy="3385201"/>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xdr:from>
      <xdr:col>13</xdr:col>
      <xdr:colOff>78442</xdr:colOff>
      <xdr:row>13</xdr:row>
      <xdr:rowOff>168088</xdr:rowOff>
    </xdr:from>
    <xdr:to>
      <xdr:col>17</xdr:col>
      <xdr:colOff>224118</xdr:colOff>
      <xdr:row>14</xdr:row>
      <xdr:rowOff>212912</xdr:rowOff>
    </xdr:to>
    <xdr:sp macro="" textlink="">
      <xdr:nvSpPr>
        <xdr:cNvPr id="2" name="正方形/長方形 1">
          <a:extLst>
            <a:ext uri="{FF2B5EF4-FFF2-40B4-BE49-F238E27FC236}">
              <a16:creationId xmlns:a16="http://schemas.microsoft.com/office/drawing/2014/main" id="{00000000-0008-0000-1900-000002000000}"/>
            </a:ext>
          </a:extLst>
        </xdr:cNvPr>
        <xdr:cNvSpPr/>
      </xdr:nvSpPr>
      <xdr:spPr bwMode="auto">
        <a:xfrm>
          <a:off x="7117417" y="3959038"/>
          <a:ext cx="2955551" cy="330574"/>
        </a:xfrm>
        <a:prstGeom prst="rect">
          <a:avLst/>
        </a:prstGeom>
        <a:solidFill>
          <a:schemeClr val="accent1">
            <a:lumMod val="40000"/>
            <a:lumOff val="60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t>各金額は自動で計算されます。</a:t>
          </a:r>
          <a:endParaRPr kumimoji="1" lang="en-US" altLang="ja-JP" sz="1100"/>
        </a:p>
      </xdr:txBody>
    </xdr:sp>
    <xdr:clientData/>
  </xdr:twoCellAnchor>
  <xdr:twoCellAnchor>
    <xdr:from>
      <xdr:col>10</xdr:col>
      <xdr:colOff>1133475</xdr:colOff>
      <xdr:row>9</xdr:row>
      <xdr:rowOff>57150</xdr:rowOff>
    </xdr:from>
    <xdr:to>
      <xdr:col>11</xdr:col>
      <xdr:colOff>409575</xdr:colOff>
      <xdr:row>11</xdr:row>
      <xdr:rowOff>219075</xdr:rowOff>
    </xdr:to>
    <xdr:sp macro="" textlink="">
      <xdr:nvSpPr>
        <xdr:cNvPr id="3" name="テキスト ボックス 2">
          <a:extLst>
            <a:ext uri="{FF2B5EF4-FFF2-40B4-BE49-F238E27FC236}">
              <a16:creationId xmlns:a16="http://schemas.microsoft.com/office/drawing/2014/main" id="{00000000-0008-0000-1900-000003000000}"/>
            </a:ext>
          </a:extLst>
        </xdr:cNvPr>
        <xdr:cNvSpPr txBox="1"/>
      </xdr:nvSpPr>
      <xdr:spPr>
        <a:xfrm>
          <a:off x="5953125" y="2800350"/>
          <a:ext cx="609600" cy="676275"/>
        </a:xfrm>
        <a:prstGeom prst="rect">
          <a:avLst/>
        </a:prstGeom>
        <a:noFill/>
        <a:ln w="9525" cmpd="sng">
          <a:solidFill>
            <a:schemeClr val="bg1">
              <a:lumMod val="85000"/>
            </a:schemeClr>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1100"/>
        </a:p>
        <a:p>
          <a:pPr algn="ctr"/>
          <a:r>
            <a:rPr kumimoji="1" lang="ja-JP" altLang="en-US" sz="1100">
              <a:solidFill>
                <a:schemeClr val="bg1">
                  <a:lumMod val="85000"/>
                </a:schemeClr>
              </a:solidFill>
            </a:rPr>
            <a:t>印</a:t>
          </a:r>
        </a:p>
      </xdr:txBody>
    </xdr:sp>
    <xdr:clientData/>
  </xdr:twoCellAnchor>
  <xdr:twoCellAnchor>
    <xdr:from>
      <xdr:col>44</xdr:col>
      <xdr:colOff>57150</xdr:colOff>
      <xdr:row>8</xdr:row>
      <xdr:rowOff>180975</xdr:rowOff>
    </xdr:from>
    <xdr:to>
      <xdr:col>48</xdr:col>
      <xdr:colOff>628649</xdr:colOff>
      <xdr:row>10</xdr:row>
      <xdr:rowOff>152400</xdr:rowOff>
    </xdr:to>
    <xdr:sp macro="" textlink="">
      <xdr:nvSpPr>
        <xdr:cNvPr id="4" name="正方形/長方形 3">
          <a:extLst>
            <a:ext uri="{FF2B5EF4-FFF2-40B4-BE49-F238E27FC236}">
              <a16:creationId xmlns:a16="http://schemas.microsoft.com/office/drawing/2014/main" id="{00000000-0008-0000-1900-000004000000}"/>
            </a:ext>
          </a:extLst>
        </xdr:cNvPr>
        <xdr:cNvSpPr/>
      </xdr:nvSpPr>
      <xdr:spPr>
        <a:xfrm>
          <a:off x="28422600" y="2466975"/>
          <a:ext cx="3314699" cy="657225"/>
        </a:xfrm>
        <a:prstGeom prst="rect">
          <a:avLst/>
        </a:prstGeom>
        <a:solidFill>
          <a:srgbClr val="FFFF00"/>
        </a:solidFill>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l">
            <a:lnSpc>
              <a:spcPts val="1100"/>
            </a:lnSpc>
          </a:pPr>
          <a:r>
            <a:rPr kumimoji="1" lang="en-US" altLang="ja-JP" sz="1100" b="1">
              <a:solidFill>
                <a:srgbClr val="FF0000"/>
              </a:solidFill>
            </a:rPr>
            <a:t>※R4.1</a:t>
          </a:r>
          <a:r>
            <a:rPr kumimoji="1" lang="ja-JP" altLang="en-US" sz="1100" b="1">
              <a:solidFill>
                <a:srgbClr val="FF0000"/>
              </a:solidFill>
            </a:rPr>
            <a:t>時点の情報と異なる場合は関数の上から、上書き修正して下さい。</a:t>
          </a:r>
          <a:endParaRPr kumimoji="1" lang="en-US" altLang="ja-JP" sz="1100" b="1">
            <a:solidFill>
              <a:srgbClr val="FF0000"/>
            </a:solidFill>
          </a:endParaRP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13</xdr:col>
      <xdr:colOff>78442</xdr:colOff>
      <xdr:row>13</xdr:row>
      <xdr:rowOff>168088</xdr:rowOff>
    </xdr:from>
    <xdr:to>
      <xdr:col>17</xdr:col>
      <xdr:colOff>224118</xdr:colOff>
      <xdr:row>14</xdr:row>
      <xdr:rowOff>212912</xdr:rowOff>
    </xdr:to>
    <xdr:sp macro="" textlink="">
      <xdr:nvSpPr>
        <xdr:cNvPr id="2" name="正方形/長方形 1">
          <a:extLst>
            <a:ext uri="{FF2B5EF4-FFF2-40B4-BE49-F238E27FC236}">
              <a16:creationId xmlns:a16="http://schemas.microsoft.com/office/drawing/2014/main" id="{00000000-0008-0000-1A00-000002000000}"/>
            </a:ext>
          </a:extLst>
        </xdr:cNvPr>
        <xdr:cNvSpPr/>
      </xdr:nvSpPr>
      <xdr:spPr bwMode="auto">
        <a:xfrm>
          <a:off x="7117417" y="4044763"/>
          <a:ext cx="2631701" cy="330574"/>
        </a:xfrm>
        <a:prstGeom prst="rect">
          <a:avLst/>
        </a:prstGeom>
        <a:solidFill>
          <a:schemeClr val="accent1">
            <a:lumMod val="40000"/>
            <a:lumOff val="60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t>各金額は自動で計算されます。</a:t>
          </a:r>
          <a:endParaRPr kumimoji="1" lang="en-US" altLang="ja-JP" sz="1100"/>
        </a:p>
      </xdr:txBody>
    </xdr:sp>
    <xdr:clientData/>
  </xdr:twoCellAnchor>
  <xdr:twoCellAnchor>
    <xdr:from>
      <xdr:col>10</xdr:col>
      <xdr:colOff>1133475</xdr:colOff>
      <xdr:row>9</xdr:row>
      <xdr:rowOff>57150</xdr:rowOff>
    </xdr:from>
    <xdr:to>
      <xdr:col>11</xdr:col>
      <xdr:colOff>409575</xdr:colOff>
      <xdr:row>11</xdr:row>
      <xdr:rowOff>219075</xdr:rowOff>
    </xdr:to>
    <xdr:sp macro="" textlink="">
      <xdr:nvSpPr>
        <xdr:cNvPr id="3" name="テキスト ボックス 2">
          <a:extLst>
            <a:ext uri="{FF2B5EF4-FFF2-40B4-BE49-F238E27FC236}">
              <a16:creationId xmlns:a16="http://schemas.microsoft.com/office/drawing/2014/main" id="{00000000-0008-0000-1A00-000003000000}"/>
            </a:ext>
          </a:extLst>
        </xdr:cNvPr>
        <xdr:cNvSpPr txBox="1"/>
      </xdr:nvSpPr>
      <xdr:spPr>
        <a:xfrm>
          <a:off x="5953125" y="2724150"/>
          <a:ext cx="609600" cy="676275"/>
        </a:xfrm>
        <a:prstGeom prst="rect">
          <a:avLst/>
        </a:prstGeom>
        <a:noFill/>
        <a:ln w="9525" cmpd="sng">
          <a:solidFill>
            <a:schemeClr val="bg1">
              <a:lumMod val="85000"/>
            </a:schemeClr>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1100"/>
        </a:p>
        <a:p>
          <a:pPr algn="ctr"/>
          <a:r>
            <a:rPr kumimoji="1" lang="ja-JP" altLang="en-US" sz="1100">
              <a:solidFill>
                <a:schemeClr val="bg1">
                  <a:lumMod val="85000"/>
                </a:schemeClr>
              </a:solidFill>
            </a:rPr>
            <a:t>印</a:t>
          </a:r>
        </a:p>
      </xdr:txBody>
    </xdr:sp>
    <xdr:clientData/>
  </xdr:twoCellAnchor>
  <xdr:twoCellAnchor>
    <xdr:from>
      <xdr:col>44</xdr:col>
      <xdr:colOff>57150</xdr:colOff>
      <xdr:row>8</xdr:row>
      <xdr:rowOff>180975</xdr:rowOff>
    </xdr:from>
    <xdr:to>
      <xdr:col>48</xdr:col>
      <xdr:colOff>628649</xdr:colOff>
      <xdr:row>10</xdr:row>
      <xdr:rowOff>152400</xdr:rowOff>
    </xdr:to>
    <xdr:sp macro="" textlink="">
      <xdr:nvSpPr>
        <xdr:cNvPr id="4" name="正方形/長方形 3">
          <a:extLst>
            <a:ext uri="{FF2B5EF4-FFF2-40B4-BE49-F238E27FC236}">
              <a16:creationId xmlns:a16="http://schemas.microsoft.com/office/drawing/2014/main" id="{00000000-0008-0000-1A00-000004000000}"/>
            </a:ext>
          </a:extLst>
        </xdr:cNvPr>
        <xdr:cNvSpPr/>
      </xdr:nvSpPr>
      <xdr:spPr>
        <a:xfrm>
          <a:off x="28422600" y="2466975"/>
          <a:ext cx="3314699" cy="657225"/>
        </a:xfrm>
        <a:prstGeom prst="rect">
          <a:avLst/>
        </a:prstGeom>
        <a:solidFill>
          <a:srgbClr val="FFFF00"/>
        </a:solidFill>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l">
            <a:lnSpc>
              <a:spcPts val="1100"/>
            </a:lnSpc>
          </a:pPr>
          <a:r>
            <a:rPr kumimoji="1" lang="en-US" altLang="ja-JP" sz="1100" b="1">
              <a:solidFill>
                <a:srgbClr val="FF0000"/>
              </a:solidFill>
            </a:rPr>
            <a:t>※R4.1</a:t>
          </a:r>
          <a:r>
            <a:rPr kumimoji="1" lang="ja-JP" altLang="en-US" sz="1100" b="1">
              <a:solidFill>
                <a:srgbClr val="FF0000"/>
              </a:solidFill>
            </a:rPr>
            <a:t>時点の情報と異なる場合は関数の上から、上書き修正して下さい。</a:t>
          </a:r>
          <a:endParaRPr kumimoji="1" lang="en-US" altLang="ja-JP" sz="1100" b="1">
            <a:solidFill>
              <a:srgbClr val="FF0000"/>
            </a:solidFill>
          </a:endParaRPr>
        </a:p>
      </xdr:txBody>
    </xdr:sp>
    <xdr:clientData/>
  </xdr:twoCellAnchor>
  <xdr:twoCellAnchor>
    <xdr:from>
      <xdr:col>12</xdr:col>
      <xdr:colOff>95250</xdr:colOff>
      <xdr:row>8</xdr:row>
      <xdr:rowOff>133350</xdr:rowOff>
    </xdr:from>
    <xdr:to>
      <xdr:col>22</xdr:col>
      <xdr:colOff>486896</xdr:colOff>
      <xdr:row>11</xdr:row>
      <xdr:rowOff>201146</xdr:rowOff>
    </xdr:to>
    <xdr:sp macro="" textlink="">
      <xdr:nvSpPr>
        <xdr:cNvPr id="6" name="テキスト ボックス 5">
          <a:extLst>
            <a:ext uri="{FF2B5EF4-FFF2-40B4-BE49-F238E27FC236}">
              <a16:creationId xmlns:a16="http://schemas.microsoft.com/office/drawing/2014/main" id="{45B71E9F-4B8F-4B79-B39B-C6FCE79AA090}"/>
            </a:ext>
          </a:extLst>
        </xdr:cNvPr>
        <xdr:cNvSpPr txBox="1"/>
      </xdr:nvSpPr>
      <xdr:spPr>
        <a:xfrm>
          <a:off x="6696075" y="2419350"/>
          <a:ext cx="7068671" cy="103934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latin typeface="HGｺﾞｼｯｸE" panose="020B0909000000000000" pitchFamily="49" charset="-128"/>
              <a:ea typeface="HGｺﾞｼｯｸE" panose="020B0909000000000000" pitchFamily="49" charset="-128"/>
            </a:rPr>
            <a:t>・「園毎の固有番号」に基づき、</a:t>
          </a:r>
          <a:r>
            <a:rPr kumimoji="1" lang="ja-JP" altLang="en-US" sz="1200" u="sng">
              <a:solidFill>
                <a:srgbClr val="FF0000"/>
              </a:solidFill>
              <a:latin typeface="HGｺﾞｼｯｸE" panose="020B0909000000000000" pitchFamily="49" charset="-128"/>
              <a:ea typeface="HGｺﾞｼｯｸE" panose="020B0909000000000000" pitchFamily="49" charset="-128"/>
            </a:rPr>
            <a:t>３月１日時点の情報</a:t>
          </a:r>
          <a:r>
            <a:rPr kumimoji="1" lang="ja-JP" altLang="en-US" sz="1200">
              <a:latin typeface="HGｺﾞｼｯｸE" panose="020B0909000000000000" pitchFamily="49" charset="-128"/>
              <a:ea typeface="HGｺﾞｼｯｸE" panose="020B0909000000000000" pitchFamily="49" charset="-128"/>
            </a:rPr>
            <a:t>を記載しております。</a:t>
          </a:r>
          <a:endParaRPr kumimoji="1" lang="en-US" altLang="ja-JP" sz="1200">
            <a:latin typeface="HGｺﾞｼｯｸE" panose="020B0909000000000000" pitchFamily="49" charset="-128"/>
            <a:ea typeface="HGｺﾞｼｯｸE" panose="020B0909000000000000" pitchFamily="49" charset="-128"/>
          </a:endParaRPr>
        </a:p>
        <a:p>
          <a:endParaRPr kumimoji="1" lang="en-US" altLang="ja-JP" sz="1200">
            <a:latin typeface="HGｺﾞｼｯｸE" panose="020B0909000000000000" pitchFamily="49" charset="-128"/>
            <a:ea typeface="HGｺﾞｼｯｸE" panose="020B0909000000000000" pitchFamily="49" charset="-128"/>
          </a:endParaRPr>
        </a:p>
        <a:p>
          <a:r>
            <a:rPr kumimoji="1" lang="ja-JP" altLang="en-US" sz="1200">
              <a:latin typeface="HGｺﾞｼｯｸE" panose="020B0909000000000000" pitchFamily="49" charset="-128"/>
              <a:ea typeface="HGｺﾞｼｯｸE" panose="020B0909000000000000" pitchFamily="49" charset="-128"/>
            </a:rPr>
            <a:t>・</a:t>
          </a:r>
          <a:r>
            <a:rPr kumimoji="1" lang="ja-JP" altLang="en-US" sz="1200" u="sng">
              <a:solidFill>
                <a:srgbClr val="FF0000"/>
              </a:solidFill>
              <a:latin typeface="HGｺﾞｼｯｸE" panose="020B0909000000000000" pitchFamily="49" charset="-128"/>
              <a:ea typeface="HGｺﾞｼｯｸE" panose="020B0909000000000000" pitchFamily="49" charset="-128"/>
            </a:rPr>
            <a:t>令和６年４月時点で修正があった場合は</a:t>
          </a:r>
          <a:r>
            <a:rPr kumimoji="1" lang="ja-JP" altLang="en-US" sz="1200">
              <a:latin typeface="HGｺﾞｼｯｸE" panose="020B0909000000000000" pitchFamily="49" charset="-128"/>
              <a:ea typeface="HGｺﾞｼｯｸE" panose="020B0909000000000000" pitchFamily="49" charset="-128"/>
            </a:rPr>
            <a:t>恐縮ですが、</a:t>
          </a:r>
          <a:r>
            <a:rPr kumimoji="1" lang="ja-JP" altLang="en-US" sz="1200" u="sng">
              <a:solidFill>
                <a:srgbClr val="FF0000"/>
              </a:solidFill>
              <a:latin typeface="HGｺﾞｼｯｸE" panose="020B0909000000000000" pitchFamily="49" charset="-128"/>
              <a:ea typeface="HGｺﾞｼｯｸE" panose="020B0909000000000000" pitchFamily="49" charset="-128"/>
            </a:rPr>
            <a:t>関数の上から上書き</a:t>
          </a:r>
          <a:r>
            <a:rPr kumimoji="1" lang="ja-JP" altLang="en-US" sz="1200">
              <a:latin typeface="HGｺﾞｼｯｸE" panose="020B0909000000000000" pitchFamily="49" charset="-128"/>
              <a:ea typeface="HGｺﾞｼｯｸE" panose="020B0909000000000000" pitchFamily="49" charset="-128"/>
            </a:rPr>
            <a:t>願います。</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8</xdr:col>
      <xdr:colOff>61289</xdr:colOff>
      <xdr:row>15</xdr:row>
      <xdr:rowOff>77855</xdr:rowOff>
    </xdr:from>
    <xdr:to>
      <xdr:col>17</xdr:col>
      <xdr:colOff>171036</xdr:colOff>
      <xdr:row>35</xdr:row>
      <xdr:rowOff>162337</xdr:rowOff>
    </xdr:to>
    <xdr:sp macro="" textlink="">
      <xdr:nvSpPr>
        <xdr:cNvPr id="2" name="正方形/長方形 1">
          <a:extLst>
            <a:ext uri="{FF2B5EF4-FFF2-40B4-BE49-F238E27FC236}">
              <a16:creationId xmlns:a16="http://schemas.microsoft.com/office/drawing/2014/main" id="{00000000-0008-0000-1B00-000002000000}"/>
            </a:ext>
          </a:extLst>
        </xdr:cNvPr>
        <xdr:cNvSpPr/>
      </xdr:nvSpPr>
      <xdr:spPr>
        <a:xfrm>
          <a:off x="6690689" y="4021205"/>
          <a:ext cx="5367547" cy="4218332"/>
        </a:xfrm>
        <a:prstGeom prst="rect">
          <a:avLst/>
        </a:prstGeom>
        <a:solidFill>
          <a:srgbClr val="FFFF00"/>
        </a:solidFill>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r>
            <a:rPr lang="ja-JP" altLang="en-US" sz="1100">
              <a:solidFill>
                <a:schemeClr val="dk1"/>
              </a:solidFill>
              <a:effectLst/>
              <a:latin typeface="+mn-lt"/>
              <a:ea typeface="+mn-ea"/>
              <a:cs typeface="+mn-cs"/>
            </a:rPr>
            <a:t>交付決定額は、</a:t>
          </a:r>
          <a:r>
            <a:rPr lang="ja-JP" altLang="en-US" sz="1100" u="sng">
              <a:solidFill>
                <a:srgbClr val="FF0000"/>
              </a:solidFill>
              <a:effectLst/>
              <a:latin typeface="+mn-lt"/>
              <a:ea typeface="+mn-ea"/>
              <a:cs typeface="+mn-cs"/>
            </a:rPr>
            <a:t>交付申請額の３／４（千円未満切り捨て）</a:t>
          </a:r>
          <a:r>
            <a:rPr lang="ja-JP" altLang="en-US" sz="1100">
              <a:solidFill>
                <a:schemeClr val="dk1"/>
              </a:solidFill>
              <a:effectLst/>
              <a:latin typeface="+mn-lt"/>
              <a:ea typeface="+mn-ea"/>
              <a:cs typeface="+mn-cs"/>
            </a:rPr>
            <a:t>です。</a:t>
          </a:r>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配置基準補助金は</a:t>
          </a:r>
          <a:r>
            <a:rPr lang="ja-JP" altLang="en-US" sz="1100">
              <a:solidFill>
                <a:schemeClr val="dk1"/>
              </a:solidFill>
              <a:effectLst/>
              <a:latin typeface="+mn-lt"/>
              <a:ea typeface="+mn-ea"/>
              <a:cs typeface="+mn-cs"/>
            </a:rPr>
            <a:t>３</a:t>
          </a:r>
          <a:r>
            <a:rPr lang="ja-JP" altLang="ja-JP" sz="1100">
              <a:solidFill>
                <a:schemeClr val="dk1"/>
              </a:solidFill>
              <a:effectLst/>
              <a:latin typeface="+mn-lt"/>
              <a:ea typeface="+mn-ea"/>
              <a:cs typeface="+mn-cs"/>
            </a:rPr>
            <a:t>回に分けて、</a:t>
          </a:r>
          <a:r>
            <a:rPr lang="ja-JP" altLang="en-US" sz="1100">
              <a:solidFill>
                <a:schemeClr val="dk1"/>
              </a:solidFill>
              <a:effectLst/>
              <a:latin typeface="+mn-lt"/>
              <a:ea typeface="+mn-ea"/>
              <a:cs typeface="+mn-cs"/>
            </a:rPr>
            <a:t>次</a:t>
          </a:r>
          <a:r>
            <a:rPr lang="ja-JP" altLang="ja-JP" sz="1100">
              <a:solidFill>
                <a:schemeClr val="dk1"/>
              </a:solidFill>
              <a:effectLst/>
              <a:latin typeface="+mn-lt"/>
              <a:ea typeface="+mn-ea"/>
              <a:cs typeface="+mn-cs"/>
            </a:rPr>
            <a:t>の金額をそれぞれお支払いします。</a:t>
          </a:r>
        </a:p>
        <a:p>
          <a:r>
            <a:rPr lang="ja-JP" altLang="ja-JP" sz="1100">
              <a:solidFill>
                <a:schemeClr val="dk1"/>
              </a:solidFill>
              <a:effectLst/>
              <a:latin typeface="+mn-lt"/>
              <a:ea typeface="+mn-ea"/>
              <a:cs typeface="+mn-cs"/>
            </a:rPr>
            <a:t>★１回目　</a:t>
          </a:r>
          <a:r>
            <a:rPr lang="ja-JP" altLang="en-US" sz="1100">
              <a:solidFill>
                <a:schemeClr val="dk1"/>
              </a:solidFill>
              <a:effectLst/>
              <a:latin typeface="+mn-lt"/>
              <a:ea typeface="+mn-ea"/>
              <a:cs typeface="+mn-cs"/>
            </a:rPr>
            <a:t>令和６</a:t>
          </a:r>
          <a:r>
            <a:rPr lang="ja-JP" altLang="ja-JP" sz="1100">
              <a:solidFill>
                <a:schemeClr val="dk1"/>
              </a:solidFill>
              <a:effectLst/>
              <a:latin typeface="+mn-lt"/>
              <a:ea typeface="+mn-ea"/>
              <a:cs typeface="+mn-cs"/>
            </a:rPr>
            <a:t>年５月</a:t>
          </a:r>
          <a:r>
            <a:rPr lang="ja-JP" altLang="en-US" sz="1100">
              <a:solidFill>
                <a:schemeClr val="dk1"/>
              </a:solidFill>
              <a:effectLst/>
              <a:latin typeface="+mn-lt"/>
              <a:ea typeface="+mn-ea"/>
              <a:cs typeface="+mn-cs"/>
            </a:rPr>
            <a:t>３１</a:t>
          </a:r>
          <a:r>
            <a:rPr lang="ja-JP" altLang="ja-JP" sz="1100">
              <a:solidFill>
                <a:schemeClr val="dk1"/>
              </a:solidFill>
              <a:effectLst/>
              <a:latin typeface="+mn-lt"/>
              <a:ea typeface="+mn-ea"/>
              <a:cs typeface="+mn-cs"/>
            </a:rPr>
            <a:t>日</a:t>
          </a:r>
          <a:r>
            <a:rPr lang="ja-JP" altLang="en-US" sz="1100">
              <a:solidFill>
                <a:schemeClr val="dk1"/>
              </a:solidFill>
              <a:effectLst/>
              <a:latin typeface="+mn-lt"/>
              <a:ea typeface="+mn-ea"/>
              <a:cs typeface="+mn-cs"/>
            </a:rPr>
            <a:t>（交付決定額の２／３）</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２</a:t>
          </a:r>
          <a:r>
            <a:rPr lang="ja-JP" altLang="ja-JP" sz="1100">
              <a:solidFill>
                <a:schemeClr val="dk1"/>
              </a:solidFill>
              <a:effectLst/>
              <a:latin typeface="+mn-lt"/>
              <a:ea typeface="+mn-ea"/>
              <a:cs typeface="+mn-cs"/>
            </a:rPr>
            <a:t>回目　</a:t>
          </a:r>
          <a:r>
            <a:rPr lang="ja-JP" altLang="en-US" sz="1100">
              <a:solidFill>
                <a:schemeClr val="dk1"/>
              </a:solidFill>
              <a:effectLst/>
              <a:latin typeface="+mn-lt"/>
              <a:ea typeface="+mn-ea"/>
              <a:cs typeface="+mn-cs"/>
            </a:rPr>
            <a:t>令和６</a:t>
          </a:r>
          <a:r>
            <a:rPr lang="ja-JP" altLang="ja-JP" sz="1100">
              <a:solidFill>
                <a:schemeClr val="dk1"/>
              </a:solidFill>
              <a:effectLst/>
              <a:latin typeface="+mn-lt"/>
              <a:ea typeface="+mn-ea"/>
              <a:cs typeface="+mn-cs"/>
            </a:rPr>
            <a:t>年１０月</a:t>
          </a:r>
          <a:r>
            <a:rPr lang="ja-JP" altLang="en-US" sz="1100">
              <a:solidFill>
                <a:schemeClr val="dk1"/>
              </a:solidFill>
              <a:effectLst/>
              <a:latin typeface="+mn-lt"/>
              <a:ea typeface="+mn-ea"/>
              <a:cs typeface="+mn-cs"/>
            </a:rPr>
            <a:t>３１</a:t>
          </a:r>
          <a:r>
            <a:rPr lang="ja-JP" altLang="ja-JP" sz="1100">
              <a:solidFill>
                <a:schemeClr val="dk1"/>
              </a:solidFill>
              <a:effectLst/>
              <a:latin typeface="+mn-lt"/>
              <a:ea typeface="+mn-ea"/>
              <a:cs typeface="+mn-cs"/>
            </a:rPr>
            <a:t>日</a:t>
          </a:r>
          <a:r>
            <a:rPr lang="ja-JP" altLang="en-US" sz="1100">
              <a:solidFill>
                <a:schemeClr val="dk1"/>
              </a:solidFill>
              <a:effectLst/>
              <a:latin typeface="+mn-lt"/>
              <a:ea typeface="+mn-ea"/>
              <a:cs typeface="+mn-cs"/>
            </a:rPr>
            <a:t>（交付決定額の１／３）</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３</a:t>
          </a:r>
          <a:r>
            <a:rPr lang="ja-JP" altLang="ja-JP" sz="1100">
              <a:solidFill>
                <a:schemeClr val="dk1"/>
              </a:solidFill>
              <a:effectLst/>
              <a:latin typeface="+mn-lt"/>
              <a:ea typeface="+mn-ea"/>
              <a:cs typeface="+mn-cs"/>
            </a:rPr>
            <a:t>回目　</a:t>
          </a:r>
          <a:r>
            <a:rPr lang="ja-JP" altLang="en-US" sz="1100">
              <a:solidFill>
                <a:schemeClr val="dk1"/>
              </a:solidFill>
              <a:effectLst/>
              <a:latin typeface="+mn-lt"/>
              <a:ea typeface="+mn-ea"/>
              <a:cs typeface="+mn-cs"/>
            </a:rPr>
            <a:t>令和７</a:t>
          </a:r>
          <a:r>
            <a:rPr lang="ja-JP" altLang="ja-JP" sz="1100">
              <a:solidFill>
                <a:schemeClr val="dk1"/>
              </a:solidFill>
              <a:effectLst/>
              <a:latin typeface="+mn-lt"/>
              <a:ea typeface="+mn-ea"/>
              <a:cs typeface="+mn-cs"/>
            </a:rPr>
            <a:t>年４月</a:t>
          </a:r>
          <a:r>
            <a:rPr lang="ja-JP" altLang="en-US" sz="1100">
              <a:solidFill>
                <a:schemeClr val="dk1"/>
              </a:solidFill>
              <a:effectLst/>
              <a:latin typeface="+mn-lt"/>
              <a:ea typeface="+mn-ea"/>
              <a:cs typeface="+mn-cs"/>
            </a:rPr>
            <a:t>３０</a:t>
          </a:r>
          <a:r>
            <a:rPr lang="ja-JP" altLang="ja-JP" sz="1100">
              <a:solidFill>
                <a:schemeClr val="dk1"/>
              </a:solidFill>
              <a:effectLst/>
              <a:latin typeface="+mn-lt"/>
              <a:ea typeface="+mn-ea"/>
              <a:cs typeface="+mn-cs"/>
            </a:rPr>
            <a:t>日</a:t>
          </a:r>
          <a:r>
            <a:rPr lang="ja-JP" altLang="en-US" sz="1100">
              <a:solidFill>
                <a:schemeClr val="dk1"/>
              </a:solidFill>
              <a:effectLst/>
              <a:latin typeface="+mn-lt"/>
              <a:ea typeface="+mn-ea"/>
              <a:cs typeface="+mn-cs"/>
            </a:rPr>
            <a:t>（実績額と概算払い済額の差額）</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実績額が概算払い済額を下回る場合、令和７年５月末までに、</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　　</a:t>
          </a:r>
          <a:r>
            <a:rPr lang="ja-JP" altLang="en-US" sz="1100" u="sng">
              <a:solidFill>
                <a:srgbClr val="FF0000"/>
              </a:solidFill>
              <a:effectLst/>
              <a:latin typeface="+mn-lt"/>
              <a:ea typeface="+mn-ea"/>
              <a:cs typeface="+mn-cs"/>
            </a:rPr>
            <a:t>過払い額を</a:t>
          </a:r>
          <a:r>
            <a:rPr lang="ja-JP" altLang="ja-JP" sz="1100" u="sng">
              <a:solidFill>
                <a:srgbClr val="FF0000"/>
              </a:solidFill>
              <a:effectLst/>
              <a:latin typeface="+mn-lt"/>
              <a:ea typeface="+mn-ea"/>
              <a:cs typeface="+mn-cs"/>
            </a:rPr>
            <a:t>返還</a:t>
          </a:r>
          <a:r>
            <a:rPr lang="ja-JP" altLang="ja-JP" sz="1100">
              <a:solidFill>
                <a:schemeClr val="dk1"/>
              </a:solidFill>
              <a:effectLst/>
              <a:latin typeface="+mn-lt"/>
              <a:ea typeface="+mn-ea"/>
              <a:cs typeface="+mn-cs"/>
            </a:rPr>
            <a:t>していただ</a:t>
          </a:r>
          <a:r>
            <a:rPr lang="ja-JP" altLang="en-US" sz="1100">
              <a:solidFill>
                <a:schemeClr val="dk1"/>
              </a:solidFill>
              <a:effectLst/>
              <a:latin typeface="+mn-lt"/>
              <a:ea typeface="+mn-ea"/>
              <a:cs typeface="+mn-cs"/>
            </a:rPr>
            <a:t>きます</a:t>
          </a:r>
          <a:r>
            <a:rPr lang="ja-JP" altLang="ja-JP" sz="1100">
              <a:solidFill>
                <a:schemeClr val="dk1"/>
              </a:solidFill>
              <a:effectLst/>
              <a:latin typeface="+mn-lt"/>
              <a:ea typeface="+mn-ea"/>
              <a:cs typeface="+mn-cs"/>
            </a:rPr>
            <a:t>。</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）概算払いは、</a:t>
          </a:r>
          <a:r>
            <a:rPr lang="ja-JP" altLang="en-US" sz="1100" u="sng">
              <a:solidFill>
                <a:srgbClr val="FF0000"/>
              </a:solidFill>
              <a:effectLst/>
              <a:latin typeface="+mn-lt"/>
              <a:ea typeface="+mn-ea"/>
              <a:cs typeface="+mn-cs"/>
            </a:rPr>
            <a:t>補助金返還が生じるおそれがある場合には請求しない</a:t>
          </a:r>
          <a:endParaRPr lang="en-US" altLang="ja-JP" sz="1100" u="sng">
            <a:solidFill>
              <a:srgbClr val="FF0000"/>
            </a:solidFill>
            <a:effectLst/>
            <a:latin typeface="+mn-lt"/>
            <a:ea typeface="+mn-ea"/>
            <a:cs typeface="+mn-cs"/>
          </a:endParaRPr>
        </a:p>
        <a:p>
          <a:r>
            <a:rPr lang="ja-JP" altLang="en-US" sz="1100">
              <a:solidFill>
                <a:schemeClr val="dk1"/>
              </a:solidFill>
              <a:effectLst/>
              <a:latin typeface="+mn-lt"/>
              <a:ea typeface="+mn-ea"/>
              <a:cs typeface="+mn-cs"/>
            </a:rPr>
            <a:t>　　扱いにすることもできます。</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）１回目の概算払いをしない場合でも、２回目の概算払いを受ける</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　　ことができます。</a:t>
          </a:r>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児童数の増加</a:t>
          </a:r>
          <a:r>
            <a:rPr lang="ja-JP" altLang="en-US" sz="1100" b="1">
              <a:solidFill>
                <a:schemeClr val="dk1"/>
              </a:solidFill>
              <a:effectLst/>
              <a:latin typeface="+mn-lt"/>
              <a:ea typeface="+mn-ea"/>
              <a:cs typeface="+mn-cs"/>
            </a:rPr>
            <a:t>に伴う必要配置保育士数の増加</a:t>
          </a:r>
          <a:r>
            <a:rPr lang="ja-JP" altLang="ja-JP" sz="1100" b="1">
              <a:solidFill>
                <a:schemeClr val="dk1"/>
              </a:solidFill>
              <a:effectLst/>
              <a:latin typeface="+mn-lt"/>
              <a:ea typeface="+mn-ea"/>
              <a:cs typeface="+mn-cs"/>
            </a:rPr>
            <a:t>や保育士数の減少により、４月</a:t>
          </a:r>
          <a:r>
            <a:rPr lang="ja-JP" altLang="en-US" sz="1100" b="1">
              <a:solidFill>
                <a:schemeClr val="dk1"/>
              </a:solidFill>
              <a:effectLst/>
              <a:latin typeface="+mn-lt"/>
              <a:ea typeface="+mn-ea"/>
              <a:cs typeface="+mn-cs"/>
            </a:rPr>
            <a:t>以降</a:t>
          </a:r>
          <a:r>
            <a:rPr lang="ja-JP" altLang="ja-JP" sz="1100" b="1">
              <a:solidFill>
                <a:schemeClr val="dk1"/>
              </a:solidFill>
              <a:effectLst/>
              <a:latin typeface="+mn-lt"/>
              <a:ea typeface="+mn-ea"/>
              <a:cs typeface="+mn-cs"/>
            </a:rPr>
            <a:t>の加配</a:t>
          </a:r>
          <a:r>
            <a:rPr lang="ja-JP" altLang="en-US" sz="1100" b="1">
              <a:solidFill>
                <a:schemeClr val="dk1"/>
              </a:solidFill>
              <a:effectLst/>
              <a:latin typeface="+mn-lt"/>
              <a:ea typeface="+mn-ea"/>
              <a:cs typeface="+mn-cs"/>
            </a:rPr>
            <a:t>が</a:t>
          </a:r>
          <a:r>
            <a:rPr lang="ja-JP" altLang="ja-JP" sz="1100" b="1">
              <a:solidFill>
                <a:schemeClr val="dk1"/>
              </a:solidFill>
              <a:effectLst/>
              <a:latin typeface="+mn-lt"/>
              <a:ea typeface="+mn-ea"/>
              <a:cs typeface="+mn-cs"/>
            </a:rPr>
            <a:t>減少する場合には、</a:t>
          </a:r>
          <a:r>
            <a:rPr lang="ja-JP" altLang="en-US" sz="1100" b="1">
              <a:solidFill>
                <a:schemeClr val="dk1"/>
              </a:solidFill>
              <a:effectLst/>
              <a:latin typeface="+mn-lt"/>
              <a:ea typeface="+mn-ea"/>
              <a:cs typeface="+mn-cs"/>
            </a:rPr>
            <a:t>返還金発生の恐れ</a:t>
          </a:r>
          <a:r>
            <a:rPr lang="ja-JP" altLang="ja-JP" sz="1100" b="1">
              <a:solidFill>
                <a:schemeClr val="dk1"/>
              </a:solidFill>
              <a:effectLst/>
              <a:latin typeface="+mn-lt"/>
              <a:ea typeface="+mn-ea"/>
              <a:cs typeface="+mn-cs"/>
            </a:rPr>
            <a:t>がありますので、</a:t>
          </a:r>
          <a:r>
            <a:rPr lang="ja-JP" altLang="en-US" sz="1100" b="1">
              <a:solidFill>
                <a:schemeClr val="dk1"/>
              </a:solidFill>
              <a:effectLst/>
              <a:latin typeface="+mn-lt"/>
              <a:ea typeface="+mn-ea"/>
              <a:cs typeface="+mn-cs"/>
            </a:rPr>
            <a:t>幼保運営課</a:t>
          </a:r>
          <a:r>
            <a:rPr lang="ja-JP" altLang="ja-JP" sz="1100" b="1">
              <a:solidFill>
                <a:schemeClr val="dk1"/>
              </a:solidFill>
              <a:effectLst/>
              <a:latin typeface="+mn-lt"/>
              <a:ea typeface="+mn-ea"/>
              <a:cs typeface="+mn-cs"/>
            </a:rPr>
            <a:t>までご連絡をお願いします。</a:t>
          </a:r>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pPr>
            <a:lnSpc>
              <a:spcPts val="1100"/>
            </a:lnSpc>
          </a:pPr>
          <a:endParaRPr lang="ja-JP" altLang="ja-JP" sz="1100">
            <a:solidFill>
              <a:schemeClr val="dk1"/>
            </a:solidFill>
            <a:effectLst/>
            <a:latin typeface="+mn-lt"/>
            <a:ea typeface="+mn-ea"/>
            <a:cs typeface="+mn-cs"/>
          </a:endParaRPr>
        </a:p>
        <a:p>
          <a:pPr algn="l">
            <a:lnSpc>
              <a:spcPts val="1100"/>
            </a:lnSpc>
          </a:pPr>
          <a:r>
            <a:rPr kumimoji="1" lang="en-US" altLang="ja-JP" sz="1100"/>
            <a:t>1000</a:t>
          </a:r>
          <a:r>
            <a:rPr kumimoji="1" lang="ja-JP" altLang="en-US" sz="1100"/>
            <a:t>１０００</a:t>
          </a:r>
          <a:endParaRPr kumimoji="1" lang="en-US" altLang="ja-JP" sz="1100"/>
        </a:p>
      </xdr:txBody>
    </xdr:sp>
    <xdr:clientData/>
  </xdr:twoCellAnchor>
  <xdr:twoCellAnchor>
    <xdr:from>
      <xdr:col>6</xdr:col>
      <xdr:colOff>1151282</xdr:colOff>
      <xdr:row>9</xdr:row>
      <xdr:rowOff>91109</xdr:rowOff>
    </xdr:from>
    <xdr:to>
      <xdr:col>7</xdr:col>
      <xdr:colOff>319708</xdr:colOff>
      <xdr:row>11</xdr:row>
      <xdr:rowOff>187601</xdr:rowOff>
    </xdr:to>
    <xdr:sp macro="" textlink="">
      <xdr:nvSpPr>
        <xdr:cNvPr id="4" name="テキスト ボックス 3">
          <a:extLst>
            <a:ext uri="{FF2B5EF4-FFF2-40B4-BE49-F238E27FC236}">
              <a16:creationId xmlns:a16="http://schemas.microsoft.com/office/drawing/2014/main" id="{00000000-0008-0000-1B00-000004000000}"/>
            </a:ext>
          </a:extLst>
        </xdr:cNvPr>
        <xdr:cNvSpPr txBox="1"/>
      </xdr:nvSpPr>
      <xdr:spPr>
        <a:xfrm>
          <a:off x="5989982" y="2377109"/>
          <a:ext cx="606701" cy="667992"/>
        </a:xfrm>
        <a:prstGeom prst="rect">
          <a:avLst/>
        </a:prstGeom>
        <a:noFill/>
        <a:ln w="9525" cmpd="sng">
          <a:solidFill>
            <a:schemeClr val="bg1">
              <a:lumMod val="85000"/>
            </a:schemeClr>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1100"/>
        </a:p>
        <a:p>
          <a:pPr algn="ctr"/>
          <a:r>
            <a:rPr kumimoji="1" lang="ja-JP" altLang="en-US" sz="1100">
              <a:solidFill>
                <a:schemeClr val="bg1">
                  <a:lumMod val="85000"/>
                </a:schemeClr>
              </a:solidFill>
            </a:rPr>
            <a:t>印</a:t>
          </a:r>
        </a:p>
      </xdr:txBody>
    </xdr:sp>
    <xdr:clientData/>
  </xdr:twoCellAnchor>
  <xdr:twoCellAnchor>
    <xdr:from>
      <xdr:col>8</xdr:col>
      <xdr:colOff>66675</xdr:colOff>
      <xdr:row>8</xdr:row>
      <xdr:rowOff>190500</xdr:rowOff>
    </xdr:from>
    <xdr:to>
      <xdr:col>19</xdr:col>
      <xdr:colOff>505946</xdr:colOff>
      <xdr:row>11</xdr:row>
      <xdr:rowOff>277346</xdr:rowOff>
    </xdr:to>
    <xdr:sp macro="" textlink="">
      <xdr:nvSpPr>
        <xdr:cNvPr id="6" name="テキスト ボックス 5">
          <a:extLst>
            <a:ext uri="{FF2B5EF4-FFF2-40B4-BE49-F238E27FC236}">
              <a16:creationId xmlns:a16="http://schemas.microsoft.com/office/drawing/2014/main" id="{0AFE5C19-7228-429A-926F-F8D3C2B75152}"/>
            </a:ext>
          </a:extLst>
        </xdr:cNvPr>
        <xdr:cNvSpPr txBox="1"/>
      </xdr:nvSpPr>
      <xdr:spPr>
        <a:xfrm>
          <a:off x="6696075" y="2343150"/>
          <a:ext cx="7068671" cy="103934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latin typeface="HGｺﾞｼｯｸE" panose="020B0909000000000000" pitchFamily="49" charset="-128"/>
              <a:ea typeface="HGｺﾞｼｯｸE" panose="020B0909000000000000" pitchFamily="49" charset="-128"/>
            </a:rPr>
            <a:t>・「園毎の固有番号」に基づき、</a:t>
          </a:r>
          <a:r>
            <a:rPr kumimoji="1" lang="ja-JP" altLang="en-US" sz="1200" u="sng">
              <a:solidFill>
                <a:srgbClr val="FF0000"/>
              </a:solidFill>
              <a:latin typeface="HGｺﾞｼｯｸE" panose="020B0909000000000000" pitchFamily="49" charset="-128"/>
              <a:ea typeface="HGｺﾞｼｯｸE" panose="020B0909000000000000" pitchFamily="49" charset="-128"/>
            </a:rPr>
            <a:t>３月１日時点の情報</a:t>
          </a:r>
          <a:r>
            <a:rPr kumimoji="1" lang="ja-JP" altLang="en-US" sz="1200">
              <a:latin typeface="HGｺﾞｼｯｸE" panose="020B0909000000000000" pitchFamily="49" charset="-128"/>
              <a:ea typeface="HGｺﾞｼｯｸE" panose="020B0909000000000000" pitchFamily="49" charset="-128"/>
            </a:rPr>
            <a:t>を記載しております。</a:t>
          </a:r>
          <a:endParaRPr kumimoji="1" lang="en-US" altLang="ja-JP" sz="1200">
            <a:latin typeface="HGｺﾞｼｯｸE" panose="020B0909000000000000" pitchFamily="49" charset="-128"/>
            <a:ea typeface="HGｺﾞｼｯｸE" panose="020B0909000000000000" pitchFamily="49" charset="-128"/>
          </a:endParaRPr>
        </a:p>
        <a:p>
          <a:endParaRPr kumimoji="1" lang="en-US" altLang="ja-JP" sz="1200">
            <a:latin typeface="HGｺﾞｼｯｸE" panose="020B0909000000000000" pitchFamily="49" charset="-128"/>
            <a:ea typeface="HGｺﾞｼｯｸE" panose="020B0909000000000000" pitchFamily="49" charset="-128"/>
          </a:endParaRPr>
        </a:p>
        <a:p>
          <a:r>
            <a:rPr kumimoji="1" lang="ja-JP" altLang="en-US" sz="1200">
              <a:latin typeface="HGｺﾞｼｯｸE" panose="020B0909000000000000" pitchFamily="49" charset="-128"/>
              <a:ea typeface="HGｺﾞｼｯｸE" panose="020B0909000000000000" pitchFamily="49" charset="-128"/>
            </a:rPr>
            <a:t>・</a:t>
          </a:r>
          <a:r>
            <a:rPr kumimoji="1" lang="ja-JP" altLang="en-US" sz="1200" u="sng">
              <a:solidFill>
                <a:srgbClr val="FF0000"/>
              </a:solidFill>
              <a:latin typeface="HGｺﾞｼｯｸE" panose="020B0909000000000000" pitchFamily="49" charset="-128"/>
              <a:ea typeface="HGｺﾞｼｯｸE" panose="020B0909000000000000" pitchFamily="49" charset="-128"/>
            </a:rPr>
            <a:t>令和６年４月時点で修正があった場合は</a:t>
          </a:r>
          <a:r>
            <a:rPr kumimoji="1" lang="ja-JP" altLang="en-US" sz="1200">
              <a:latin typeface="HGｺﾞｼｯｸE" panose="020B0909000000000000" pitchFamily="49" charset="-128"/>
              <a:ea typeface="HGｺﾞｼｯｸE" panose="020B0909000000000000" pitchFamily="49" charset="-128"/>
            </a:rPr>
            <a:t>恐縮ですが、</a:t>
          </a:r>
          <a:r>
            <a:rPr kumimoji="1" lang="ja-JP" altLang="en-US" sz="1200" u="sng">
              <a:solidFill>
                <a:srgbClr val="FF0000"/>
              </a:solidFill>
              <a:latin typeface="HGｺﾞｼｯｸE" panose="020B0909000000000000" pitchFamily="49" charset="-128"/>
              <a:ea typeface="HGｺﾞｼｯｸE" panose="020B0909000000000000" pitchFamily="49" charset="-128"/>
            </a:rPr>
            <a:t>関数の上から上書き</a:t>
          </a:r>
          <a:r>
            <a:rPr kumimoji="1" lang="ja-JP" altLang="en-US" sz="1200">
              <a:latin typeface="HGｺﾞｼｯｸE" panose="020B0909000000000000" pitchFamily="49" charset="-128"/>
              <a:ea typeface="HGｺﾞｼｯｸE" panose="020B0909000000000000" pitchFamily="49" charset="-128"/>
            </a:rPr>
            <a:t>願います。</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85725</xdr:colOff>
      <xdr:row>21</xdr:row>
      <xdr:rowOff>190500</xdr:rowOff>
    </xdr:from>
    <xdr:to>
      <xdr:col>7</xdr:col>
      <xdr:colOff>101600</xdr:colOff>
      <xdr:row>28</xdr:row>
      <xdr:rowOff>44450</xdr:rowOff>
    </xdr:to>
    <xdr:sp macro="" textlink="">
      <xdr:nvSpPr>
        <xdr:cNvPr id="3" name="テキスト ボックス 2">
          <a:extLst>
            <a:ext uri="{FF2B5EF4-FFF2-40B4-BE49-F238E27FC236}">
              <a16:creationId xmlns:a16="http://schemas.microsoft.com/office/drawing/2014/main" id="{C51F6D0F-AEEE-6353-B9D2-5BDE156F34FC}"/>
            </a:ext>
          </a:extLst>
        </xdr:cNvPr>
        <xdr:cNvSpPr txBox="1"/>
      </xdr:nvSpPr>
      <xdr:spPr>
        <a:xfrm>
          <a:off x="85725" y="4657725"/>
          <a:ext cx="6464300" cy="1254125"/>
        </a:xfrm>
        <a:prstGeom prst="rect">
          <a:avLst/>
        </a:prstGeom>
        <a:solidFill>
          <a:srgbClr val="FFFF00"/>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BIZ UDPゴシック" panose="020B0400000000000000" pitchFamily="50" charset="-128"/>
              <a:ea typeface="BIZ UDPゴシック" panose="020B0400000000000000" pitchFamily="50" charset="-128"/>
              <a:cs typeface="+mn-cs"/>
            </a:rPr>
            <a:t>このシートの取り扱いについて</a:t>
          </a:r>
          <a:endPar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千葉市が把握している情報が表示されます</a:t>
          </a:r>
          <a:r>
            <a:rPr kumimoji="1" lang="ja-JP" altLang="en-US" sz="1100">
              <a:solidFill>
                <a:schemeClr val="dk1"/>
              </a:solidFill>
              <a:effectLst/>
              <a:latin typeface="BIZ UDPゴシック" panose="020B0400000000000000" pitchFamily="50" charset="-128"/>
              <a:ea typeface="BIZ UDPゴシック" panose="020B0400000000000000" pitchFamily="50" charset="-128"/>
              <a:cs typeface="+mn-cs"/>
            </a:rPr>
            <a:t>ので、記載する必要はありません</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a:t>
          </a:r>
          <a:endPar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a:effectLst/>
            <a:latin typeface="BIZ UDPゴシック" panose="020B0400000000000000" pitchFamily="50" charset="-128"/>
            <a:ea typeface="BIZ UDP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a:effectLst/>
              <a:latin typeface="BIZ UDPゴシック" panose="020B0400000000000000" pitchFamily="50" charset="-128"/>
              <a:ea typeface="BIZ UDPゴシック" panose="020B0400000000000000" pitchFamily="50" charset="-128"/>
            </a:rPr>
            <a:t>・２月、３月の４・５歳児児童数については「③児童数及び保育士定数 </a:t>
          </a:r>
          <a:r>
            <a:rPr lang="en-US" altLang="ja-JP">
              <a:effectLst/>
              <a:latin typeface="BIZ UDPゴシック" panose="020B0400000000000000" pitchFamily="50" charset="-128"/>
              <a:ea typeface="BIZ UDPゴシック" panose="020B0400000000000000" pitchFamily="50" charset="-128"/>
            </a:rPr>
            <a:t>(2)-(1)</a:t>
          </a:r>
          <a:r>
            <a:rPr lang="ja-JP" altLang="en-US">
              <a:effectLst/>
              <a:latin typeface="BIZ UDPゴシック" panose="020B0400000000000000" pitchFamily="50" charset="-128"/>
              <a:ea typeface="BIZ UDPゴシック" panose="020B0400000000000000" pitchFamily="50" charset="-128"/>
            </a:rPr>
            <a:t>」から転記しています。</a:t>
          </a:r>
          <a:endParaRPr lang="ja-JP" altLang="ja-JP">
            <a:effectLst/>
            <a:latin typeface="BIZ UDPゴシック" panose="020B0400000000000000" pitchFamily="50" charset="-128"/>
            <a:ea typeface="BIZ UDPゴシック" panose="020B0400000000000000" pitchFamily="50" charset="-128"/>
          </a:endParaRPr>
        </a:p>
        <a:p>
          <a:endParaRPr kumimoji="1" lang="ja-JP" altLang="en-US" sz="1100"/>
        </a:p>
      </xdr:txBody>
    </xdr:sp>
    <xdr:clientData/>
  </xdr:twoCellAnchor>
  <xdr:twoCellAnchor>
    <xdr:from>
      <xdr:col>6</xdr:col>
      <xdr:colOff>44451</xdr:colOff>
      <xdr:row>8</xdr:row>
      <xdr:rowOff>9525</xdr:rowOff>
    </xdr:from>
    <xdr:to>
      <xdr:col>18</xdr:col>
      <xdr:colOff>342900</xdr:colOff>
      <xdr:row>15</xdr:row>
      <xdr:rowOff>63500</xdr:rowOff>
    </xdr:to>
    <xdr:sp macro="" textlink="">
      <xdr:nvSpPr>
        <xdr:cNvPr id="4" name="テキスト ボックス 3">
          <a:extLst>
            <a:ext uri="{FF2B5EF4-FFF2-40B4-BE49-F238E27FC236}">
              <a16:creationId xmlns:a16="http://schemas.microsoft.com/office/drawing/2014/main" id="{B858C82C-913E-D709-2C74-2F0D73A8333D}"/>
            </a:ext>
          </a:extLst>
        </xdr:cNvPr>
        <xdr:cNvSpPr txBox="1"/>
      </xdr:nvSpPr>
      <xdr:spPr>
        <a:xfrm>
          <a:off x="5835651" y="1552575"/>
          <a:ext cx="2984499" cy="1720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rtl="0" eaLnBrk="1" latinLnBrk="0" hangingPunct="1"/>
          <a:r>
            <a:rPr kumimoji="1" lang="en-US" altLang="ja-JP" sz="1100" b="1" u="none">
              <a:solidFill>
                <a:schemeClr val="dk1"/>
              </a:solidFill>
              <a:effectLst/>
              <a:latin typeface="BIZ UDPゴシック" panose="020B0400000000000000" pitchFamily="50" charset="-128"/>
              <a:ea typeface="BIZ UDPゴシック" panose="020B0400000000000000" pitchFamily="50" charset="-128"/>
              <a:cs typeface="+mn-cs"/>
            </a:rPr>
            <a:t>【4</a:t>
          </a:r>
          <a:r>
            <a:rPr kumimoji="1" lang="ja-JP" altLang="en-US" sz="1100" b="1" u="none">
              <a:solidFill>
                <a:schemeClr val="dk1"/>
              </a:solidFill>
              <a:effectLst/>
              <a:latin typeface="BIZ UDPゴシック" panose="020B0400000000000000" pitchFamily="50" charset="-128"/>
              <a:ea typeface="BIZ UDPゴシック" panose="020B0400000000000000" pitchFamily="50" charset="-128"/>
              <a:cs typeface="+mn-cs"/>
            </a:rPr>
            <a:t>歳以上児配置改善加算相当額算出方法</a:t>
          </a:r>
          <a:r>
            <a:rPr kumimoji="1" lang="en-US" altLang="ja-JP" sz="1100" b="1" u="none">
              <a:solidFill>
                <a:schemeClr val="dk1"/>
              </a:solidFill>
              <a:effectLst/>
              <a:latin typeface="BIZ UDPゴシック" panose="020B0400000000000000" pitchFamily="50" charset="-128"/>
              <a:ea typeface="BIZ UDPゴシック" panose="020B0400000000000000" pitchFamily="50" charset="-128"/>
              <a:cs typeface="+mn-cs"/>
            </a:rPr>
            <a:t>】</a:t>
          </a:r>
        </a:p>
        <a:p>
          <a:pPr rtl="0" eaLnBrk="1" latinLnBrk="0" hangingPunct="1"/>
          <a:endParaRPr kumimoji="1" lang="en-US" altLang="ja-JP" sz="1100" b="1" u="sng">
            <a:solidFill>
              <a:schemeClr val="dk1"/>
            </a:solidFill>
            <a:effectLst/>
            <a:latin typeface="BIZ UDPゴシック" panose="020B0400000000000000" pitchFamily="50" charset="-128"/>
            <a:ea typeface="BIZ UDPゴシック" panose="020B0400000000000000" pitchFamily="50" charset="-128"/>
            <a:cs typeface="+mn-cs"/>
          </a:endParaRPr>
        </a:p>
        <a:p>
          <a:pPr rtl="0" eaLnBrk="1" latinLnBrk="0" hangingPunct="1"/>
          <a:r>
            <a:rPr kumimoji="1" lang="ja-JP" altLang="ja-JP" sz="1100" b="1" u="sng">
              <a:solidFill>
                <a:srgbClr val="FF0000"/>
              </a:solidFill>
              <a:effectLst/>
              <a:latin typeface="BIZ UDPゴシック" panose="020B0400000000000000" pitchFamily="50" charset="-128"/>
              <a:ea typeface="BIZ UDPゴシック" panose="020B0400000000000000" pitchFamily="50" charset="-128"/>
              <a:cs typeface="+mn-cs"/>
            </a:rPr>
            <a:t>Ａ </a:t>
          </a:r>
          <a:r>
            <a:rPr kumimoji="1" lang="en-US" altLang="ja-JP" sz="1100" b="1" u="sng">
              <a:solidFill>
                <a:srgbClr val="FF0000"/>
              </a:solidFill>
              <a:effectLst/>
              <a:latin typeface="BIZ UDPゴシック" panose="020B0400000000000000" pitchFamily="50" charset="-128"/>
              <a:ea typeface="BIZ UDPゴシック" panose="020B0400000000000000" pitchFamily="50" charset="-128"/>
              <a:cs typeface="+mn-cs"/>
            </a:rPr>
            <a:t>4</a:t>
          </a:r>
          <a:r>
            <a:rPr kumimoji="1" lang="ja-JP" altLang="ja-JP" sz="1100" b="1" u="sng">
              <a:solidFill>
                <a:srgbClr val="FF0000"/>
              </a:solidFill>
              <a:effectLst/>
              <a:latin typeface="BIZ UDPゴシック" panose="020B0400000000000000" pitchFamily="50" charset="-128"/>
              <a:ea typeface="BIZ UDPゴシック" panose="020B0400000000000000" pitchFamily="50" charset="-128"/>
              <a:cs typeface="+mn-cs"/>
            </a:rPr>
            <a:t>･</a:t>
          </a:r>
          <a:r>
            <a:rPr kumimoji="1" lang="en-US" altLang="ja-JP" sz="1100" b="1" u="sng">
              <a:solidFill>
                <a:srgbClr val="FF0000"/>
              </a:solidFill>
              <a:effectLst/>
              <a:latin typeface="BIZ UDPゴシック" panose="020B0400000000000000" pitchFamily="50" charset="-128"/>
              <a:ea typeface="BIZ UDPゴシック" panose="020B0400000000000000" pitchFamily="50" charset="-128"/>
              <a:cs typeface="+mn-cs"/>
            </a:rPr>
            <a:t>5</a:t>
          </a:r>
          <a:r>
            <a:rPr kumimoji="1" lang="ja-JP" altLang="ja-JP" sz="1100" b="1" u="sng">
              <a:solidFill>
                <a:srgbClr val="FF0000"/>
              </a:solidFill>
              <a:effectLst/>
              <a:latin typeface="BIZ UDPゴシック" panose="020B0400000000000000" pitchFamily="50" charset="-128"/>
              <a:ea typeface="BIZ UDPゴシック" panose="020B0400000000000000" pitchFamily="50" charset="-128"/>
              <a:cs typeface="+mn-cs"/>
            </a:rPr>
            <a:t>歳児児童数 </a:t>
          </a:r>
          <a:r>
            <a:rPr kumimoji="1" lang="en-US" altLang="ja-JP" sz="1100" b="1" u="sng">
              <a:solidFill>
                <a:srgbClr val="FF0000"/>
              </a:solidFill>
              <a:effectLst/>
              <a:latin typeface="BIZ UDPゴシック" panose="020B0400000000000000" pitchFamily="50" charset="-128"/>
              <a:ea typeface="BIZ UDPゴシック" panose="020B0400000000000000" pitchFamily="50" charset="-128"/>
              <a:cs typeface="+mn-cs"/>
            </a:rPr>
            <a:t>× </a:t>
          </a:r>
          <a:r>
            <a:rPr kumimoji="1" lang="ja-JP" altLang="ja-JP" sz="1100" b="1" u="sng">
              <a:solidFill>
                <a:srgbClr val="FF0000"/>
              </a:solidFill>
              <a:effectLst/>
              <a:latin typeface="BIZ UDPゴシック" panose="020B0400000000000000" pitchFamily="50" charset="-128"/>
              <a:ea typeface="BIZ UDPゴシック" panose="020B0400000000000000" pitchFamily="50" charset="-128"/>
              <a:cs typeface="+mn-cs"/>
            </a:rPr>
            <a:t>Ｂ</a:t>
          </a:r>
          <a:r>
            <a:rPr kumimoji="1" lang="en-US" altLang="ja-JP" sz="1100" b="1" u="sng">
              <a:solidFill>
                <a:srgbClr val="FF0000"/>
              </a:solidFill>
              <a:effectLst/>
              <a:latin typeface="BIZ UDPゴシック" panose="020B0400000000000000" pitchFamily="50" charset="-128"/>
              <a:ea typeface="BIZ UDPゴシック" panose="020B0400000000000000" pitchFamily="50" charset="-128"/>
              <a:cs typeface="+mn-cs"/>
            </a:rPr>
            <a:t> </a:t>
          </a:r>
          <a:r>
            <a:rPr kumimoji="1" lang="ja-JP" altLang="ja-JP" sz="1100" b="1" u="sng">
              <a:solidFill>
                <a:srgbClr val="FF0000"/>
              </a:solidFill>
              <a:effectLst/>
              <a:latin typeface="BIZ UDPゴシック" panose="020B0400000000000000" pitchFamily="50" charset="-128"/>
              <a:ea typeface="BIZ UDPゴシック" panose="020B0400000000000000" pitchFamily="50" charset="-128"/>
              <a:cs typeface="+mn-cs"/>
            </a:rPr>
            <a:t>加算単価</a:t>
          </a:r>
          <a:endParaRPr lang="ja-JP" altLang="ja-JP">
            <a:solidFill>
              <a:srgbClr val="FF0000"/>
            </a:solidFill>
            <a:effectLst/>
            <a:latin typeface="BIZ UDPゴシック" panose="020B0400000000000000" pitchFamily="50" charset="-128"/>
            <a:ea typeface="BIZ UDPゴシック" panose="020B0400000000000000" pitchFamily="50" charset="-128"/>
          </a:endParaRPr>
        </a:p>
        <a:p>
          <a:pPr rtl="0" eaLnBrk="1" latinLnBrk="0" hangingPunct="1"/>
          <a:endPar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endParaRPr>
        </a:p>
        <a:p>
          <a:pPr rtl="0" eaLnBrk="1" latinLnBrk="0" hangingPunct="1"/>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Ａ　</a:t>
          </a:r>
          <a:r>
            <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４月～１月</a:t>
          </a:r>
          <a:r>
            <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　　給付で確定した児童数</a:t>
          </a:r>
          <a:endParaRPr lang="ja-JP" altLang="ja-JP">
            <a:effectLst/>
            <a:latin typeface="BIZ UDPゴシック" panose="020B0400000000000000" pitchFamily="50" charset="-128"/>
            <a:ea typeface="BIZ UDPゴシック" panose="020B0400000000000000" pitchFamily="50" charset="-128"/>
          </a:endParaRPr>
        </a:p>
        <a:p>
          <a:pPr rtl="0" eaLnBrk="1" latinLnBrk="0" hangingPunct="1"/>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　　</a:t>
          </a:r>
          <a:r>
            <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２月、３月</a:t>
          </a:r>
          <a:r>
            <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　　各園が入力した児童数</a:t>
          </a:r>
          <a:endParaRPr lang="ja-JP" altLang="ja-JP">
            <a:effectLst/>
            <a:latin typeface="BIZ UDPゴシック" panose="020B0400000000000000" pitchFamily="50" charset="-128"/>
            <a:ea typeface="BIZ UDPゴシック" panose="020B0400000000000000" pitchFamily="50" charset="-128"/>
          </a:endParaRPr>
        </a:p>
        <a:p>
          <a:endPar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Ｂ　園ごとの加算単価</a:t>
          </a:r>
          <a:endParaRPr kumimoji="1" lang="ja-JP" altLang="en-US" sz="1100">
            <a:latin typeface="BIZ UDPゴシック" panose="020B0400000000000000" pitchFamily="50" charset="-128"/>
            <a:ea typeface="BIZ UDPゴシック" panose="020B0400000000000000" pitchFamily="50" charset="-128"/>
          </a:endParaRP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8</xdr:col>
      <xdr:colOff>22411</xdr:colOff>
      <xdr:row>8</xdr:row>
      <xdr:rowOff>134471</xdr:rowOff>
    </xdr:from>
    <xdr:to>
      <xdr:col>8</xdr:col>
      <xdr:colOff>212911</xdr:colOff>
      <xdr:row>13</xdr:row>
      <xdr:rowOff>42023</xdr:rowOff>
    </xdr:to>
    <xdr:sp macro="" textlink="">
      <xdr:nvSpPr>
        <xdr:cNvPr id="3" name="右大かっこ 2">
          <a:extLst>
            <a:ext uri="{FF2B5EF4-FFF2-40B4-BE49-F238E27FC236}">
              <a16:creationId xmlns:a16="http://schemas.microsoft.com/office/drawing/2014/main" id="{00000000-0008-0000-1C00-000003000000}"/>
            </a:ext>
          </a:extLst>
        </xdr:cNvPr>
        <xdr:cNvSpPr/>
      </xdr:nvSpPr>
      <xdr:spPr>
        <a:xfrm>
          <a:off x="6813176" y="1759324"/>
          <a:ext cx="190500" cy="949699"/>
        </a:xfrm>
        <a:prstGeom prst="rightBracket">
          <a:avLst/>
        </a:prstGeom>
        <a:ln w="571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235322</xdr:colOff>
      <xdr:row>9</xdr:row>
      <xdr:rowOff>173691</xdr:rowOff>
    </xdr:from>
    <xdr:to>
      <xdr:col>9</xdr:col>
      <xdr:colOff>145675</xdr:colOff>
      <xdr:row>10</xdr:row>
      <xdr:rowOff>81243</xdr:rowOff>
    </xdr:to>
    <xdr:sp macro="" textlink="">
      <xdr:nvSpPr>
        <xdr:cNvPr id="4" name="矢印: 右 3">
          <a:extLst>
            <a:ext uri="{FF2B5EF4-FFF2-40B4-BE49-F238E27FC236}">
              <a16:creationId xmlns:a16="http://schemas.microsoft.com/office/drawing/2014/main" id="{00000000-0008-0000-1C00-000004000000}"/>
            </a:ext>
          </a:extLst>
        </xdr:cNvPr>
        <xdr:cNvSpPr/>
      </xdr:nvSpPr>
      <xdr:spPr>
        <a:xfrm>
          <a:off x="7026087" y="2168338"/>
          <a:ext cx="403412" cy="131670"/>
        </a:xfrm>
        <a:prstGeom prst="rightArrow">
          <a:avLst/>
        </a:prstGeom>
        <a:ln>
          <a:solidFill>
            <a:sysClr val="windowText" lastClr="000000"/>
          </a:solidFill>
          <a:prstDash val="sysDash"/>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134470</xdr:colOff>
      <xdr:row>8</xdr:row>
      <xdr:rowOff>78441</xdr:rowOff>
    </xdr:from>
    <xdr:to>
      <xdr:col>20</xdr:col>
      <xdr:colOff>401171</xdr:colOff>
      <xdr:row>14</xdr:row>
      <xdr:rowOff>19611</xdr:rowOff>
    </xdr:to>
    <xdr:sp macro="" textlink="">
      <xdr:nvSpPr>
        <xdr:cNvPr id="5" name="テキスト ボックス 4">
          <a:extLst>
            <a:ext uri="{FF2B5EF4-FFF2-40B4-BE49-F238E27FC236}">
              <a16:creationId xmlns:a16="http://schemas.microsoft.com/office/drawing/2014/main" id="{00000000-0008-0000-1C00-000005000000}"/>
            </a:ext>
          </a:extLst>
        </xdr:cNvPr>
        <xdr:cNvSpPr txBox="1"/>
      </xdr:nvSpPr>
      <xdr:spPr>
        <a:xfrm>
          <a:off x="7418294" y="1703294"/>
          <a:ext cx="7068671" cy="103934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latin typeface="HGｺﾞｼｯｸE" panose="020B0909000000000000" pitchFamily="49" charset="-128"/>
              <a:ea typeface="HGｺﾞｼｯｸE" panose="020B0909000000000000" pitchFamily="49" charset="-128"/>
            </a:rPr>
            <a:t>・「園毎の固有番号」に基づき、</a:t>
          </a:r>
          <a:r>
            <a:rPr kumimoji="1" lang="ja-JP" altLang="en-US" sz="1200" u="sng">
              <a:solidFill>
                <a:srgbClr val="FF0000"/>
              </a:solidFill>
              <a:latin typeface="HGｺﾞｼｯｸE" panose="020B0909000000000000" pitchFamily="49" charset="-128"/>
              <a:ea typeface="HGｺﾞｼｯｸE" panose="020B0909000000000000" pitchFamily="49" charset="-128"/>
            </a:rPr>
            <a:t>２月１日時点の情報</a:t>
          </a:r>
          <a:r>
            <a:rPr kumimoji="1" lang="ja-JP" altLang="en-US" sz="1200">
              <a:latin typeface="HGｺﾞｼｯｸE" panose="020B0909000000000000" pitchFamily="49" charset="-128"/>
              <a:ea typeface="HGｺﾞｼｯｸE" panose="020B0909000000000000" pitchFamily="49" charset="-128"/>
            </a:rPr>
            <a:t>を記載しております。</a:t>
          </a:r>
          <a:endParaRPr kumimoji="1" lang="en-US" altLang="ja-JP" sz="1200">
            <a:latin typeface="HGｺﾞｼｯｸE" panose="020B0909000000000000" pitchFamily="49" charset="-128"/>
            <a:ea typeface="HGｺﾞｼｯｸE" panose="020B0909000000000000" pitchFamily="49" charset="-128"/>
          </a:endParaRPr>
        </a:p>
        <a:p>
          <a:endParaRPr kumimoji="1" lang="en-US" altLang="ja-JP" sz="1200">
            <a:latin typeface="HGｺﾞｼｯｸE" panose="020B0909000000000000" pitchFamily="49" charset="-128"/>
            <a:ea typeface="HGｺﾞｼｯｸE" panose="020B0909000000000000" pitchFamily="49" charset="-128"/>
          </a:endParaRPr>
        </a:p>
        <a:p>
          <a:r>
            <a:rPr kumimoji="1" lang="ja-JP" altLang="en-US" sz="1200">
              <a:latin typeface="HGｺﾞｼｯｸE" panose="020B0909000000000000" pitchFamily="49" charset="-128"/>
              <a:ea typeface="HGｺﾞｼｯｸE" panose="020B0909000000000000" pitchFamily="49" charset="-128"/>
            </a:rPr>
            <a:t>・</a:t>
          </a:r>
          <a:r>
            <a:rPr kumimoji="1" lang="ja-JP" altLang="en-US" sz="1200" u="sng">
              <a:solidFill>
                <a:srgbClr val="FF0000"/>
              </a:solidFill>
              <a:latin typeface="HGｺﾞｼｯｸE" panose="020B0909000000000000" pitchFamily="49" charset="-128"/>
              <a:ea typeface="HGｺﾞｼｯｸE" panose="020B0909000000000000" pitchFamily="49" charset="-128"/>
            </a:rPr>
            <a:t>令和７年３月時点で修正があった場合は</a:t>
          </a:r>
          <a:r>
            <a:rPr kumimoji="1" lang="ja-JP" altLang="en-US" sz="1200">
              <a:latin typeface="HGｺﾞｼｯｸE" panose="020B0909000000000000" pitchFamily="49" charset="-128"/>
              <a:ea typeface="HGｺﾞｼｯｸE" panose="020B0909000000000000" pitchFamily="49" charset="-128"/>
            </a:rPr>
            <a:t>恐縮ですが、</a:t>
          </a:r>
          <a:r>
            <a:rPr kumimoji="1" lang="ja-JP" altLang="en-US" sz="1200" u="sng">
              <a:solidFill>
                <a:srgbClr val="FF0000"/>
              </a:solidFill>
              <a:latin typeface="HGｺﾞｼｯｸE" panose="020B0909000000000000" pitchFamily="49" charset="-128"/>
              <a:ea typeface="HGｺﾞｼｯｸE" panose="020B0909000000000000" pitchFamily="49" charset="-128"/>
            </a:rPr>
            <a:t>関数の上から上書き</a:t>
          </a:r>
          <a:r>
            <a:rPr kumimoji="1" lang="ja-JP" altLang="en-US" sz="1200">
              <a:latin typeface="HGｺﾞｼｯｸE" panose="020B0909000000000000" pitchFamily="49" charset="-128"/>
              <a:ea typeface="HGｺﾞｼｯｸE" panose="020B0909000000000000" pitchFamily="49" charset="-128"/>
            </a:rPr>
            <a:t>願います。</a:t>
          </a:r>
        </a:p>
      </xdr:txBody>
    </xdr:sp>
    <xdr:clientData/>
  </xdr:twoCellAnchor>
  <xdr:twoCellAnchor>
    <xdr:from>
      <xdr:col>10</xdr:col>
      <xdr:colOff>102533</xdr:colOff>
      <xdr:row>34</xdr:row>
      <xdr:rowOff>249705</xdr:rowOff>
    </xdr:from>
    <xdr:to>
      <xdr:col>15</xdr:col>
      <xdr:colOff>384174</xdr:colOff>
      <xdr:row>37</xdr:row>
      <xdr:rowOff>115234</xdr:rowOff>
    </xdr:to>
    <xdr:sp macro="" textlink="">
      <xdr:nvSpPr>
        <xdr:cNvPr id="2" name="テキスト ボックス 1">
          <a:extLst>
            <a:ext uri="{FF2B5EF4-FFF2-40B4-BE49-F238E27FC236}">
              <a16:creationId xmlns:a16="http://schemas.microsoft.com/office/drawing/2014/main" id="{F8632156-F0F6-2E6D-51A7-6F74E03EC6AC}"/>
            </a:ext>
          </a:extLst>
        </xdr:cNvPr>
        <xdr:cNvSpPr txBox="1"/>
      </xdr:nvSpPr>
      <xdr:spPr>
        <a:xfrm>
          <a:off x="7744945" y="8463617"/>
          <a:ext cx="3811494" cy="739588"/>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latin typeface="BIZ UDPゴシック" panose="020B0400000000000000" pitchFamily="50" charset="-128"/>
              <a:ea typeface="BIZ UDPゴシック" panose="020B0400000000000000" pitchFamily="50" charset="-128"/>
            </a:rPr>
            <a:t>4</a:t>
          </a:r>
          <a:r>
            <a:rPr kumimoji="1" lang="ja-JP" altLang="en-US" sz="1200" b="1">
              <a:latin typeface="BIZ UDPゴシック" panose="020B0400000000000000" pitchFamily="50" charset="-128"/>
              <a:ea typeface="BIZ UDPゴシック" panose="020B0400000000000000" pitchFamily="50" charset="-128"/>
            </a:rPr>
            <a:t>歳以上児配置改善加算額相当額</a:t>
          </a:r>
        </a:p>
        <a:p>
          <a:r>
            <a:rPr kumimoji="1" lang="ja-JP" altLang="en-US" sz="1200">
              <a:latin typeface="BIZ UDPゴシック" panose="020B0400000000000000" pitchFamily="50" charset="-128"/>
              <a:ea typeface="BIZ UDPゴシック" panose="020B0400000000000000" pitchFamily="50" charset="-128"/>
            </a:rPr>
            <a:t>・詳細は留意事項９ページ参照</a:t>
          </a:r>
          <a:endParaRPr kumimoji="1" lang="en-US" altLang="ja-JP" sz="1200">
            <a:latin typeface="BIZ UDPゴシック" panose="020B0400000000000000" pitchFamily="50" charset="-128"/>
            <a:ea typeface="BIZ UDPゴシック" panose="020B0400000000000000" pitchFamily="50" charset="-128"/>
          </a:endParaRPr>
        </a:p>
        <a:p>
          <a:r>
            <a:rPr kumimoji="1" lang="ja-JP" altLang="en-US" sz="1200">
              <a:latin typeface="BIZ UDPゴシック" panose="020B0400000000000000" pitchFamily="50" charset="-128"/>
              <a:ea typeface="BIZ UDPゴシック" panose="020B0400000000000000" pitchFamily="50" charset="-128"/>
            </a:rPr>
            <a:t>・計算方法は「⑫公定価格加算分」シート参照</a:t>
          </a:r>
          <a:endParaRPr kumimoji="1" lang="en-US" altLang="ja-JP" sz="1200">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134470</xdr:colOff>
      <xdr:row>35</xdr:row>
      <xdr:rowOff>11206</xdr:rowOff>
    </xdr:from>
    <xdr:to>
      <xdr:col>9</xdr:col>
      <xdr:colOff>336176</xdr:colOff>
      <xdr:row>36</xdr:row>
      <xdr:rowOff>262591</xdr:rowOff>
    </xdr:to>
    <xdr:sp macro="" textlink="">
      <xdr:nvSpPr>
        <xdr:cNvPr id="6" name="矢印: 右 5">
          <a:extLst>
            <a:ext uri="{FF2B5EF4-FFF2-40B4-BE49-F238E27FC236}">
              <a16:creationId xmlns:a16="http://schemas.microsoft.com/office/drawing/2014/main" id="{311C8425-6BD9-C96F-8D04-3728D0ACBF01}"/>
            </a:ext>
          </a:extLst>
        </xdr:cNvPr>
        <xdr:cNvSpPr/>
      </xdr:nvSpPr>
      <xdr:spPr>
        <a:xfrm rot="10800000">
          <a:off x="6925235" y="8516471"/>
          <a:ext cx="694765" cy="542738"/>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38101</xdr:colOff>
      <xdr:row>21</xdr:row>
      <xdr:rowOff>47625</xdr:rowOff>
    </xdr:from>
    <xdr:to>
      <xdr:col>13</xdr:col>
      <xdr:colOff>390525</xdr:colOff>
      <xdr:row>29</xdr:row>
      <xdr:rowOff>161925</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76201" y="4124325"/>
          <a:ext cx="5686424" cy="20193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HGｺﾞｼｯｸM" panose="020B0609000000000000" pitchFamily="49" charset="-128"/>
              <a:ea typeface="HGｺﾞｼｯｸM" panose="020B0609000000000000" pitchFamily="49" charset="-128"/>
            </a:rPr>
            <a:t>Ａ　太枠部分（補助人工の数字と、その職種の人工内訳）を踏まえ、黄色セルを入力</a:t>
          </a:r>
          <a:endParaRPr kumimoji="1" lang="en-US" altLang="ja-JP" sz="1100">
            <a:latin typeface="HGｺﾞｼｯｸM" panose="020B0609000000000000" pitchFamily="49" charset="-128"/>
            <a:ea typeface="HGｺﾞｼｯｸM" panose="020B0609000000000000" pitchFamily="49" charset="-128"/>
          </a:endParaRPr>
        </a:p>
        <a:p>
          <a:r>
            <a:rPr kumimoji="1" lang="ja-JP" altLang="en-US" sz="1100">
              <a:latin typeface="HGｺﾞｼｯｸM" panose="020B0609000000000000" pitchFamily="49" charset="-128"/>
              <a:ea typeface="HGｺﾞｼｯｸM" panose="020B0609000000000000" pitchFamily="49" charset="-128"/>
            </a:rPr>
            <a:t>Ｂ　加配数と児童数を確認し、特定加算分１、特定加算分２を取得できるときは、一般加算分に優先して取得</a:t>
          </a:r>
          <a:endParaRPr kumimoji="1" lang="en-US" altLang="ja-JP" sz="1100">
            <a:latin typeface="HGｺﾞｼｯｸM" panose="020B0609000000000000" pitchFamily="49" charset="-128"/>
            <a:ea typeface="HGｺﾞｼｯｸM" panose="020B0609000000000000" pitchFamily="49" charset="-128"/>
          </a:endParaRPr>
        </a:p>
        <a:p>
          <a:r>
            <a:rPr kumimoji="1" lang="ja-JP" altLang="en-US" sz="1100">
              <a:latin typeface="HGｺﾞｼｯｸM" panose="020B0609000000000000" pitchFamily="49" charset="-128"/>
              <a:ea typeface="HGｺﾞｼｯｸM" panose="020B0609000000000000" pitchFamily="49" charset="-128"/>
            </a:rPr>
            <a:t>Ｃ　判定欄が〇になるか確認</a:t>
          </a:r>
          <a:endParaRPr kumimoji="1" lang="en-US" altLang="ja-JP" sz="1100">
            <a:latin typeface="HGｺﾞｼｯｸM" panose="020B0609000000000000" pitchFamily="49" charset="-128"/>
            <a:ea typeface="HGｺﾞｼｯｸM" panose="020B0609000000000000" pitchFamily="49" charset="-128"/>
          </a:endParaRPr>
        </a:p>
        <a:p>
          <a:r>
            <a:rPr kumimoji="1" lang="ja-JP" altLang="en-US" sz="1100">
              <a:latin typeface="HGｺﾞｼｯｸM" panose="020B0609000000000000" pitchFamily="49" charset="-128"/>
              <a:ea typeface="HGｺﾞｼｯｸM" panose="020B0609000000000000" pitchFamily="49" charset="-128"/>
            </a:rPr>
            <a:t>Ｄ　⑤～⑪のシートと金額が合致しているか確認</a:t>
          </a:r>
          <a:endParaRPr kumimoji="1" lang="en-US" altLang="ja-JP" sz="1100">
            <a:latin typeface="HGｺﾞｼｯｸM" panose="020B0609000000000000" pitchFamily="49" charset="-128"/>
            <a:ea typeface="HGｺﾞｼｯｸM" panose="020B0609000000000000" pitchFamily="49" charset="-128"/>
          </a:endParaRPr>
        </a:p>
        <a:p>
          <a:r>
            <a:rPr kumimoji="1" lang="ja-JP" altLang="en-US" sz="1000">
              <a:latin typeface="HGｺﾞｼｯｸM" panose="020B0609000000000000" pitchFamily="49" charset="-128"/>
              <a:ea typeface="HGｺﾞｼｯｸM" panose="020B0609000000000000" pitchFamily="49" charset="-128"/>
            </a:rPr>
            <a:t>　</a:t>
          </a:r>
          <a:r>
            <a:rPr kumimoji="1" lang="en-US" altLang="ja-JP" sz="1000">
              <a:latin typeface="HGｺﾞｼｯｸM" panose="020B0609000000000000" pitchFamily="49" charset="-128"/>
              <a:ea typeface="HGｺﾞｼｯｸM" panose="020B0609000000000000" pitchFamily="49" charset="-128"/>
            </a:rPr>
            <a:t>※</a:t>
          </a:r>
          <a:r>
            <a:rPr kumimoji="1" lang="ja-JP" altLang="en-US" sz="1000">
              <a:latin typeface="HGｺﾞｼｯｸM" panose="020B0609000000000000" pitchFamily="49" charset="-128"/>
              <a:ea typeface="HGｺﾞｼｯｸM" panose="020B0609000000000000" pitchFamily="49" charset="-128"/>
            </a:rPr>
            <a:t>戻入ないか確認</a:t>
          </a:r>
          <a:endParaRPr kumimoji="1" lang="en-US" altLang="ja-JP" sz="1000">
            <a:latin typeface="HGｺﾞｼｯｸM" panose="020B0609000000000000" pitchFamily="49" charset="-128"/>
            <a:ea typeface="HGｺﾞｼｯｸM" panose="020B0609000000000000" pitchFamily="49" charset="-128"/>
          </a:endParaRPr>
        </a:p>
        <a:p>
          <a:r>
            <a:rPr kumimoji="1" lang="ja-JP" altLang="en-US" sz="1000">
              <a:latin typeface="HGｺﾞｼｯｸM" panose="020B0609000000000000" pitchFamily="49" charset="-128"/>
              <a:ea typeface="HGｺﾞｼｯｸM" panose="020B0609000000000000" pitchFamily="49" charset="-128"/>
            </a:rPr>
            <a:t>　</a:t>
          </a:r>
          <a:r>
            <a:rPr kumimoji="1" lang="en-US" altLang="ja-JP" sz="1000">
              <a:latin typeface="HGｺﾞｼｯｸM" panose="020B0609000000000000" pitchFamily="49" charset="-128"/>
              <a:ea typeface="HGｺﾞｼｯｸM" panose="020B0609000000000000" pitchFamily="49" charset="-128"/>
            </a:rPr>
            <a:t>※</a:t>
          </a:r>
          <a:r>
            <a:rPr kumimoji="1" lang="ja-JP" altLang="en-US" sz="1000">
              <a:latin typeface="HGｺﾞｼｯｸM" panose="020B0609000000000000" pitchFamily="49" charset="-128"/>
              <a:ea typeface="HGｺﾞｼｯｸM" panose="020B0609000000000000" pitchFamily="49" charset="-128"/>
            </a:rPr>
            <a:t>要配慮がいて基本１しか取れない時の特定加算分１への振り替え注意</a:t>
          </a:r>
          <a:endParaRPr kumimoji="1" lang="en-US" altLang="ja-JP" sz="1000">
            <a:latin typeface="HGｺﾞｼｯｸM" panose="020B0609000000000000" pitchFamily="49" charset="-128"/>
            <a:ea typeface="HGｺﾞｼｯｸM" panose="020B0609000000000000" pitchFamily="49" charset="-128"/>
          </a:endParaRPr>
        </a:p>
        <a:p>
          <a:r>
            <a:rPr kumimoji="1" lang="ja-JP" altLang="en-US" sz="1000">
              <a:latin typeface="HGｺﾞｼｯｸM" panose="020B0609000000000000" pitchFamily="49" charset="-128"/>
              <a:ea typeface="HGｺﾞｼｯｸM" panose="020B0609000000000000" pitchFamily="49" charset="-128"/>
            </a:rPr>
            <a:t>　</a:t>
          </a:r>
          <a:r>
            <a:rPr kumimoji="1" lang="en-US" altLang="ja-JP" sz="1000">
              <a:latin typeface="HGｺﾞｼｯｸM" panose="020B0609000000000000" pitchFamily="49" charset="-128"/>
              <a:ea typeface="HGｺﾞｼｯｸM" panose="020B0609000000000000" pitchFamily="49" charset="-128"/>
            </a:rPr>
            <a:t>※</a:t>
          </a:r>
          <a:r>
            <a:rPr kumimoji="1" lang="ja-JP" altLang="en-US" sz="1000">
              <a:latin typeface="HGｺﾞｼｯｸM" panose="020B0609000000000000" pitchFamily="49" charset="-128"/>
              <a:ea typeface="HGｺﾞｼｯｸM" panose="020B0609000000000000" pitchFamily="49" charset="-128"/>
            </a:rPr>
            <a:t>基本１を取らずに一般１とれない</a:t>
          </a:r>
          <a:endParaRPr kumimoji="1" lang="en-US" altLang="ja-JP" sz="1000">
            <a:latin typeface="HGｺﾞｼｯｸM" panose="020B0609000000000000" pitchFamily="49" charset="-128"/>
            <a:ea typeface="HGｺﾞｼｯｸM" panose="020B0609000000000000" pitchFamily="49" charset="-128"/>
          </a:endParaRPr>
        </a:p>
        <a:p>
          <a:r>
            <a:rPr kumimoji="1" lang="ja-JP" altLang="en-US" sz="1000">
              <a:latin typeface="HGｺﾞｼｯｸM" panose="020B0609000000000000" pitchFamily="49" charset="-128"/>
              <a:ea typeface="HGｺﾞｼｯｸM" panose="020B0609000000000000" pitchFamily="49" charset="-128"/>
            </a:rPr>
            <a:t>　</a:t>
          </a:r>
          <a:r>
            <a:rPr kumimoji="1" lang="en-US" altLang="ja-JP" sz="1000">
              <a:latin typeface="HGｺﾞｼｯｸM" panose="020B0609000000000000" pitchFamily="49" charset="-128"/>
              <a:ea typeface="HGｺﾞｼｯｸM" panose="020B0609000000000000" pitchFamily="49" charset="-128"/>
            </a:rPr>
            <a:t>※</a:t>
          </a:r>
          <a:r>
            <a:rPr kumimoji="1" lang="ja-JP" altLang="en-US" sz="1000">
              <a:latin typeface="HGｺﾞｼｯｸM" panose="020B0609000000000000" pitchFamily="49" charset="-128"/>
              <a:ea typeface="HGｺﾞｼｯｸM" panose="020B0609000000000000" pitchFamily="49" charset="-128"/>
            </a:rPr>
            <a:t>他市在住の要配慮児童がいる場合は、補助額を引っこ抜いて補助</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9</xdr:col>
      <xdr:colOff>445060</xdr:colOff>
      <xdr:row>34</xdr:row>
      <xdr:rowOff>38100</xdr:rowOff>
    </xdr:from>
    <xdr:to>
      <xdr:col>15</xdr:col>
      <xdr:colOff>316379</xdr:colOff>
      <xdr:row>36</xdr:row>
      <xdr:rowOff>95063</xdr:rowOff>
    </xdr:to>
    <xdr:sp macro="" textlink="">
      <xdr:nvSpPr>
        <xdr:cNvPr id="2" name="テキスト ボックス 1">
          <a:extLst>
            <a:ext uri="{FF2B5EF4-FFF2-40B4-BE49-F238E27FC236}">
              <a16:creationId xmlns:a16="http://schemas.microsoft.com/office/drawing/2014/main" id="{705156F3-8779-43D2-A55A-9FD33A6AA013}"/>
            </a:ext>
          </a:extLst>
        </xdr:cNvPr>
        <xdr:cNvSpPr txBox="1"/>
      </xdr:nvSpPr>
      <xdr:spPr>
        <a:xfrm>
          <a:off x="7645960" y="10353675"/>
          <a:ext cx="3814669" cy="74276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latin typeface="BIZ UDPゴシック" panose="020B0400000000000000" pitchFamily="50" charset="-128"/>
              <a:ea typeface="BIZ UDPゴシック" panose="020B0400000000000000" pitchFamily="50" charset="-128"/>
            </a:rPr>
            <a:t>4</a:t>
          </a:r>
          <a:r>
            <a:rPr kumimoji="1" lang="ja-JP" altLang="en-US" sz="1200" b="1">
              <a:latin typeface="BIZ UDPゴシック" panose="020B0400000000000000" pitchFamily="50" charset="-128"/>
              <a:ea typeface="BIZ UDPゴシック" panose="020B0400000000000000" pitchFamily="50" charset="-128"/>
            </a:rPr>
            <a:t>歳以上児配置改善加算額相当額</a:t>
          </a:r>
        </a:p>
        <a:p>
          <a:r>
            <a:rPr kumimoji="1" lang="ja-JP" altLang="en-US" sz="1200">
              <a:latin typeface="BIZ UDPゴシック" panose="020B0400000000000000" pitchFamily="50" charset="-128"/>
              <a:ea typeface="BIZ UDPゴシック" panose="020B0400000000000000" pitchFamily="50" charset="-128"/>
            </a:rPr>
            <a:t>・詳細は留意事項９ページ参照</a:t>
          </a:r>
          <a:endParaRPr kumimoji="1" lang="en-US" altLang="ja-JP" sz="1200">
            <a:latin typeface="BIZ UDPゴシック" panose="020B0400000000000000" pitchFamily="50" charset="-128"/>
            <a:ea typeface="BIZ UDPゴシック" panose="020B0400000000000000" pitchFamily="50" charset="-128"/>
          </a:endParaRPr>
        </a:p>
        <a:p>
          <a:r>
            <a:rPr kumimoji="1" lang="ja-JP" altLang="en-US" sz="1200">
              <a:latin typeface="BIZ UDPゴシック" panose="020B0400000000000000" pitchFamily="50" charset="-128"/>
              <a:ea typeface="BIZ UDPゴシック" panose="020B0400000000000000" pitchFamily="50" charset="-128"/>
            </a:rPr>
            <a:t>・計算方法は「⑫公定価格加算分」シート参照</a:t>
          </a:r>
          <a:endParaRPr kumimoji="1" lang="en-US" altLang="ja-JP" sz="1200">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282575</xdr:colOff>
      <xdr:row>34</xdr:row>
      <xdr:rowOff>84604</xdr:rowOff>
    </xdr:from>
    <xdr:to>
      <xdr:col>9</xdr:col>
      <xdr:colOff>313765</xdr:colOff>
      <xdr:row>35</xdr:row>
      <xdr:rowOff>284442</xdr:rowOff>
    </xdr:to>
    <xdr:sp macro="" textlink="">
      <xdr:nvSpPr>
        <xdr:cNvPr id="3" name="矢印: 右 2">
          <a:extLst>
            <a:ext uri="{FF2B5EF4-FFF2-40B4-BE49-F238E27FC236}">
              <a16:creationId xmlns:a16="http://schemas.microsoft.com/office/drawing/2014/main" id="{C51C9D90-F40D-4FFF-AB2E-A3B3002BF7F2}"/>
            </a:ext>
          </a:extLst>
        </xdr:cNvPr>
        <xdr:cNvSpPr/>
      </xdr:nvSpPr>
      <xdr:spPr>
        <a:xfrm rot="10800000">
          <a:off x="6826250" y="10400179"/>
          <a:ext cx="688415" cy="542738"/>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8</xdr:col>
      <xdr:colOff>38100</xdr:colOff>
      <xdr:row>8</xdr:row>
      <xdr:rowOff>225799</xdr:rowOff>
    </xdr:from>
    <xdr:to>
      <xdr:col>8</xdr:col>
      <xdr:colOff>228600</xdr:colOff>
      <xdr:row>11</xdr:row>
      <xdr:rowOff>232523</xdr:rowOff>
    </xdr:to>
    <xdr:sp macro="" textlink="">
      <xdr:nvSpPr>
        <xdr:cNvPr id="3" name="右大かっこ 2">
          <a:extLst>
            <a:ext uri="{FF2B5EF4-FFF2-40B4-BE49-F238E27FC236}">
              <a16:creationId xmlns:a16="http://schemas.microsoft.com/office/drawing/2014/main" id="{00000000-0008-0000-1E00-000003000000}"/>
            </a:ext>
          </a:extLst>
        </xdr:cNvPr>
        <xdr:cNvSpPr/>
      </xdr:nvSpPr>
      <xdr:spPr>
        <a:xfrm>
          <a:off x="6638925" y="1664074"/>
          <a:ext cx="190500" cy="949699"/>
        </a:xfrm>
        <a:prstGeom prst="rightBracket">
          <a:avLst/>
        </a:prstGeom>
        <a:ln w="571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251011</xdr:colOff>
      <xdr:row>9</xdr:row>
      <xdr:rowOff>263338</xdr:rowOff>
    </xdr:from>
    <xdr:to>
      <xdr:col>9</xdr:col>
      <xdr:colOff>159123</xdr:colOff>
      <xdr:row>10</xdr:row>
      <xdr:rowOff>109258</xdr:rowOff>
    </xdr:to>
    <xdr:sp macro="" textlink="">
      <xdr:nvSpPr>
        <xdr:cNvPr id="4" name="矢印: 右 3">
          <a:extLst>
            <a:ext uri="{FF2B5EF4-FFF2-40B4-BE49-F238E27FC236}">
              <a16:creationId xmlns:a16="http://schemas.microsoft.com/office/drawing/2014/main" id="{00000000-0008-0000-1E00-000004000000}"/>
            </a:ext>
          </a:extLst>
        </xdr:cNvPr>
        <xdr:cNvSpPr/>
      </xdr:nvSpPr>
      <xdr:spPr>
        <a:xfrm>
          <a:off x="6851836" y="2073088"/>
          <a:ext cx="403412" cy="131670"/>
        </a:xfrm>
        <a:prstGeom prst="rightArrow">
          <a:avLst/>
        </a:prstGeom>
        <a:ln>
          <a:solidFill>
            <a:sysClr val="windowText" lastClr="000000"/>
          </a:solidFill>
          <a:prstDash val="sysDash"/>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159124</xdr:colOff>
      <xdr:row>8</xdr:row>
      <xdr:rowOff>180975</xdr:rowOff>
    </xdr:from>
    <xdr:to>
      <xdr:col>20</xdr:col>
      <xdr:colOff>407895</xdr:colOff>
      <xdr:row>11</xdr:row>
      <xdr:rowOff>277346</xdr:rowOff>
    </xdr:to>
    <xdr:sp macro="" textlink="">
      <xdr:nvSpPr>
        <xdr:cNvPr id="5" name="テキスト ボックス 4">
          <a:extLst>
            <a:ext uri="{FF2B5EF4-FFF2-40B4-BE49-F238E27FC236}">
              <a16:creationId xmlns:a16="http://schemas.microsoft.com/office/drawing/2014/main" id="{00000000-0008-0000-1E00-000005000000}"/>
            </a:ext>
          </a:extLst>
        </xdr:cNvPr>
        <xdr:cNvSpPr txBox="1"/>
      </xdr:nvSpPr>
      <xdr:spPr>
        <a:xfrm>
          <a:off x="7255249" y="1619250"/>
          <a:ext cx="7068671" cy="103934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latin typeface="HGｺﾞｼｯｸE" panose="020B0909000000000000" pitchFamily="49" charset="-128"/>
              <a:ea typeface="HGｺﾞｼｯｸE" panose="020B0909000000000000" pitchFamily="49" charset="-128"/>
            </a:rPr>
            <a:t>・「園毎の固有番号」に基づき、</a:t>
          </a:r>
          <a:r>
            <a:rPr kumimoji="1" lang="ja-JP" altLang="en-US" sz="1200" u="sng">
              <a:solidFill>
                <a:srgbClr val="FF0000"/>
              </a:solidFill>
              <a:latin typeface="HGｺﾞｼｯｸE" panose="020B0909000000000000" pitchFamily="49" charset="-128"/>
              <a:ea typeface="HGｺﾞｼｯｸE" panose="020B0909000000000000" pitchFamily="49" charset="-128"/>
            </a:rPr>
            <a:t>２月１日時点の情報</a:t>
          </a:r>
          <a:r>
            <a:rPr kumimoji="1" lang="ja-JP" altLang="en-US" sz="1200">
              <a:latin typeface="HGｺﾞｼｯｸE" panose="020B0909000000000000" pitchFamily="49" charset="-128"/>
              <a:ea typeface="HGｺﾞｼｯｸE" panose="020B0909000000000000" pitchFamily="49" charset="-128"/>
            </a:rPr>
            <a:t>を記載しております。</a:t>
          </a:r>
          <a:endParaRPr kumimoji="1" lang="en-US" altLang="ja-JP" sz="1200">
            <a:latin typeface="HGｺﾞｼｯｸE" panose="020B0909000000000000" pitchFamily="49" charset="-128"/>
            <a:ea typeface="HGｺﾞｼｯｸE" panose="020B0909000000000000" pitchFamily="49" charset="-128"/>
          </a:endParaRPr>
        </a:p>
        <a:p>
          <a:endParaRPr kumimoji="1" lang="en-US" altLang="ja-JP" sz="1200">
            <a:latin typeface="HGｺﾞｼｯｸE" panose="020B0909000000000000" pitchFamily="49" charset="-128"/>
            <a:ea typeface="HGｺﾞｼｯｸE" panose="020B0909000000000000" pitchFamily="49" charset="-128"/>
          </a:endParaRPr>
        </a:p>
        <a:p>
          <a:r>
            <a:rPr kumimoji="1" lang="ja-JP" altLang="en-US" sz="1200">
              <a:latin typeface="HGｺﾞｼｯｸE" panose="020B0909000000000000" pitchFamily="49" charset="-128"/>
              <a:ea typeface="HGｺﾞｼｯｸE" panose="020B0909000000000000" pitchFamily="49" charset="-128"/>
            </a:rPr>
            <a:t>・</a:t>
          </a:r>
          <a:r>
            <a:rPr kumimoji="1" lang="ja-JP" altLang="en-US" sz="1200" u="sng">
              <a:solidFill>
                <a:srgbClr val="FF0000"/>
              </a:solidFill>
              <a:latin typeface="HGｺﾞｼｯｸE" panose="020B0909000000000000" pitchFamily="49" charset="-128"/>
              <a:ea typeface="HGｺﾞｼｯｸE" panose="020B0909000000000000" pitchFamily="49" charset="-128"/>
            </a:rPr>
            <a:t>令和７年３月時点で修正があった場合は</a:t>
          </a:r>
          <a:r>
            <a:rPr kumimoji="1" lang="ja-JP" altLang="en-US" sz="1200">
              <a:latin typeface="HGｺﾞｼｯｸE" panose="020B0909000000000000" pitchFamily="49" charset="-128"/>
              <a:ea typeface="HGｺﾞｼｯｸE" panose="020B0909000000000000" pitchFamily="49" charset="-128"/>
            </a:rPr>
            <a:t>恐縮ですが、</a:t>
          </a:r>
          <a:r>
            <a:rPr kumimoji="1" lang="ja-JP" altLang="en-US" sz="1200" u="sng">
              <a:solidFill>
                <a:srgbClr val="FF0000"/>
              </a:solidFill>
              <a:latin typeface="HGｺﾞｼｯｸE" panose="020B0909000000000000" pitchFamily="49" charset="-128"/>
              <a:ea typeface="HGｺﾞｼｯｸE" panose="020B0909000000000000" pitchFamily="49" charset="-128"/>
            </a:rPr>
            <a:t>関数の上から上書き</a:t>
          </a:r>
          <a:r>
            <a:rPr kumimoji="1" lang="ja-JP" altLang="en-US" sz="1200">
              <a:latin typeface="HGｺﾞｼｯｸE" panose="020B0909000000000000" pitchFamily="49" charset="-128"/>
              <a:ea typeface="HGｺﾞｼｯｸE" panose="020B0909000000000000" pitchFamily="49" charset="-128"/>
            </a:rPr>
            <a:t>願います。</a:t>
          </a:r>
        </a:p>
      </xdr:txBody>
    </xdr:sp>
    <xdr:clientData/>
  </xdr:twoCellAnchor>
  <xdr:twoCellAnchor>
    <xdr:from>
      <xdr:col>10</xdr:col>
      <xdr:colOff>140260</xdr:colOff>
      <xdr:row>49</xdr:row>
      <xdr:rowOff>66675</xdr:rowOff>
    </xdr:from>
    <xdr:to>
      <xdr:col>15</xdr:col>
      <xdr:colOff>417979</xdr:colOff>
      <xdr:row>53</xdr:row>
      <xdr:rowOff>31563</xdr:rowOff>
    </xdr:to>
    <xdr:sp macro="" textlink="">
      <xdr:nvSpPr>
        <xdr:cNvPr id="2" name="テキスト ボックス 1">
          <a:extLst>
            <a:ext uri="{FF2B5EF4-FFF2-40B4-BE49-F238E27FC236}">
              <a16:creationId xmlns:a16="http://schemas.microsoft.com/office/drawing/2014/main" id="{37E4CC31-31D4-47C2-94AE-C9395DEE0CB2}"/>
            </a:ext>
          </a:extLst>
        </xdr:cNvPr>
        <xdr:cNvSpPr txBox="1"/>
      </xdr:nvSpPr>
      <xdr:spPr>
        <a:xfrm>
          <a:off x="7598335" y="9953625"/>
          <a:ext cx="3811494" cy="73641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latin typeface="BIZ UDPゴシック" panose="020B0400000000000000" pitchFamily="50" charset="-128"/>
              <a:ea typeface="BIZ UDPゴシック" panose="020B0400000000000000" pitchFamily="50" charset="-128"/>
            </a:rPr>
            <a:t>4</a:t>
          </a:r>
          <a:r>
            <a:rPr kumimoji="1" lang="ja-JP" altLang="en-US" sz="1200" b="1">
              <a:latin typeface="BIZ UDPゴシック" panose="020B0400000000000000" pitchFamily="50" charset="-128"/>
              <a:ea typeface="BIZ UDPゴシック" panose="020B0400000000000000" pitchFamily="50" charset="-128"/>
            </a:rPr>
            <a:t>歳以上児配置改善加算額相当額</a:t>
          </a:r>
        </a:p>
        <a:p>
          <a:r>
            <a:rPr kumimoji="1" lang="ja-JP" altLang="en-US" sz="1200">
              <a:latin typeface="BIZ UDPゴシック" panose="020B0400000000000000" pitchFamily="50" charset="-128"/>
              <a:ea typeface="BIZ UDPゴシック" panose="020B0400000000000000" pitchFamily="50" charset="-128"/>
            </a:rPr>
            <a:t>・詳細は留意事項９ページ参照</a:t>
          </a:r>
          <a:endParaRPr kumimoji="1" lang="en-US" altLang="ja-JP" sz="1200">
            <a:latin typeface="BIZ UDPゴシック" panose="020B0400000000000000" pitchFamily="50" charset="-128"/>
            <a:ea typeface="BIZ UDPゴシック" panose="020B0400000000000000" pitchFamily="50" charset="-128"/>
          </a:endParaRPr>
        </a:p>
        <a:p>
          <a:r>
            <a:rPr kumimoji="1" lang="ja-JP" altLang="en-US" sz="1200">
              <a:latin typeface="BIZ UDPゴシック" panose="020B0400000000000000" pitchFamily="50" charset="-128"/>
              <a:ea typeface="BIZ UDPゴシック" panose="020B0400000000000000" pitchFamily="50" charset="-128"/>
            </a:rPr>
            <a:t>・計算方法は「⑫公定価格加算分」シート参照</a:t>
          </a:r>
          <a:endParaRPr kumimoji="1" lang="en-US" altLang="ja-JP" sz="1200">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177800</xdr:colOff>
      <xdr:row>49</xdr:row>
      <xdr:rowOff>116354</xdr:rowOff>
    </xdr:from>
    <xdr:to>
      <xdr:col>10</xdr:col>
      <xdr:colOff>8965</xdr:colOff>
      <xdr:row>52</xdr:row>
      <xdr:rowOff>201892</xdr:rowOff>
    </xdr:to>
    <xdr:sp macro="" textlink="">
      <xdr:nvSpPr>
        <xdr:cNvPr id="6" name="矢印: 右 5">
          <a:extLst>
            <a:ext uri="{FF2B5EF4-FFF2-40B4-BE49-F238E27FC236}">
              <a16:creationId xmlns:a16="http://schemas.microsoft.com/office/drawing/2014/main" id="{FCF02103-183F-4F96-9662-DA48599C6BCF}"/>
            </a:ext>
          </a:extLst>
        </xdr:cNvPr>
        <xdr:cNvSpPr/>
      </xdr:nvSpPr>
      <xdr:spPr>
        <a:xfrm rot="10800000">
          <a:off x="6778625" y="10003304"/>
          <a:ext cx="688415" cy="542738"/>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23</xdr:col>
      <xdr:colOff>41623</xdr:colOff>
      <xdr:row>17</xdr:row>
      <xdr:rowOff>260935</xdr:rowOff>
    </xdr:from>
    <xdr:to>
      <xdr:col>24</xdr:col>
      <xdr:colOff>312965</xdr:colOff>
      <xdr:row>18</xdr:row>
      <xdr:rowOff>258534</xdr:rowOff>
    </xdr:to>
    <xdr:sp macro="" textlink="">
      <xdr:nvSpPr>
        <xdr:cNvPr id="2" name="矢印: 下 1">
          <a:extLst>
            <a:ext uri="{FF2B5EF4-FFF2-40B4-BE49-F238E27FC236}">
              <a16:creationId xmlns:a16="http://schemas.microsoft.com/office/drawing/2014/main" id="{00000000-0008-0000-2000-000002000000}"/>
            </a:ext>
          </a:extLst>
        </xdr:cNvPr>
        <xdr:cNvSpPr/>
      </xdr:nvSpPr>
      <xdr:spPr>
        <a:xfrm>
          <a:off x="7702444" y="4792114"/>
          <a:ext cx="747592" cy="283349"/>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299357</xdr:colOff>
      <xdr:row>36</xdr:row>
      <xdr:rowOff>13607</xdr:rowOff>
    </xdr:from>
    <xdr:to>
      <xdr:col>7</xdr:col>
      <xdr:colOff>299357</xdr:colOff>
      <xdr:row>41</xdr:row>
      <xdr:rowOff>163286</xdr:rowOff>
    </xdr:to>
    <xdr:cxnSp macro="">
      <xdr:nvCxnSpPr>
        <xdr:cNvPr id="3" name="直線コネクタ 2">
          <a:extLst>
            <a:ext uri="{FF2B5EF4-FFF2-40B4-BE49-F238E27FC236}">
              <a16:creationId xmlns:a16="http://schemas.microsoft.com/office/drawing/2014/main" id="{00000000-0008-0000-2000-000003000000}"/>
            </a:ext>
          </a:extLst>
        </xdr:cNvPr>
        <xdr:cNvCxnSpPr/>
      </xdr:nvCxnSpPr>
      <xdr:spPr>
        <a:xfrm>
          <a:off x="2432957" y="10662557"/>
          <a:ext cx="0" cy="673554"/>
        </a:xfrm>
        <a:prstGeom prst="line">
          <a:avLst/>
        </a:prstGeom>
        <a:ln w="57150"/>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201706</xdr:colOff>
      <xdr:row>40</xdr:row>
      <xdr:rowOff>0</xdr:rowOff>
    </xdr:from>
    <xdr:to>
      <xdr:col>24</xdr:col>
      <xdr:colOff>217714</xdr:colOff>
      <xdr:row>41</xdr:row>
      <xdr:rowOff>163286</xdr:rowOff>
    </xdr:to>
    <xdr:cxnSp macro="">
      <xdr:nvCxnSpPr>
        <xdr:cNvPr id="4" name="直線コネクタ 3">
          <a:extLst>
            <a:ext uri="{FF2B5EF4-FFF2-40B4-BE49-F238E27FC236}">
              <a16:creationId xmlns:a16="http://schemas.microsoft.com/office/drawing/2014/main" id="{00000000-0008-0000-2000-000004000000}"/>
            </a:ext>
          </a:extLst>
        </xdr:cNvPr>
        <xdr:cNvCxnSpPr/>
      </xdr:nvCxnSpPr>
      <xdr:spPr>
        <a:xfrm>
          <a:off x="8482853" y="12516971"/>
          <a:ext cx="16008" cy="510668"/>
        </a:xfrm>
        <a:prstGeom prst="line">
          <a:avLst/>
        </a:prstGeom>
        <a:ln w="57150"/>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285750</xdr:colOff>
      <xdr:row>41</xdr:row>
      <xdr:rowOff>136072</xdr:rowOff>
    </xdr:from>
    <xdr:to>
      <xdr:col>24</xdr:col>
      <xdr:colOff>231321</xdr:colOff>
      <xdr:row>41</xdr:row>
      <xdr:rowOff>149679</xdr:rowOff>
    </xdr:to>
    <xdr:cxnSp macro="">
      <xdr:nvCxnSpPr>
        <xdr:cNvPr id="5" name="直線コネクタ 4">
          <a:extLst>
            <a:ext uri="{FF2B5EF4-FFF2-40B4-BE49-F238E27FC236}">
              <a16:creationId xmlns:a16="http://schemas.microsoft.com/office/drawing/2014/main" id="{00000000-0008-0000-2000-000005000000}"/>
            </a:ext>
          </a:extLst>
        </xdr:cNvPr>
        <xdr:cNvCxnSpPr/>
      </xdr:nvCxnSpPr>
      <xdr:spPr>
        <a:xfrm flipV="1">
          <a:off x="2419350" y="11308897"/>
          <a:ext cx="5841546" cy="13607"/>
        </a:xfrm>
        <a:prstGeom prst="line">
          <a:avLst/>
        </a:prstGeom>
        <a:ln w="57150"/>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54428</xdr:colOff>
      <xdr:row>41</xdr:row>
      <xdr:rowOff>163287</xdr:rowOff>
    </xdr:from>
    <xdr:to>
      <xdr:col>17</xdr:col>
      <xdr:colOff>54429</xdr:colOff>
      <xdr:row>44</xdr:row>
      <xdr:rowOff>27214</xdr:rowOff>
    </xdr:to>
    <xdr:cxnSp macro="">
      <xdr:nvCxnSpPr>
        <xdr:cNvPr id="6" name="直線コネクタ 5">
          <a:extLst>
            <a:ext uri="{FF2B5EF4-FFF2-40B4-BE49-F238E27FC236}">
              <a16:creationId xmlns:a16="http://schemas.microsoft.com/office/drawing/2014/main" id="{00000000-0008-0000-2000-000006000000}"/>
            </a:ext>
          </a:extLst>
        </xdr:cNvPr>
        <xdr:cNvCxnSpPr/>
      </xdr:nvCxnSpPr>
      <xdr:spPr>
        <a:xfrm flipH="1">
          <a:off x="5617028" y="11336112"/>
          <a:ext cx="1" cy="378277"/>
        </a:xfrm>
        <a:prstGeom prst="line">
          <a:avLst/>
        </a:prstGeom>
        <a:ln w="57150"/>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231321</xdr:colOff>
      <xdr:row>43</xdr:row>
      <xdr:rowOff>108857</xdr:rowOff>
    </xdr:from>
    <xdr:to>
      <xdr:col>21</xdr:col>
      <xdr:colOff>326571</xdr:colOff>
      <xdr:row>47</xdr:row>
      <xdr:rowOff>40822</xdr:rowOff>
    </xdr:to>
    <xdr:sp macro="" textlink="">
      <xdr:nvSpPr>
        <xdr:cNvPr id="7" name="テキスト ボックス 6">
          <a:extLst>
            <a:ext uri="{FF2B5EF4-FFF2-40B4-BE49-F238E27FC236}">
              <a16:creationId xmlns:a16="http://schemas.microsoft.com/office/drawing/2014/main" id="{00000000-0008-0000-2000-000007000000}"/>
            </a:ext>
          </a:extLst>
        </xdr:cNvPr>
        <xdr:cNvSpPr txBox="1"/>
      </xdr:nvSpPr>
      <xdr:spPr>
        <a:xfrm>
          <a:off x="4079421" y="11624582"/>
          <a:ext cx="3000375" cy="617765"/>
        </a:xfrm>
        <a:prstGeom prst="rect">
          <a:avLst/>
        </a:prstGeom>
        <a:solidFill>
          <a:srgbClr val="FFFF00"/>
        </a:solidFill>
        <a:ln w="571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latin typeface="HGｺﾞｼｯｸE" panose="020B0909000000000000" pitchFamily="49" charset="-128"/>
              <a:ea typeface="HGｺﾞｼｯｸE" panose="020B0909000000000000" pitchFamily="49" charset="-128"/>
            </a:rPr>
            <a:t>ここの数字を比較</a:t>
          </a:r>
        </a:p>
      </xdr:txBody>
    </xdr:sp>
    <xdr:clientData/>
  </xdr:twoCellAnchor>
  <xdr:twoCellAnchor>
    <xdr:from>
      <xdr:col>21</xdr:col>
      <xdr:colOff>96850</xdr:colOff>
      <xdr:row>0</xdr:row>
      <xdr:rowOff>0</xdr:rowOff>
    </xdr:from>
    <xdr:to>
      <xdr:col>39</xdr:col>
      <xdr:colOff>507438</xdr:colOff>
      <xdr:row>18</xdr:row>
      <xdr:rowOff>0</xdr:rowOff>
    </xdr:to>
    <xdr:sp macro="" textlink="">
      <xdr:nvSpPr>
        <xdr:cNvPr id="9" name="正方形/長方形 8">
          <a:extLst>
            <a:ext uri="{FF2B5EF4-FFF2-40B4-BE49-F238E27FC236}">
              <a16:creationId xmlns:a16="http://schemas.microsoft.com/office/drawing/2014/main" id="{00000000-0008-0000-2000-000009000000}"/>
            </a:ext>
          </a:extLst>
        </xdr:cNvPr>
        <xdr:cNvSpPr/>
      </xdr:nvSpPr>
      <xdr:spPr>
        <a:xfrm>
          <a:off x="7122938" y="0"/>
          <a:ext cx="11235471" cy="4919382"/>
        </a:xfrm>
        <a:prstGeom prst="rect">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en-US" sz="1600" b="1" u="sng">
              <a:solidFill>
                <a:sysClr val="windowText" lastClr="000000"/>
              </a:solidFill>
              <a:effectLst/>
              <a:latin typeface="HGｺﾞｼｯｸM" panose="020B0609000000000000" pitchFamily="49" charset="-128"/>
              <a:ea typeface="HGｺﾞｼｯｸM" panose="020B0609000000000000" pitchFamily="49" charset="-128"/>
              <a:cs typeface="+mn-cs"/>
            </a:rPr>
            <a:t>■第二期の分割請求を希望しない場合</a:t>
          </a:r>
          <a:endParaRPr kumimoji="1" lang="en-US" altLang="ja-JP" sz="1600" b="1" u="sng">
            <a:solidFill>
              <a:sysClr val="windowText" lastClr="000000"/>
            </a:solidFill>
            <a:effectLst/>
            <a:latin typeface="HGｺﾞｼｯｸM" panose="020B0609000000000000" pitchFamily="49" charset="-128"/>
            <a:ea typeface="HGｺﾞｼｯｸM" panose="020B0609000000000000" pitchFamily="49" charset="-128"/>
            <a:cs typeface="+mn-cs"/>
          </a:endParaRPr>
        </a:p>
        <a:p>
          <a:r>
            <a:rPr kumimoji="1" lang="ja-JP" altLang="en-US" sz="1400">
              <a:solidFill>
                <a:sysClr val="windowText" lastClr="000000"/>
              </a:solidFill>
              <a:effectLst/>
              <a:latin typeface="HGｺﾞｼｯｸM" panose="020B0609000000000000" pitchFamily="49" charset="-128"/>
              <a:ea typeface="HGｺﾞｼｯｸM" panose="020B0609000000000000" pitchFamily="49" charset="-128"/>
              <a:cs typeface="+mn-cs"/>
            </a:rPr>
            <a:t>　</a:t>
          </a:r>
          <a:r>
            <a:rPr kumimoji="1" lang="ja-JP" altLang="en-US" sz="1400" b="1">
              <a:solidFill>
                <a:srgbClr val="FF0000"/>
              </a:solidFill>
              <a:effectLst/>
              <a:latin typeface="HGｺﾞｼｯｸM" panose="020B0609000000000000" pitchFamily="49" charset="-128"/>
              <a:ea typeface="HGｺﾞｼｯｸM" panose="020B0609000000000000" pitchFamily="49" charset="-128"/>
              <a:cs typeface="+mn-cs"/>
            </a:rPr>
            <a:t>こちらは提出不要です。特段の作業は発生しません</a:t>
          </a:r>
          <a:r>
            <a:rPr kumimoji="1" lang="ja-JP" altLang="en-US" sz="1400">
              <a:solidFill>
                <a:sysClr val="windowText" lastClr="000000"/>
              </a:solidFill>
              <a:effectLst/>
              <a:latin typeface="HGｺﾞｼｯｸM" panose="020B0609000000000000" pitchFamily="49" charset="-128"/>
              <a:ea typeface="HGｺﾞｼｯｸM" panose="020B0609000000000000" pitchFamily="49" charset="-128"/>
              <a:cs typeface="+mn-cs"/>
            </a:rPr>
            <a:t>。</a:t>
          </a:r>
          <a:endParaRPr lang="ja-JP" altLang="ja-JP" sz="1400">
            <a:solidFill>
              <a:sysClr val="windowText" lastClr="000000"/>
            </a:solidFill>
            <a:effectLst/>
            <a:latin typeface="HGｺﾞｼｯｸM" panose="020B0609000000000000" pitchFamily="49" charset="-128"/>
            <a:ea typeface="HGｺﾞｼｯｸM" panose="020B0609000000000000" pitchFamily="49" charset="-128"/>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200">
            <a:solidFill>
              <a:sysClr val="windowText" lastClr="000000"/>
            </a:solidFill>
            <a:effectLst/>
            <a:latin typeface="HGｺﾞｼｯｸM" panose="020B0609000000000000" pitchFamily="49" charset="-128"/>
            <a:ea typeface="HGｺﾞｼｯｸM" panose="020B0609000000000000"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b="1" u="sng">
              <a:solidFill>
                <a:sysClr val="windowText" lastClr="000000"/>
              </a:solidFill>
              <a:effectLst/>
              <a:latin typeface="HGｺﾞｼｯｸM" panose="020B0609000000000000" pitchFamily="49" charset="-128"/>
              <a:ea typeface="HGｺﾞｼｯｸM" panose="020B0609000000000000" pitchFamily="49" charset="-128"/>
              <a:cs typeface="+mn-cs"/>
            </a:rPr>
            <a:t>■第二期の分割請求を希望する場合</a:t>
          </a:r>
          <a:endParaRPr kumimoji="1" lang="en-US" altLang="ja-JP" sz="1600" b="1" u="sng">
            <a:solidFill>
              <a:sysClr val="windowText" lastClr="000000"/>
            </a:solidFill>
            <a:effectLst/>
            <a:latin typeface="HGｺﾞｼｯｸM" panose="020B0609000000000000" pitchFamily="49" charset="-128"/>
            <a:ea typeface="HGｺﾞｼｯｸM" panose="020B0609000000000000"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ysClr val="windowText" lastClr="000000"/>
              </a:solidFill>
              <a:effectLst/>
              <a:latin typeface="HGｺﾞｼｯｸM" panose="020B0609000000000000" pitchFamily="49" charset="-128"/>
              <a:ea typeface="HGｺﾞｼｯｸM" panose="020B0609000000000000" pitchFamily="49" charset="-128"/>
              <a:cs typeface="+mn-cs"/>
            </a:rPr>
            <a:t>１　以下の</a:t>
          </a:r>
          <a:r>
            <a:rPr kumimoji="1" lang="ja-JP" altLang="ja-JP" sz="1400" b="1">
              <a:solidFill>
                <a:sysClr val="windowText" lastClr="000000"/>
              </a:solidFill>
              <a:effectLst/>
              <a:latin typeface="HGｺﾞｼｯｸM" panose="020B0609000000000000" pitchFamily="49" charset="-128"/>
              <a:ea typeface="HGｺﾞｼｯｸM" panose="020B0609000000000000" pitchFamily="49" charset="-128"/>
              <a:cs typeface="+mn-cs"/>
            </a:rPr>
            <a:t>「今回入力した数字を基にした交付決定額」</a:t>
          </a:r>
          <a:r>
            <a:rPr kumimoji="1" lang="ja-JP" altLang="en-US" sz="1400" b="1">
              <a:solidFill>
                <a:sysClr val="windowText" lastClr="000000"/>
              </a:solidFill>
              <a:effectLst/>
              <a:latin typeface="HGｺﾞｼｯｸM" panose="020B0609000000000000" pitchFamily="49" charset="-128"/>
              <a:ea typeface="HGｺﾞｼｯｸM" panose="020B0609000000000000" pitchFamily="49" charset="-128"/>
              <a:cs typeface="+mn-cs"/>
            </a:rPr>
            <a:t>を確認</a:t>
          </a:r>
          <a:endParaRPr kumimoji="1" lang="en-US" altLang="ja-JP" sz="1400" b="1">
            <a:solidFill>
              <a:sysClr val="windowText" lastClr="000000"/>
            </a:solidFill>
            <a:effectLst/>
            <a:latin typeface="HGｺﾞｼｯｸM" panose="020B0609000000000000" pitchFamily="49" charset="-128"/>
            <a:ea typeface="HGｺﾞｼｯｸM" panose="020B0609000000000000"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ysClr val="windowText" lastClr="000000"/>
              </a:solidFill>
              <a:effectLst/>
              <a:latin typeface="HGｺﾞｼｯｸM" panose="020B0609000000000000" pitchFamily="49" charset="-128"/>
              <a:ea typeface="HGｺﾞｼｯｸM" panose="020B0609000000000000" pitchFamily="49" charset="-128"/>
              <a:cs typeface="+mn-cs"/>
            </a:rPr>
            <a:t>　　</a:t>
          </a:r>
          <a:r>
            <a:rPr kumimoji="1" lang="ja-JP" altLang="ja-JP" sz="1400">
              <a:solidFill>
                <a:sysClr val="windowText" lastClr="000000"/>
              </a:solidFill>
              <a:effectLst/>
              <a:latin typeface="HGｺﾞｼｯｸM" panose="020B0609000000000000" pitchFamily="49" charset="-128"/>
              <a:ea typeface="HGｺﾞｼｯｸM" panose="020B0609000000000000" pitchFamily="49" charset="-128"/>
              <a:cs typeface="+mn-cs"/>
            </a:rPr>
            <a:t>①～</a:t>
          </a:r>
          <a:r>
            <a:rPr kumimoji="1" lang="ja-JP" altLang="en-US" sz="1400">
              <a:solidFill>
                <a:sysClr val="windowText" lastClr="000000"/>
              </a:solidFill>
              <a:effectLst/>
              <a:latin typeface="HGｺﾞｼｯｸM" panose="020B0609000000000000" pitchFamily="49" charset="-128"/>
              <a:ea typeface="HGｺﾞｼｯｸM" panose="020B0609000000000000" pitchFamily="49" charset="-128"/>
              <a:cs typeface="+mn-cs"/>
            </a:rPr>
            <a:t>⑪</a:t>
          </a:r>
          <a:r>
            <a:rPr kumimoji="1" lang="ja-JP" altLang="ja-JP" sz="1400">
              <a:solidFill>
                <a:sysClr val="windowText" lastClr="000000"/>
              </a:solidFill>
              <a:effectLst/>
              <a:latin typeface="HGｺﾞｼｯｸM" panose="020B0609000000000000" pitchFamily="49" charset="-128"/>
              <a:ea typeface="HGｺﾞｼｯｸM" panose="020B0609000000000000" pitchFamily="49" charset="-128"/>
              <a:cs typeface="+mn-cs"/>
            </a:rPr>
            <a:t>のシートに入力いただいた数字を基に</a:t>
          </a:r>
          <a:r>
            <a:rPr kumimoji="1" lang="ja-JP" altLang="en-US" sz="1400">
              <a:solidFill>
                <a:sysClr val="windowText" lastClr="000000"/>
              </a:solidFill>
              <a:effectLst/>
              <a:latin typeface="HGｺﾞｼｯｸM" panose="020B0609000000000000" pitchFamily="49" charset="-128"/>
              <a:ea typeface="HGｺﾞｼｯｸM" panose="020B0609000000000000" pitchFamily="49" charset="-128"/>
              <a:cs typeface="+mn-cs"/>
            </a:rPr>
            <a:t>した交付決定額が</a:t>
          </a:r>
          <a:r>
            <a:rPr kumimoji="1" lang="ja-JP" altLang="ja-JP" sz="1400">
              <a:solidFill>
                <a:sysClr val="windowText" lastClr="000000"/>
              </a:solidFill>
              <a:effectLst/>
              <a:latin typeface="HGｺﾞｼｯｸM" panose="020B0609000000000000" pitchFamily="49" charset="-128"/>
              <a:ea typeface="HGｺﾞｼｯｸM" panose="020B0609000000000000" pitchFamily="49" charset="-128"/>
              <a:cs typeface="+mn-cs"/>
            </a:rPr>
            <a:t>、</a:t>
          </a:r>
          <a:r>
            <a:rPr kumimoji="1" lang="ja-JP" altLang="en-US" sz="1400">
              <a:solidFill>
                <a:sysClr val="windowText" lastClr="000000"/>
              </a:solidFill>
              <a:effectLst/>
              <a:latin typeface="HGｺﾞｼｯｸM" panose="020B0609000000000000" pitchFamily="49" charset="-128"/>
              <a:ea typeface="HGｺﾞｼｯｸM" panose="020B0609000000000000" pitchFamily="49" charset="-128"/>
              <a:cs typeface="+mn-cs"/>
            </a:rPr>
            <a:t>以下の「今回入力した数字を基にした交付決定額」に、表示されていますので、お間違いないか確認ください（エラーがあれば①～⑪のシートを適宜修正ください。）。</a:t>
          </a:r>
          <a:endParaRPr kumimoji="1" lang="en-US" altLang="ja-JP" sz="1400">
            <a:solidFill>
              <a:sysClr val="windowText" lastClr="000000"/>
            </a:solidFill>
            <a:effectLst/>
            <a:latin typeface="HGｺﾞｼｯｸM" panose="020B0609000000000000" pitchFamily="49" charset="-128"/>
            <a:ea typeface="HGｺﾞｼｯｸM" panose="020B0609000000000000"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400" b="1">
            <a:solidFill>
              <a:sysClr val="windowText" lastClr="000000"/>
            </a:solidFill>
            <a:effectLst/>
            <a:latin typeface="HGｺﾞｼｯｸM" panose="020B0609000000000000" pitchFamily="49" charset="-128"/>
            <a:ea typeface="HGｺﾞｼｯｸM" panose="020B0609000000000000"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b="1">
              <a:solidFill>
                <a:sysClr val="windowText" lastClr="000000"/>
              </a:solidFill>
              <a:effectLst/>
              <a:latin typeface="HGｺﾞｼｯｸM" panose="020B0609000000000000" pitchFamily="49" charset="-128"/>
              <a:ea typeface="HGｺﾞｼｯｸM" panose="020B0609000000000000" pitchFamily="49" charset="-128"/>
              <a:cs typeface="+mn-cs"/>
            </a:rPr>
            <a:t>２　数字を比較（具体例参照）</a:t>
          </a:r>
          <a:endParaRPr kumimoji="1" lang="en-US" altLang="ja-JP" sz="1600" b="1">
            <a:solidFill>
              <a:sysClr val="windowText" lastClr="000000"/>
            </a:solidFill>
            <a:effectLst/>
            <a:latin typeface="HGｺﾞｼｯｸM" panose="020B0609000000000000" pitchFamily="49" charset="-128"/>
            <a:ea typeface="HGｺﾞｼｯｸM" panose="020B0609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ysClr val="windowText" lastClr="000000"/>
              </a:solidFill>
              <a:effectLst/>
              <a:latin typeface="HGｺﾞｼｯｸM" panose="020B0609000000000000" pitchFamily="49" charset="-128"/>
              <a:ea typeface="HGｺﾞｼｯｸM" panose="020B0609000000000000" pitchFamily="49" charset="-128"/>
              <a:cs typeface="+mn-cs"/>
            </a:rPr>
            <a:t>（１）</a:t>
          </a:r>
          <a:r>
            <a:rPr kumimoji="1" lang="ja-JP" altLang="ja-JP" sz="1400" b="1">
              <a:solidFill>
                <a:schemeClr val="dk1"/>
              </a:solidFill>
              <a:effectLst/>
              <a:latin typeface="HGｺﾞｼｯｸM" panose="020B0609000000000000" pitchFamily="49" charset="-128"/>
              <a:ea typeface="HGｺﾞｼｯｸM" panose="020B0609000000000000" pitchFamily="49" charset="-128"/>
              <a:cs typeface="+mn-cs"/>
            </a:rPr>
            <a:t>「令和</a:t>
          </a:r>
          <a:r>
            <a:rPr kumimoji="1" lang="en-US" altLang="ja-JP" sz="1400" b="1">
              <a:solidFill>
                <a:schemeClr val="dk1"/>
              </a:solidFill>
              <a:effectLst/>
              <a:latin typeface="HGｺﾞｼｯｸM" panose="020B0609000000000000" pitchFamily="49" charset="-128"/>
              <a:ea typeface="HGｺﾞｼｯｸM" panose="020B0609000000000000" pitchFamily="49" charset="-128"/>
              <a:cs typeface="+mn-cs"/>
            </a:rPr>
            <a:t>6</a:t>
          </a:r>
          <a:r>
            <a:rPr kumimoji="1" lang="ja-JP" altLang="ja-JP" sz="1400" b="1">
              <a:solidFill>
                <a:schemeClr val="dk1"/>
              </a:solidFill>
              <a:effectLst/>
              <a:latin typeface="HGｺﾞｼｯｸM" panose="020B0609000000000000" pitchFamily="49" charset="-128"/>
              <a:ea typeface="HGｺﾞｼｯｸM" panose="020B0609000000000000" pitchFamily="49" charset="-128"/>
              <a:cs typeface="+mn-cs"/>
            </a:rPr>
            <a:t>年</a:t>
          </a:r>
          <a:r>
            <a:rPr kumimoji="1" lang="en-US" altLang="ja-JP" sz="1400" b="1">
              <a:solidFill>
                <a:schemeClr val="dk1"/>
              </a:solidFill>
              <a:effectLst/>
              <a:latin typeface="HGｺﾞｼｯｸM" panose="020B0609000000000000" pitchFamily="49" charset="-128"/>
              <a:ea typeface="HGｺﾞｼｯｸM" panose="020B0609000000000000" pitchFamily="49" charset="-128"/>
              <a:cs typeface="+mn-cs"/>
            </a:rPr>
            <a:t>4</a:t>
          </a:r>
          <a:r>
            <a:rPr kumimoji="1" lang="ja-JP" altLang="ja-JP" sz="1400" b="1">
              <a:solidFill>
                <a:schemeClr val="dk1"/>
              </a:solidFill>
              <a:effectLst/>
              <a:latin typeface="HGｺﾞｼｯｸM" panose="020B0609000000000000" pitchFamily="49" charset="-128"/>
              <a:ea typeface="HGｺﾞｼｯｸM" panose="020B0609000000000000" pitchFamily="49" charset="-128"/>
              <a:cs typeface="+mn-cs"/>
            </a:rPr>
            <a:t>月に交付決定した額（左の</a:t>
          </a:r>
          <a:r>
            <a:rPr kumimoji="1" lang="ja-JP" altLang="en-US" sz="1400" b="1">
              <a:solidFill>
                <a:schemeClr val="dk1"/>
              </a:solidFill>
              <a:effectLst/>
              <a:latin typeface="HGｺﾞｼｯｸM" panose="020B0609000000000000" pitchFamily="49" charset="-128"/>
              <a:ea typeface="HGｺﾞｼｯｸM" panose="020B0609000000000000" pitchFamily="49" charset="-128"/>
              <a:cs typeface="+mn-cs"/>
            </a:rPr>
            <a:t>「補助金の交付決定額（</a:t>
          </a:r>
          <a:r>
            <a:rPr kumimoji="1" lang="en-US" altLang="ja-JP" sz="1400" b="1">
              <a:solidFill>
                <a:schemeClr val="dk1"/>
              </a:solidFill>
              <a:effectLst/>
              <a:latin typeface="HGｺﾞｼｯｸM" panose="020B0609000000000000" pitchFamily="49" charset="-128"/>
              <a:ea typeface="HGｺﾞｼｯｸM" panose="020B0609000000000000" pitchFamily="49" charset="-128"/>
              <a:cs typeface="+mn-cs"/>
            </a:rPr>
            <a:t>F</a:t>
          </a:r>
          <a:r>
            <a:rPr kumimoji="1" lang="ja-JP" altLang="ja-JP" sz="1400" b="1">
              <a:solidFill>
                <a:schemeClr val="dk1"/>
              </a:solidFill>
              <a:effectLst/>
              <a:latin typeface="HGｺﾞｼｯｸM" panose="020B0609000000000000" pitchFamily="49" charset="-128"/>
              <a:ea typeface="HGｺﾞｼｯｸM" panose="020B0609000000000000" pitchFamily="49" charset="-128"/>
              <a:cs typeface="+mn-cs"/>
            </a:rPr>
            <a:t>列～</a:t>
          </a:r>
          <a:r>
            <a:rPr kumimoji="1" lang="en-US" altLang="ja-JP" sz="1400" b="1">
              <a:solidFill>
                <a:schemeClr val="dk1"/>
              </a:solidFill>
              <a:effectLst/>
              <a:latin typeface="HGｺﾞｼｯｸM" panose="020B0609000000000000" pitchFamily="49" charset="-128"/>
              <a:ea typeface="HGｺﾞｼｯｸM" panose="020B0609000000000000" pitchFamily="49" charset="-128"/>
              <a:cs typeface="+mn-cs"/>
            </a:rPr>
            <a:t>J</a:t>
          </a:r>
          <a:r>
            <a:rPr kumimoji="1" lang="ja-JP" altLang="ja-JP" sz="1400" b="1">
              <a:solidFill>
                <a:schemeClr val="dk1"/>
              </a:solidFill>
              <a:effectLst/>
              <a:latin typeface="HGｺﾞｼｯｸM" panose="020B0609000000000000" pitchFamily="49" charset="-128"/>
              <a:ea typeface="HGｺﾞｼｯｸM" panose="020B0609000000000000" pitchFamily="49" charset="-128"/>
              <a:cs typeface="+mn-cs"/>
            </a:rPr>
            <a:t>列</a:t>
          </a:r>
          <a:r>
            <a:rPr kumimoji="1" lang="ja-JP" altLang="en-US" sz="1400" b="1">
              <a:solidFill>
                <a:schemeClr val="dk1"/>
              </a:solidFill>
              <a:effectLst/>
              <a:latin typeface="HGｺﾞｼｯｸM" panose="020B0609000000000000" pitchFamily="49" charset="-128"/>
              <a:ea typeface="HGｺﾞｼｯｸM" panose="020B0609000000000000" pitchFamily="49" charset="-128"/>
              <a:cs typeface="+mn-cs"/>
            </a:rPr>
            <a:t>）」</a:t>
          </a:r>
          <a:r>
            <a:rPr kumimoji="1" lang="ja-JP" altLang="ja-JP" sz="1400" b="1">
              <a:solidFill>
                <a:schemeClr val="dk1"/>
              </a:solidFill>
              <a:effectLst/>
              <a:latin typeface="HGｺﾞｼｯｸM" panose="020B0609000000000000" pitchFamily="49" charset="-128"/>
              <a:ea typeface="HGｺﾞｼｯｸM" panose="020B0609000000000000" pitchFamily="49" charset="-128"/>
              <a:cs typeface="+mn-cs"/>
            </a:rPr>
            <a:t>）」</a:t>
          </a:r>
          <a:r>
            <a:rPr kumimoji="1" lang="ja-JP" altLang="en-US" sz="1400" b="1">
              <a:solidFill>
                <a:schemeClr val="dk1"/>
              </a:solidFill>
              <a:effectLst/>
              <a:latin typeface="HGｺﾞｼｯｸM" panose="020B0609000000000000" pitchFamily="49" charset="-128"/>
              <a:ea typeface="HGｺﾞｼｯｸM" panose="020B0609000000000000" pitchFamily="49" charset="-128"/>
              <a:cs typeface="+mn-cs"/>
            </a:rPr>
            <a:t>≦</a:t>
          </a:r>
          <a:r>
            <a:rPr kumimoji="1" lang="ja-JP" altLang="ja-JP" sz="1400" b="1">
              <a:solidFill>
                <a:schemeClr val="dk1"/>
              </a:solidFill>
              <a:effectLst/>
              <a:latin typeface="HGｺﾞｼｯｸM" panose="020B0609000000000000" pitchFamily="49" charset="-128"/>
              <a:ea typeface="HGｺﾞｼｯｸM" panose="020B0609000000000000" pitchFamily="49" charset="-128"/>
              <a:cs typeface="+mn-cs"/>
            </a:rPr>
            <a:t>「今回入力した数字を基にした交付決定額」</a:t>
          </a:r>
          <a:endParaRPr lang="ja-JP" altLang="ja-JP" sz="1400" b="1">
            <a:effectLst/>
            <a:latin typeface="HGｺﾞｼｯｸM" panose="020B0609000000000000" pitchFamily="49" charset="-128"/>
            <a:ea typeface="HGｺﾞｼｯｸM" panose="020B0609000000000000" pitchFamily="49" charset="-128"/>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ysClr val="windowText" lastClr="000000"/>
              </a:solidFill>
              <a:effectLst/>
              <a:latin typeface="HGｺﾞｼｯｸM" panose="020B0609000000000000" pitchFamily="49" charset="-128"/>
              <a:ea typeface="HGｺﾞｼｯｸM" panose="020B0609000000000000" pitchFamily="49" charset="-128"/>
              <a:cs typeface="+mn-cs"/>
            </a:rPr>
            <a:t>　　〇</a:t>
          </a:r>
          <a:r>
            <a:rPr kumimoji="1" lang="ja-JP" altLang="en-US" sz="1400" b="1">
              <a:solidFill>
                <a:srgbClr val="FF0000"/>
              </a:solidFill>
              <a:effectLst/>
              <a:latin typeface="HGｺﾞｼｯｸM" panose="020B0609000000000000" pitchFamily="49" charset="-128"/>
              <a:ea typeface="HGｺﾞｼｯｸM" panose="020B0609000000000000" pitchFamily="49" charset="-128"/>
              <a:cs typeface="+mn-cs"/>
            </a:rPr>
            <a:t>第二期の分割支払いが可能です。</a:t>
          </a:r>
          <a:endParaRPr kumimoji="1" lang="en-US" altLang="ja-JP" sz="1400" b="1">
            <a:solidFill>
              <a:srgbClr val="FF0000"/>
            </a:solidFill>
            <a:effectLst/>
            <a:latin typeface="HGｺﾞｼｯｸM" panose="020B0609000000000000" pitchFamily="49" charset="-128"/>
            <a:ea typeface="HGｺﾞｼｯｸM" panose="020B0609000000000000" pitchFamily="49" charset="-128"/>
            <a:cs typeface="+mn-cs"/>
          </a:endParaRPr>
        </a:p>
        <a:p>
          <a:r>
            <a:rPr kumimoji="1" lang="ja-JP" altLang="en-US" sz="1400">
              <a:solidFill>
                <a:sysClr val="windowText" lastClr="000000"/>
              </a:solidFill>
              <a:effectLst/>
              <a:latin typeface="HGｺﾞｼｯｸM" panose="020B0609000000000000" pitchFamily="49" charset="-128"/>
              <a:ea typeface="HGｺﾞｼｯｸM" panose="020B0609000000000000" pitchFamily="49" charset="-128"/>
              <a:cs typeface="+mn-cs"/>
            </a:rPr>
            <a:t>　　〇</a:t>
          </a:r>
          <a:r>
            <a:rPr kumimoji="1" lang="ja-JP" altLang="ja-JP" sz="1400">
              <a:solidFill>
                <a:schemeClr val="dk1"/>
              </a:solidFill>
              <a:effectLst/>
              <a:latin typeface="HGｺﾞｼｯｸM" panose="020B0609000000000000" pitchFamily="49" charset="-128"/>
              <a:ea typeface="HGｺﾞｼｯｸM" panose="020B0609000000000000" pitchFamily="49" charset="-128"/>
              <a:cs typeface="+mn-cs"/>
            </a:rPr>
            <a:t>「</a:t>
          </a:r>
          <a:r>
            <a:rPr kumimoji="1" lang="ja-JP" altLang="en-US" sz="1400">
              <a:solidFill>
                <a:schemeClr val="dk1"/>
              </a:solidFill>
              <a:effectLst/>
              <a:latin typeface="HGｺﾞｼｯｸM" panose="020B0609000000000000" pitchFamily="49" charset="-128"/>
              <a:ea typeface="HGｺﾞｼｯｸM" panose="020B0609000000000000" pitchFamily="49" charset="-128"/>
              <a:cs typeface="+mn-cs"/>
            </a:rPr>
            <a:t>園毎の固有番号</a:t>
          </a:r>
          <a:r>
            <a:rPr kumimoji="1" lang="ja-JP" altLang="ja-JP" sz="1400">
              <a:solidFill>
                <a:schemeClr val="dk1"/>
              </a:solidFill>
              <a:effectLst/>
              <a:latin typeface="HGｺﾞｼｯｸM" panose="020B0609000000000000" pitchFamily="49" charset="-128"/>
              <a:ea typeface="HGｺﾞｼｯｸM" panose="020B0609000000000000" pitchFamily="49" charset="-128"/>
              <a:cs typeface="+mn-cs"/>
            </a:rPr>
            <a:t>」に基づいて、千葉市が把握している情報が表示されますので、</a:t>
          </a:r>
          <a:r>
            <a:rPr kumimoji="1" lang="ja-JP" altLang="en-US" sz="1400" b="1">
              <a:solidFill>
                <a:srgbClr val="FF0000"/>
              </a:solidFill>
              <a:effectLst/>
              <a:latin typeface="HGｺﾞｼｯｸM" panose="020B0609000000000000" pitchFamily="49" charset="-128"/>
              <a:ea typeface="HGｺﾞｼｯｸM" panose="020B0609000000000000" pitchFamily="49" charset="-128"/>
              <a:cs typeface="+mn-cs"/>
            </a:rPr>
            <a:t>記載して頂く項目は</a:t>
          </a:r>
          <a:endParaRPr kumimoji="1" lang="en-US" altLang="ja-JP" sz="1400" b="1">
            <a:solidFill>
              <a:srgbClr val="FF0000"/>
            </a:solidFill>
            <a:effectLst/>
            <a:latin typeface="HGｺﾞｼｯｸM" panose="020B0609000000000000" pitchFamily="49" charset="-128"/>
            <a:ea typeface="HGｺﾞｼｯｸM" panose="020B0609000000000000" pitchFamily="49" charset="-128"/>
            <a:cs typeface="+mn-cs"/>
          </a:endParaRPr>
        </a:p>
        <a:p>
          <a:r>
            <a:rPr kumimoji="1" lang="ja-JP" altLang="en-US" sz="1400" b="1">
              <a:solidFill>
                <a:srgbClr val="FF0000"/>
              </a:solidFill>
              <a:effectLst/>
              <a:latin typeface="HGｺﾞｼｯｸM" panose="020B0609000000000000" pitchFamily="49" charset="-128"/>
              <a:ea typeface="HGｺﾞｼｯｸM" panose="020B0609000000000000" pitchFamily="49" charset="-128"/>
              <a:cs typeface="+mn-cs"/>
            </a:rPr>
            <a:t>　　　　原則ありません</a:t>
          </a:r>
          <a:r>
            <a:rPr kumimoji="1" lang="ja-JP" altLang="en-US" sz="1400">
              <a:solidFill>
                <a:schemeClr val="dk1"/>
              </a:solidFill>
              <a:effectLst/>
              <a:latin typeface="HGｺﾞｼｯｸM" panose="020B0609000000000000" pitchFamily="49" charset="-128"/>
              <a:ea typeface="HGｺﾞｼｯｸM" panose="020B0609000000000000" pitchFamily="49" charset="-128"/>
              <a:cs typeface="+mn-cs"/>
            </a:rPr>
            <a:t>が、</a:t>
          </a:r>
          <a:r>
            <a:rPr kumimoji="1" lang="ja-JP" altLang="ja-JP" sz="1400">
              <a:solidFill>
                <a:schemeClr val="dk1"/>
              </a:solidFill>
              <a:effectLst/>
              <a:latin typeface="HGｺﾞｼｯｸM" panose="020B0609000000000000" pitchFamily="49" charset="-128"/>
              <a:ea typeface="HGｺﾞｼｯｸM" panose="020B0609000000000000" pitchFamily="49" charset="-128"/>
              <a:cs typeface="+mn-cs"/>
            </a:rPr>
            <a:t>念のためご確認いただき、万が一誤りがあれば、関数の上からご修正ください。</a:t>
          </a:r>
          <a:endParaRPr kumimoji="1" lang="en-US" altLang="ja-JP" sz="1400">
            <a:solidFill>
              <a:sysClr val="windowText" lastClr="000000"/>
            </a:solidFill>
            <a:effectLst/>
            <a:latin typeface="HGｺﾞｼｯｸM" panose="020B0609000000000000" pitchFamily="49" charset="-128"/>
            <a:ea typeface="HGｺﾞｼｯｸM" panose="020B0609000000000000"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ysClr val="windowText" lastClr="000000"/>
              </a:solidFill>
              <a:effectLst/>
              <a:latin typeface="HGｺﾞｼｯｸM" panose="020B0609000000000000" pitchFamily="49" charset="-128"/>
              <a:ea typeface="HGｺﾞｼｯｸM" panose="020B0609000000000000" pitchFamily="49" charset="-128"/>
              <a:cs typeface="+mn-cs"/>
            </a:rPr>
            <a:t>　　〇なお、「今回の請求額</a:t>
          </a:r>
          <a:r>
            <a:rPr kumimoji="1" lang="ja-JP" altLang="ja-JP" sz="1400">
              <a:solidFill>
                <a:sysClr val="windowText" lastClr="000000"/>
              </a:solidFill>
              <a:effectLst/>
              <a:latin typeface="HGｺﾞｼｯｸM" panose="020B0609000000000000" pitchFamily="49" charset="-128"/>
              <a:ea typeface="HGｺﾞｼｯｸM" panose="020B0609000000000000" pitchFamily="49" charset="-128"/>
              <a:cs typeface="+mn-cs"/>
            </a:rPr>
            <a:t>（左の</a:t>
          </a:r>
          <a:r>
            <a:rPr kumimoji="1" lang="en-US" altLang="ja-JP" sz="1400">
              <a:solidFill>
                <a:sysClr val="windowText" lastClr="000000"/>
              </a:solidFill>
              <a:effectLst/>
              <a:latin typeface="HGｺﾞｼｯｸM" panose="020B0609000000000000" pitchFamily="49" charset="-128"/>
              <a:ea typeface="HGｺﾞｼｯｸM" panose="020B0609000000000000" pitchFamily="49" charset="-128"/>
              <a:cs typeface="+mn-cs"/>
            </a:rPr>
            <a:t>P</a:t>
          </a:r>
          <a:r>
            <a:rPr kumimoji="1" lang="ja-JP" altLang="ja-JP" sz="1400">
              <a:solidFill>
                <a:sysClr val="windowText" lastClr="000000"/>
              </a:solidFill>
              <a:effectLst/>
              <a:latin typeface="HGｺﾞｼｯｸM" panose="020B0609000000000000" pitchFamily="49" charset="-128"/>
              <a:ea typeface="HGｺﾞｼｯｸM" panose="020B0609000000000000" pitchFamily="49" charset="-128"/>
              <a:cs typeface="+mn-cs"/>
            </a:rPr>
            <a:t>列～</a:t>
          </a:r>
          <a:r>
            <a:rPr kumimoji="1" lang="en-US" altLang="ja-JP" sz="1400">
              <a:solidFill>
                <a:sysClr val="windowText" lastClr="000000"/>
              </a:solidFill>
              <a:effectLst/>
              <a:latin typeface="HGｺﾞｼｯｸM" panose="020B0609000000000000" pitchFamily="49" charset="-128"/>
              <a:ea typeface="HGｺﾞｼｯｸM" panose="020B0609000000000000" pitchFamily="49" charset="-128"/>
              <a:cs typeface="+mn-cs"/>
            </a:rPr>
            <a:t>T</a:t>
          </a:r>
          <a:r>
            <a:rPr kumimoji="1" lang="ja-JP" altLang="ja-JP" sz="1400">
              <a:solidFill>
                <a:sysClr val="windowText" lastClr="000000"/>
              </a:solidFill>
              <a:effectLst/>
              <a:latin typeface="HGｺﾞｼｯｸM" panose="020B0609000000000000" pitchFamily="49" charset="-128"/>
              <a:ea typeface="HGｺﾞｼｯｸM" panose="020B0609000000000000" pitchFamily="49" charset="-128"/>
              <a:cs typeface="+mn-cs"/>
            </a:rPr>
            <a:t>列に記載の数字）</a:t>
          </a:r>
          <a:r>
            <a:rPr kumimoji="1" lang="ja-JP" altLang="en-US" sz="1400">
              <a:solidFill>
                <a:sysClr val="windowText" lastClr="000000"/>
              </a:solidFill>
              <a:effectLst/>
              <a:latin typeface="HGｺﾞｼｯｸM" panose="020B0609000000000000" pitchFamily="49" charset="-128"/>
              <a:ea typeface="HGｺﾞｼｯｸM" panose="020B0609000000000000" pitchFamily="49" charset="-128"/>
              <a:cs typeface="+mn-cs"/>
            </a:rPr>
            <a:t>」は減額することが可能です（増額は不可）。</a:t>
          </a:r>
          <a:endParaRPr kumimoji="1" lang="en-US" altLang="ja-JP" sz="1400">
            <a:solidFill>
              <a:sysClr val="windowText" lastClr="000000"/>
            </a:solidFill>
            <a:effectLst/>
            <a:latin typeface="HGｺﾞｼｯｸM" panose="020B0609000000000000" pitchFamily="49" charset="-128"/>
            <a:ea typeface="HGｺﾞｼｯｸM" panose="020B0609000000000000"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ysClr val="windowText" lastClr="000000"/>
              </a:solidFill>
              <a:effectLst/>
              <a:latin typeface="HGｺﾞｼｯｸM" panose="020B0609000000000000" pitchFamily="49" charset="-128"/>
              <a:ea typeface="HGｺﾞｼｯｸM" panose="020B0609000000000000" pitchFamily="49" charset="-128"/>
              <a:cs typeface="+mn-cs"/>
            </a:rPr>
            <a:t>　　　変更する場合は、表示されている数字を直接修正ください。</a:t>
          </a:r>
          <a:endParaRPr kumimoji="1" lang="en-US" altLang="ja-JP" sz="1400">
            <a:solidFill>
              <a:sysClr val="windowText" lastClr="000000"/>
            </a:solidFill>
            <a:effectLst/>
            <a:latin typeface="HGｺﾞｼｯｸM" panose="020B0609000000000000" pitchFamily="49" charset="-128"/>
            <a:ea typeface="HGｺﾞｼｯｸM" panose="020B0609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400" b="1">
            <a:solidFill>
              <a:sysClr val="windowText" lastClr="000000"/>
            </a:solidFill>
            <a:effectLst/>
            <a:latin typeface="HGｺﾞｼｯｸM" panose="020B0609000000000000" pitchFamily="49" charset="-128"/>
            <a:ea typeface="HGｺﾞｼｯｸM" panose="020B0609000000000000" pitchFamily="49" charset="-128"/>
            <a:cs typeface="+mn-cs"/>
          </a:endParaRPr>
        </a:p>
        <a:p>
          <a:pPr eaLnBrk="1" fontAlgn="auto" latinLnBrk="0" hangingPunct="1"/>
          <a:r>
            <a:rPr kumimoji="1" lang="ja-JP" altLang="ja-JP" sz="1400" b="1">
              <a:solidFill>
                <a:sysClr val="windowText" lastClr="000000"/>
              </a:solidFill>
              <a:effectLst/>
              <a:latin typeface="HGｺﾞｼｯｸM" panose="020B0609000000000000" pitchFamily="49" charset="-128"/>
              <a:ea typeface="HGｺﾞｼｯｸM" panose="020B0609000000000000" pitchFamily="49" charset="-128"/>
              <a:cs typeface="+mn-cs"/>
            </a:rPr>
            <a:t>（</a:t>
          </a:r>
          <a:r>
            <a:rPr kumimoji="1" lang="ja-JP" altLang="en-US" sz="1400" b="1">
              <a:solidFill>
                <a:sysClr val="windowText" lastClr="000000"/>
              </a:solidFill>
              <a:effectLst/>
              <a:latin typeface="HGｺﾞｼｯｸM" panose="020B0609000000000000" pitchFamily="49" charset="-128"/>
              <a:ea typeface="HGｺﾞｼｯｸM" panose="020B0609000000000000" pitchFamily="49" charset="-128"/>
              <a:cs typeface="+mn-cs"/>
            </a:rPr>
            <a:t>２</a:t>
          </a:r>
          <a:r>
            <a:rPr kumimoji="1" lang="ja-JP" altLang="ja-JP" sz="1400" b="1">
              <a:solidFill>
                <a:sysClr val="windowText" lastClr="000000"/>
              </a:solidFill>
              <a:effectLst/>
              <a:latin typeface="HGｺﾞｼｯｸM" panose="020B0609000000000000" pitchFamily="49" charset="-128"/>
              <a:ea typeface="HGｺﾞｼｯｸM" panose="020B0609000000000000" pitchFamily="49" charset="-128"/>
              <a:cs typeface="+mn-cs"/>
            </a:rPr>
            <a:t>）</a:t>
          </a:r>
          <a:r>
            <a:rPr kumimoji="1" lang="ja-JP" altLang="ja-JP" sz="1400" b="1">
              <a:solidFill>
                <a:schemeClr val="dk1"/>
              </a:solidFill>
              <a:effectLst/>
              <a:latin typeface="HGｺﾞｼｯｸM" panose="020B0609000000000000" pitchFamily="49" charset="-128"/>
              <a:ea typeface="HGｺﾞｼｯｸM" panose="020B0609000000000000" pitchFamily="49" charset="-128"/>
              <a:cs typeface="+mn-cs"/>
            </a:rPr>
            <a:t>「令和</a:t>
          </a:r>
          <a:r>
            <a:rPr kumimoji="1" lang="en-US" altLang="ja-JP" sz="1400" b="1">
              <a:solidFill>
                <a:schemeClr val="dk1"/>
              </a:solidFill>
              <a:effectLst/>
              <a:latin typeface="HGｺﾞｼｯｸM" panose="020B0609000000000000" pitchFamily="49" charset="-128"/>
              <a:ea typeface="HGｺﾞｼｯｸM" panose="020B0609000000000000" pitchFamily="49" charset="-128"/>
              <a:cs typeface="+mn-cs"/>
            </a:rPr>
            <a:t>6</a:t>
          </a:r>
          <a:r>
            <a:rPr kumimoji="1" lang="ja-JP" altLang="ja-JP" sz="1400" b="1">
              <a:solidFill>
                <a:schemeClr val="dk1"/>
              </a:solidFill>
              <a:effectLst/>
              <a:latin typeface="HGｺﾞｼｯｸM" panose="020B0609000000000000" pitchFamily="49" charset="-128"/>
              <a:ea typeface="HGｺﾞｼｯｸM" panose="020B0609000000000000" pitchFamily="49" charset="-128"/>
              <a:cs typeface="+mn-cs"/>
            </a:rPr>
            <a:t>年</a:t>
          </a:r>
          <a:r>
            <a:rPr kumimoji="1" lang="en-US" altLang="ja-JP" sz="1400" b="1">
              <a:solidFill>
                <a:schemeClr val="dk1"/>
              </a:solidFill>
              <a:effectLst/>
              <a:latin typeface="HGｺﾞｼｯｸM" panose="020B0609000000000000" pitchFamily="49" charset="-128"/>
              <a:ea typeface="HGｺﾞｼｯｸM" panose="020B0609000000000000" pitchFamily="49" charset="-128"/>
              <a:cs typeface="+mn-cs"/>
            </a:rPr>
            <a:t>4</a:t>
          </a:r>
          <a:r>
            <a:rPr kumimoji="1" lang="ja-JP" altLang="ja-JP" sz="1400" b="1">
              <a:solidFill>
                <a:schemeClr val="dk1"/>
              </a:solidFill>
              <a:effectLst/>
              <a:latin typeface="HGｺﾞｼｯｸM" panose="020B0609000000000000" pitchFamily="49" charset="-128"/>
              <a:ea typeface="HGｺﾞｼｯｸM" panose="020B0609000000000000" pitchFamily="49" charset="-128"/>
              <a:cs typeface="+mn-cs"/>
            </a:rPr>
            <a:t>月に交付決定した額（左の「補助金の交付決定額（</a:t>
          </a:r>
          <a:r>
            <a:rPr kumimoji="1" lang="en-US" altLang="ja-JP" sz="1400" b="1">
              <a:solidFill>
                <a:schemeClr val="dk1"/>
              </a:solidFill>
              <a:effectLst/>
              <a:latin typeface="HGｺﾞｼｯｸM" panose="020B0609000000000000" pitchFamily="49" charset="-128"/>
              <a:ea typeface="HGｺﾞｼｯｸM" panose="020B0609000000000000" pitchFamily="49" charset="-128"/>
              <a:cs typeface="+mn-cs"/>
            </a:rPr>
            <a:t>F</a:t>
          </a:r>
          <a:r>
            <a:rPr kumimoji="1" lang="ja-JP" altLang="ja-JP" sz="1400" b="1">
              <a:solidFill>
                <a:schemeClr val="dk1"/>
              </a:solidFill>
              <a:effectLst/>
              <a:latin typeface="HGｺﾞｼｯｸM" panose="020B0609000000000000" pitchFamily="49" charset="-128"/>
              <a:ea typeface="HGｺﾞｼｯｸM" panose="020B0609000000000000" pitchFamily="49" charset="-128"/>
              <a:cs typeface="+mn-cs"/>
            </a:rPr>
            <a:t>列～</a:t>
          </a:r>
          <a:r>
            <a:rPr kumimoji="1" lang="en-US" altLang="ja-JP" sz="1400" b="1">
              <a:solidFill>
                <a:schemeClr val="dk1"/>
              </a:solidFill>
              <a:effectLst/>
              <a:latin typeface="HGｺﾞｼｯｸM" panose="020B0609000000000000" pitchFamily="49" charset="-128"/>
              <a:ea typeface="HGｺﾞｼｯｸM" panose="020B0609000000000000" pitchFamily="49" charset="-128"/>
              <a:cs typeface="+mn-cs"/>
            </a:rPr>
            <a:t>J</a:t>
          </a:r>
          <a:r>
            <a:rPr kumimoji="1" lang="ja-JP" altLang="ja-JP" sz="1400" b="1">
              <a:solidFill>
                <a:schemeClr val="dk1"/>
              </a:solidFill>
              <a:effectLst/>
              <a:latin typeface="HGｺﾞｼｯｸM" panose="020B0609000000000000" pitchFamily="49" charset="-128"/>
              <a:ea typeface="HGｺﾞｼｯｸM" panose="020B0609000000000000" pitchFamily="49" charset="-128"/>
              <a:cs typeface="+mn-cs"/>
            </a:rPr>
            <a:t>列）」）」</a:t>
          </a:r>
          <a:r>
            <a:rPr kumimoji="1" lang="ja-JP" altLang="en-US" sz="1400" b="1">
              <a:solidFill>
                <a:schemeClr val="dk1"/>
              </a:solidFill>
              <a:effectLst/>
              <a:latin typeface="HGｺﾞｼｯｸM" panose="020B0609000000000000" pitchFamily="49" charset="-128"/>
              <a:ea typeface="HGｺﾞｼｯｸM" panose="020B0609000000000000" pitchFamily="49" charset="-128"/>
              <a:cs typeface="+mn-cs"/>
            </a:rPr>
            <a:t>＞</a:t>
          </a:r>
          <a:r>
            <a:rPr kumimoji="1" lang="ja-JP" altLang="ja-JP" sz="1400" b="1">
              <a:solidFill>
                <a:schemeClr val="dk1"/>
              </a:solidFill>
              <a:effectLst/>
              <a:latin typeface="HGｺﾞｼｯｸM" panose="020B0609000000000000" pitchFamily="49" charset="-128"/>
              <a:ea typeface="HGｺﾞｼｯｸM" panose="020B0609000000000000" pitchFamily="49" charset="-128"/>
              <a:cs typeface="+mn-cs"/>
            </a:rPr>
            <a:t>「今回入力した数字を基にした交付決定額」</a:t>
          </a:r>
          <a:endParaRPr lang="ja-JP" altLang="ja-JP" sz="1400" b="1">
            <a:effectLst/>
            <a:latin typeface="HGｺﾞｼｯｸM" panose="020B0609000000000000" pitchFamily="49" charset="-128"/>
            <a:ea typeface="HGｺﾞｼｯｸM" panose="020B0609000000000000" pitchFamily="49" charset="-128"/>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ysClr val="windowText" lastClr="000000"/>
              </a:solidFill>
              <a:effectLst/>
              <a:latin typeface="HGｺﾞｼｯｸM" panose="020B0609000000000000" pitchFamily="49" charset="-128"/>
              <a:ea typeface="HGｺﾞｼｯｸM" panose="020B0609000000000000" pitchFamily="49" charset="-128"/>
              <a:cs typeface="+mn-cs"/>
            </a:rPr>
            <a:t>　　　</a:t>
          </a:r>
          <a:r>
            <a:rPr kumimoji="1" lang="ja-JP" altLang="ja-JP" sz="1400" b="1">
              <a:solidFill>
                <a:srgbClr val="FF0000"/>
              </a:solidFill>
              <a:effectLst/>
              <a:latin typeface="HGｺﾞｼｯｸM" panose="020B0609000000000000" pitchFamily="49" charset="-128"/>
              <a:ea typeface="HGｺﾞｼｯｸM" panose="020B0609000000000000" pitchFamily="49" charset="-128"/>
              <a:cs typeface="+mn-cs"/>
            </a:rPr>
            <a:t>戻入が発生する可能性があるため</a:t>
          </a:r>
          <a:r>
            <a:rPr kumimoji="1" lang="ja-JP" altLang="en-US" sz="1400" b="1">
              <a:solidFill>
                <a:srgbClr val="FF0000"/>
              </a:solidFill>
              <a:effectLst/>
              <a:latin typeface="HGｺﾞｼｯｸM" panose="020B0609000000000000" pitchFamily="49" charset="-128"/>
              <a:ea typeface="HGｺﾞｼｯｸM" panose="020B0609000000000000" pitchFamily="49" charset="-128"/>
              <a:cs typeface="+mn-cs"/>
            </a:rPr>
            <a:t>、</a:t>
          </a:r>
          <a:r>
            <a:rPr kumimoji="1" lang="ja-JP" altLang="ja-JP" sz="1400" b="1">
              <a:solidFill>
                <a:srgbClr val="FF0000"/>
              </a:solidFill>
              <a:effectLst/>
              <a:latin typeface="HGｺﾞｼｯｸM" panose="020B0609000000000000" pitchFamily="49" charset="-128"/>
              <a:ea typeface="HGｺﾞｼｯｸM" panose="020B0609000000000000" pitchFamily="49" charset="-128"/>
              <a:cs typeface="+mn-cs"/>
            </a:rPr>
            <a:t>第二期の分割支払い</a:t>
          </a:r>
          <a:r>
            <a:rPr kumimoji="1" lang="ja-JP" altLang="en-US" sz="1400" b="1">
              <a:solidFill>
                <a:srgbClr val="FF0000"/>
              </a:solidFill>
              <a:effectLst/>
              <a:latin typeface="HGｺﾞｼｯｸM" panose="020B0609000000000000" pitchFamily="49" charset="-128"/>
              <a:ea typeface="HGｺﾞｼｯｸM" panose="020B0609000000000000" pitchFamily="49" charset="-128"/>
              <a:cs typeface="+mn-cs"/>
            </a:rPr>
            <a:t>は原則できません</a:t>
          </a:r>
          <a:r>
            <a:rPr kumimoji="1" lang="ja-JP" altLang="ja-JP" sz="1400" b="1">
              <a:solidFill>
                <a:srgbClr val="FF0000"/>
              </a:solidFill>
              <a:effectLst/>
              <a:latin typeface="HGｺﾞｼｯｸM" panose="020B0609000000000000" pitchFamily="49" charset="-128"/>
              <a:ea typeface="HGｺﾞｼｯｸM" panose="020B0609000000000000" pitchFamily="49" charset="-128"/>
              <a:cs typeface="+mn-cs"/>
            </a:rPr>
            <a:t>。</a:t>
          </a:r>
          <a:endParaRPr kumimoji="1" lang="en-US" altLang="ja-JP" sz="1400" b="1">
            <a:solidFill>
              <a:srgbClr val="FF0000"/>
            </a:solidFill>
            <a:effectLst/>
            <a:latin typeface="HGｺﾞｼｯｸM" panose="020B0609000000000000" pitchFamily="49" charset="-128"/>
            <a:ea typeface="HGｺﾞｼｯｸM" panose="020B0609000000000000"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ysClr val="windowText" lastClr="000000"/>
              </a:solidFill>
              <a:effectLst/>
              <a:latin typeface="HGｺﾞｼｯｸM" panose="020B0609000000000000" pitchFamily="49" charset="-128"/>
              <a:ea typeface="HGｺﾞｼｯｸM" panose="020B0609000000000000" pitchFamily="49" charset="-128"/>
              <a:cs typeface="+mn-cs"/>
            </a:rPr>
            <a:t>　　　この場合は</a:t>
          </a:r>
          <a:r>
            <a:rPr kumimoji="1" lang="en-US" altLang="ja-JP" sz="1400">
              <a:solidFill>
                <a:sysClr val="windowText" lastClr="000000"/>
              </a:solidFill>
              <a:effectLst/>
              <a:latin typeface="HGｺﾞｼｯｸM" panose="020B0609000000000000" pitchFamily="49" charset="-128"/>
              <a:ea typeface="HGｺﾞｼｯｸM" panose="020B0609000000000000" pitchFamily="49" charset="-128"/>
              <a:cs typeface="+mn-cs"/>
            </a:rPr>
            <a:t>17</a:t>
          </a:r>
          <a:r>
            <a:rPr kumimoji="1" lang="ja-JP" altLang="en-US" sz="1400">
              <a:solidFill>
                <a:sysClr val="windowText" lastClr="000000"/>
              </a:solidFill>
              <a:effectLst/>
              <a:latin typeface="HGｺﾞｼｯｸM" panose="020B0609000000000000" pitchFamily="49" charset="-128"/>
              <a:ea typeface="HGｺﾞｼｯｸM" panose="020B0609000000000000" pitchFamily="49" charset="-128"/>
              <a:cs typeface="+mn-cs"/>
            </a:rPr>
            <a:t>行目に警告メッセージ（</a:t>
          </a:r>
          <a:r>
            <a:rPr kumimoji="1" lang="ja-JP" altLang="en-US" sz="1400" b="1">
              <a:solidFill>
                <a:srgbClr val="FF0000"/>
              </a:solidFill>
              <a:effectLst/>
              <a:latin typeface="HGｺﾞｼｯｸM" panose="020B0609000000000000" pitchFamily="49" charset="-128"/>
              <a:ea typeface="HGｺﾞｼｯｸM" panose="020B0609000000000000" pitchFamily="49" charset="-128"/>
              <a:cs typeface="+mn-cs"/>
            </a:rPr>
            <a:t>赤字</a:t>
          </a:r>
          <a:r>
            <a:rPr kumimoji="1" lang="ja-JP" altLang="en-US" sz="1400">
              <a:solidFill>
                <a:sysClr val="windowText" lastClr="000000"/>
              </a:solidFill>
              <a:effectLst/>
              <a:latin typeface="HGｺﾞｼｯｸM" panose="020B0609000000000000" pitchFamily="49" charset="-128"/>
              <a:ea typeface="HGｺﾞｼｯｸM" panose="020B0609000000000000" pitchFamily="49" charset="-128"/>
              <a:cs typeface="+mn-cs"/>
            </a:rPr>
            <a:t>）が出ます。</a:t>
          </a:r>
          <a:endParaRPr kumimoji="1" lang="ja-JP" altLang="en-US" sz="1400">
            <a:solidFill>
              <a:sysClr val="windowText" lastClr="000000"/>
            </a:solidFill>
            <a:latin typeface="HGｺﾞｼｯｸM" panose="020B0609000000000000" pitchFamily="49" charset="-128"/>
            <a:ea typeface="HGｺﾞｼｯｸM" panose="020B0609000000000000"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27</xdr:col>
          <xdr:colOff>123264</xdr:colOff>
          <xdr:row>19</xdr:row>
          <xdr:rowOff>56030</xdr:rowOff>
        </xdr:from>
        <xdr:to>
          <xdr:col>40</xdr:col>
          <xdr:colOff>409014</xdr:colOff>
          <xdr:row>33</xdr:row>
          <xdr:rowOff>26147</xdr:rowOff>
        </xdr:to>
        <xdr:pic>
          <xdr:nvPicPr>
            <xdr:cNvPr id="10" name="図 9">
              <a:extLst>
                <a:ext uri="{FF2B5EF4-FFF2-40B4-BE49-F238E27FC236}">
                  <a16:creationId xmlns:a16="http://schemas.microsoft.com/office/drawing/2014/main" id="{00000000-0008-0000-2000-00000A000000}"/>
                </a:ext>
              </a:extLst>
            </xdr:cNvPr>
            <xdr:cNvPicPr>
              <a:picLocks noChangeAspect="1" noChangeArrowheads="1"/>
              <a:extLst>
                <a:ext uri="{84589F7E-364E-4C9E-8A38-B11213B215E9}">
                  <a14:cameraTool cellRange="Sheet1!$A$1:$H$17" spid="_x0000_s139473"/>
                </a:ext>
              </a:extLst>
            </xdr:cNvPicPr>
          </xdr:nvPicPr>
          <xdr:blipFill>
            <a:blip xmlns:r="http://schemas.openxmlformats.org/officeDocument/2006/relationships" r:embed="rId1"/>
            <a:srcRect/>
            <a:stretch>
              <a:fillRect/>
            </a:stretch>
          </xdr:blipFill>
          <xdr:spPr bwMode="auto">
            <a:xfrm>
              <a:off x="10163735" y="5311589"/>
              <a:ext cx="8779808" cy="483982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30</xdr:col>
      <xdr:colOff>538682</xdr:colOff>
      <xdr:row>16</xdr:row>
      <xdr:rowOff>694765</xdr:rowOff>
    </xdr:from>
    <xdr:to>
      <xdr:col>40</xdr:col>
      <xdr:colOff>560294</xdr:colOff>
      <xdr:row>18</xdr:row>
      <xdr:rowOff>168088</xdr:rowOff>
    </xdr:to>
    <xdr:sp macro="" textlink="">
      <xdr:nvSpPr>
        <xdr:cNvPr id="11" name="テキスト ボックス 10">
          <a:extLst>
            <a:ext uri="{FF2B5EF4-FFF2-40B4-BE49-F238E27FC236}">
              <a16:creationId xmlns:a16="http://schemas.microsoft.com/office/drawing/2014/main" id="{00000000-0008-0000-2000-00000B000000}"/>
            </a:ext>
          </a:extLst>
        </xdr:cNvPr>
        <xdr:cNvSpPr txBox="1"/>
      </xdr:nvSpPr>
      <xdr:spPr>
        <a:xfrm>
          <a:off x="12327270" y="4560794"/>
          <a:ext cx="6767553" cy="5154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chemeClr val="dk1"/>
              </a:solidFill>
              <a:effectLst/>
              <a:latin typeface="HGｺﾞｼｯｸM" panose="020B0609000000000000" pitchFamily="49" charset="-128"/>
              <a:ea typeface="HGｺﾞｼｯｸM" panose="020B0609000000000000" pitchFamily="49" charset="-128"/>
              <a:cs typeface="+mn-cs"/>
            </a:rPr>
            <a:t>警告メッセージ（赤字）</a:t>
          </a:r>
          <a:r>
            <a:rPr lang="ja-JP" altLang="ja-JP" sz="1100">
              <a:solidFill>
                <a:schemeClr val="dk1"/>
              </a:solidFill>
              <a:effectLst/>
              <a:latin typeface="HGｺﾞｼｯｸM" panose="020B0609000000000000" pitchFamily="49" charset="-128"/>
              <a:ea typeface="HGｺﾞｼｯｸM" panose="020B0609000000000000" pitchFamily="49" charset="-128"/>
              <a:cs typeface="+mn-cs"/>
            </a:rPr>
            <a:t>が表示されるものの、当初交付申請時（令和</a:t>
          </a:r>
          <a:r>
            <a:rPr lang="ja-JP" altLang="en-US" sz="1100">
              <a:solidFill>
                <a:schemeClr val="dk1"/>
              </a:solidFill>
              <a:effectLst/>
              <a:latin typeface="HGｺﾞｼｯｸM" panose="020B0609000000000000" pitchFamily="49" charset="-128"/>
              <a:ea typeface="HGｺﾞｼｯｸM" panose="020B0609000000000000" pitchFamily="49" charset="-128"/>
              <a:cs typeface="+mn-cs"/>
            </a:rPr>
            <a:t>６</a:t>
          </a:r>
          <a:r>
            <a:rPr lang="ja-JP" altLang="ja-JP" sz="1100">
              <a:solidFill>
                <a:schemeClr val="dk1"/>
              </a:solidFill>
              <a:effectLst/>
              <a:latin typeface="HGｺﾞｼｯｸM" panose="020B0609000000000000" pitchFamily="49" charset="-128"/>
              <a:ea typeface="HGｺﾞｼｯｸM" panose="020B0609000000000000" pitchFamily="49" charset="-128"/>
              <a:cs typeface="+mn-cs"/>
            </a:rPr>
            <a:t>年４月～５月）の当課とのやり取りを踏まえ、戻入の可能性がないと思われる場合は、データを送付の上、お電話等でご相談ください。</a:t>
          </a:r>
          <a:endParaRPr kumimoji="1" lang="ja-JP" altLang="en-US" sz="1100">
            <a:latin typeface="HGｺﾞｼｯｸM" panose="020B0609000000000000" pitchFamily="49" charset="-128"/>
            <a:ea typeface="HGｺﾞｼｯｸM" panose="020B0609000000000000" pitchFamily="49" charset="-128"/>
          </a:endParaRPr>
        </a:p>
      </xdr:txBody>
    </xdr:sp>
    <xdr:clientData/>
  </xdr:twoCellAnchor>
  <xdr:twoCellAnchor>
    <xdr:from>
      <xdr:col>28</xdr:col>
      <xdr:colOff>129615</xdr:colOff>
      <xdr:row>36</xdr:row>
      <xdr:rowOff>83297</xdr:rowOff>
    </xdr:from>
    <xdr:to>
      <xdr:col>34</xdr:col>
      <xdr:colOff>153708</xdr:colOff>
      <xdr:row>37</xdr:row>
      <xdr:rowOff>314458</xdr:rowOff>
    </xdr:to>
    <xdr:sp macro="" textlink="">
      <xdr:nvSpPr>
        <xdr:cNvPr id="13" name="テキスト ボックス 12">
          <a:extLst>
            <a:ext uri="{FF2B5EF4-FFF2-40B4-BE49-F238E27FC236}">
              <a16:creationId xmlns:a16="http://schemas.microsoft.com/office/drawing/2014/main" id="{9B2D2FB2-F061-4AC3-B7CE-DE8550C85263}"/>
            </a:ext>
          </a:extLst>
        </xdr:cNvPr>
        <xdr:cNvSpPr txBox="1"/>
      </xdr:nvSpPr>
      <xdr:spPr>
        <a:xfrm>
          <a:off x="10528674" y="11210738"/>
          <a:ext cx="4058210" cy="578544"/>
        </a:xfrm>
        <a:prstGeom prst="rect">
          <a:avLst/>
        </a:prstGeom>
        <a:solidFill>
          <a:schemeClr val="bg1"/>
        </a:solidFill>
        <a:ln w="571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0">
              <a:latin typeface="HGｺﾞｼｯｸE" panose="020B0909000000000000" pitchFamily="49" charset="-128"/>
              <a:ea typeface="HGｺﾞｼｯｸE" panose="020B0909000000000000" pitchFamily="49" charset="-128"/>
            </a:rPr>
            <a:t>４歳以上児配置改善加算</a:t>
          </a:r>
        </a:p>
      </xdr:txBody>
    </xdr:sp>
    <xdr:clientData/>
  </xdr:twoCellAnchor>
  <xdr:twoCellAnchor>
    <xdr:from>
      <xdr:col>27</xdr:col>
      <xdr:colOff>112058</xdr:colOff>
      <xdr:row>36</xdr:row>
      <xdr:rowOff>257736</xdr:rowOff>
    </xdr:from>
    <xdr:to>
      <xdr:col>28</xdr:col>
      <xdr:colOff>56029</xdr:colOff>
      <xdr:row>37</xdr:row>
      <xdr:rowOff>134470</xdr:rowOff>
    </xdr:to>
    <xdr:sp macro="" textlink="">
      <xdr:nvSpPr>
        <xdr:cNvPr id="14" name="矢印: 右 13">
          <a:extLst>
            <a:ext uri="{FF2B5EF4-FFF2-40B4-BE49-F238E27FC236}">
              <a16:creationId xmlns:a16="http://schemas.microsoft.com/office/drawing/2014/main" id="{637B8B0B-FDDF-8E6E-13A1-55061FE952B8}"/>
            </a:ext>
          </a:extLst>
        </xdr:cNvPr>
        <xdr:cNvSpPr/>
      </xdr:nvSpPr>
      <xdr:spPr>
        <a:xfrm rot="10800000">
          <a:off x="10152529" y="11385177"/>
          <a:ext cx="302559" cy="224117"/>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1</xdr:col>
      <xdr:colOff>1971675</xdr:colOff>
      <xdr:row>8</xdr:row>
      <xdr:rowOff>9524</xdr:rowOff>
    </xdr:from>
    <xdr:to>
      <xdr:col>3</xdr:col>
      <xdr:colOff>590550</xdr:colOff>
      <xdr:row>9</xdr:row>
      <xdr:rowOff>57150</xdr:rowOff>
    </xdr:to>
    <xdr:sp macro="" textlink="">
      <xdr:nvSpPr>
        <xdr:cNvPr id="2" name="テキスト ボックス 1">
          <a:extLst>
            <a:ext uri="{FF2B5EF4-FFF2-40B4-BE49-F238E27FC236}">
              <a16:creationId xmlns:a16="http://schemas.microsoft.com/office/drawing/2014/main" id="{00000000-0008-0000-2100-000002000000}"/>
            </a:ext>
          </a:extLst>
        </xdr:cNvPr>
        <xdr:cNvSpPr txBox="1"/>
      </xdr:nvSpPr>
      <xdr:spPr>
        <a:xfrm>
          <a:off x="2076450" y="2257424"/>
          <a:ext cx="3343275" cy="552451"/>
        </a:xfrm>
        <a:prstGeom prst="rect">
          <a:avLst/>
        </a:prstGeom>
        <a:solidFill>
          <a:schemeClr val="accent1">
            <a:lumMod val="20000"/>
            <a:lumOff val="80000"/>
          </a:schemeClr>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HGｺﾞｼｯｸM" panose="020B0609000000000000" pitchFamily="49" charset="-128"/>
              <a:ea typeface="HGｺﾞｼｯｸM" panose="020B0609000000000000" pitchFamily="49" charset="-128"/>
            </a:rPr>
            <a:t>今回入力した数字を基にした交付決定額</a:t>
          </a:r>
        </a:p>
        <a:p>
          <a:pPr algn="ctr"/>
          <a:r>
            <a:rPr kumimoji="1" lang="ja-JP" altLang="en-US" sz="1050">
              <a:latin typeface="HGｺﾞｼｯｸM" panose="020B0609000000000000" pitchFamily="49" charset="-128"/>
              <a:ea typeface="HGｺﾞｼｯｸM" panose="020B0609000000000000" pitchFamily="49" charset="-128"/>
            </a:rPr>
            <a:t>（４月時点と状況が変わらなければ１００万円）</a:t>
          </a:r>
        </a:p>
      </xdr:txBody>
    </xdr:sp>
    <xdr:clientData/>
  </xdr:twoCellAnchor>
  <xdr:twoCellAnchor>
    <xdr:from>
      <xdr:col>2</xdr:col>
      <xdr:colOff>1038225</xdr:colOff>
      <xdr:row>7</xdr:row>
      <xdr:rowOff>57150</xdr:rowOff>
    </xdr:from>
    <xdr:to>
      <xdr:col>2</xdr:col>
      <xdr:colOff>1209675</xdr:colOff>
      <xdr:row>7</xdr:row>
      <xdr:rowOff>485775</xdr:rowOff>
    </xdr:to>
    <xdr:sp macro="" textlink="">
      <xdr:nvSpPr>
        <xdr:cNvPr id="3" name="矢印: 上下 2">
          <a:extLst>
            <a:ext uri="{FF2B5EF4-FFF2-40B4-BE49-F238E27FC236}">
              <a16:creationId xmlns:a16="http://schemas.microsoft.com/office/drawing/2014/main" id="{00000000-0008-0000-2100-000003000000}"/>
            </a:ext>
          </a:extLst>
        </xdr:cNvPr>
        <xdr:cNvSpPr/>
      </xdr:nvSpPr>
      <xdr:spPr>
        <a:xfrm>
          <a:off x="3505200" y="1771650"/>
          <a:ext cx="171450" cy="428625"/>
        </a:xfrm>
        <a:prstGeom prst="up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1247775</xdr:colOff>
      <xdr:row>7</xdr:row>
      <xdr:rowOff>104775</xdr:rowOff>
    </xdr:from>
    <xdr:to>
      <xdr:col>3</xdr:col>
      <xdr:colOff>561975</xdr:colOff>
      <xdr:row>7</xdr:row>
      <xdr:rowOff>447675</xdr:rowOff>
    </xdr:to>
    <xdr:sp macro="" textlink="">
      <xdr:nvSpPr>
        <xdr:cNvPr id="4" name="テキスト ボックス 3">
          <a:extLst>
            <a:ext uri="{FF2B5EF4-FFF2-40B4-BE49-F238E27FC236}">
              <a16:creationId xmlns:a16="http://schemas.microsoft.com/office/drawing/2014/main" id="{00000000-0008-0000-2100-000004000000}"/>
            </a:ext>
          </a:extLst>
        </xdr:cNvPr>
        <xdr:cNvSpPr txBox="1"/>
      </xdr:nvSpPr>
      <xdr:spPr>
        <a:xfrm>
          <a:off x="3714750" y="1819275"/>
          <a:ext cx="167640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latin typeface="HGｺﾞｼｯｸM" panose="020B0609000000000000" pitchFamily="49" charset="-128"/>
              <a:ea typeface="HGｺﾞｼｯｸM" panose="020B0609000000000000" pitchFamily="49" charset="-128"/>
            </a:rPr>
            <a:t>比較</a:t>
          </a:r>
        </a:p>
      </xdr:txBody>
    </xdr:sp>
    <xdr:clientData/>
  </xdr:twoCellAnchor>
  <xdr:twoCellAnchor>
    <xdr:from>
      <xdr:col>0</xdr:col>
      <xdr:colOff>66675</xdr:colOff>
      <xdr:row>0</xdr:row>
      <xdr:rowOff>323850</xdr:rowOff>
    </xdr:from>
    <xdr:to>
      <xdr:col>5</xdr:col>
      <xdr:colOff>104775</xdr:colOff>
      <xdr:row>10</xdr:row>
      <xdr:rowOff>47625</xdr:rowOff>
    </xdr:to>
    <xdr:sp macro="" textlink="">
      <xdr:nvSpPr>
        <xdr:cNvPr id="5" name="正方形/長方形 4">
          <a:extLst>
            <a:ext uri="{FF2B5EF4-FFF2-40B4-BE49-F238E27FC236}">
              <a16:creationId xmlns:a16="http://schemas.microsoft.com/office/drawing/2014/main" id="{00000000-0008-0000-2100-000005000000}"/>
            </a:ext>
          </a:extLst>
        </xdr:cNvPr>
        <xdr:cNvSpPr/>
      </xdr:nvSpPr>
      <xdr:spPr>
        <a:xfrm>
          <a:off x="66675" y="323850"/>
          <a:ext cx="7572375" cy="2628900"/>
        </a:xfrm>
        <a:prstGeom prst="rect">
          <a:avLst/>
        </a:prstGeom>
        <a:noFill/>
        <a:ln w="1905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1152525</xdr:colOff>
      <xdr:row>10</xdr:row>
      <xdr:rowOff>57150</xdr:rowOff>
    </xdr:from>
    <xdr:to>
      <xdr:col>2</xdr:col>
      <xdr:colOff>1152525</xdr:colOff>
      <xdr:row>12</xdr:row>
      <xdr:rowOff>142875</xdr:rowOff>
    </xdr:to>
    <xdr:cxnSp macro="">
      <xdr:nvCxnSpPr>
        <xdr:cNvPr id="6" name="直線矢印コネクタ 5">
          <a:extLst>
            <a:ext uri="{FF2B5EF4-FFF2-40B4-BE49-F238E27FC236}">
              <a16:creationId xmlns:a16="http://schemas.microsoft.com/office/drawing/2014/main" id="{00000000-0008-0000-2100-000006000000}"/>
            </a:ext>
          </a:extLst>
        </xdr:cNvPr>
        <xdr:cNvCxnSpPr/>
      </xdr:nvCxnSpPr>
      <xdr:spPr>
        <a:xfrm>
          <a:off x="3619500" y="2962275"/>
          <a:ext cx="0" cy="390525"/>
        </a:xfrm>
        <a:prstGeom prst="straightConnector1">
          <a:avLst/>
        </a:prstGeom>
        <a:ln w="28575">
          <a:prstDash val="sysDot"/>
          <a:tailEnd type="triangle"/>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0</xdr:col>
          <xdr:colOff>38100</xdr:colOff>
          <xdr:row>13</xdr:row>
          <xdr:rowOff>104775</xdr:rowOff>
        </xdr:from>
        <xdr:to>
          <xdr:col>7</xdr:col>
          <xdr:colOff>285750</xdr:colOff>
          <xdr:row>16</xdr:row>
          <xdr:rowOff>352425</xdr:rowOff>
        </xdr:to>
        <xdr:pic>
          <xdr:nvPicPr>
            <xdr:cNvPr id="7" name="図 6">
              <a:extLst>
                <a:ext uri="{FF2B5EF4-FFF2-40B4-BE49-F238E27FC236}">
                  <a16:creationId xmlns:a16="http://schemas.microsoft.com/office/drawing/2014/main" id="{00000000-0008-0000-2100-000007000000}"/>
                </a:ext>
              </a:extLst>
            </xdr:cNvPr>
            <xdr:cNvPicPr>
              <a:picLocks noChangeAspect="1" noChangeArrowheads="1"/>
              <a:extLst>
                <a:ext uri="{84589F7E-364E-4C9E-8A38-B11213B215E9}">
                  <a14:cameraTool cellRange="Sheet2!$B$2:$F$6" spid="_x0000_s135385"/>
                </a:ext>
              </a:extLst>
            </xdr:cNvPicPr>
          </xdr:nvPicPr>
          <xdr:blipFill>
            <a:blip xmlns:r="http://schemas.openxmlformats.org/officeDocument/2006/relationships" r:embed="rId1"/>
            <a:srcRect/>
            <a:stretch>
              <a:fillRect/>
            </a:stretch>
          </xdr:blipFill>
          <xdr:spPr bwMode="auto">
            <a:xfrm>
              <a:off x="38100" y="3467100"/>
              <a:ext cx="8667750" cy="12573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5</xdr:col>
      <xdr:colOff>628650</xdr:colOff>
      <xdr:row>8</xdr:row>
      <xdr:rowOff>0</xdr:rowOff>
    </xdr:from>
    <xdr:to>
      <xdr:col>6</xdr:col>
      <xdr:colOff>19050</xdr:colOff>
      <xdr:row>9</xdr:row>
      <xdr:rowOff>152400</xdr:rowOff>
    </xdr:to>
    <xdr:sp macro="" textlink="">
      <xdr:nvSpPr>
        <xdr:cNvPr id="2" name="Text Box 1">
          <a:extLst>
            <a:ext uri="{FF2B5EF4-FFF2-40B4-BE49-F238E27FC236}">
              <a16:creationId xmlns:a16="http://schemas.microsoft.com/office/drawing/2014/main" id="{00000000-0008-0000-0500-000002000000}"/>
            </a:ext>
          </a:extLst>
        </xdr:cNvPr>
        <xdr:cNvSpPr txBox="1">
          <a:spLocks noChangeArrowheads="1"/>
        </xdr:cNvSpPr>
      </xdr:nvSpPr>
      <xdr:spPr bwMode="auto">
        <a:xfrm>
          <a:off x="3467100" y="2447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628650</xdr:colOff>
      <xdr:row>7</xdr:row>
      <xdr:rowOff>0</xdr:rowOff>
    </xdr:from>
    <xdr:to>
      <xdr:col>6</xdr:col>
      <xdr:colOff>19050</xdr:colOff>
      <xdr:row>9</xdr:row>
      <xdr:rowOff>95250</xdr:rowOff>
    </xdr:to>
    <xdr:sp macro="" textlink="">
      <xdr:nvSpPr>
        <xdr:cNvPr id="3" name="Text Box 1">
          <a:extLst>
            <a:ext uri="{FF2B5EF4-FFF2-40B4-BE49-F238E27FC236}">
              <a16:creationId xmlns:a16="http://schemas.microsoft.com/office/drawing/2014/main" id="{00000000-0008-0000-0500-000003000000}"/>
            </a:ext>
          </a:extLst>
        </xdr:cNvPr>
        <xdr:cNvSpPr txBox="1">
          <a:spLocks noChangeArrowheads="1"/>
        </xdr:cNvSpPr>
      </xdr:nvSpPr>
      <xdr:spPr bwMode="auto">
        <a:xfrm>
          <a:off x="3467100" y="1790700"/>
          <a:ext cx="76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5</xdr:col>
      <xdr:colOff>628650</xdr:colOff>
      <xdr:row>5</xdr:row>
      <xdr:rowOff>0</xdr:rowOff>
    </xdr:from>
    <xdr:ext cx="76200" cy="209550"/>
    <xdr:sp macro="" textlink="">
      <xdr:nvSpPr>
        <xdr:cNvPr id="4" name="Text Box 1">
          <a:extLst>
            <a:ext uri="{FF2B5EF4-FFF2-40B4-BE49-F238E27FC236}">
              <a16:creationId xmlns:a16="http://schemas.microsoft.com/office/drawing/2014/main" id="{00000000-0008-0000-0500-000004000000}"/>
            </a:ext>
          </a:extLst>
        </xdr:cNvPr>
        <xdr:cNvSpPr txBox="1">
          <a:spLocks noChangeArrowheads="1"/>
        </xdr:cNvSpPr>
      </xdr:nvSpPr>
      <xdr:spPr bwMode="auto">
        <a:xfrm>
          <a:off x="3467100" y="14859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5</xdr:col>
      <xdr:colOff>628650</xdr:colOff>
      <xdr:row>9</xdr:row>
      <xdr:rowOff>0</xdr:rowOff>
    </xdr:from>
    <xdr:to>
      <xdr:col>6</xdr:col>
      <xdr:colOff>19050</xdr:colOff>
      <xdr:row>9</xdr:row>
      <xdr:rowOff>209550</xdr:rowOff>
    </xdr:to>
    <xdr:sp macro="" textlink="">
      <xdr:nvSpPr>
        <xdr:cNvPr id="2" name="Text Box 1">
          <a:extLst>
            <a:ext uri="{FF2B5EF4-FFF2-40B4-BE49-F238E27FC236}">
              <a16:creationId xmlns:a16="http://schemas.microsoft.com/office/drawing/2014/main" id="{00000000-0008-0000-0600-000002000000}"/>
            </a:ext>
          </a:extLst>
        </xdr:cNvPr>
        <xdr:cNvSpPr txBox="1">
          <a:spLocks noChangeArrowheads="1"/>
        </xdr:cNvSpPr>
      </xdr:nvSpPr>
      <xdr:spPr bwMode="auto">
        <a:xfrm>
          <a:off x="3467100" y="2066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628650</xdr:colOff>
      <xdr:row>8</xdr:row>
      <xdr:rowOff>0</xdr:rowOff>
    </xdr:from>
    <xdr:to>
      <xdr:col>6</xdr:col>
      <xdr:colOff>19050</xdr:colOff>
      <xdr:row>8</xdr:row>
      <xdr:rowOff>209550</xdr:rowOff>
    </xdr:to>
    <xdr:sp macro="" textlink="">
      <xdr:nvSpPr>
        <xdr:cNvPr id="2" name="Text Box 1">
          <a:extLst>
            <a:ext uri="{FF2B5EF4-FFF2-40B4-BE49-F238E27FC236}">
              <a16:creationId xmlns:a16="http://schemas.microsoft.com/office/drawing/2014/main" id="{00000000-0008-0000-0700-000002000000}"/>
            </a:ext>
          </a:extLst>
        </xdr:cNvPr>
        <xdr:cNvSpPr txBox="1">
          <a:spLocks noChangeArrowheads="1"/>
        </xdr:cNvSpPr>
      </xdr:nvSpPr>
      <xdr:spPr bwMode="auto">
        <a:xfrm>
          <a:off x="3467100" y="373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5</xdr:col>
      <xdr:colOff>628650</xdr:colOff>
      <xdr:row>6</xdr:row>
      <xdr:rowOff>0</xdr:rowOff>
    </xdr:from>
    <xdr:ext cx="76200" cy="209550"/>
    <xdr:sp macro="" textlink="">
      <xdr:nvSpPr>
        <xdr:cNvPr id="3" name="Text Box 1">
          <a:extLst>
            <a:ext uri="{FF2B5EF4-FFF2-40B4-BE49-F238E27FC236}">
              <a16:creationId xmlns:a16="http://schemas.microsoft.com/office/drawing/2014/main" id="{00000000-0008-0000-0700-000003000000}"/>
            </a:ext>
          </a:extLst>
        </xdr:cNvPr>
        <xdr:cNvSpPr txBox="1">
          <a:spLocks noChangeArrowheads="1"/>
        </xdr:cNvSpPr>
      </xdr:nvSpPr>
      <xdr:spPr bwMode="auto">
        <a:xfrm>
          <a:off x="3467100" y="34290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11</xdr:col>
      <xdr:colOff>285750</xdr:colOff>
      <xdr:row>2</xdr:row>
      <xdr:rowOff>190500</xdr:rowOff>
    </xdr:from>
    <xdr:to>
      <xdr:col>18</xdr:col>
      <xdr:colOff>232410</xdr:colOff>
      <xdr:row>2</xdr:row>
      <xdr:rowOff>1104900</xdr:rowOff>
    </xdr:to>
    <xdr:sp macro="" textlink="">
      <xdr:nvSpPr>
        <xdr:cNvPr id="5" name="テキスト ボックス 3">
          <a:extLst>
            <a:ext uri="{FF2B5EF4-FFF2-40B4-BE49-F238E27FC236}">
              <a16:creationId xmlns:a16="http://schemas.microsoft.com/office/drawing/2014/main" id="{00000000-0008-0000-0700-000005000000}"/>
            </a:ext>
          </a:extLst>
        </xdr:cNvPr>
        <xdr:cNvSpPr txBox="1"/>
      </xdr:nvSpPr>
      <xdr:spPr>
        <a:xfrm>
          <a:off x="7181850" y="866775"/>
          <a:ext cx="4747260" cy="914400"/>
        </a:xfrm>
        <a:prstGeom prst="rect">
          <a:avLst/>
        </a:prstGeom>
        <a:solidFill>
          <a:schemeClr val="lt1"/>
        </a:solidFill>
        <a:ln w="9525"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a:lnSpc>
              <a:spcPts val="1200"/>
            </a:lnSpc>
            <a:spcAft>
              <a:spcPts val="0"/>
            </a:spcAft>
          </a:pPr>
          <a:r>
            <a:rPr lang="ja-JP" sz="9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【補足： 常勤保育士及び短時間保育士の定義】</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lnSpc>
              <a:spcPts val="1200"/>
            </a:lnSpc>
            <a:spcAft>
              <a:spcPts val="0"/>
            </a:spcAft>
          </a:pPr>
          <a:r>
            <a:rPr lang="ja-JP" sz="9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　当該補助金については、令和４年度以前と同様、以下の定義で入力をお願いします。</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lnSpc>
              <a:spcPts val="1200"/>
            </a:lnSpc>
            <a:spcAft>
              <a:spcPts val="0"/>
            </a:spcAft>
          </a:pPr>
          <a:r>
            <a:rPr lang="ja-JP" sz="9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　　→　常　勤：園の就業規則で定める常勤時間</a:t>
          </a:r>
          <a:r>
            <a:rPr lang="ja-JP" sz="900" u="sng">
              <a:solidFill>
                <a:srgbClr val="FF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以上</a:t>
          </a:r>
          <a:r>
            <a:rPr lang="ja-JP" sz="9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の勤務を行う者</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lnSpc>
              <a:spcPts val="1200"/>
            </a:lnSpc>
            <a:spcAft>
              <a:spcPts val="0"/>
            </a:spcAft>
          </a:pPr>
          <a:r>
            <a:rPr lang="ja-JP" sz="9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　　　　非常勤：園の就業規則で定める常勤時間</a:t>
          </a:r>
          <a:r>
            <a:rPr lang="ja-JP" sz="900" u="sng">
              <a:solidFill>
                <a:srgbClr val="FF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未満</a:t>
          </a:r>
          <a:r>
            <a:rPr lang="ja-JP" sz="9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の勤務を行う者</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lnSpc>
              <a:spcPts val="1200"/>
            </a:lnSpc>
            <a:spcAft>
              <a:spcPts val="0"/>
            </a:spcAft>
          </a:pPr>
          <a:r>
            <a:rPr lang="ja-JP" sz="1000">
              <a:effectLst/>
              <a:latin typeface="ＭＳ Ｐゴシック" panose="020B0600070205080204" pitchFamily="50" charset="-128"/>
              <a:ea typeface="HG丸ｺﾞｼｯｸM-PRO" panose="020F0600000000000000" pitchFamily="50" charset="-128"/>
              <a:cs typeface="ＭＳ Ｐゴシック" panose="020B0600070205080204" pitchFamily="50" charset="-128"/>
            </a:rPr>
            <a:t>　※今後、国等の動向を踏まえ、変更する場合は別途ご連絡いたします。</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628650</xdr:colOff>
      <xdr:row>10</xdr:row>
      <xdr:rowOff>0</xdr:rowOff>
    </xdr:from>
    <xdr:to>
      <xdr:col>6</xdr:col>
      <xdr:colOff>19050</xdr:colOff>
      <xdr:row>10</xdr:row>
      <xdr:rowOff>209550</xdr:rowOff>
    </xdr:to>
    <xdr:sp macro="" textlink="">
      <xdr:nvSpPr>
        <xdr:cNvPr id="2" name="Text Box 1">
          <a:extLst>
            <a:ext uri="{FF2B5EF4-FFF2-40B4-BE49-F238E27FC236}">
              <a16:creationId xmlns:a16="http://schemas.microsoft.com/office/drawing/2014/main" id="{00000000-0008-0000-0800-000002000000}"/>
            </a:ext>
          </a:extLst>
        </xdr:cNvPr>
        <xdr:cNvSpPr txBox="1">
          <a:spLocks noChangeArrowheads="1"/>
        </xdr:cNvSpPr>
      </xdr:nvSpPr>
      <xdr:spPr bwMode="auto">
        <a:xfrm>
          <a:off x="3467100" y="4686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5</xdr:col>
      <xdr:colOff>628650</xdr:colOff>
      <xdr:row>8</xdr:row>
      <xdr:rowOff>0</xdr:rowOff>
    </xdr:from>
    <xdr:ext cx="76200" cy="209550"/>
    <xdr:sp macro="" textlink="">
      <xdr:nvSpPr>
        <xdr:cNvPr id="3" name="Text Box 1">
          <a:extLst>
            <a:ext uri="{FF2B5EF4-FFF2-40B4-BE49-F238E27FC236}">
              <a16:creationId xmlns:a16="http://schemas.microsoft.com/office/drawing/2014/main" id="{00000000-0008-0000-0800-000003000000}"/>
            </a:ext>
          </a:extLst>
        </xdr:cNvPr>
        <xdr:cNvSpPr txBox="1">
          <a:spLocks noChangeArrowheads="1"/>
        </xdr:cNvSpPr>
      </xdr:nvSpPr>
      <xdr:spPr bwMode="auto">
        <a:xfrm>
          <a:off x="3467100" y="4381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11</xdr:col>
      <xdr:colOff>428625</xdr:colOff>
      <xdr:row>26</xdr:row>
      <xdr:rowOff>304800</xdr:rowOff>
    </xdr:from>
    <xdr:to>
      <xdr:col>17</xdr:col>
      <xdr:colOff>409575</xdr:colOff>
      <xdr:row>27</xdr:row>
      <xdr:rowOff>371475</xdr:rowOff>
    </xdr:to>
    <xdr:sp macro="" textlink="">
      <xdr:nvSpPr>
        <xdr:cNvPr id="4" name="テキスト ボックス 25">
          <a:extLst>
            <a:ext uri="{FF2B5EF4-FFF2-40B4-BE49-F238E27FC236}">
              <a16:creationId xmlns:a16="http://schemas.microsoft.com/office/drawing/2014/main" id="{00000000-0008-0000-0800-000004000000}"/>
            </a:ext>
          </a:extLst>
        </xdr:cNvPr>
        <xdr:cNvSpPr txBox="1"/>
      </xdr:nvSpPr>
      <xdr:spPr>
        <a:xfrm>
          <a:off x="7324725" y="9324975"/>
          <a:ext cx="4095750" cy="42862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200"/>
            </a:lnSpc>
            <a:spcAft>
              <a:spcPts val="0"/>
            </a:spcAft>
          </a:pPr>
          <a:r>
            <a:rPr lang="ja-JP" altLang="en-US" sz="1000" kern="1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⑧</a:t>
          </a:r>
          <a:r>
            <a:rPr lang="ja-JP" sz="1000" kern="1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職員異動届は、遅れてのご提出でも構いません。</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lnSpc>
              <a:spcPts val="1200"/>
            </a:lnSpc>
            <a:spcAft>
              <a:spcPts val="0"/>
            </a:spcAft>
          </a:pPr>
          <a:r>
            <a:rPr lang="ja-JP" sz="1000" kern="1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それ以外の書類については、連絡があり次第、早急に提出願います。</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11</xdr:col>
      <xdr:colOff>0</xdr:colOff>
      <xdr:row>23</xdr:row>
      <xdr:rowOff>0</xdr:rowOff>
    </xdr:from>
    <xdr:to>
      <xdr:col>11</xdr:col>
      <xdr:colOff>247650</xdr:colOff>
      <xdr:row>28</xdr:row>
      <xdr:rowOff>85725</xdr:rowOff>
    </xdr:to>
    <xdr:sp macro="" textlink="">
      <xdr:nvSpPr>
        <xdr:cNvPr id="5" name="右中かっこ 4">
          <a:extLst>
            <a:ext uri="{FF2B5EF4-FFF2-40B4-BE49-F238E27FC236}">
              <a16:creationId xmlns:a16="http://schemas.microsoft.com/office/drawing/2014/main" id="{00000000-0008-0000-0800-000005000000}"/>
            </a:ext>
          </a:extLst>
        </xdr:cNvPr>
        <xdr:cNvSpPr/>
      </xdr:nvSpPr>
      <xdr:spPr>
        <a:xfrm>
          <a:off x="6896100" y="8334375"/>
          <a:ext cx="247650" cy="2390775"/>
        </a:xfrm>
        <a:prstGeom prst="rightBrace">
          <a:avLst/>
        </a:prstGeom>
        <a:ln w="19050">
          <a:solidFill>
            <a:schemeClr val="bg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628650</xdr:colOff>
      <xdr:row>9</xdr:row>
      <xdr:rowOff>0</xdr:rowOff>
    </xdr:from>
    <xdr:to>
      <xdr:col>6</xdr:col>
      <xdr:colOff>19050</xdr:colOff>
      <xdr:row>9</xdr:row>
      <xdr:rowOff>209550</xdr:rowOff>
    </xdr:to>
    <xdr:sp macro="" textlink="">
      <xdr:nvSpPr>
        <xdr:cNvPr id="2" name="Text Box 1">
          <a:extLst>
            <a:ext uri="{FF2B5EF4-FFF2-40B4-BE49-F238E27FC236}">
              <a16:creationId xmlns:a16="http://schemas.microsoft.com/office/drawing/2014/main" id="{9CF84284-8B5A-47B3-B6E7-1199F41F74E5}"/>
            </a:ext>
          </a:extLst>
        </xdr:cNvPr>
        <xdr:cNvSpPr txBox="1">
          <a:spLocks noChangeArrowheads="1"/>
        </xdr:cNvSpPr>
      </xdr:nvSpPr>
      <xdr:spPr bwMode="auto">
        <a:xfrm>
          <a:off x="3467100" y="2066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28575</xdr:colOff>
      <xdr:row>1</xdr:row>
      <xdr:rowOff>47625</xdr:rowOff>
    </xdr:from>
    <xdr:to>
      <xdr:col>4</xdr:col>
      <xdr:colOff>200025</xdr:colOff>
      <xdr:row>1</xdr:row>
      <xdr:rowOff>371475</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266700" y="333375"/>
          <a:ext cx="1905000" cy="323850"/>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黄色セル：入力願います</a:t>
          </a:r>
        </a:p>
      </xdr:txBody>
    </xdr:sp>
    <xdr:clientData/>
  </xdr:twoCellAnchor>
  <xdr:twoCellAnchor>
    <xdr:from>
      <xdr:col>4</xdr:col>
      <xdr:colOff>314325</xdr:colOff>
      <xdr:row>1</xdr:row>
      <xdr:rowOff>47623</xdr:rowOff>
    </xdr:from>
    <xdr:to>
      <xdr:col>16</xdr:col>
      <xdr:colOff>457200</xdr:colOff>
      <xdr:row>1</xdr:row>
      <xdr:rowOff>590550</xdr:rowOff>
    </xdr:to>
    <xdr:sp macro="" textlink="">
      <xdr:nvSpPr>
        <xdr:cNvPr id="10" name="テキスト ボックス 9">
          <a:extLst>
            <a:ext uri="{FF2B5EF4-FFF2-40B4-BE49-F238E27FC236}">
              <a16:creationId xmlns:a16="http://schemas.microsoft.com/office/drawing/2014/main" id="{00000000-0008-0000-0900-00000A000000}"/>
            </a:ext>
          </a:extLst>
        </xdr:cNvPr>
        <xdr:cNvSpPr txBox="1"/>
      </xdr:nvSpPr>
      <xdr:spPr>
        <a:xfrm>
          <a:off x="2286000" y="333373"/>
          <a:ext cx="6686550" cy="542927"/>
        </a:xfrm>
        <a:prstGeom prst="rect">
          <a:avLst/>
        </a:prstGeom>
        <a:solidFill>
          <a:schemeClr val="accent1">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a:t>水色セル：「園毎の固有番号</a:t>
          </a:r>
          <a:r>
            <a:rPr kumimoji="1" lang="ja-JP" altLang="ja-JP" sz="1000">
              <a:solidFill>
                <a:schemeClr val="dk1"/>
              </a:solidFill>
              <a:effectLst/>
              <a:latin typeface="+mn-lt"/>
              <a:ea typeface="+mn-ea"/>
              <a:cs typeface="+mn-cs"/>
            </a:rPr>
            <a:t>」</a:t>
          </a:r>
          <a:r>
            <a:rPr kumimoji="1" lang="ja-JP" altLang="en-US" sz="1000"/>
            <a:t>に基づいて、千葉市が把握している情報が表示されます。</a:t>
          </a:r>
          <a:endParaRPr kumimoji="1" lang="en-US" altLang="ja-JP" sz="1000"/>
        </a:p>
        <a:p>
          <a:pPr algn="l"/>
          <a:r>
            <a:rPr kumimoji="1" lang="ja-JP" altLang="en-US" sz="1000"/>
            <a:t>　　　　　念のためご確認いただき、万が一誤りがあれば、関数の上からご修正ください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h-p00n-fls01\F18105000_&#12371;&#12393;&#12418;&#26410;&#26469;&#23616;&#12371;&#12393;&#12418;&#26410;&#26469;&#37096;&#24188;&#20445;&#36939;&#21942;&#35506;\09&#20445;&#32946;&#20418;\&#36939;&#21942;&#36027;&#38306;&#20418;\01%20%20&#27665;&#38291;&#36939;&#21942;&#36027;\H27\02%20&#35469;&#23450;&#12371;&#12393;&#12418;&#22290;\&#32207;&#25324;&#34920;&#19968;&#35239;\6&#26376;&#32102;&#20184;&#36027;\4%20&#12454;&#12451;&#12474;&#12480;&#12512;&#12490;&#12540;&#12469;&#12522;&#12540;&#12473;&#12463;&#12540;&#1252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h-p00n-fls01\F18105000_&#12371;&#12393;&#12418;&#26410;&#26469;&#23616;&#12371;&#12393;&#12418;&#26410;&#26469;&#37096;&#24188;&#20445;&#36939;&#21942;&#35506;\09&#20445;&#32946;&#20418;\&#36939;&#21942;&#36027;&#38306;&#20418;\01%20%20&#27665;&#38291;&#36939;&#21942;&#36027;\H27\01%20&#20445;&#32946;&#22290;\&#32207;&#25324;&#34920;&#19968;&#35239;\6&#26376;\&#20445;&#32946;&#25152;&#29256;&#65288;Ver.1.0.0&#6528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h-p00n-fls01\F18105000_&#12371;&#12393;&#12418;&#26410;&#26469;&#23616;&#12371;&#12393;&#12418;&#26410;&#26469;&#37096;&#24188;&#20445;&#36939;&#21942;&#35506;\09&#20445;&#32946;&#20418;\&#36939;&#21942;&#36027;&#38306;&#20418;\01%20%20&#27665;&#38291;&#36939;&#21942;&#36027;\H27\01%20&#20445;&#32946;&#22290;\&#32207;&#25324;&#34920;&#19968;&#35239;\6&#26376;\02%20&#26093;&#12534;&#19992;&#20445;&#32946;&#2229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h-p00n-fls01\F18105000_&#12371;&#12393;&#12418;&#26410;&#26469;&#23616;&#12371;&#12393;&#12418;&#26410;&#26469;&#37096;&#24188;&#20445;&#36939;&#21942;&#35506;\09&#20445;&#32946;&#20418;\&#36939;&#21942;&#36027;&#38306;&#20418;\&#27665;&#25913;&#36027;&#25215;&#35469;&#38306;&#20418;\&#65298;&#65298;&#24180;&#24230;\&#27665;&#25913;22&#65288;&#32232;&#38598;&#29992;&#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8251;&#24188;&#20445;&#36939;&#21942;&#35506;&#20491;&#20154;&#29992;\&#20633;&#24536;&#3768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h-p00n-fls01\F18105000_&#12371;&#12393;&#12418;&#26410;&#26469;&#23616;&#12371;&#12393;&#12418;&#26410;&#26469;&#37096;&#24188;&#20445;&#36939;&#21942;&#35506;\Users\YYWYO\APPDATA\LOCAL\TEMP\wz5c1f\&#35469;&#23450;&#12371;&#12393;&#12418;&#22290;&#29256;&#65288;Ver.1.0.0&#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h-p00n-fls01\F18105000_&#12371;&#12393;&#12418;&#26410;&#26469;&#23616;&#12371;&#12393;&#12418;&#26410;&#26469;&#37096;&#24188;&#20445;&#36939;&#21942;&#35506;\09&#20445;&#32946;&#20418;\06%20&#27665;&#38291;&#20445;&#32946;&#22290;&#35036;&#21161;&#37329;&#38306;&#20418;\01%20&#20445;&#32946;&#22763;&#31561;&#37197;&#32622;&#22522;&#28310;&#25913;&#21892;&#20107;&#26989;&#35036;&#21161;&#37329;\&#9733;&#20445;&#32946;&#22763;&#37197;&#32622;&#22522;&#28310;&#35036;&#21161;&#37329;\R3\01%20%20&#30003;&#35531;&#12539;&#12405;&#12426;&#12371;&#12415;&#36039;&#26009;\04%20%20&#23455;&#32318;&#22577;&#21578;\&#12304;&#21442;&#32771;&#65306;&#26152;&#24180;&#24230;&#23455;&#32318;&#12305;01_&#12304;&#37197;&#32622;&#22522;&#28310;&#12305;&#22793;&#26356;&#30003;&#35531;&#26360;&#24335;&#65288;2&#26376;26&#26085;&#24046;&#12375;&#26367;&#12360;&#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h-p00n-fls01\F18105000_&#12371;&#12393;&#12418;&#26410;&#26469;&#23616;&#12371;&#12393;&#12418;&#26410;&#26469;&#37096;&#24188;&#20445;&#36939;&#21942;&#35506;\09&#20445;&#32946;&#20418;\06%20&#27665;&#38291;&#20445;&#32946;&#22290;&#35036;&#21161;&#37329;&#38306;&#20418;\01%20&#20445;&#32946;&#22763;&#31561;&#37197;&#32622;&#22522;&#28310;&#25913;&#21892;&#20107;&#26989;&#35036;&#21161;&#37329;\&#9733;&#20445;&#32946;&#22763;&#37197;&#32622;&#22522;&#28310;&#35036;&#21161;&#37329;\R3\01%20%20&#30003;&#35531;&#12539;&#12405;&#12426;&#12371;&#12415;&#36039;&#26009;\02%20%20&#31532;&#20108;&#26399;&#20998;&#21106;\&#12304;&#26152;&#24180;&#29256;&#12305;01_&#12304;&#37197;&#32622;&#22522;&#28310;&#12305;&#31532;2&#26399;&#20998;&#21106;&#35531;&#27714;&#12398;&#21487;&#21542;&#30906;&#35469;&#12487;&#12540;&#12479;&#65288;&#27665;&#38291;&#20445;&#32946;&#22290;&#65289;R2.10.6&#24046;&#12375;&#26367;&#1236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l6x4kyuc99s0\&#31038;&#20250;&#12539;&#25588;&#35703;&#23616;&#38556;&#23475;&#20445;&#20581;&#31119;&#31049;&#37096;&#38556;&#23475;&#31119;&#31049;&#35506;\DOCUME~1\HTFFW\LOCALS~1\Temp\DxExp\210220&#9632;&#26368;&#26032;&#29256;&#9632;&#26032;&#26087;&#23550;&#29031;&#9632;\&#9312;20080226&#12288;H20%2004%20&#29256;&#38556;&#23475;&#32773;&#31639;&#23450;&#27083;&#36896;&#35211;&#12360;&#28040;&#12375;&#2925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18_&#12371;&#12393;&#12418;&#26410;&#26469;&#23616;\18105000_&#12371;&#12393;&#12418;&#26410;&#26469;&#23616;&#12371;&#12393;&#12418;&#26410;&#26469;&#37096;&#24188;&#20445;&#36939;&#21942;&#35506;\&#9670;100%20&#9678;&#20849;&#26377;&#12501;&#12457;&#12523;&#12480;&#65288;&#20445;&#32946;&#25903;&#25588;&#35506;&#12289;&#20445;&#32946;&#36939;&#21942;&#35506;&#12289;&#21508;&#21306;&#12371;&#12393;&#12418;&#23478;&#24237;&#35506;&#65289;\&#9733;&#9733;&#9312;&#27665;&#38291;&#20445;&#32946;&#22290;&#31561;&#21517;&#31807;&#12289;&#9313;&#20844;&#31435;&#20445;&#32946;&#25152;&#21517;&#31807;&#12289;&#9314;&#22290;&#25968;&#12289;&#9315;&#35469;&#21487;&#22806;&#21517;&#31807;&#12289;&#9316;&#27665;&#20445;&#21332;&#21152;&#30431;&#22290;&#12394;&#12393;&#9733;&#9733;\09&#20445;&#32946;&#20418;\20%20&#35469;&#21487;&#22806;&#20445;&#32946;&#26045;&#35373;&#38306;&#20418;\&#9733;&#35469;&#21487;&#22806;&#12539;&#12523;&#12540;&#12512;&#19968;&#35239;&#12288;&#12521;&#12505;&#12523;\27\&#9734;&#9734;27&#20445;&#32946;&#65433;&#65392;&#65425;&#12539;&#35469;&#21487;&#22806;&#32207;&#25324;&#19968;&#35239;&#9734;&#9734;.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h-p00n-fls01\F18105000_&#12371;&#12393;&#12418;&#26410;&#26469;&#23616;&#12371;&#12393;&#12418;&#26410;&#26469;&#37096;&#24188;&#20445;&#36939;&#21942;&#35506;\09&#20445;&#32946;&#20418;\&#8251;&#21508;&#20418;&#21729;\&#28193;&#37096;&#30001;&#20339;&#12501;&#12457;&#12523;&#12480;\&#20445;&#32946;&#22763;&#37197;&#32622;&#22522;&#28310;&#35036;&#21161;&#37329;\&#20445;&#32946;&#22763;&#37197;&#32622;&#22522;&#28310;&#35036;&#21161;&#37329;\1&#35036;&#21161;&#37329;&#20132;&#20184;(vlookup)\23&#20445;&#32946;&#22763;&#31561;&#37197;&#32622;&#22522;&#28310;&#35036;&#21161;&#3732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K:\&#8251;&#24188;&#20445;&#36939;&#21942;&#35506;&#20491;&#20154;&#29992;\28%20&#27665;&#38291;&#20445;&#32946;&#22290;&#31561;&#21517;&#31807;%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請求書（金額入り）"/>
      <sheetName val="請求書（白紙用） "/>
      <sheetName val="内訳表（市内用）"/>
      <sheetName val="内訳表（管外用） "/>
      <sheetName val="入力シート"/>
      <sheetName val="計算シート"/>
      <sheetName val="１～３号・対応表"/>
      <sheetName val="１号・質改善後"/>
      <sheetName val="１号・質改善後②"/>
      <sheetName val="１号・質改善前"/>
      <sheetName val="１号・質改善前②"/>
      <sheetName val="２・３号・質改善後"/>
      <sheetName val="２・３号・質改善後②"/>
      <sheetName val="２・３号・質改善前"/>
      <sheetName val="２・３号・質改善前②"/>
      <sheetName val="リスト"/>
    </sheetNames>
    <sheetDataSet>
      <sheetData sheetId="0"/>
      <sheetData sheetId="1"/>
      <sheetData sheetId="2"/>
      <sheetData sheetId="3"/>
      <sheetData sheetId="4"/>
      <sheetData sheetId="5"/>
      <sheetData sheetId="6">
        <row r="3">
          <cell r="C3" t="str">
            <v>18/100地域</v>
          </cell>
          <cell r="I3" t="str">
            <v>×</v>
          </cell>
          <cell r="L3" t="str">
            <v>0日</v>
          </cell>
          <cell r="P3" t="str">
            <v>認可施設</v>
          </cell>
        </row>
        <row r="4">
          <cell r="I4" t="str">
            <v>○</v>
          </cell>
          <cell r="L4" t="str">
            <v>1日</v>
          </cell>
          <cell r="P4" t="str">
            <v>機能部分</v>
          </cell>
        </row>
        <row r="5">
          <cell r="L5" t="str">
            <v>2日</v>
          </cell>
        </row>
        <row r="6">
          <cell r="L6" t="str">
            <v>3日</v>
          </cell>
        </row>
        <row r="7">
          <cell r="L7" t="str">
            <v>4日</v>
          </cell>
        </row>
        <row r="8">
          <cell r="L8" t="str">
            <v>5日</v>
          </cell>
        </row>
      </sheetData>
      <sheetData sheetId="7"/>
      <sheetData sheetId="8"/>
      <sheetData sheetId="9"/>
      <sheetData sheetId="10"/>
      <sheetData sheetId="11"/>
      <sheetData sheetId="12"/>
      <sheetData sheetId="13"/>
      <sheetData sheetId="14"/>
      <sheetData sheetId="1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シート"/>
      <sheetName val="計算シート"/>
      <sheetName val="対応表"/>
      <sheetName val="質改善前"/>
      <sheetName val="質改善前②"/>
      <sheetName val="質改善後"/>
      <sheetName val="質改善後②"/>
      <sheetName val="Ver."/>
    </sheetNames>
    <sheetDataSet>
      <sheetData sheetId="0"/>
      <sheetData sheetId="1"/>
      <sheetData sheetId="2">
        <row r="3">
          <cell r="J3" t="str">
            <v>質改善前</v>
          </cell>
          <cell r="M3" t="str">
            <v>1級地</v>
          </cell>
          <cell r="P3" t="str">
            <v>A地域</v>
          </cell>
          <cell r="Q3" t="str">
            <v>a地域</v>
          </cell>
          <cell r="R3" t="str">
            <v>標準</v>
          </cell>
          <cell r="S3" t="str">
            <v>なし</v>
          </cell>
        </row>
        <row r="4">
          <cell r="J4" t="str">
            <v>質改善後</v>
          </cell>
          <cell r="M4" t="str">
            <v>2級地</v>
          </cell>
          <cell r="P4" t="str">
            <v>B地域</v>
          </cell>
          <cell r="Q4" t="str">
            <v>b地域</v>
          </cell>
          <cell r="R4" t="str">
            <v>都市部</v>
          </cell>
          <cell r="S4" t="str">
            <v>400時間以上 800時間未満</v>
          </cell>
        </row>
        <row r="5">
          <cell r="M5" t="str">
            <v>3級地</v>
          </cell>
          <cell r="P5" t="str">
            <v>C地域</v>
          </cell>
          <cell r="Q5" t="str">
            <v>c地域</v>
          </cell>
          <cell r="S5" t="str">
            <v>800時間以上 1200時間未満</v>
          </cell>
        </row>
        <row r="6">
          <cell r="M6" t="str">
            <v>4級地</v>
          </cell>
          <cell r="P6" t="str">
            <v>D地域</v>
          </cell>
          <cell r="Q6" t="str">
            <v>d地域</v>
          </cell>
          <cell r="S6" t="str">
            <v>1200時間以上</v>
          </cell>
        </row>
        <row r="7">
          <cell r="M7" t="str">
            <v>その他の地域</v>
          </cell>
        </row>
      </sheetData>
      <sheetData sheetId="3"/>
      <sheetData sheetId="4"/>
      <sheetData sheetId="5"/>
      <sheetData sheetId="6"/>
      <sheetData sheetId="7"/>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請求書"/>
      <sheetName val="請求書（白紙）"/>
      <sheetName val="内訳表（市内用）"/>
      <sheetName val="内訳表 (管外請求用)"/>
      <sheetName val="処遇改善等加算計算シート"/>
      <sheetName val="計算シート"/>
      <sheetName val="入力シート"/>
      <sheetName val="対応表"/>
      <sheetName val="質改善前"/>
      <sheetName val="質改善前②"/>
      <sheetName val="質改善後"/>
      <sheetName val="質改善後②"/>
      <sheetName val="Ver."/>
    </sheetNames>
    <sheetDataSet>
      <sheetData sheetId="0"/>
      <sheetData sheetId="1"/>
      <sheetData sheetId="2"/>
      <sheetData sheetId="3"/>
      <sheetData sheetId="4"/>
      <sheetData sheetId="5"/>
      <sheetData sheetId="6"/>
      <sheetData sheetId="7">
        <row r="3">
          <cell r="C3" t="str">
            <v>18/100地域</v>
          </cell>
          <cell r="I3" t="str">
            <v>×</v>
          </cell>
          <cell r="J3" t="str">
            <v>質改善前</v>
          </cell>
          <cell r="M3" t="str">
            <v>1級地</v>
          </cell>
          <cell r="P3" t="str">
            <v>A地域</v>
          </cell>
          <cell r="Q3" t="str">
            <v>a地域</v>
          </cell>
          <cell r="R3" t="str">
            <v>標準</v>
          </cell>
          <cell r="S3" t="str">
            <v>なし</v>
          </cell>
        </row>
        <row r="4">
          <cell r="C4" t="str">
            <v>15/100地域</v>
          </cell>
          <cell r="I4" t="str">
            <v>○</v>
          </cell>
          <cell r="J4" t="str">
            <v>質改善後</v>
          </cell>
          <cell r="M4" t="str">
            <v>2級地</v>
          </cell>
          <cell r="P4" t="str">
            <v>B地域</v>
          </cell>
          <cell r="Q4" t="str">
            <v>b地域</v>
          </cell>
          <cell r="R4" t="str">
            <v>都市部</v>
          </cell>
          <cell r="S4" t="str">
            <v>400時間以上 800時間未満</v>
          </cell>
        </row>
        <row r="5">
          <cell r="C5" t="str">
            <v>12/100地域</v>
          </cell>
          <cell r="M5" t="str">
            <v>3級地</v>
          </cell>
          <cell r="P5" t="str">
            <v>C地域</v>
          </cell>
          <cell r="Q5" t="str">
            <v>c地域</v>
          </cell>
          <cell r="S5" t="str">
            <v>800時間以上 1200時間未満</v>
          </cell>
        </row>
        <row r="6">
          <cell r="C6" t="str">
            <v>10/100地域</v>
          </cell>
          <cell r="M6" t="str">
            <v>4級地</v>
          </cell>
          <cell r="P6" t="str">
            <v>D地域</v>
          </cell>
          <cell r="Q6" t="str">
            <v>d地域</v>
          </cell>
          <cell r="S6" t="str">
            <v>1200時間以上</v>
          </cell>
        </row>
        <row r="7">
          <cell r="C7" t="str">
            <v>6/100地域</v>
          </cell>
          <cell r="M7" t="str">
            <v>その他の地域</v>
          </cell>
        </row>
        <row r="8">
          <cell r="C8" t="str">
            <v>3/100地域</v>
          </cell>
        </row>
        <row r="9">
          <cell r="C9" t="str">
            <v>その他地域</v>
          </cell>
        </row>
      </sheetData>
      <sheetData sheetId="8"/>
      <sheetData sheetId="9"/>
      <sheetData sheetId="10"/>
      <sheetData sheetId="11"/>
      <sheetData sheetId="1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実施人数"/>
      <sheetName val="保育単価"/>
      <sheetName val="単価民改"/>
      <sheetName val="日割内訳"/>
      <sheetName val="差額内訳"/>
      <sheetName val="手紙添付用"/>
    </sheetNames>
    <sheetDataSet>
      <sheetData sheetId="0"/>
      <sheetData sheetId="1">
        <row r="4">
          <cell r="A4">
            <v>1</v>
          </cell>
          <cell r="B4" t="str">
            <v>院内保育園</v>
          </cell>
          <cell r="C4">
            <v>90</v>
          </cell>
          <cell r="D4">
            <v>12</v>
          </cell>
          <cell r="E4">
            <v>161360</v>
          </cell>
          <cell r="F4">
            <v>94960</v>
          </cell>
          <cell r="G4">
            <v>45400</v>
          </cell>
          <cell r="H4">
            <v>38770</v>
          </cell>
          <cell r="I4">
            <v>18210</v>
          </cell>
          <cell r="J4">
            <v>10240</v>
          </cell>
          <cell r="K4">
            <v>4660</v>
          </cell>
          <cell r="L4">
            <v>3870</v>
          </cell>
          <cell r="M4">
            <v>510</v>
          </cell>
          <cell r="N4">
            <v>60</v>
          </cell>
          <cell r="O4">
            <v>180140</v>
          </cell>
          <cell r="P4">
            <v>105770</v>
          </cell>
          <cell r="Q4">
            <v>180140</v>
          </cell>
          <cell r="R4">
            <v>105770</v>
          </cell>
          <cell r="S4">
            <v>50630</v>
          </cell>
          <cell r="T4">
            <v>43210</v>
          </cell>
        </row>
        <row r="5">
          <cell r="A5">
            <v>2</v>
          </cell>
          <cell r="B5" t="str">
            <v>旭ケ丘保育園</v>
          </cell>
          <cell r="C5">
            <v>120</v>
          </cell>
          <cell r="D5">
            <v>12</v>
          </cell>
          <cell r="E5">
            <v>154310</v>
          </cell>
          <cell r="F5">
            <v>87910</v>
          </cell>
          <cell r="G5">
            <v>38350</v>
          </cell>
          <cell r="H5">
            <v>31720</v>
          </cell>
          <cell r="I5">
            <v>17370</v>
          </cell>
          <cell r="J5">
            <v>9400</v>
          </cell>
          <cell r="K5">
            <v>3820</v>
          </cell>
          <cell r="L5">
            <v>3030</v>
          </cell>
          <cell r="M5">
            <v>380</v>
          </cell>
          <cell r="N5">
            <v>40</v>
          </cell>
          <cell r="O5">
            <v>172100</v>
          </cell>
          <cell r="P5">
            <v>97730</v>
          </cell>
          <cell r="Q5">
            <v>172100</v>
          </cell>
          <cell r="R5">
            <v>97730</v>
          </cell>
          <cell r="S5">
            <v>42590</v>
          </cell>
          <cell r="T5">
            <v>35170</v>
          </cell>
        </row>
        <row r="6">
          <cell r="A6">
            <v>3</v>
          </cell>
          <cell r="B6" t="str">
            <v>稲毛保育園</v>
          </cell>
          <cell r="C6">
            <v>120</v>
          </cell>
          <cell r="D6">
            <v>10</v>
          </cell>
          <cell r="E6">
            <v>154310</v>
          </cell>
          <cell r="F6">
            <v>87910</v>
          </cell>
          <cell r="G6">
            <v>38350</v>
          </cell>
          <cell r="H6">
            <v>31720</v>
          </cell>
          <cell r="I6">
            <v>14470</v>
          </cell>
          <cell r="J6">
            <v>7830</v>
          </cell>
          <cell r="K6">
            <v>3180</v>
          </cell>
          <cell r="L6">
            <v>2520</v>
          </cell>
          <cell r="M6">
            <v>380</v>
          </cell>
          <cell r="N6">
            <v>30</v>
          </cell>
          <cell r="O6">
            <v>169190</v>
          </cell>
          <cell r="P6">
            <v>96150</v>
          </cell>
          <cell r="Q6">
            <v>169190</v>
          </cell>
          <cell r="R6">
            <v>96150</v>
          </cell>
          <cell r="S6">
            <v>41940</v>
          </cell>
          <cell r="T6">
            <v>34650</v>
          </cell>
        </row>
        <row r="7">
          <cell r="A7">
            <v>4</v>
          </cell>
          <cell r="B7" t="str">
            <v>みどり保育園</v>
          </cell>
          <cell r="C7">
            <v>120</v>
          </cell>
          <cell r="D7">
            <v>10</v>
          </cell>
          <cell r="E7">
            <v>154310</v>
          </cell>
          <cell r="F7">
            <v>87910</v>
          </cell>
          <cell r="G7">
            <v>38350</v>
          </cell>
          <cell r="H7">
            <v>31720</v>
          </cell>
          <cell r="I7">
            <v>14470</v>
          </cell>
          <cell r="J7">
            <v>7830</v>
          </cell>
          <cell r="K7">
            <v>3180</v>
          </cell>
          <cell r="L7">
            <v>2520</v>
          </cell>
          <cell r="M7">
            <v>380</v>
          </cell>
          <cell r="N7">
            <v>30</v>
          </cell>
          <cell r="O7">
            <v>169190</v>
          </cell>
          <cell r="P7">
            <v>96150</v>
          </cell>
          <cell r="Q7">
            <v>169190</v>
          </cell>
          <cell r="R7">
            <v>96150</v>
          </cell>
          <cell r="S7">
            <v>41940</v>
          </cell>
          <cell r="T7">
            <v>34650</v>
          </cell>
        </row>
        <row r="8">
          <cell r="A8">
            <v>5</v>
          </cell>
          <cell r="B8" t="str">
            <v>ちどり保育園</v>
          </cell>
          <cell r="C8">
            <v>120</v>
          </cell>
          <cell r="D8">
            <v>10</v>
          </cell>
          <cell r="E8">
            <v>154310</v>
          </cell>
          <cell r="F8">
            <v>87910</v>
          </cell>
          <cell r="G8">
            <v>38350</v>
          </cell>
          <cell r="H8">
            <v>31720</v>
          </cell>
          <cell r="I8">
            <v>14470</v>
          </cell>
          <cell r="J8">
            <v>7830</v>
          </cell>
          <cell r="K8">
            <v>3180</v>
          </cell>
          <cell r="L8">
            <v>2520</v>
          </cell>
          <cell r="M8">
            <v>380</v>
          </cell>
          <cell r="N8">
            <v>30</v>
          </cell>
          <cell r="O8">
            <v>169190</v>
          </cell>
          <cell r="P8">
            <v>96150</v>
          </cell>
          <cell r="Q8">
            <v>169190</v>
          </cell>
          <cell r="R8">
            <v>96150</v>
          </cell>
          <cell r="S8">
            <v>41940</v>
          </cell>
          <cell r="T8">
            <v>34650</v>
          </cell>
        </row>
        <row r="9">
          <cell r="A9">
            <v>6</v>
          </cell>
          <cell r="B9" t="str">
            <v>今井保育園</v>
          </cell>
          <cell r="C9">
            <v>120</v>
          </cell>
          <cell r="D9">
            <v>10</v>
          </cell>
          <cell r="E9">
            <v>154310</v>
          </cell>
          <cell r="F9">
            <v>87910</v>
          </cell>
          <cell r="G9">
            <v>38350</v>
          </cell>
          <cell r="H9">
            <v>31720</v>
          </cell>
          <cell r="I9">
            <v>14470</v>
          </cell>
          <cell r="J9">
            <v>7830</v>
          </cell>
          <cell r="K9">
            <v>3180</v>
          </cell>
          <cell r="L9">
            <v>2520</v>
          </cell>
          <cell r="M9">
            <v>380</v>
          </cell>
          <cell r="N9">
            <v>30</v>
          </cell>
          <cell r="O9">
            <v>169190</v>
          </cell>
          <cell r="P9">
            <v>96150</v>
          </cell>
          <cell r="Q9">
            <v>169190</v>
          </cell>
          <cell r="R9">
            <v>96150</v>
          </cell>
          <cell r="S9">
            <v>41940</v>
          </cell>
          <cell r="T9">
            <v>34650</v>
          </cell>
        </row>
        <row r="10">
          <cell r="A10">
            <v>7</v>
          </cell>
          <cell r="B10" t="str">
            <v>若竹保育園</v>
          </cell>
          <cell r="C10">
            <v>150</v>
          </cell>
          <cell r="D10">
            <v>10</v>
          </cell>
          <cell r="E10">
            <v>151950</v>
          </cell>
          <cell r="F10">
            <v>85550</v>
          </cell>
          <cell r="G10">
            <v>35990</v>
          </cell>
          <cell r="H10">
            <v>29360</v>
          </cell>
          <cell r="I10">
            <v>14230</v>
          </cell>
          <cell r="J10">
            <v>7590</v>
          </cell>
          <cell r="K10">
            <v>2940</v>
          </cell>
          <cell r="L10">
            <v>2280</v>
          </cell>
          <cell r="M10">
            <v>300</v>
          </cell>
          <cell r="N10">
            <v>30</v>
          </cell>
          <cell r="O10">
            <v>166510</v>
          </cell>
          <cell r="P10">
            <v>93470</v>
          </cell>
          <cell r="Q10">
            <v>166510</v>
          </cell>
          <cell r="R10">
            <v>93470</v>
          </cell>
          <cell r="S10">
            <v>39260</v>
          </cell>
          <cell r="T10">
            <v>31970</v>
          </cell>
        </row>
        <row r="11">
          <cell r="A11">
            <v>8</v>
          </cell>
          <cell r="B11" t="str">
            <v>千葉寺Ａ(定員90)</v>
          </cell>
          <cell r="C11">
            <v>90</v>
          </cell>
          <cell r="D11">
            <v>8</v>
          </cell>
          <cell r="E11">
            <v>161360</v>
          </cell>
          <cell r="F11">
            <v>94960</v>
          </cell>
          <cell r="G11">
            <v>45400</v>
          </cell>
          <cell r="H11">
            <v>38770</v>
          </cell>
          <cell r="I11">
            <v>12140</v>
          </cell>
          <cell r="J11">
            <v>6820</v>
          </cell>
          <cell r="K11">
            <v>3110</v>
          </cell>
          <cell r="L11">
            <v>2580</v>
          </cell>
          <cell r="M11">
            <v>510</v>
          </cell>
          <cell r="N11">
            <v>40</v>
          </cell>
          <cell r="O11">
            <v>174050</v>
          </cell>
          <cell r="P11">
            <v>102330</v>
          </cell>
          <cell r="Q11">
            <v>174050</v>
          </cell>
          <cell r="R11">
            <v>102330</v>
          </cell>
          <cell r="S11">
            <v>49060</v>
          </cell>
          <cell r="T11">
            <v>41900</v>
          </cell>
        </row>
        <row r="12">
          <cell r="B12" t="str">
            <v>千葉寺Ｂ(定員29)</v>
          </cell>
          <cell r="C12">
            <v>29</v>
          </cell>
          <cell r="D12">
            <v>8</v>
          </cell>
          <cell r="E12">
            <v>161350</v>
          </cell>
          <cell r="F12">
            <v>104910</v>
          </cell>
          <cell r="G12">
            <v>62780</v>
          </cell>
          <cell r="H12">
            <v>57150</v>
          </cell>
          <cell r="I12">
            <v>12250</v>
          </cell>
          <cell r="J12">
            <v>7730</v>
          </cell>
          <cell r="K12">
            <v>4580</v>
          </cell>
          <cell r="L12">
            <v>4130</v>
          </cell>
          <cell r="M12">
            <v>1150</v>
          </cell>
          <cell r="N12">
            <v>90</v>
          </cell>
          <cell r="O12">
            <v>174840</v>
          </cell>
          <cell r="P12">
            <v>113880</v>
          </cell>
          <cell r="Q12">
            <v>174840</v>
          </cell>
          <cell r="R12">
            <v>113880</v>
          </cell>
          <cell r="S12">
            <v>68600</v>
          </cell>
          <cell r="T12">
            <v>62520</v>
          </cell>
        </row>
        <row r="13">
          <cell r="B13" t="str">
            <v>千葉寺Ｃ(定員30)</v>
          </cell>
          <cell r="C13">
            <v>30</v>
          </cell>
          <cell r="D13">
            <v>8</v>
          </cell>
          <cell r="E13">
            <v>161350</v>
          </cell>
          <cell r="F13">
            <v>104910</v>
          </cell>
          <cell r="G13">
            <v>62780</v>
          </cell>
          <cell r="H13">
            <v>57150</v>
          </cell>
          <cell r="I13">
            <v>12250</v>
          </cell>
          <cell r="J13">
            <v>7730</v>
          </cell>
          <cell r="K13">
            <v>4580</v>
          </cell>
          <cell r="L13">
            <v>4130</v>
          </cell>
          <cell r="M13">
            <v>1150</v>
          </cell>
          <cell r="N13">
            <v>90</v>
          </cell>
          <cell r="O13">
            <v>174840</v>
          </cell>
          <cell r="P13">
            <v>113880</v>
          </cell>
          <cell r="Q13">
            <v>174840</v>
          </cell>
          <cell r="R13">
            <v>113880</v>
          </cell>
          <cell r="S13">
            <v>68600</v>
          </cell>
          <cell r="T13">
            <v>62520</v>
          </cell>
        </row>
        <row r="14">
          <cell r="B14" t="str">
            <v>千葉寺定員超分</v>
          </cell>
          <cell r="C14">
            <v>8</v>
          </cell>
          <cell r="D14">
            <v>8</v>
          </cell>
          <cell r="E14">
            <v>151950</v>
          </cell>
          <cell r="F14">
            <v>85550</v>
          </cell>
          <cell r="G14">
            <v>35990</v>
          </cell>
          <cell r="H14">
            <v>29360</v>
          </cell>
          <cell r="I14">
            <v>11390</v>
          </cell>
          <cell r="J14">
            <v>6070</v>
          </cell>
          <cell r="K14">
            <v>2360</v>
          </cell>
          <cell r="L14">
            <v>1830</v>
          </cell>
          <cell r="M14">
            <v>300</v>
          </cell>
          <cell r="N14">
            <v>20</v>
          </cell>
          <cell r="O14">
            <v>91940</v>
          </cell>
          <cell r="P14">
            <v>38670</v>
          </cell>
          <cell r="Q14">
            <v>163660</v>
          </cell>
          <cell r="R14">
            <v>91940</v>
          </cell>
          <cell r="S14">
            <v>38670</v>
          </cell>
          <cell r="T14">
            <v>31510</v>
          </cell>
        </row>
        <row r="15">
          <cell r="A15">
            <v>9</v>
          </cell>
          <cell r="B15" t="str">
            <v>慈光保育園</v>
          </cell>
          <cell r="C15">
            <v>90</v>
          </cell>
          <cell r="D15">
            <v>10</v>
          </cell>
          <cell r="E15">
            <v>161360</v>
          </cell>
          <cell r="F15">
            <v>94960</v>
          </cell>
          <cell r="G15">
            <v>45400</v>
          </cell>
          <cell r="H15">
            <v>38770</v>
          </cell>
          <cell r="I15">
            <v>15180</v>
          </cell>
          <cell r="J15">
            <v>8540</v>
          </cell>
          <cell r="K15">
            <v>3890</v>
          </cell>
          <cell r="L15">
            <v>3230</v>
          </cell>
          <cell r="M15">
            <v>510</v>
          </cell>
          <cell r="N15">
            <v>50</v>
          </cell>
          <cell r="O15">
            <v>177100</v>
          </cell>
          <cell r="P15">
            <v>104060</v>
          </cell>
          <cell r="Q15">
            <v>177100</v>
          </cell>
          <cell r="R15">
            <v>104060</v>
          </cell>
          <cell r="S15">
            <v>49850</v>
          </cell>
          <cell r="T15">
            <v>42560</v>
          </cell>
        </row>
        <row r="16">
          <cell r="A16">
            <v>10</v>
          </cell>
          <cell r="B16" t="str">
            <v>若梅保育園</v>
          </cell>
          <cell r="C16">
            <v>120</v>
          </cell>
          <cell r="D16">
            <v>10</v>
          </cell>
          <cell r="E16">
            <v>154310</v>
          </cell>
          <cell r="F16">
            <v>87910</v>
          </cell>
          <cell r="G16">
            <v>38350</v>
          </cell>
          <cell r="H16">
            <v>31720</v>
          </cell>
          <cell r="I16">
            <v>14470</v>
          </cell>
          <cell r="J16">
            <v>7830</v>
          </cell>
          <cell r="K16">
            <v>3180</v>
          </cell>
          <cell r="L16">
            <v>2520</v>
          </cell>
          <cell r="M16">
            <v>380</v>
          </cell>
          <cell r="N16">
            <v>30</v>
          </cell>
          <cell r="O16">
            <v>169190</v>
          </cell>
          <cell r="P16">
            <v>96150</v>
          </cell>
          <cell r="Q16">
            <v>169190</v>
          </cell>
          <cell r="R16">
            <v>96150</v>
          </cell>
          <cell r="S16">
            <v>41940</v>
          </cell>
          <cell r="T16">
            <v>34650</v>
          </cell>
        </row>
        <row r="17">
          <cell r="A17">
            <v>11</v>
          </cell>
          <cell r="B17" t="str">
            <v>ﾁｭｰﾘｯﾌﾟ保育園</v>
          </cell>
          <cell r="C17">
            <v>120</v>
          </cell>
          <cell r="D17">
            <v>8</v>
          </cell>
          <cell r="E17">
            <v>154310</v>
          </cell>
          <cell r="F17">
            <v>87910</v>
          </cell>
          <cell r="G17">
            <v>38350</v>
          </cell>
          <cell r="H17">
            <v>31720</v>
          </cell>
          <cell r="I17">
            <v>11580</v>
          </cell>
          <cell r="J17">
            <v>6260</v>
          </cell>
          <cell r="K17">
            <v>2550</v>
          </cell>
          <cell r="L17">
            <v>2020</v>
          </cell>
          <cell r="M17">
            <v>380</v>
          </cell>
          <cell r="N17">
            <v>30</v>
          </cell>
          <cell r="O17">
            <v>166300</v>
          </cell>
          <cell r="P17">
            <v>94580</v>
          </cell>
          <cell r="Q17">
            <v>166300</v>
          </cell>
          <cell r="R17">
            <v>94580</v>
          </cell>
          <cell r="S17">
            <v>41310</v>
          </cell>
          <cell r="T17">
            <v>34150</v>
          </cell>
        </row>
        <row r="18">
          <cell r="A18">
            <v>12</v>
          </cell>
          <cell r="B18" t="str">
            <v>幕張海浜保育園</v>
          </cell>
          <cell r="C18">
            <v>120</v>
          </cell>
          <cell r="D18">
            <v>8</v>
          </cell>
          <cell r="E18">
            <v>154310</v>
          </cell>
          <cell r="F18">
            <v>87910</v>
          </cell>
          <cell r="G18">
            <v>38350</v>
          </cell>
          <cell r="H18">
            <v>31720</v>
          </cell>
          <cell r="I18">
            <v>11580</v>
          </cell>
          <cell r="J18">
            <v>6260</v>
          </cell>
          <cell r="K18">
            <v>2550</v>
          </cell>
          <cell r="L18">
            <v>2020</v>
          </cell>
          <cell r="M18">
            <v>380</v>
          </cell>
          <cell r="N18">
            <v>30</v>
          </cell>
          <cell r="O18">
            <v>166300</v>
          </cell>
          <cell r="P18">
            <v>94580</v>
          </cell>
          <cell r="Q18">
            <v>166300</v>
          </cell>
          <cell r="R18">
            <v>94580</v>
          </cell>
          <cell r="S18">
            <v>41310</v>
          </cell>
          <cell r="T18">
            <v>34150</v>
          </cell>
        </row>
        <row r="19">
          <cell r="A19">
            <v>13</v>
          </cell>
          <cell r="B19" t="str">
            <v>みつわ台保育園</v>
          </cell>
          <cell r="C19">
            <v>120</v>
          </cell>
          <cell r="D19">
            <v>12</v>
          </cell>
          <cell r="E19">
            <v>154310</v>
          </cell>
          <cell r="F19">
            <v>87910</v>
          </cell>
          <cell r="G19">
            <v>38350</v>
          </cell>
          <cell r="H19">
            <v>31720</v>
          </cell>
          <cell r="I19">
            <v>17370</v>
          </cell>
          <cell r="J19">
            <v>9400</v>
          </cell>
          <cell r="K19">
            <v>3820</v>
          </cell>
          <cell r="L19">
            <v>3030</v>
          </cell>
          <cell r="M19">
            <v>380</v>
          </cell>
          <cell r="N19">
            <v>40</v>
          </cell>
          <cell r="O19">
            <v>172100</v>
          </cell>
          <cell r="P19">
            <v>97730</v>
          </cell>
          <cell r="Q19">
            <v>172100</v>
          </cell>
          <cell r="R19">
            <v>97730</v>
          </cell>
          <cell r="S19">
            <v>42590</v>
          </cell>
          <cell r="T19">
            <v>35170</v>
          </cell>
        </row>
        <row r="20">
          <cell r="A20">
            <v>14</v>
          </cell>
          <cell r="B20" t="str">
            <v>まどか保育園</v>
          </cell>
          <cell r="C20">
            <v>90</v>
          </cell>
          <cell r="D20">
            <v>8</v>
          </cell>
          <cell r="E20">
            <v>161360</v>
          </cell>
          <cell r="F20">
            <v>94960</v>
          </cell>
          <cell r="G20">
            <v>45400</v>
          </cell>
          <cell r="H20">
            <v>38770</v>
          </cell>
          <cell r="I20">
            <v>12140</v>
          </cell>
          <cell r="J20">
            <v>6820</v>
          </cell>
          <cell r="K20">
            <v>3110</v>
          </cell>
          <cell r="L20">
            <v>2580</v>
          </cell>
          <cell r="M20">
            <v>510</v>
          </cell>
          <cell r="N20">
            <v>40</v>
          </cell>
          <cell r="O20">
            <v>174050</v>
          </cell>
          <cell r="P20">
            <v>102330</v>
          </cell>
          <cell r="Q20">
            <v>174050</v>
          </cell>
          <cell r="R20">
            <v>102330</v>
          </cell>
          <cell r="S20">
            <v>49060</v>
          </cell>
          <cell r="T20">
            <v>41900</v>
          </cell>
        </row>
        <row r="21">
          <cell r="A21">
            <v>15</v>
          </cell>
          <cell r="B21" t="str">
            <v>わかくさ保育園</v>
          </cell>
          <cell r="C21">
            <v>110</v>
          </cell>
          <cell r="D21">
            <v>12</v>
          </cell>
          <cell r="E21">
            <v>155390</v>
          </cell>
          <cell r="F21">
            <v>88990</v>
          </cell>
          <cell r="G21">
            <v>39430</v>
          </cell>
          <cell r="H21">
            <v>32800</v>
          </cell>
          <cell r="I21">
            <v>17500</v>
          </cell>
          <cell r="J21">
            <v>9530</v>
          </cell>
          <cell r="K21">
            <v>3950</v>
          </cell>
          <cell r="L21">
            <v>3160</v>
          </cell>
          <cell r="M21">
            <v>410</v>
          </cell>
          <cell r="N21">
            <v>50</v>
          </cell>
          <cell r="O21">
            <v>173350</v>
          </cell>
          <cell r="P21">
            <v>98980</v>
          </cell>
          <cell r="Q21">
            <v>173350</v>
          </cell>
          <cell r="R21">
            <v>98980</v>
          </cell>
          <cell r="S21">
            <v>43840</v>
          </cell>
          <cell r="T21">
            <v>36420</v>
          </cell>
        </row>
        <row r="22">
          <cell r="A22">
            <v>16</v>
          </cell>
          <cell r="B22" t="str">
            <v>たいよう保育園</v>
          </cell>
          <cell r="C22">
            <v>90</v>
          </cell>
          <cell r="D22">
            <v>10</v>
          </cell>
          <cell r="E22">
            <v>161360</v>
          </cell>
          <cell r="F22">
            <v>94960</v>
          </cell>
          <cell r="G22">
            <v>45400</v>
          </cell>
          <cell r="H22">
            <v>38770</v>
          </cell>
          <cell r="I22">
            <v>15180</v>
          </cell>
          <cell r="J22">
            <v>8540</v>
          </cell>
          <cell r="K22">
            <v>3890</v>
          </cell>
          <cell r="L22">
            <v>3230</v>
          </cell>
          <cell r="M22">
            <v>510</v>
          </cell>
          <cell r="N22">
            <v>50</v>
          </cell>
          <cell r="O22">
            <v>177100</v>
          </cell>
          <cell r="P22">
            <v>104060</v>
          </cell>
          <cell r="Q22">
            <v>177100</v>
          </cell>
          <cell r="R22">
            <v>104060</v>
          </cell>
          <cell r="S22">
            <v>49850</v>
          </cell>
          <cell r="T22">
            <v>42560</v>
          </cell>
        </row>
        <row r="23">
          <cell r="A23">
            <v>17</v>
          </cell>
          <cell r="B23" t="str">
            <v>松ケ丘保育園</v>
          </cell>
          <cell r="C23">
            <v>90</v>
          </cell>
          <cell r="D23">
            <v>10</v>
          </cell>
          <cell r="E23">
            <v>161360</v>
          </cell>
          <cell r="F23">
            <v>94960</v>
          </cell>
          <cell r="G23">
            <v>45400</v>
          </cell>
          <cell r="H23">
            <v>38770</v>
          </cell>
          <cell r="I23">
            <v>15180</v>
          </cell>
          <cell r="J23">
            <v>8540</v>
          </cell>
          <cell r="K23">
            <v>3890</v>
          </cell>
          <cell r="L23">
            <v>3230</v>
          </cell>
          <cell r="M23">
            <v>510</v>
          </cell>
          <cell r="N23">
            <v>50</v>
          </cell>
          <cell r="O23">
            <v>177100</v>
          </cell>
          <cell r="P23">
            <v>104060</v>
          </cell>
          <cell r="Q23">
            <v>177100</v>
          </cell>
          <cell r="R23">
            <v>104060</v>
          </cell>
          <cell r="S23">
            <v>49850</v>
          </cell>
          <cell r="T23">
            <v>42560</v>
          </cell>
        </row>
        <row r="24">
          <cell r="A24">
            <v>18</v>
          </cell>
          <cell r="B24" t="str">
            <v>作草部保育園</v>
          </cell>
          <cell r="C24">
            <v>90</v>
          </cell>
          <cell r="D24">
            <v>10</v>
          </cell>
          <cell r="E24">
            <v>161360</v>
          </cell>
          <cell r="F24">
            <v>94960</v>
          </cell>
          <cell r="G24">
            <v>45400</v>
          </cell>
          <cell r="H24">
            <v>38770</v>
          </cell>
          <cell r="I24">
            <v>15180</v>
          </cell>
          <cell r="J24">
            <v>8540</v>
          </cell>
          <cell r="K24">
            <v>3890</v>
          </cell>
          <cell r="L24">
            <v>3230</v>
          </cell>
          <cell r="M24">
            <v>510</v>
          </cell>
          <cell r="N24">
            <v>50</v>
          </cell>
          <cell r="O24">
            <v>177100</v>
          </cell>
          <cell r="P24">
            <v>104060</v>
          </cell>
          <cell r="Q24">
            <v>177100</v>
          </cell>
          <cell r="R24">
            <v>104060</v>
          </cell>
          <cell r="S24">
            <v>49850</v>
          </cell>
          <cell r="T24">
            <v>42560</v>
          </cell>
        </row>
        <row r="25">
          <cell r="A25">
            <v>19</v>
          </cell>
          <cell r="B25" t="str">
            <v>すずらん保育園</v>
          </cell>
          <cell r="C25">
            <v>90</v>
          </cell>
          <cell r="D25">
            <v>10</v>
          </cell>
          <cell r="E25">
            <v>161360</v>
          </cell>
          <cell r="F25">
            <v>94960</v>
          </cell>
          <cell r="G25">
            <v>45400</v>
          </cell>
          <cell r="H25">
            <v>38770</v>
          </cell>
          <cell r="I25">
            <v>15180</v>
          </cell>
          <cell r="J25">
            <v>8540</v>
          </cell>
          <cell r="K25">
            <v>3890</v>
          </cell>
          <cell r="L25">
            <v>3230</v>
          </cell>
          <cell r="M25">
            <v>510</v>
          </cell>
          <cell r="N25">
            <v>50</v>
          </cell>
          <cell r="O25">
            <v>177100</v>
          </cell>
          <cell r="P25">
            <v>104060</v>
          </cell>
          <cell r="Q25">
            <v>177100</v>
          </cell>
          <cell r="R25">
            <v>104060</v>
          </cell>
          <cell r="S25">
            <v>49850</v>
          </cell>
          <cell r="T25">
            <v>42560</v>
          </cell>
        </row>
        <row r="26">
          <cell r="A26">
            <v>20</v>
          </cell>
          <cell r="B26" t="str">
            <v>なぎさ保育園</v>
          </cell>
          <cell r="C26">
            <v>90</v>
          </cell>
          <cell r="D26">
            <v>10</v>
          </cell>
          <cell r="E26">
            <v>161360</v>
          </cell>
          <cell r="F26">
            <v>94960</v>
          </cell>
          <cell r="G26">
            <v>45400</v>
          </cell>
          <cell r="H26">
            <v>38770</v>
          </cell>
          <cell r="I26">
            <v>15180</v>
          </cell>
          <cell r="J26">
            <v>8540</v>
          </cell>
          <cell r="K26">
            <v>3890</v>
          </cell>
          <cell r="L26">
            <v>3230</v>
          </cell>
          <cell r="M26">
            <v>510</v>
          </cell>
          <cell r="N26">
            <v>50</v>
          </cell>
          <cell r="O26">
            <v>177100</v>
          </cell>
          <cell r="P26">
            <v>104060</v>
          </cell>
          <cell r="Q26">
            <v>177100</v>
          </cell>
          <cell r="R26">
            <v>104060</v>
          </cell>
          <cell r="S26">
            <v>49850</v>
          </cell>
          <cell r="T26">
            <v>42560</v>
          </cell>
        </row>
        <row r="27">
          <cell r="A27">
            <v>21</v>
          </cell>
          <cell r="B27" t="str">
            <v>南小中台保育園</v>
          </cell>
          <cell r="C27">
            <v>90</v>
          </cell>
          <cell r="D27">
            <v>8</v>
          </cell>
          <cell r="E27">
            <v>161360</v>
          </cell>
          <cell r="F27">
            <v>94960</v>
          </cell>
          <cell r="G27">
            <v>45400</v>
          </cell>
          <cell r="H27">
            <v>38770</v>
          </cell>
          <cell r="I27">
            <v>12140</v>
          </cell>
          <cell r="J27">
            <v>6820</v>
          </cell>
          <cell r="K27">
            <v>3110</v>
          </cell>
          <cell r="L27">
            <v>2580</v>
          </cell>
          <cell r="M27">
            <v>510</v>
          </cell>
          <cell r="N27">
            <v>40</v>
          </cell>
          <cell r="O27">
            <v>174050</v>
          </cell>
          <cell r="P27">
            <v>102330</v>
          </cell>
          <cell r="Q27">
            <v>174050</v>
          </cell>
          <cell r="R27">
            <v>102330</v>
          </cell>
          <cell r="S27">
            <v>49060</v>
          </cell>
          <cell r="T27">
            <v>41900</v>
          </cell>
        </row>
        <row r="28">
          <cell r="A28">
            <v>22</v>
          </cell>
          <cell r="B28" t="str">
            <v>もみじ保育園</v>
          </cell>
          <cell r="C28">
            <v>120</v>
          </cell>
          <cell r="D28">
            <v>8</v>
          </cell>
          <cell r="E28">
            <v>154310</v>
          </cell>
          <cell r="F28">
            <v>87910</v>
          </cell>
          <cell r="G28">
            <v>38350</v>
          </cell>
          <cell r="H28">
            <v>31720</v>
          </cell>
          <cell r="I28">
            <v>11580</v>
          </cell>
          <cell r="J28">
            <v>6260</v>
          </cell>
          <cell r="K28">
            <v>2550</v>
          </cell>
          <cell r="L28">
            <v>2020</v>
          </cell>
          <cell r="M28">
            <v>380</v>
          </cell>
          <cell r="N28">
            <v>30</v>
          </cell>
          <cell r="O28">
            <v>166300</v>
          </cell>
          <cell r="P28">
            <v>94580</v>
          </cell>
          <cell r="Q28">
            <v>166300</v>
          </cell>
          <cell r="R28">
            <v>94580</v>
          </cell>
          <cell r="S28">
            <v>41310</v>
          </cell>
          <cell r="T28">
            <v>34150</v>
          </cell>
        </row>
        <row r="29">
          <cell r="A29">
            <v>23</v>
          </cell>
          <cell r="B29" t="str">
            <v>おゆみ野保育園</v>
          </cell>
          <cell r="C29">
            <v>90</v>
          </cell>
          <cell r="D29">
            <v>10</v>
          </cell>
          <cell r="E29">
            <v>161360</v>
          </cell>
          <cell r="F29">
            <v>94960</v>
          </cell>
          <cell r="G29">
            <v>45400</v>
          </cell>
          <cell r="H29">
            <v>38770</v>
          </cell>
          <cell r="I29">
            <v>15180</v>
          </cell>
          <cell r="J29">
            <v>8540</v>
          </cell>
          <cell r="K29">
            <v>3890</v>
          </cell>
          <cell r="L29">
            <v>3230</v>
          </cell>
          <cell r="M29">
            <v>510</v>
          </cell>
          <cell r="N29">
            <v>50</v>
          </cell>
          <cell r="O29">
            <v>177100</v>
          </cell>
          <cell r="P29">
            <v>104060</v>
          </cell>
          <cell r="Q29">
            <v>177100</v>
          </cell>
          <cell r="R29">
            <v>104060</v>
          </cell>
          <cell r="S29">
            <v>49850</v>
          </cell>
          <cell r="T29">
            <v>42560</v>
          </cell>
        </row>
        <row r="30">
          <cell r="A30">
            <v>24</v>
          </cell>
          <cell r="B30" t="str">
            <v>ナーセリー鏡戸</v>
          </cell>
          <cell r="C30">
            <v>120</v>
          </cell>
          <cell r="D30">
            <v>10</v>
          </cell>
          <cell r="E30">
            <v>154310</v>
          </cell>
          <cell r="F30">
            <v>87910</v>
          </cell>
          <cell r="G30">
            <v>38350</v>
          </cell>
          <cell r="H30">
            <v>31720</v>
          </cell>
          <cell r="I30">
            <v>14470</v>
          </cell>
          <cell r="J30">
            <v>7830</v>
          </cell>
          <cell r="K30">
            <v>3180</v>
          </cell>
          <cell r="L30">
            <v>2520</v>
          </cell>
          <cell r="M30">
            <v>380</v>
          </cell>
          <cell r="N30">
            <v>30</v>
          </cell>
          <cell r="O30">
            <v>169190</v>
          </cell>
          <cell r="P30">
            <v>96150</v>
          </cell>
          <cell r="Q30">
            <v>169190</v>
          </cell>
          <cell r="R30">
            <v>96150</v>
          </cell>
          <cell r="S30">
            <v>41940</v>
          </cell>
          <cell r="T30">
            <v>34650</v>
          </cell>
        </row>
        <row r="31">
          <cell r="A31">
            <v>25</v>
          </cell>
          <cell r="B31" t="str">
            <v>打瀬保育園</v>
          </cell>
          <cell r="C31">
            <v>120</v>
          </cell>
          <cell r="D31">
            <v>4</v>
          </cell>
          <cell r="E31">
            <v>154310</v>
          </cell>
          <cell r="F31">
            <v>87910</v>
          </cell>
          <cell r="G31">
            <v>38350</v>
          </cell>
          <cell r="H31">
            <v>31720</v>
          </cell>
          <cell r="I31">
            <v>5790</v>
          </cell>
          <cell r="J31">
            <v>3130</v>
          </cell>
          <cell r="K31">
            <v>1270</v>
          </cell>
          <cell r="L31">
            <v>1010</v>
          </cell>
          <cell r="M31">
            <v>380</v>
          </cell>
          <cell r="N31">
            <v>10</v>
          </cell>
          <cell r="O31">
            <v>160490</v>
          </cell>
          <cell r="P31">
            <v>91430</v>
          </cell>
          <cell r="Q31">
            <v>160490</v>
          </cell>
          <cell r="R31">
            <v>91430</v>
          </cell>
          <cell r="S31">
            <v>40010</v>
          </cell>
          <cell r="T31">
            <v>33120</v>
          </cell>
        </row>
        <row r="32">
          <cell r="A32">
            <v>26</v>
          </cell>
          <cell r="B32" t="str">
            <v>ふたば保育園</v>
          </cell>
          <cell r="C32">
            <v>120</v>
          </cell>
          <cell r="D32">
            <v>8</v>
          </cell>
          <cell r="E32">
            <v>154310</v>
          </cell>
          <cell r="F32">
            <v>87910</v>
          </cell>
          <cell r="G32">
            <v>38350</v>
          </cell>
          <cell r="H32">
            <v>31720</v>
          </cell>
          <cell r="I32">
            <v>11580</v>
          </cell>
          <cell r="J32">
            <v>6260</v>
          </cell>
          <cell r="K32">
            <v>2550</v>
          </cell>
          <cell r="L32">
            <v>2020</v>
          </cell>
          <cell r="M32">
            <v>380</v>
          </cell>
          <cell r="N32">
            <v>30</v>
          </cell>
          <cell r="O32">
            <v>166300</v>
          </cell>
          <cell r="P32">
            <v>94580</v>
          </cell>
          <cell r="Q32">
            <v>166300</v>
          </cell>
          <cell r="R32">
            <v>94580</v>
          </cell>
          <cell r="S32">
            <v>41310</v>
          </cell>
          <cell r="T32">
            <v>34150</v>
          </cell>
        </row>
        <row r="33">
          <cell r="A33">
            <v>27</v>
          </cell>
          <cell r="B33" t="str">
            <v>明和輝保育園</v>
          </cell>
          <cell r="C33">
            <v>90</v>
          </cell>
          <cell r="D33">
            <v>8</v>
          </cell>
          <cell r="E33">
            <v>161360</v>
          </cell>
          <cell r="F33">
            <v>94960</v>
          </cell>
          <cell r="G33">
            <v>45400</v>
          </cell>
          <cell r="H33">
            <v>38770</v>
          </cell>
          <cell r="I33">
            <v>12140</v>
          </cell>
          <cell r="J33">
            <v>6820</v>
          </cell>
          <cell r="K33">
            <v>3110</v>
          </cell>
          <cell r="L33">
            <v>2580</v>
          </cell>
          <cell r="M33">
            <v>510</v>
          </cell>
          <cell r="N33">
            <v>40</v>
          </cell>
          <cell r="O33">
            <v>174050</v>
          </cell>
          <cell r="P33">
            <v>102330</v>
          </cell>
          <cell r="Q33">
            <v>174050</v>
          </cell>
          <cell r="R33">
            <v>102330</v>
          </cell>
          <cell r="S33">
            <v>49060</v>
          </cell>
          <cell r="T33">
            <v>41900</v>
          </cell>
        </row>
        <row r="34">
          <cell r="A34">
            <v>28</v>
          </cell>
          <cell r="B34" t="str">
            <v>山王保育園</v>
          </cell>
          <cell r="C34">
            <v>45</v>
          </cell>
          <cell r="D34">
            <v>10</v>
          </cell>
          <cell r="E34">
            <v>176590</v>
          </cell>
          <cell r="F34">
            <v>110190</v>
          </cell>
          <cell r="G34">
            <v>60630</v>
          </cell>
          <cell r="H34">
            <v>54000</v>
          </cell>
          <cell r="I34">
            <v>16700</v>
          </cell>
          <cell r="J34">
            <v>10060</v>
          </cell>
          <cell r="K34">
            <v>5410</v>
          </cell>
          <cell r="L34">
            <v>4750</v>
          </cell>
          <cell r="M34">
            <v>920</v>
          </cell>
          <cell r="N34">
            <v>90</v>
          </cell>
          <cell r="O34">
            <v>194300</v>
          </cell>
          <cell r="P34">
            <v>121260</v>
          </cell>
          <cell r="Q34">
            <v>194300</v>
          </cell>
          <cell r="R34">
            <v>121260</v>
          </cell>
          <cell r="S34">
            <v>67050</v>
          </cell>
          <cell r="T34">
            <v>59760</v>
          </cell>
        </row>
        <row r="35">
          <cell r="A35">
            <v>29</v>
          </cell>
          <cell r="B35" t="str">
            <v>ﾁｬｲﾙﾄﾞ･ｶﾞｰﾃﾞﾝ保育園</v>
          </cell>
          <cell r="C35">
            <v>80</v>
          </cell>
          <cell r="D35">
            <v>4</v>
          </cell>
          <cell r="E35">
            <v>163740</v>
          </cell>
          <cell r="F35">
            <v>97340</v>
          </cell>
          <cell r="G35">
            <v>47780</v>
          </cell>
          <cell r="H35">
            <v>41150</v>
          </cell>
          <cell r="I35">
            <v>6160</v>
          </cell>
          <cell r="J35">
            <v>3500</v>
          </cell>
          <cell r="K35">
            <v>1640</v>
          </cell>
          <cell r="L35">
            <v>1380</v>
          </cell>
          <cell r="M35">
            <v>570</v>
          </cell>
          <cell r="N35">
            <v>20</v>
          </cell>
          <cell r="O35">
            <v>170490</v>
          </cell>
          <cell r="P35">
            <v>101430</v>
          </cell>
          <cell r="Q35">
            <v>170490</v>
          </cell>
          <cell r="R35">
            <v>101430</v>
          </cell>
          <cell r="S35">
            <v>50010</v>
          </cell>
          <cell r="T35">
            <v>43120</v>
          </cell>
        </row>
        <row r="36">
          <cell r="A36">
            <v>30</v>
          </cell>
          <cell r="B36" t="str">
            <v>明徳土気保育園</v>
          </cell>
          <cell r="C36">
            <v>120</v>
          </cell>
          <cell r="D36">
            <v>8</v>
          </cell>
          <cell r="E36">
            <v>154310</v>
          </cell>
          <cell r="F36">
            <v>87910</v>
          </cell>
          <cell r="G36">
            <v>38350</v>
          </cell>
          <cell r="H36">
            <v>31720</v>
          </cell>
          <cell r="I36">
            <v>11580</v>
          </cell>
          <cell r="J36">
            <v>6260</v>
          </cell>
          <cell r="K36">
            <v>2550</v>
          </cell>
          <cell r="L36">
            <v>2020</v>
          </cell>
          <cell r="M36">
            <v>380</v>
          </cell>
          <cell r="N36">
            <v>30</v>
          </cell>
          <cell r="O36">
            <v>166300</v>
          </cell>
          <cell r="P36">
            <v>94580</v>
          </cell>
          <cell r="Q36">
            <v>166300</v>
          </cell>
          <cell r="R36">
            <v>94580</v>
          </cell>
          <cell r="S36">
            <v>41310</v>
          </cell>
          <cell r="T36">
            <v>34150</v>
          </cell>
        </row>
        <row r="37">
          <cell r="A37">
            <v>31</v>
          </cell>
          <cell r="B37" t="str">
            <v>グレース保育園</v>
          </cell>
          <cell r="C37">
            <v>120</v>
          </cell>
          <cell r="D37">
            <v>8</v>
          </cell>
          <cell r="E37">
            <v>154310</v>
          </cell>
          <cell r="F37">
            <v>87910</v>
          </cell>
          <cell r="G37">
            <v>38350</v>
          </cell>
          <cell r="H37">
            <v>31720</v>
          </cell>
          <cell r="I37">
            <v>11580</v>
          </cell>
          <cell r="J37">
            <v>6260</v>
          </cell>
          <cell r="K37">
            <v>2550</v>
          </cell>
          <cell r="L37">
            <v>2020</v>
          </cell>
          <cell r="M37">
            <v>380</v>
          </cell>
          <cell r="N37">
            <v>30</v>
          </cell>
          <cell r="O37">
            <v>166300</v>
          </cell>
          <cell r="P37">
            <v>94580</v>
          </cell>
          <cell r="Q37">
            <v>166300</v>
          </cell>
          <cell r="R37">
            <v>94580</v>
          </cell>
          <cell r="S37">
            <v>41310</v>
          </cell>
          <cell r="T37">
            <v>34150</v>
          </cell>
        </row>
        <row r="38">
          <cell r="A38">
            <v>32</v>
          </cell>
          <cell r="B38" t="str">
            <v>みらい保育園</v>
          </cell>
          <cell r="C38">
            <v>120</v>
          </cell>
          <cell r="D38">
            <v>4</v>
          </cell>
          <cell r="E38">
            <v>154310</v>
          </cell>
          <cell r="F38">
            <v>87910</v>
          </cell>
          <cell r="G38">
            <v>38350</v>
          </cell>
          <cell r="H38">
            <v>31720</v>
          </cell>
          <cell r="I38">
            <v>5790</v>
          </cell>
          <cell r="J38">
            <v>3130</v>
          </cell>
          <cell r="K38">
            <v>1270</v>
          </cell>
          <cell r="L38">
            <v>1010</v>
          </cell>
          <cell r="M38">
            <v>380</v>
          </cell>
          <cell r="N38">
            <v>10</v>
          </cell>
          <cell r="O38">
            <v>160490</v>
          </cell>
          <cell r="P38">
            <v>91430</v>
          </cell>
          <cell r="Q38">
            <v>160490</v>
          </cell>
          <cell r="R38">
            <v>91430</v>
          </cell>
          <cell r="S38">
            <v>40010</v>
          </cell>
          <cell r="T38">
            <v>33120</v>
          </cell>
        </row>
        <row r="39">
          <cell r="A39">
            <v>33</v>
          </cell>
          <cell r="B39" t="str">
            <v>かまとり保育園</v>
          </cell>
          <cell r="C39">
            <v>90</v>
          </cell>
          <cell r="D39">
            <v>8</v>
          </cell>
          <cell r="E39">
            <v>161360</v>
          </cell>
          <cell r="F39">
            <v>94960</v>
          </cell>
          <cell r="G39">
            <v>45400</v>
          </cell>
          <cell r="H39">
            <v>38770</v>
          </cell>
          <cell r="I39">
            <v>12140</v>
          </cell>
          <cell r="J39">
            <v>6820</v>
          </cell>
          <cell r="K39">
            <v>3110</v>
          </cell>
          <cell r="L39">
            <v>2580</v>
          </cell>
          <cell r="M39">
            <v>510</v>
          </cell>
          <cell r="N39">
            <v>40</v>
          </cell>
          <cell r="O39">
            <v>174050</v>
          </cell>
          <cell r="P39">
            <v>102330</v>
          </cell>
          <cell r="Q39">
            <v>174050</v>
          </cell>
          <cell r="R39">
            <v>102330</v>
          </cell>
          <cell r="S39">
            <v>49060</v>
          </cell>
          <cell r="T39">
            <v>41900</v>
          </cell>
        </row>
        <row r="40">
          <cell r="A40">
            <v>34</v>
          </cell>
          <cell r="B40" t="str">
            <v>植草弁天保育園</v>
          </cell>
          <cell r="C40">
            <v>45</v>
          </cell>
          <cell r="D40">
            <v>12</v>
          </cell>
          <cell r="E40">
            <v>176590</v>
          </cell>
          <cell r="F40">
            <v>110190</v>
          </cell>
          <cell r="G40">
            <v>60630</v>
          </cell>
          <cell r="H40">
            <v>54000</v>
          </cell>
          <cell r="I40">
            <v>20040</v>
          </cell>
          <cell r="J40">
            <v>12070</v>
          </cell>
          <cell r="K40">
            <v>6490</v>
          </cell>
          <cell r="L40">
            <v>5700</v>
          </cell>
          <cell r="M40">
            <v>920</v>
          </cell>
          <cell r="N40">
            <v>110</v>
          </cell>
          <cell r="O40">
            <v>197660</v>
          </cell>
          <cell r="P40">
            <v>123290</v>
          </cell>
          <cell r="Q40">
            <v>197660</v>
          </cell>
          <cell r="R40">
            <v>123290</v>
          </cell>
          <cell r="S40">
            <v>68150</v>
          </cell>
          <cell r="T40">
            <v>60730</v>
          </cell>
        </row>
        <row r="41">
          <cell r="A41">
            <v>35</v>
          </cell>
          <cell r="B41" t="str">
            <v>ひなたぼっこ保育園</v>
          </cell>
          <cell r="C41">
            <v>30</v>
          </cell>
          <cell r="D41">
            <v>8</v>
          </cell>
          <cell r="E41">
            <v>189830</v>
          </cell>
          <cell r="F41">
            <v>123430</v>
          </cell>
          <cell r="G41">
            <v>73870</v>
          </cell>
          <cell r="H41">
            <v>67240</v>
          </cell>
          <cell r="I41">
            <v>14420</v>
          </cell>
          <cell r="J41">
            <v>9100</v>
          </cell>
          <cell r="K41">
            <v>5390</v>
          </cell>
          <cell r="L41">
            <v>4860</v>
          </cell>
          <cell r="M41">
            <v>1150</v>
          </cell>
          <cell r="N41">
            <v>90</v>
          </cell>
          <cell r="O41">
            <v>205490</v>
          </cell>
          <cell r="P41">
            <v>133770</v>
          </cell>
          <cell r="Q41">
            <v>205490</v>
          </cell>
          <cell r="R41">
            <v>133770</v>
          </cell>
          <cell r="S41">
            <v>80500</v>
          </cell>
          <cell r="T41">
            <v>73340</v>
          </cell>
        </row>
        <row r="42">
          <cell r="A42">
            <v>36</v>
          </cell>
          <cell r="B42" t="str">
            <v>はまかぜ保育園</v>
          </cell>
          <cell r="C42">
            <v>30</v>
          </cell>
          <cell r="D42">
            <v>4</v>
          </cell>
          <cell r="E42">
            <v>189830</v>
          </cell>
          <cell r="F42">
            <v>123430</v>
          </cell>
          <cell r="G42">
            <v>73870</v>
          </cell>
          <cell r="H42">
            <v>67240</v>
          </cell>
          <cell r="I42">
            <v>7210</v>
          </cell>
          <cell r="J42">
            <v>4550</v>
          </cell>
          <cell r="K42">
            <v>2690</v>
          </cell>
          <cell r="L42">
            <v>2430</v>
          </cell>
          <cell r="M42">
            <v>1150</v>
          </cell>
          <cell r="N42">
            <v>40</v>
          </cell>
          <cell r="O42">
            <v>198230</v>
          </cell>
          <cell r="P42">
            <v>129170</v>
          </cell>
          <cell r="Q42">
            <v>198230</v>
          </cell>
          <cell r="R42">
            <v>129170</v>
          </cell>
          <cell r="S42">
            <v>77750</v>
          </cell>
          <cell r="T42">
            <v>70860</v>
          </cell>
        </row>
        <row r="43">
          <cell r="A43">
            <v>37</v>
          </cell>
          <cell r="B43" t="str">
            <v>いなほ保育園</v>
          </cell>
          <cell r="C43">
            <v>45</v>
          </cell>
          <cell r="D43">
            <v>4</v>
          </cell>
          <cell r="E43">
            <v>176590</v>
          </cell>
          <cell r="F43">
            <v>110190</v>
          </cell>
          <cell r="G43">
            <v>60630</v>
          </cell>
          <cell r="H43">
            <v>54000</v>
          </cell>
          <cell r="I43">
            <v>6680</v>
          </cell>
          <cell r="J43">
            <v>4020</v>
          </cell>
          <cell r="K43">
            <v>2160</v>
          </cell>
          <cell r="L43">
            <v>1900</v>
          </cell>
          <cell r="M43">
            <v>920</v>
          </cell>
          <cell r="N43">
            <v>30</v>
          </cell>
          <cell r="O43">
            <v>184220</v>
          </cell>
          <cell r="P43">
            <v>115160</v>
          </cell>
          <cell r="Q43">
            <v>184220</v>
          </cell>
          <cell r="R43">
            <v>115160</v>
          </cell>
          <cell r="S43">
            <v>63740</v>
          </cell>
          <cell r="T43">
            <v>56850</v>
          </cell>
        </row>
        <row r="44">
          <cell r="A44">
            <v>38</v>
          </cell>
          <cell r="B44" t="str">
            <v>キッズマーム保育園</v>
          </cell>
          <cell r="C44">
            <v>30</v>
          </cell>
          <cell r="D44">
            <v>4</v>
          </cell>
          <cell r="E44">
            <v>189830</v>
          </cell>
          <cell r="F44">
            <v>123430</v>
          </cell>
          <cell r="G44">
            <v>73870</v>
          </cell>
          <cell r="H44">
            <v>67240</v>
          </cell>
          <cell r="I44">
            <v>7210</v>
          </cell>
          <cell r="J44">
            <v>4550</v>
          </cell>
          <cell r="K44">
            <v>2690</v>
          </cell>
          <cell r="L44">
            <v>2430</v>
          </cell>
          <cell r="M44">
            <v>1150</v>
          </cell>
          <cell r="N44">
            <v>40</v>
          </cell>
          <cell r="O44">
            <v>198230</v>
          </cell>
          <cell r="P44">
            <v>129170</v>
          </cell>
          <cell r="Q44">
            <v>198230</v>
          </cell>
          <cell r="R44">
            <v>129170</v>
          </cell>
          <cell r="S44">
            <v>77750</v>
          </cell>
          <cell r="T44">
            <v>70860</v>
          </cell>
        </row>
        <row r="45">
          <cell r="A45">
            <v>39</v>
          </cell>
          <cell r="B45" t="str">
            <v>アスク海浜幕張保育園</v>
          </cell>
          <cell r="C45">
            <v>59</v>
          </cell>
          <cell r="D45">
            <v>4</v>
          </cell>
          <cell r="E45">
            <v>170800</v>
          </cell>
          <cell r="F45">
            <v>104400</v>
          </cell>
          <cell r="G45">
            <v>54840</v>
          </cell>
          <cell r="H45">
            <v>48210</v>
          </cell>
          <cell r="I45">
            <v>6440</v>
          </cell>
          <cell r="J45">
            <v>3780</v>
          </cell>
          <cell r="K45">
            <v>1920</v>
          </cell>
          <cell r="L45">
            <v>1660</v>
          </cell>
          <cell r="M45">
            <v>760</v>
          </cell>
          <cell r="N45">
            <v>30</v>
          </cell>
          <cell r="O45">
            <v>178030</v>
          </cell>
          <cell r="P45">
            <v>108970</v>
          </cell>
          <cell r="Q45">
            <v>178030</v>
          </cell>
          <cell r="R45">
            <v>108970</v>
          </cell>
          <cell r="S45">
            <v>57550</v>
          </cell>
          <cell r="T45">
            <v>50660</v>
          </cell>
        </row>
        <row r="46">
          <cell r="A46">
            <v>40</v>
          </cell>
          <cell r="B46" t="str">
            <v>明徳浜野駅保育園</v>
          </cell>
          <cell r="C46">
            <v>36</v>
          </cell>
          <cell r="D46">
            <v>4</v>
          </cell>
          <cell r="E46">
            <v>178700</v>
          </cell>
          <cell r="F46">
            <v>112300</v>
          </cell>
          <cell r="G46">
            <v>62740</v>
          </cell>
          <cell r="H46">
            <v>56110</v>
          </cell>
          <cell r="I46">
            <v>6760</v>
          </cell>
          <cell r="J46">
            <v>4100</v>
          </cell>
          <cell r="K46">
            <v>2240</v>
          </cell>
          <cell r="L46">
            <v>1980</v>
          </cell>
          <cell r="M46">
            <v>1150</v>
          </cell>
          <cell r="N46">
            <v>40</v>
          </cell>
          <cell r="O46">
            <v>186650</v>
          </cell>
          <cell r="P46">
            <v>117590</v>
          </cell>
          <cell r="Q46">
            <v>186650</v>
          </cell>
          <cell r="R46">
            <v>117590</v>
          </cell>
          <cell r="S46">
            <v>66170</v>
          </cell>
          <cell r="T46">
            <v>59280</v>
          </cell>
        </row>
        <row r="47">
          <cell r="A47">
            <v>41</v>
          </cell>
          <cell r="B47" t="str">
            <v>幕張いもっこ保育園</v>
          </cell>
          <cell r="C47">
            <v>59</v>
          </cell>
          <cell r="D47">
            <v>4</v>
          </cell>
          <cell r="E47">
            <v>170800</v>
          </cell>
          <cell r="F47">
            <v>104400</v>
          </cell>
          <cell r="G47">
            <v>54840</v>
          </cell>
          <cell r="H47">
            <v>48210</v>
          </cell>
          <cell r="I47">
            <v>6440</v>
          </cell>
          <cell r="J47">
            <v>3780</v>
          </cell>
          <cell r="K47">
            <v>1920</v>
          </cell>
          <cell r="L47">
            <v>1660</v>
          </cell>
          <cell r="M47">
            <v>760</v>
          </cell>
          <cell r="N47">
            <v>30</v>
          </cell>
          <cell r="O47">
            <v>178030</v>
          </cell>
          <cell r="P47">
            <v>108970</v>
          </cell>
          <cell r="Q47">
            <v>178030</v>
          </cell>
          <cell r="R47">
            <v>108970</v>
          </cell>
          <cell r="S47">
            <v>57550</v>
          </cell>
          <cell r="T47">
            <v>50660</v>
          </cell>
        </row>
        <row r="48">
          <cell r="A48">
            <v>42</v>
          </cell>
          <cell r="B48" t="str">
            <v>稲毛すきっぷ保育園</v>
          </cell>
          <cell r="C48">
            <v>30</v>
          </cell>
          <cell r="D48">
            <v>4</v>
          </cell>
          <cell r="E48">
            <v>189830</v>
          </cell>
          <cell r="F48">
            <v>123430</v>
          </cell>
          <cell r="G48">
            <v>73870</v>
          </cell>
          <cell r="H48">
            <v>67240</v>
          </cell>
          <cell r="I48">
            <v>7210</v>
          </cell>
          <cell r="J48">
            <v>4550</v>
          </cell>
          <cell r="K48">
            <v>2690</v>
          </cell>
          <cell r="L48">
            <v>2430</v>
          </cell>
          <cell r="M48">
            <v>1150</v>
          </cell>
          <cell r="N48">
            <v>40</v>
          </cell>
          <cell r="O48">
            <v>198230</v>
          </cell>
          <cell r="P48">
            <v>129170</v>
          </cell>
          <cell r="Q48">
            <v>198230</v>
          </cell>
          <cell r="R48">
            <v>129170</v>
          </cell>
          <cell r="S48">
            <v>77750</v>
          </cell>
          <cell r="T48">
            <v>70860</v>
          </cell>
        </row>
        <row r="49">
          <cell r="A49">
            <v>43</v>
          </cell>
          <cell r="B49" t="str">
            <v>千葉聖心保育園</v>
          </cell>
          <cell r="C49">
            <v>45</v>
          </cell>
          <cell r="D49">
            <v>4</v>
          </cell>
          <cell r="E49">
            <v>176590</v>
          </cell>
          <cell r="F49">
            <v>110190</v>
          </cell>
          <cell r="G49">
            <v>60630</v>
          </cell>
          <cell r="H49">
            <v>54000</v>
          </cell>
          <cell r="I49">
            <v>6680</v>
          </cell>
          <cell r="J49">
            <v>4020</v>
          </cell>
          <cell r="K49">
            <v>2160</v>
          </cell>
          <cell r="L49">
            <v>1900</v>
          </cell>
          <cell r="M49">
            <v>920</v>
          </cell>
          <cell r="N49">
            <v>30</v>
          </cell>
          <cell r="O49">
            <v>184220</v>
          </cell>
          <cell r="P49">
            <v>115160</v>
          </cell>
          <cell r="Q49">
            <v>184220</v>
          </cell>
          <cell r="R49">
            <v>115160</v>
          </cell>
          <cell r="S49">
            <v>63740</v>
          </cell>
          <cell r="T49">
            <v>56850</v>
          </cell>
        </row>
        <row r="50">
          <cell r="A50">
            <v>44</v>
          </cell>
          <cell r="B50" t="str">
            <v>真生保育園</v>
          </cell>
          <cell r="C50">
            <v>90</v>
          </cell>
          <cell r="D50">
            <v>4</v>
          </cell>
          <cell r="E50">
            <v>161360</v>
          </cell>
          <cell r="F50">
            <v>94960</v>
          </cell>
          <cell r="G50">
            <v>45400</v>
          </cell>
          <cell r="H50">
            <v>38770</v>
          </cell>
          <cell r="I50">
            <v>6070</v>
          </cell>
          <cell r="J50">
            <v>3410</v>
          </cell>
          <cell r="K50">
            <v>1550</v>
          </cell>
          <cell r="L50">
            <v>1290</v>
          </cell>
          <cell r="M50">
            <v>510</v>
          </cell>
          <cell r="N50">
            <v>20</v>
          </cell>
          <cell r="O50">
            <v>167960</v>
          </cell>
          <cell r="P50">
            <v>98900</v>
          </cell>
          <cell r="Q50">
            <v>167960</v>
          </cell>
          <cell r="R50">
            <v>98900</v>
          </cell>
          <cell r="S50">
            <v>47480</v>
          </cell>
          <cell r="T50">
            <v>40590</v>
          </cell>
        </row>
        <row r="51">
          <cell r="A51">
            <v>45</v>
          </cell>
          <cell r="B51" t="str">
            <v>アップルナースリー検見川浜保育園</v>
          </cell>
          <cell r="C51">
            <v>30</v>
          </cell>
          <cell r="D51">
            <v>4</v>
          </cell>
          <cell r="E51">
            <v>189830</v>
          </cell>
          <cell r="F51">
            <v>123430</v>
          </cell>
          <cell r="G51">
            <v>73870</v>
          </cell>
          <cell r="H51">
            <v>67240</v>
          </cell>
          <cell r="I51">
            <v>7210</v>
          </cell>
          <cell r="J51">
            <v>4550</v>
          </cell>
          <cell r="K51">
            <v>2690</v>
          </cell>
          <cell r="L51">
            <v>2430</v>
          </cell>
          <cell r="M51">
            <v>1150</v>
          </cell>
          <cell r="N51">
            <v>40</v>
          </cell>
          <cell r="O51">
            <v>198230</v>
          </cell>
          <cell r="P51">
            <v>129170</v>
          </cell>
          <cell r="Q51">
            <v>198230</v>
          </cell>
          <cell r="R51">
            <v>129170</v>
          </cell>
          <cell r="S51">
            <v>77750</v>
          </cell>
          <cell r="T51">
            <v>70860</v>
          </cell>
        </row>
      </sheetData>
      <sheetData sheetId="2">
        <row r="4">
          <cell r="A4">
            <v>1</v>
          </cell>
          <cell r="B4" t="str">
            <v>院内保育園</v>
          </cell>
          <cell r="C4">
            <v>90</v>
          </cell>
          <cell r="D4">
            <v>10</v>
          </cell>
          <cell r="E4">
            <v>161360</v>
          </cell>
          <cell r="F4">
            <v>94960</v>
          </cell>
          <cell r="G4">
            <v>45400</v>
          </cell>
          <cell r="H4">
            <v>38770</v>
          </cell>
          <cell r="I4">
            <v>15180</v>
          </cell>
          <cell r="J4">
            <v>8540</v>
          </cell>
          <cell r="K4">
            <v>3890</v>
          </cell>
          <cell r="L4">
            <v>3230</v>
          </cell>
          <cell r="M4">
            <v>510</v>
          </cell>
          <cell r="N4">
            <v>50</v>
          </cell>
          <cell r="O4">
            <v>177100</v>
          </cell>
          <cell r="P4">
            <v>104060</v>
          </cell>
          <cell r="Q4">
            <v>177100</v>
          </cell>
          <cell r="R4">
            <v>104060</v>
          </cell>
          <cell r="S4">
            <v>49850</v>
          </cell>
          <cell r="T4">
            <v>42560</v>
          </cell>
        </row>
        <row r="5">
          <cell r="A5">
            <v>2</v>
          </cell>
          <cell r="B5" t="str">
            <v>旭ケ丘保育園</v>
          </cell>
          <cell r="C5">
            <v>120</v>
          </cell>
          <cell r="D5">
            <v>12</v>
          </cell>
          <cell r="E5">
            <v>154310</v>
          </cell>
          <cell r="F5">
            <v>87910</v>
          </cell>
          <cell r="G5">
            <v>38350</v>
          </cell>
          <cell r="H5">
            <v>31720</v>
          </cell>
          <cell r="I5">
            <v>17370</v>
          </cell>
          <cell r="J5">
            <v>9400</v>
          </cell>
          <cell r="K5">
            <v>3820</v>
          </cell>
          <cell r="L5">
            <v>3030</v>
          </cell>
          <cell r="M5">
            <v>380</v>
          </cell>
          <cell r="N5">
            <v>40</v>
          </cell>
          <cell r="O5">
            <v>172100</v>
          </cell>
          <cell r="P5">
            <v>97730</v>
          </cell>
          <cell r="Q5">
            <v>172100</v>
          </cell>
          <cell r="R5">
            <v>97730</v>
          </cell>
          <cell r="S5">
            <v>42590</v>
          </cell>
          <cell r="T5">
            <v>35170</v>
          </cell>
        </row>
        <row r="6">
          <cell r="A6">
            <v>3</v>
          </cell>
          <cell r="B6" t="str">
            <v>稲毛保育園</v>
          </cell>
          <cell r="C6">
            <v>120</v>
          </cell>
          <cell r="D6">
            <v>10</v>
          </cell>
          <cell r="E6">
            <v>154310</v>
          </cell>
          <cell r="F6">
            <v>87910</v>
          </cell>
          <cell r="G6">
            <v>38350</v>
          </cell>
          <cell r="H6">
            <v>31720</v>
          </cell>
          <cell r="I6">
            <v>14470</v>
          </cell>
          <cell r="J6">
            <v>7830</v>
          </cell>
          <cell r="K6">
            <v>3180</v>
          </cell>
          <cell r="L6">
            <v>2520</v>
          </cell>
          <cell r="M6">
            <v>380</v>
          </cell>
          <cell r="N6">
            <v>30</v>
          </cell>
          <cell r="O6">
            <v>169190</v>
          </cell>
          <cell r="P6">
            <v>96150</v>
          </cell>
          <cell r="Q6">
            <v>169190</v>
          </cell>
          <cell r="R6">
            <v>96150</v>
          </cell>
          <cell r="S6">
            <v>41940</v>
          </cell>
          <cell r="T6">
            <v>34650</v>
          </cell>
        </row>
        <row r="7">
          <cell r="A7">
            <v>4</v>
          </cell>
          <cell r="B7" t="str">
            <v>みどり保育園</v>
          </cell>
          <cell r="C7">
            <v>120</v>
          </cell>
          <cell r="D7">
            <v>10</v>
          </cell>
          <cell r="E7">
            <v>154310</v>
          </cell>
          <cell r="F7">
            <v>87910</v>
          </cell>
          <cell r="G7">
            <v>38350</v>
          </cell>
          <cell r="H7">
            <v>31720</v>
          </cell>
          <cell r="I7">
            <v>14470</v>
          </cell>
          <cell r="J7">
            <v>7830</v>
          </cell>
          <cell r="K7">
            <v>3180</v>
          </cell>
          <cell r="L7">
            <v>2520</v>
          </cell>
          <cell r="M7">
            <v>380</v>
          </cell>
          <cell r="N7">
            <v>30</v>
          </cell>
          <cell r="O7">
            <v>169190</v>
          </cell>
          <cell r="P7">
            <v>96150</v>
          </cell>
          <cell r="Q7">
            <v>169190</v>
          </cell>
          <cell r="R7">
            <v>96150</v>
          </cell>
          <cell r="S7">
            <v>41940</v>
          </cell>
          <cell r="T7">
            <v>34650</v>
          </cell>
        </row>
        <row r="8">
          <cell r="A8">
            <v>5</v>
          </cell>
          <cell r="B8" t="str">
            <v>ちどり保育園</v>
          </cell>
          <cell r="C8">
            <v>120</v>
          </cell>
          <cell r="D8">
            <v>12</v>
          </cell>
          <cell r="E8">
            <v>154310</v>
          </cell>
          <cell r="F8">
            <v>87910</v>
          </cell>
          <cell r="G8">
            <v>38350</v>
          </cell>
          <cell r="H8">
            <v>31720</v>
          </cell>
          <cell r="I8">
            <v>17370</v>
          </cell>
          <cell r="J8">
            <v>9400</v>
          </cell>
          <cell r="K8">
            <v>3820</v>
          </cell>
          <cell r="L8">
            <v>3030</v>
          </cell>
          <cell r="M8">
            <v>380</v>
          </cell>
          <cell r="N8">
            <v>40</v>
          </cell>
          <cell r="O8">
            <v>172100</v>
          </cell>
          <cell r="P8">
            <v>97730</v>
          </cell>
          <cell r="Q8">
            <v>172100</v>
          </cell>
          <cell r="R8">
            <v>97730</v>
          </cell>
          <cell r="S8">
            <v>42590</v>
          </cell>
          <cell r="T8">
            <v>35170</v>
          </cell>
        </row>
        <row r="9">
          <cell r="A9">
            <v>6</v>
          </cell>
          <cell r="B9" t="str">
            <v>今井保育園</v>
          </cell>
          <cell r="C9">
            <v>120</v>
          </cell>
          <cell r="D9">
            <v>12</v>
          </cell>
          <cell r="E9">
            <v>154310</v>
          </cell>
          <cell r="F9">
            <v>87910</v>
          </cell>
          <cell r="G9">
            <v>38350</v>
          </cell>
          <cell r="H9">
            <v>31720</v>
          </cell>
          <cell r="I9">
            <v>17370</v>
          </cell>
          <cell r="J9">
            <v>9400</v>
          </cell>
          <cell r="K9">
            <v>3820</v>
          </cell>
          <cell r="L9">
            <v>3030</v>
          </cell>
          <cell r="M9">
            <v>380</v>
          </cell>
          <cell r="N9">
            <v>40</v>
          </cell>
          <cell r="O9">
            <v>172100</v>
          </cell>
          <cell r="P9">
            <v>97730</v>
          </cell>
          <cell r="Q9">
            <v>172100</v>
          </cell>
          <cell r="R9">
            <v>97730</v>
          </cell>
          <cell r="S9">
            <v>42590</v>
          </cell>
          <cell r="T9">
            <v>35170</v>
          </cell>
        </row>
        <row r="10">
          <cell r="A10">
            <v>7</v>
          </cell>
          <cell r="B10" t="str">
            <v>若竹保育園</v>
          </cell>
          <cell r="C10">
            <v>150</v>
          </cell>
          <cell r="D10">
            <v>10</v>
          </cell>
          <cell r="E10">
            <v>151950</v>
          </cell>
          <cell r="F10">
            <v>85550</v>
          </cell>
          <cell r="G10">
            <v>35990</v>
          </cell>
          <cell r="H10">
            <v>29360</v>
          </cell>
          <cell r="I10">
            <v>14230</v>
          </cell>
          <cell r="J10">
            <v>7590</v>
          </cell>
          <cell r="K10">
            <v>2940</v>
          </cell>
          <cell r="L10">
            <v>2280</v>
          </cell>
          <cell r="M10">
            <v>300</v>
          </cell>
          <cell r="N10">
            <v>30</v>
          </cell>
          <cell r="O10">
            <v>166510</v>
          </cell>
          <cell r="P10">
            <v>93470</v>
          </cell>
          <cell r="Q10">
            <v>166510</v>
          </cell>
          <cell r="R10">
            <v>93470</v>
          </cell>
          <cell r="S10">
            <v>39260</v>
          </cell>
          <cell r="T10">
            <v>31970</v>
          </cell>
        </row>
        <row r="11">
          <cell r="A11">
            <v>8</v>
          </cell>
          <cell r="B11" t="str">
            <v>千葉寺Ａ(定員90)</v>
          </cell>
          <cell r="C11">
            <v>90</v>
          </cell>
          <cell r="D11">
            <v>8</v>
          </cell>
          <cell r="E11">
            <v>161360</v>
          </cell>
          <cell r="F11">
            <v>94960</v>
          </cell>
          <cell r="G11">
            <v>45400</v>
          </cell>
          <cell r="H11">
            <v>38770</v>
          </cell>
          <cell r="I11">
            <v>12140</v>
          </cell>
          <cell r="J11">
            <v>6820</v>
          </cell>
          <cell r="K11">
            <v>3110</v>
          </cell>
          <cell r="L11">
            <v>2580</v>
          </cell>
          <cell r="M11">
            <v>300</v>
          </cell>
          <cell r="N11">
            <v>20</v>
          </cell>
          <cell r="O11">
            <v>173820</v>
          </cell>
          <cell r="P11">
            <v>102100</v>
          </cell>
          <cell r="Q11">
            <v>173820</v>
          </cell>
          <cell r="R11">
            <v>102100</v>
          </cell>
          <cell r="S11">
            <v>48830</v>
          </cell>
          <cell r="T11">
            <v>41670</v>
          </cell>
        </row>
        <row r="12">
          <cell r="B12" t="str">
            <v>千葉寺Ｂ(定員29)</v>
          </cell>
          <cell r="C12">
            <v>29</v>
          </cell>
          <cell r="D12">
            <v>8</v>
          </cell>
          <cell r="E12">
            <v>161350</v>
          </cell>
          <cell r="F12">
            <v>104910</v>
          </cell>
          <cell r="G12">
            <v>62780</v>
          </cell>
          <cell r="H12">
            <v>57150</v>
          </cell>
          <cell r="I12">
            <v>12250</v>
          </cell>
          <cell r="J12">
            <v>7730</v>
          </cell>
          <cell r="K12">
            <v>4580</v>
          </cell>
          <cell r="L12">
            <v>4130</v>
          </cell>
          <cell r="M12">
            <v>300</v>
          </cell>
          <cell r="N12">
            <v>20</v>
          </cell>
          <cell r="O12">
            <v>173920</v>
          </cell>
          <cell r="P12">
            <v>112960</v>
          </cell>
          <cell r="Q12">
            <v>173920</v>
          </cell>
          <cell r="R12">
            <v>112960</v>
          </cell>
          <cell r="S12">
            <v>67680</v>
          </cell>
          <cell r="T12">
            <v>61600</v>
          </cell>
        </row>
        <row r="13">
          <cell r="B13" t="str">
            <v>千葉寺Ｃ(定員30)</v>
          </cell>
          <cell r="C13">
            <v>30</v>
          </cell>
          <cell r="D13">
            <v>8</v>
          </cell>
          <cell r="E13">
            <v>161350</v>
          </cell>
          <cell r="F13">
            <v>104910</v>
          </cell>
          <cell r="G13">
            <v>62780</v>
          </cell>
          <cell r="H13">
            <v>57150</v>
          </cell>
          <cell r="I13">
            <v>12250</v>
          </cell>
          <cell r="J13">
            <v>7730</v>
          </cell>
          <cell r="K13">
            <v>4580</v>
          </cell>
          <cell r="L13">
            <v>4130</v>
          </cell>
          <cell r="M13">
            <v>300</v>
          </cell>
          <cell r="N13">
            <v>20</v>
          </cell>
          <cell r="O13">
            <v>173920</v>
          </cell>
          <cell r="P13">
            <v>112960</v>
          </cell>
          <cell r="Q13">
            <v>173920</v>
          </cell>
          <cell r="R13">
            <v>112960</v>
          </cell>
          <cell r="S13">
            <v>67680</v>
          </cell>
          <cell r="T13">
            <v>61600</v>
          </cell>
        </row>
        <row r="14">
          <cell r="B14" t="str">
            <v>千葉寺定員超分</v>
          </cell>
          <cell r="C14">
            <v>151950</v>
          </cell>
          <cell r="D14">
            <v>85550</v>
          </cell>
          <cell r="E14">
            <v>151950</v>
          </cell>
          <cell r="F14">
            <v>85550</v>
          </cell>
          <cell r="G14">
            <v>35990</v>
          </cell>
          <cell r="H14">
            <v>29360</v>
          </cell>
          <cell r="I14">
            <v>11390</v>
          </cell>
          <cell r="J14">
            <v>6070</v>
          </cell>
          <cell r="K14">
            <v>2360</v>
          </cell>
          <cell r="L14">
            <v>1830</v>
          </cell>
          <cell r="M14">
            <v>300</v>
          </cell>
          <cell r="N14">
            <v>20</v>
          </cell>
          <cell r="O14">
            <v>38670</v>
          </cell>
          <cell r="P14">
            <v>31510</v>
          </cell>
          <cell r="Q14">
            <v>163660</v>
          </cell>
          <cell r="R14">
            <v>91940</v>
          </cell>
          <cell r="S14">
            <v>38670</v>
          </cell>
          <cell r="T14">
            <v>31510</v>
          </cell>
        </row>
        <row r="15">
          <cell r="A15">
            <v>9</v>
          </cell>
          <cell r="B15" t="str">
            <v>慈光保育園</v>
          </cell>
          <cell r="C15">
            <v>90</v>
          </cell>
          <cell r="D15">
            <v>10</v>
          </cell>
          <cell r="E15">
            <v>161360</v>
          </cell>
          <cell r="F15">
            <v>94960</v>
          </cell>
          <cell r="G15">
            <v>45400</v>
          </cell>
          <cell r="H15">
            <v>38770</v>
          </cell>
          <cell r="I15">
            <v>15180</v>
          </cell>
          <cell r="J15">
            <v>8540</v>
          </cell>
          <cell r="K15">
            <v>3890</v>
          </cell>
          <cell r="L15">
            <v>3230</v>
          </cell>
          <cell r="M15">
            <v>510</v>
          </cell>
          <cell r="N15">
            <v>50</v>
          </cell>
          <cell r="O15">
            <v>177100</v>
          </cell>
          <cell r="P15">
            <v>104060</v>
          </cell>
          <cell r="Q15">
            <v>177100</v>
          </cell>
          <cell r="R15">
            <v>104060</v>
          </cell>
          <cell r="S15">
            <v>49850</v>
          </cell>
          <cell r="T15">
            <v>42560</v>
          </cell>
        </row>
        <row r="16">
          <cell r="A16">
            <v>10</v>
          </cell>
          <cell r="B16" t="str">
            <v>若梅保育園</v>
          </cell>
          <cell r="C16">
            <v>120</v>
          </cell>
          <cell r="D16">
            <v>8</v>
          </cell>
          <cell r="E16">
            <v>154310</v>
          </cell>
          <cell r="F16">
            <v>87910</v>
          </cell>
          <cell r="G16">
            <v>38350</v>
          </cell>
          <cell r="H16">
            <v>31720</v>
          </cell>
          <cell r="I16">
            <v>11580</v>
          </cell>
          <cell r="J16">
            <v>6260</v>
          </cell>
          <cell r="K16">
            <v>2550</v>
          </cell>
          <cell r="L16">
            <v>2020</v>
          </cell>
          <cell r="M16">
            <v>380</v>
          </cell>
          <cell r="N16">
            <v>30</v>
          </cell>
          <cell r="O16">
            <v>166300</v>
          </cell>
          <cell r="P16">
            <v>94580</v>
          </cell>
          <cell r="Q16">
            <v>166300</v>
          </cell>
          <cell r="R16">
            <v>94580</v>
          </cell>
          <cell r="S16">
            <v>41310</v>
          </cell>
          <cell r="T16">
            <v>34150</v>
          </cell>
        </row>
        <row r="17">
          <cell r="A17">
            <v>11</v>
          </cell>
          <cell r="B17" t="str">
            <v>ﾁｭｰﾘｯﾌﾟ保育園</v>
          </cell>
          <cell r="C17">
            <v>120</v>
          </cell>
          <cell r="D17">
            <v>8</v>
          </cell>
          <cell r="E17">
            <v>154310</v>
          </cell>
          <cell r="F17">
            <v>87910</v>
          </cell>
          <cell r="G17">
            <v>38350</v>
          </cell>
          <cell r="H17">
            <v>31720</v>
          </cell>
          <cell r="I17">
            <v>11580</v>
          </cell>
          <cell r="J17">
            <v>6260</v>
          </cell>
          <cell r="K17">
            <v>2550</v>
          </cell>
          <cell r="L17">
            <v>2020</v>
          </cell>
          <cell r="M17">
            <v>380</v>
          </cell>
          <cell r="N17">
            <v>30</v>
          </cell>
          <cell r="O17">
            <v>166300</v>
          </cell>
          <cell r="P17">
            <v>94580</v>
          </cell>
          <cell r="Q17">
            <v>166300</v>
          </cell>
          <cell r="R17">
            <v>94580</v>
          </cell>
          <cell r="S17">
            <v>41310</v>
          </cell>
          <cell r="T17">
            <v>34150</v>
          </cell>
        </row>
        <row r="18">
          <cell r="A18">
            <v>12</v>
          </cell>
          <cell r="B18" t="str">
            <v>幕張海浜保育園</v>
          </cell>
          <cell r="C18">
            <v>120</v>
          </cell>
          <cell r="D18">
            <v>8</v>
          </cell>
          <cell r="E18">
            <v>154310</v>
          </cell>
          <cell r="F18">
            <v>87910</v>
          </cell>
          <cell r="G18">
            <v>38350</v>
          </cell>
          <cell r="H18">
            <v>31720</v>
          </cell>
          <cell r="I18">
            <v>11580</v>
          </cell>
          <cell r="J18">
            <v>6260</v>
          </cell>
          <cell r="K18">
            <v>2550</v>
          </cell>
          <cell r="L18">
            <v>2020</v>
          </cell>
          <cell r="M18">
            <v>380</v>
          </cell>
          <cell r="N18">
            <v>30</v>
          </cell>
          <cell r="O18">
            <v>166300</v>
          </cell>
          <cell r="P18">
            <v>94580</v>
          </cell>
          <cell r="Q18">
            <v>166300</v>
          </cell>
          <cell r="R18">
            <v>94580</v>
          </cell>
          <cell r="S18">
            <v>41310</v>
          </cell>
          <cell r="T18">
            <v>34150</v>
          </cell>
        </row>
        <row r="19">
          <cell r="A19">
            <v>13</v>
          </cell>
          <cell r="B19" t="str">
            <v>みつわ台保育園</v>
          </cell>
          <cell r="C19">
            <v>120</v>
          </cell>
          <cell r="D19">
            <v>12</v>
          </cell>
          <cell r="E19">
            <v>154310</v>
          </cell>
          <cell r="F19">
            <v>87910</v>
          </cell>
          <cell r="G19">
            <v>38350</v>
          </cell>
          <cell r="H19">
            <v>31720</v>
          </cell>
          <cell r="I19">
            <v>17370</v>
          </cell>
          <cell r="J19">
            <v>9400</v>
          </cell>
          <cell r="K19">
            <v>3820</v>
          </cell>
          <cell r="L19">
            <v>3030</v>
          </cell>
          <cell r="M19">
            <v>380</v>
          </cell>
          <cell r="N19">
            <v>40</v>
          </cell>
          <cell r="O19">
            <v>172100</v>
          </cell>
          <cell r="P19">
            <v>97730</v>
          </cell>
          <cell r="Q19">
            <v>172100</v>
          </cell>
          <cell r="R19">
            <v>97730</v>
          </cell>
          <cell r="S19">
            <v>42590</v>
          </cell>
          <cell r="T19">
            <v>35170</v>
          </cell>
        </row>
        <row r="20">
          <cell r="A20">
            <v>14</v>
          </cell>
          <cell r="B20" t="str">
            <v>まどか保育園</v>
          </cell>
          <cell r="C20">
            <v>90</v>
          </cell>
          <cell r="D20">
            <v>8</v>
          </cell>
          <cell r="E20">
            <v>161360</v>
          </cell>
          <cell r="F20">
            <v>94960</v>
          </cell>
          <cell r="G20">
            <v>45400</v>
          </cell>
          <cell r="H20">
            <v>38770</v>
          </cell>
          <cell r="I20">
            <v>12140</v>
          </cell>
          <cell r="J20">
            <v>6820</v>
          </cell>
          <cell r="K20">
            <v>3110</v>
          </cell>
          <cell r="L20">
            <v>2580</v>
          </cell>
          <cell r="M20">
            <v>510</v>
          </cell>
          <cell r="N20">
            <v>40</v>
          </cell>
          <cell r="O20">
            <v>174050</v>
          </cell>
          <cell r="P20">
            <v>102330</v>
          </cell>
          <cell r="Q20">
            <v>174050</v>
          </cell>
          <cell r="R20">
            <v>102330</v>
          </cell>
          <cell r="S20">
            <v>49060</v>
          </cell>
          <cell r="T20">
            <v>41900</v>
          </cell>
        </row>
        <row r="21">
          <cell r="A21">
            <v>15</v>
          </cell>
          <cell r="B21" t="str">
            <v>わかくさ保育園</v>
          </cell>
          <cell r="C21">
            <v>110</v>
          </cell>
          <cell r="D21">
            <v>12</v>
          </cell>
          <cell r="E21">
            <v>155390</v>
          </cell>
          <cell r="F21">
            <v>88990</v>
          </cell>
          <cell r="G21">
            <v>39430</v>
          </cell>
          <cell r="H21">
            <v>32800</v>
          </cell>
          <cell r="I21">
            <v>17500</v>
          </cell>
          <cell r="J21">
            <v>9530</v>
          </cell>
          <cell r="K21">
            <v>3950</v>
          </cell>
          <cell r="L21">
            <v>3160</v>
          </cell>
          <cell r="M21">
            <v>410</v>
          </cell>
          <cell r="N21">
            <v>50</v>
          </cell>
          <cell r="O21">
            <v>173350</v>
          </cell>
          <cell r="P21">
            <v>98980</v>
          </cell>
          <cell r="Q21">
            <v>173350</v>
          </cell>
          <cell r="R21">
            <v>98980</v>
          </cell>
          <cell r="S21">
            <v>43840</v>
          </cell>
          <cell r="T21">
            <v>36420</v>
          </cell>
        </row>
        <row r="22">
          <cell r="A22">
            <v>16</v>
          </cell>
          <cell r="B22" t="str">
            <v>たいよう保育園</v>
          </cell>
          <cell r="C22">
            <v>90</v>
          </cell>
          <cell r="D22">
            <v>10</v>
          </cell>
          <cell r="E22">
            <v>161360</v>
          </cell>
          <cell r="F22">
            <v>94960</v>
          </cell>
          <cell r="G22">
            <v>45400</v>
          </cell>
          <cell r="H22">
            <v>38770</v>
          </cell>
          <cell r="I22">
            <v>15180</v>
          </cell>
          <cell r="J22">
            <v>8540</v>
          </cell>
          <cell r="K22">
            <v>3890</v>
          </cell>
          <cell r="L22">
            <v>3230</v>
          </cell>
          <cell r="M22">
            <v>510</v>
          </cell>
          <cell r="N22">
            <v>50</v>
          </cell>
          <cell r="O22">
            <v>177100</v>
          </cell>
          <cell r="P22">
            <v>104060</v>
          </cell>
          <cell r="Q22">
            <v>177100</v>
          </cell>
          <cell r="R22">
            <v>104060</v>
          </cell>
          <cell r="S22">
            <v>49850</v>
          </cell>
          <cell r="T22">
            <v>42560</v>
          </cell>
        </row>
        <row r="23">
          <cell r="A23">
            <v>17</v>
          </cell>
          <cell r="B23" t="str">
            <v>松ケ丘保育園</v>
          </cell>
          <cell r="C23">
            <v>90</v>
          </cell>
          <cell r="D23">
            <v>10</v>
          </cell>
          <cell r="E23">
            <v>161360</v>
          </cell>
          <cell r="F23">
            <v>94960</v>
          </cell>
          <cell r="G23">
            <v>45400</v>
          </cell>
          <cell r="H23">
            <v>38770</v>
          </cell>
          <cell r="I23">
            <v>15180</v>
          </cell>
          <cell r="J23">
            <v>8540</v>
          </cell>
          <cell r="K23">
            <v>3890</v>
          </cell>
          <cell r="L23">
            <v>3230</v>
          </cell>
          <cell r="M23">
            <v>510</v>
          </cell>
          <cell r="N23">
            <v>50</v>
          </cell>
          <cell r="O23">
            <v>177100</v>
          </cell>
          <cell r="P23">
            <v>104060</v>
          </cell>
          <cell r="Q23">
            <v>177100</v>
          </cell>
          <cell r="R23">
            <v>104060</v>
          </cell>
          <cell r="S23">
            <v>49850</v>
          </cell>
          <cell r="T23">
            <v>42560</v>
          </cell>
        </row>
        <row r="24">
          <cell r="A24">
            <v>18</v>
          </cell>
          <cell r="B24" t="str">
            <v>作草部保育園</v>
          </cell>
          <cell r="C24">
            <v>90</v>
          </cell>
          <cell r="D24">
            <v>12</v>
          </cell>
          <cell r="E24">
            <v>161360</v>
          </cell>
          <cell r="F24">
            <v>94960</v>
          </cell>
          <cell r="G24">
            <v>45400</v>
          </cell>
          <cell r="H24">
            <v>38770</v>
          </cell>
          <cell r="I24">
            <v>18210</v>
          </cell>
          <cell r="J24">
            <v>10240</v>
          </cell>
          <cell r="K24">
            <v>4660</v>
          </cell>
          <cell r="L24">
            <v>3870</v>
          </cell>
          <cell r="M24">
            <v>510</v>
          </cell>
          <cell r="N24">
            <v>60</v>
          </cell>
          <cell r="O24">
            <v>180140</v>
          </cell>
          <cell r="P24">
            <v>105770</v>
          </cell>
          <cell r="Q24">
            <v>180140</v>
          </cell>
          <cell r="R24">
            <v>105770</v>
          </cell>
          <cell r="S24">
            <v>50630</v>
          </cell>
          <cell r="T24">
            <v>43210</v>
          </cell>
        </row>
        <row r="25">
          <cell r="A25">
            <v>19</v>
          </cell>
          <cell r="B25" t="str">
            <v>すずらん保育園</v>
          </cell>
          <cell r="C25">
            <v>90</v>
          </cell>
          <cell r="D25">
            <v>12</v>
          </cell>
          <cell r="E25">
            <v>161360</v>
          </cell>
          <cell r="F25">
            <v>94960</v>
          </cell>
          <cell r="G25">
            <v>45400</v>
          </cell>
          <cell r="H25">
            <v>38770</v>
          </cell>
          <cell r="I25">
            <v>18210</v>
          </cell>
          <cell r="J25">
            <v>10240</v>
          </cell>
          <cell r="K25">
            <v>4660</v>
          </cell>
          <cell r="L25">
            <v>3870</v>
          </cell>
          <cell r="M25">
            <v>510</v>
          </cell>
          <cell r="N25">
            <v>60</v>
          </cell>
          <cell r="O25">
            <v>180140</v>
          </cell>
          <cell r="P25">
            <v>105770</v>
          </cell>
          <cell r="Q25">
            <v>180140</v>
          </cell>
          <cell r="R25">
            <v>105770</v>
          </cell>
          <cell r="S25">
            <v>50630</v>
          </cell>
          <cell r="T25">
            <v>43210</v>
          </cell>
        </row>
        <row r="26">
          <cell r="A26">
            <v>20</v>
          </cell>
          <cell r="B26" t="str">
            <v>なぎさ保育園</v>
          </cell>
          <cell r="C26">
            <v>90</v>
          </cell>
          <cell r="D26">
            <v>10</v>
          </cell>
          <cell r="E26">
            <v>161360</v>
          </cell>
          <cell r="F26">
            <v>94960</v>
          </cell>
          <cell r="G26">
            <v>45400</v>
          </cell>
          <cell r="H26">
            <v>38770</v>
          </cell>
          <cell r="I26">
            <v>15180</v>
          </cell>
          <cell r="J26">
            <v>8540</v>
          </cell>
          <cell r="K26">
            <v>3890</v>
          </cell>
          <cell r="L26">
            <v>3230</v>
          </cell>
          <cell r="M26">
            <v>510</v>
          </cell>
          <cell r="N26">
            <v>50</v>
          </cell>
          <cell r="O26">
            <v>177100</v>
          </cell>
          <cell r="P26">
            <v>104060</v>
          </cell>
          <cell r="Q26">
            <v>177100</v>
          </cell>
          <cell r="R26">
            <v>104060</v>
          </cell>
          <cell r="S26">
            <v>49850</v>
          </cell>
          <cell r="T26">
            <v>42560</v>
          </cell>
        </row>
        <row r="27">
          <cell r="A27">
            <v>21</v>
          </cell>
          <cell r="B27" t="str">
            <v>南小中台保育園</v>
          </cell>
          <cell r="C27">
            <v>90</v>
          </cell>
          <cell r="D27">
            <v>8</v>
          </cell>
          <cell r="E27">
            <v>161360</v>
          </cell>
          <cell r="F27">
            <v>94960</v>
          </cell>
          <cell r="G27">
            <v>45400</v>
          </cell>
          <cell r="H27">
            <v>38770</v>
          </cell>
          <cell r="I27">
            <v>12140</v>
          </cell>
          <cell r="J27">
            <v>6820</v>
          </cell>
          <cell r="K27">
            <v>3110</v>
          </cell>
          <cell r="L27">
            <v>2580</v>
          </cell>
          <cell r="M27">
            <v>510</v>
          </cell>
          <cell r="N27">
            <v>40</v>
          </cell>
          <cell r="O27">
            <v>174050</v>
          </cell>
          <cell r="P27">
            <v>102330</v>
          </cell>
          <cell r="Q27">
            <v>174050</v>
          </cell>
          <cell r="R27">
            <v>102330</v>
          </cell>
          <cell r="S27">
            <v>49060</v>
          </cell>
          <cell r="T27">
            <v>41900</v>
          </cell>
        </row>
        <row r="28">
          <cell r="A28">
            <v>22</v>
          </cell>
          <cell r="B28" t="str">
            <v>もみじ保育園</v>
          </cell>
          <cell r="C28">
            <v>120</v>
          </cell>
          <cell r="D28">
            <v>8</v>
          </cell>
          <cell r="E28">
            <v>154310</v>
          </cell>
          <cell r="F28">
            <v>87910</v>
          </cell>
          <cell r="G28">
            <v>38350</v>
          </cell>
          <cell r="H28">
            <v>31720</v>
          </cell>
          <cell r="I28">
            <v>11580</v>
          </cell>
          <cell r="J28">
            <v>6260</v>
          </cell>
          <cell r="K28">
            <v>2550</v>
          </cell>
          <cell r="L28">
            <v>2020</v>
          </cell>
          <cell r="M28">
            <v>380</v>
          </cell>
          <cell r="N28">
            <v>30</v>
          </cell>
          <cell r="O28">
            <v>166300</v>
          </cell>
          <cell r="P28">
            <v>94580</v>
          </cell>
          <cell r="Q28">
            <v>166300</v>
          </cell>
          <cell r="R28">
            <v>94580</v>
          </cell>
          <cell r="S28">
            <v>41310</v>
          </cell>
          <cell r="T28">
            <v>34150</v>
          </cell>
        </row>
        <row r="29">
          <cell r="A29">
            <v>23</v>
          </cell>
          <cell r="B29" t="str">
            <v>おゆみ野保育園</v>
          </cell>
          <cell r="C29">
            <v>90</v>
          </cell>
          <cell r="D29">
            <v>10</v>
          </cell>
          <cell r="E29">
            <v>161360</v>
          </cell>
          <cell r="F29">
            <v>94960</v>
          </cell>
          <cell r="G29">
            <v>45400</v>
          </cell>
          <cell r="H29">
            <v>38770</v>
          </cell>
          <cell r="I29">
            <v>15180</v>
          </cell>
          <cell r="J29">
            <v>8540</v>
          </cell>
          <cell r="K29">
            <v>3890</v>
          </cell>
          <cell r="L29">
            <v>3230</v>
          </cell>
          <cell r="M29">
            <v>510</v>
          </cell>
          <cell r="N29">
            <v>50</v>
          </cell>
          <cell r="O29">
            <v>177100</v>
          </cell>
          <cell r="P29">
            <v>104060</v>
          </cell>
          <cell r="Q29">
            <v>177100</v>
          </cell>
          <cell r="R29">
            <v>104060</v>
          </cell>
          <cell r="S29">
            <v>49850</v>
          </cell>
          <cell r="T29">
            <v>42560</v>
          </cell>
        </row>
        <row r="30">
          <cell r="A30">
            <v>24</v>
          </cell>
          <cell r="B30" t="str">
            <v>ナーセリー鏡戸</v>
          </cell>
          <cell r="C30">
            <v>120</v>
          </cell>
          <cell r="D30">
            <v>10</v>
          </cell>
          <cell r="E30">
            <v>154310</v>
          </cell>
          <cell r="F30">
            <v>87910</v>
          </cell>
          <cell r="G30">
            <v>38350</v>
          </cell>
          <cell r="H30">
            <v>31720</v>
          </cell>
          <cell r="I30">
            <v>14470</v>
          </cell>
          <cell r="J30">
            <v>7830</v>
          </cell>
          <cell r="K30">
            <v>3180</v>
          </cell>
          <cell r="L30">
            <v>2520</v>
          </cell>
          <cell r="M30">
            <v>380</v>
          </cell>
          <cell r="N30">
            <v>30</v>
          </cell>
          <cell r="O30">
            <v>169190</v>
          </cell>
          <cell r="P30">
            <v>96150</v>
          </cell>
          <cell r="Q30">
            <v>169190</v>
          </cell>
          <cell r="R30">
            <v>96150</v>
          </cell>
          <cell r="S30">
            <v>41940</v>
          </cell>
          <cell r="T30">
            <v>34650</v>
          </cell>
        </row>
        <row r="31">
          <cell r="A31">
            <v>25</v>
          </cell>
          <cell r="B31" t="str">
            <v>打瀬保育園</v>
          </cell>
          <cell r="C31">
            <v>120</v>
          </cell>
          <cell r="D31">
            <v>8</v>
          </cell>
          <cell r="E31">
            <v>154310</v>
          </cell>
          <cell r="F31">
            <v>87910</v>
          </cell>
          <cell r="G31">
            <v>38350</v>
          </cell>
          <cell r="H31">
            <v>31720</v>
          </cell>
          <cell r="I31">
            <v>11580</v>
          </cell>
          <cell r="J31">
            <v>6260</v>
          </cell>
          <cell r="K31">
            <v>2550</v>
          </cell>
          <cell r="L31">
            <v>2020</v>
          </cell>
          <cell r="M31">
            <v>380</v>
          </cell>
          <cell r="N31">
            <v>30</v>
          </cell>
          <cell r="O31">
            <v>166300</v>
          </cell>
          <cell r="P31">
            <v>94580</v>
          </cell>
          <cell r="Q31">
            <v>166300</v>
          </cell>
          <cell r="R31">
            <v>94580</v>
          </cell>
          <cell r="S31">
            <v>41310</v>
          </cell>
          <cell r="T31">
            <v>34150</v>
          </cell>
        </row>
        <row r="32">
          <cell r="A32">
            <v>26</v>
          </cell>
          <cell r="B32" t="str">
            <v>ふたば保育園</v>
          </cell>
          <cell r="C32">
            <v>120</v>
          </cell>
          <cell r="D32">
            <v>8</v>
          </cell>
          <cell r="E32">
            <v>154310</v>
          </cell>
          <cell r="F32">
            <v>87910</v>
          </cell>
          <cell r="G32">
            <v>38350</v>
          </cell>
          <cell r="H32">
            <v>31720</v>
          </cell>
          <cell r="I32">
            <v>11580</v>
          </cell>
          <cell r="J32">
            <v>6260</v>
          </cell>
          <cell r="K32">
            <v>2550</v>
          </cell>
          <cell r="L32">
            <v>2020</v>
          </cell>
          <cell r="M32">
            <v>380</v>
          </cell>
          <cell r="N32">
            <v>30</v>
          </cell>
          <cell r="O32">
            <v>166300</v>
          </cell>
          <cell r="P32">
            <v>94580</v>
          </cell>
          <cell r="Q32">
            <v>166300</v>
          </cell>
          <cell r="R32">
            <v>94580</v>
          </cell>
          <cell r="S32">
            <v>41310</v>
          </cell>
          <cell r="T32">
            <v>34150</v>
          </cell>
        </row>
        <row r="33">
          <cell r="A33">
            <v>27</v>
          </cell>
          <cell r="B33" t="str">
            <v>明和輝保育園</v>
          </cell>
          <cell r="C33">
            <v>90</v>
          </cell>
          <cell r="D33">
            <v>8</v>
          </cell>
          <cell r="E33">
            <v>161360</v>
          </cell>
          <cell r="F33">
            <v>94960</v>
          </cell>
          <cell r="G33">
            <v>45400</v>
          </cell>
          <cell r="H33">
            <v>38770</v>
          </cell>
          <cell r="I33">
            <v>12140</v>
          </cell>
          <cell r="J33">
            <v>6820</v>
          </cell>
          <cell r="K33">
            <v>3110</v>
          </cell>
          <cell r="L33">
            <v>2580</v>
          </cell>
          <cell r="M33">
            <v>510</v>
          </cell>
          <cell r="N33">
            <v>40</v>
          </cell>
          <cell r="O33">
            <v>174050</v>
          </cell>
          <cell r="P33">
            <v>102330</v>
          </cell>
          <cell r="Q33">
            <v>174050</v>
          </cell>
          <cell r="R33">
            <v>102330</v>
          </cell>
          <cell r="S33">
            <v>49060</v>
          </cell>
          <cell r="T33">
            <v>41900</v>
          </cell>
        </row>
        <row r="34">
          <cell r="A34">
            <v>28</v>
          </cell>
          <cell r="B34" t="str">
            <v>山王保育園</v>
          </cell>
          <cell r="C34">
            <v>45</v>
          </cell>
          <cell r="D34">
            <v>10</v>
          </cell>
          <cell r="E34">
            <v>176590</v>
          </cell>
          <cell r="F34">
            <v>110190</v>
          </cell>
          <cell r="G34">
            <v>60630</v>
          </cell>
          <cell r="H34">
            <v>54000</v>
          </cell>
          <cell r="I34">
            <v>16700</v>
          </cell>
          <cell r="J34">
            <v>10060</v>
          </cell>
          <cell r="K34">
            <v>5410</v>
          </cell>
          <cell r="L34">
            <v>4750</v>
          </cell>
          <cell r="M34">
            <v>920</v>
          </cell>
          <cell r="N34">
            <v>90</v>
          </cell>
          <cell r="O34">
            <v>194300</v>
          </cell>
          <cell r="P34">
            <v>121260</v>
          </cell>
          <cell r="Q34">
            <v>194300</v>
          </cell>
          <cell r="R34">
            <v>121260</v>
          </cell>
          <cell r="S34">
            <v>67050</v>
          </cell>
          <cell r="T34">
            <v>59760</v>
          </cell>
        </row>
        <row r="35">
          <cell r="A35">
            <v>29</v>
          </cell>
          <cell r="B35" t="str">
            <v>ﾁｬｲﾙﾄﾞ･ｶﾞｰﾃﾞﾝ保育園</v>
          </cell>
          <cell r="C35">
            <v>80</v>
          </cell>
          <cell r="D35">
            <v>8</v>
          </cell>
          <cell r="E35">
            <v>163740</v>
          </cell>
          <cell r="F35">
            <v>97340</v>
          </cell>
          <cell r="G35">
            <v>47780</v>
          </cell>
          <cell r="H35">
            <v>41150</v>
          </cell>
          <cell r="I35">
            <v>12330</v>
          </cell>
          <cell r="J35">
            <v>7010</v>
          </cell>
          <cell r="K35">
            <v>3300</v>
          </cell>
          <cell r="L35">
            <v>2770</v>
          </cell>
          <cell r="M35">
            <v>570</v>
          </cell>
          <cell r="N35">
            <v>40</v>
          </cell>
          <cell r="O35">
            <v>176680</v>
          </cell>
          <cell r="P35">
            <v>104960</v>
          </cell>
          <cell r="Q35">
            <v>176680</v>
          </cell>
          <cell r="R35">
            <v>104960</v>
          </cell>
          <cell r="S35">
            <v>51690</v>
          </cell>
          <cell r="T35">
            <v>44530</v>
          </cell>
        </row>
        <row r="36">
          <cell r="A36">
            <v>30</v>
          </cell>
          <cell r="B36" t="str">
            <v>明徳土気保育園</v>
          </cell>
          <cell r="C36">
            <v>120</v>
          </cell>
          <cell r="D36">
            <v>10</v>
          </cell>
          <cell r="E36">
            <v>154310</v>
          </cell>
          <cell r="F36">
            <v>87910</v>
          </cell>
          <cell r="G36">
            <v>38350</v>
          </cell>
          <cell r="H36">
            <v>31720</v>
          </cell>
          <cell r="I36">
            <v>14470</v>
          </cell>
          <cell r="J36">
            <v>7830</v>
          </cell>
          <cell r="K36">
            <v>3180</v>
          </cell>
          <cell r="L36">
            <v>2520</v>
          </cell>
          <cell r="M36">
            <v>380</v>
          </cell>
          <cell r="N36">
            <v>30</v>
          </cell>
          <cell r="O36">
            <v>169190</v>
          </cell>
          <cell r="P36">
            <v>96150</v>
          </cell>
          <cell r="Q36">
            <v>169190</v>
          </cell>
          <cell r="R36">
            <v>96150</v>
          </cell>
          <cell r="S36">
            <v>41940</v>
          </cell>
          <cell r="T36">
            <v>34650</v>
          </cell>
        </row>
        <row r="37">
          <cell r="A37">
            <v>31</v>
          </cell>
          <cell r="B37" t="str">
            <v>グレース保育園</v>
          </cell>
          <cell r="C37">
            <v>120</v>
          </cell>
          <cell r="D37">
            <v>8</v>
          </cell>
          <cell r="E37">
            <v>154310</v>
          </cell>
          <cell r="F37">
            <v>87910</v>
          </cell>
          <cell r="G37">
            <v>38350</v>
          </cell>
          <cell r="H37">
            <v>31720</v>
          </cell>
          <cell r="I37">
            <v>11580</v>
          </cell>
          <cell r="J37">
            <v>6260</v>
          </cell>
          <cell r="K37">
            <v>2550</v>
          </cell>
          <cell r="L37">
            <v>2020</v>
          </cell>
          <cell r="M37">
            <v>380</v>
          </cell>
          <cell r="N37">
            <v>30</v>
          </cell>
          <cell r="O37">
            <v>166300</v>
          </cell>
          <cell r="P37">
            <v>94580</v>
          </cell>
          <cell r="Q37">
            <v>166300</v>
          </cell>
          <cell r="R37">
            <v>94580</v>
          </cell>
          <cell r="S37">
            <v>41310</v>
          </cell>
          <cell r="T37">
            <v>34150</v>
          </cell>
        </row>
        <row r="38">
          <cell r="A38">
            <v>32</v>
          </cell>
          <cell r="B38" t="str">
            <v>みらい保育園</v>
          </cell>
          <cell r="C38">
            <v>120</v>
          </cell>
          <cell r="D38">
            <v>8</v>
          </cell>
          <cell r="E38">
            <v>154310</v>
          </cell>
          <cell r="F38">
            <v>87910</v>
          </cell>
          <cell r="G38">
            <v>38350</v>
          </cell>
          <cell r="H38">
            <v>31720</v>
          </cell>
          <cell r="I38">
            <v>11580</v>
          </cell>
          <cell r="J38">
            <v>6260</v>
          </cell>
          <cell r="K38">
            <v>2550</v>
          </cell>
          <cell r="L38">
            <v>2020</v>
          </cell>
          <cell r="M38">
            <v>380</v>
          </cell>
          <cell r="N38">
            <v>30</v>
          </cell>
          <cell r="O38">
            <v>166300</v>
          </cell>
          <cell r="P38">
            <v>94580</v>
          </cell>
          <cell r="Q38">
            <v>166300</v>
          </cell>
          <cell r="R38">
            <v>94580</v>
          </cell>
          <cell r="S38">
            <v>41310</v>
          </cell>
          <cell r="T38">
            <v>34150</v>
          </cell>
        </row>
        <row r="39">
          <cell r="A39">
            <v>33</v>
          </cell>
          <cell r="B39" t="str">
            <v>かまとり保育園</v>
          </cell>
          <cell r="C39">
            <v>90</v>
          </cell>
          <cell r="D39">
            <v>8</v>
          </cell>
          <cell r="E39">
            <v>161360</v>
          </cell>
          <cell r="F39">
            <v>94960</v>
          </cell>
          <cell r="G39">
            <v>45400</v>
          </cell>
          <cell r="H39">
            <v>38770</v>
          </cell>
          <cell r="I39">
            <v>12140</v>
          </cell>
          <cell r="J39">
            <v>6820</v>
          </cell>
          <cell r="K39">
            <v>3110</v>
          </cell>
          <cell r="L39">
            <v>2580</v>
          </cell>
          <cell r="M39">
            <v>510</v>
          </cell>
          <cell r="N39">
            <v>40</v>
          </cell>
          <cell r="O39">
            <v>174050</v>
          </cell>
          <cell r="P39">
            <v>102330</v>
          </cell>
          <cell r="Q39">
            <v>174050</v>
          </cell>
          <cell r="R39">
            <v>102330</v>
          </cell>
          <cell r="S39">
            <v>49060</v>
          </cell>
          <cell r="T39">
            <v>41900</v>
          </cell>
        </row>
        <row r="40">
          <cell r="A40">
            <v>34</v>
          </cell>
          <cell r="B40" t="str">
            <v>植草弁天保育園</v>
          </cell>
          <cell r="C40">
            <v>45</v>
          </cell>
          <cell r="D40">
            <v>12</v>
          </cell>
          <cell r="E40">
            <v>176590</v>
          </cell>
          <cell r="F40">
            <v>110190</v>
          </cell>
          <cell r="G40">
            <v>60630</v>
          </cell>
          <cell r="H40">
            <v>54000</v>
          </cell>
          <cell r="I40">
            <v>20040</v>
          </cell>
          <cell r="J40">
            <v>12070</v>
          </cell>
          <cell r="K40">
            <v>6490</v>
          </cell>
          <cell r="L40">
            <v>5700</v>
          </cell>
          <cell r="M40">
            <v>920</v>
          </cell>
          <cell r="N40">
            <v>110</v>
          </cell>
          <cell r="O40">
            <v>197660</v>
          </cell>
          <cell r="P40">
            <v>123290</v>
          </cell>
          <cell r="Q40">
            <v>197660</v>
          </cell>
          <cell r="R40">
            <v>123290</v>
          </cell>
          <cell r="S40">
            <v>68150</v>
          </cell>
          <cell r="T40">
            <v>60730</v>
          </cell>
        </row>
        <row r="41">
          <cell r="A41">
            <v>35</v>
          </cell>
          <cell r="B41" t="str">
            <v>ひなたぼっこ保育園</v>
          </cell>
          <cell r="C41">
            <v>30</v>
          </cell>
          <cell r="D41">
            <v>8</v>
          </cell>
          <cell r="E41">
            <v>189830</v>
          </cell>
          <cell r="F41">
            <v>123430</v>
          </cell>
          <cell r="G41">
            <v>73870</v>
          </cell>
          <cell r="H41">
            <v>67240</v>
          </cell>
          <cell r="I41">
            <v>14420</v>
          </cell>
          <cell r="J41">
            <v>9100</v>
          </cell>
          <cell r="K41">
            <v>5390</v>
          </cell>
          <cell r="L41">
            <v>4860</v>
          </cell>
          <cell r="M41">
            <v>1150</v>
          </cell>
          <cell r="N41">
            <v>90</v>
          </cell>
          <cell r="O41">
            <v>205490</v>
          </cell>
          <cell r="P41">
            <v>133770</v>
          </cell>
          <cell r="Q41">
            <v>205490</v>
          </cell>
          <cell r="R41">
            <v>133770</v>
          </cell>
          <cell r="S41">
            <v>80500</v>
          </cell>
          <cell r="T41">
            <v>73340</v>
          </cell>
        </row>
        <row r="42">
          <cell r="A42">
            <v>36</v>
          </cell>
          <cell r="B42" t="str">
            <v>はまかぜ保育園</v>
          </cell>
          <cell r="C42">
            <v>30</v>
          </cell>
          <cell r="D42">
            <v>8</v>
          </cell>
          <cell r="E42">
            <v>189830</v>
          </cell>
          <cell r="F42">
            <v>123430</v>
          </cell>
          <cell r="G42">
            <v>73870</v>
          </cell>
          <cell r="H42">
            <v>67240</v>
          </cell>
          <cell r="I42">
            <v>14420</v>
          </cell>
          <cell r="J42">
            <v>9100</v>
          </cell>
          <cell r="K42">
            <v>5390</v>
          </cell>
          <cell r="L42">
            <v>4860</v>
          </cell>
          <cell r="M42">
            <v>1150</v>
          </cell>
          <cell r="N42">
            <v>90</v>
          </cell>
          <cell r="O42">
            <v>205490</v>
          </cell>
          <cell r="P42">
            <v>133770</v>
          </cell>
          <cell r="Q42">
            <v>205490</v>
          </cell>
          <cell r="R42">
            <v>133770</v>
          </cell>
          <cell r="S42">
            <v>80500</v>
          </cell>
          <cell r="T42">
            <v>73340</v>
          </cell>
        </row>
        <row r="43">
          <cell r="A43">
            <v>37</v>
          </cell>
          <cell r="B43" t="str">
            <v>いなほ保育園</v>
          </cell>
          <cell r="C43">
            <v>45</v>
          </cell>
          <cell r="D43">
            <v>4</v>
          </cell>
          <cell r="E43">
            <v>176590</v>
          </cell>
          <cell r="F43">
            <v>110190</v>
          </cell>
          <cell r="G43">
            <v>60630</v>
          </cell>
          <cell r="H43">
            <v>54000</v>
          </cell>
          <cell r="I43">
            <v>6680</v>
          </cell>
          <cell r="J43">
            <v>4020</v>
          </cell>
          <cell r="K43">
            <v>2160</v>
          </cell>
          <cell r="L43">
            <v>1900</v>
          </cell>
          <cell r="M43">
            <v>920</v>
          </cell>
          <cell r="N43">
            <v>30</v>
          </cell>
          <cell r="O43">
            <v>184220</v>
          </cell>
          <cell r="P43">
            <v>115160</v>
          </cell>
          <cell r="Q43">
            <v>184220</v>
          </cell>
          <cell r="R43">
            <v>115160</v>
          </cell>
          <cell r="S43">
            <v>63740</v>
          </cell>
          <cell r="T43">
            <v>56850</v>
          </cell>
        </row>
        <row r="44">
          <cell r="A44">
            <v>38</v>
          </cell>
          <cell r="B44" t="str">
            <v>キッズマーム保育園</v>
          </cell>
          <cell r="C44">
            <v>30</v>
          </cell>
          <cell r="D44">
            <v>8</v>
          </cell>
          <cell r="E44">
            <v>189830</v>
          </cell>
          <cell r="F44">
            <v>123430</v>
          </cell>
          <cell r="G44">
            <v>73870</v>
          </cell>
          <cell r="H44">
            <v>67240</v>
          </cell>
          <cell r="I44">
            <v>14420</v>
          </cell>
          <cell r="J44">
            <v>9100</v>
          </cell>
          <cell r="K44">
            <v>5390</v>
          </cell>
          <cell r="L44">
            <v>4860</v>
          </cell>
          <cell r="M44">
            <v>1150</v>
          </cell>
          <cell r="N44">
            <v>90</v>
          </cell>
          <cell r="O44">
            <v>205490</v>
          </cell>
          <cell r="P44">
            <v>133770</v>
          </cell>
          <cell r="Q44">
            <v>205490</v>
          </cell>
          <cell r="R44">
            <v>133770</v>
          </cell>
          <cell r="S44">
            <v>80500</v>
          </cell>
          <cell r="T44">
            <v>73340</v>
          </cell>
        </row>
        <row r="45">
          <cell r="A45">
            <v>39</v>
          </cell>
          <cell r="B45" t="str">
            <v>アスク海浜幕張保育園</v>
          </cell>
          <cell r="C45">
            <v>59</v>
          </cell>
          <cell r="D45">
            <v>8</v>
          </cell>
          <cell r="E45">
            <v>170800</v>
          </cell>
          <cell r="F45">
            <v>104400</v>
          </cell>
          <cell r="G45">
            <v>54840</v>
          </cell>
          <cell r="H45">
            <v>48210</v>
          </cell>
          <cell r="I45">
            <v>12890</v>
          </cell>
          <cell r="J45">
            <v>7570</v>
          </cell>
          <cell r="K45">
            <v>3860</v>
          </cell>
          <cell r="L45">
            <v>3330</v>
          </cell>
          <cell r="M45">
            <v>760</v>
          </cell>
          <cell r="N45">
            <v>60</v>
          </cell>
          <cell r="O45">
            <v>184510</v>
          </cell>
          <cell r="P45">
            <v>112790</v>
          </cell>
          <cell r="Q45">
            <v>184510</v>
          </cell>
          <cell r="R45">
            <v>112790</v>
          </cell>
          <cell r="S45">
            <v>59520</v>
          </cell>
          <cell r="T45">
            <v>52360</v>
          </cell>
        </row>
        <row r="46">
          <cell r="A46">
            <v>40</v>
          </cell>
          <cell r="B46" t="str">
            <v>明徳浜野駅保育園</v>
          </cell>
          <cell r="C46">
            <v>36</v>
          </cell>
          <cell r="D46">
            <v>8</v>
          </cell>
          <cell r="E46">
            <v>178700</v>
          </cell>
          <cell r="F46">
            <v>112300</v>
          </cell>
          <cell r="G46">
            <v>62740</v>
          </cell>
          <cell r="H46">
            <v>56110</v>
          </cell>
          <cell r="I46">
            <v>13530</v>
          </cell>
          <cell r="J46">
            <v>8210</v>
          </cell>
          <cell r="K46">
            <v>4500</v>
          </cell>
          <cell r="L46">
            <v>3970</v>
          </cell>
          <cell r="M46">
            <v>1150</v>
          </cell>
          <cell r="N46">
            <v>90</v>
          </cell>
          <cell r="O46">
            <v>193470</v>
          </cell>
          <cell r="P46">
            <v>121750</v>
          </cell>
          <cell r="Q46">
            <v>193470</v>
          </cell>
          <cell r="R46">
            <v>121750</v>
          </cell>
          <cell r="S46">
            <v>68480</v>
          </cell>
          <cell r="T46">
            <v>61320</v>
          </cell>
        </row>
        <row r="47">
          <cell r="A47">
            <v>41</v>
          </cell>
          <cell r="B47" t="str">
            <v>幕張いもっこ保育園</v>
          </cell>
          <cell r="C47">
            <v>59</v>
          </cell>
          <cell r="D47">
            <v>4</v>
          </cell>
          <cell r="E47">
            <v>170800</v>
          </cell>
          <cell r="F47">
            <v>104400</v>
          </cell>
          <cell r="G47">
            <v>54840</v>
          </cell>
          <cell r="H47">
            <v>48210</v>
          </cell>
          <cell r="I47">
            <v>6440</v>
          </cell>
          <cell r="J47">
            <v>3780</v>
          </cell>
          <cell r="K47">
            <v>1920</v>
          </cell>
          <cell r="L47">
            <v>1660</v>
          </cell>
          <cell r="M47">
            <v>760</v>
          </cell>
          <cell r="N47">
            <v>30</v>
          </cell>
          <cell r="O47">
            <v>178030</v>
          </cell>
          <cell r="P47">
            <v>108970</v>
          </cell>
          <cell r="Q47">
            <v>178030</v>
          </cell>
          <cell r="R47">
            <v>108970</v>
          </cell>
          <cell r="S47">
            <v>57550</v>
          </cell>
          <cell r="T47">
            <v>50660</v>
          </cell>
        </row>
        <row r="48">
          <cell r="A48">
            <v>42</v>
          </cell>
          <cell r="B48" t="str">
            <v>稲毛すきっぷ保育園</v>
          </cell>
          <cell r="C48">
            <v>30</v>
          </cell>
          <cell r="D48">
            <v>8</v>
          </cell>
          <cell r="E48">
            <v>189830</v>
          </cell>
          <cell r="F48">
            <v>123430</v>
          </cell>
          <cell r="G48">
            <v>73870</v>
          </cell>
          <cell r="H48">
            <v>67240</v>
          </cell>
          <cell r="I48">
            <v>14420</v>
          </cell>
          <cell r="J48">
            <v>9100</v>
          </cell>
          <cell r="K48">
            <v>5390</v>
          </cell>
          <cell r="L48">
            <v>4860</v>
          </cell>
          <cell r="M48">
            <v>1150</v>
          </cell>
          <cell r="N48">
            <v>90</v>
          </cell>
          <cell r="O48">
            <v>205490</v>
          </cell>
          <cell r="P48">
            <v>133770</v>
          </cell>
          <cell r="Q48">
            <v>205490</v>
          </cell>
          <cell r="R48">
            <v>133770</v>
          </cell>
          <cell r="S48">
            <v>80500</v>
          </cell>
          <cell r="T48">
            <v>73340</v>
          </cell>
        </row>
        <row r="49">
          <cell r="A49">
            <v>43</v>
          </cell>
          <cell r="B49" t="str">
            <v>千葉聖心保育園</v>
          </cell>
          <cell r="C49">
            <v>45</v>
          </cell>
          <cell r="D49">
            <v>8</v>
          </cell>
          <cell r="E49">
            <v>176590</v>
          </cell>
          <cell r="F49">
            <v>110190</v>
          </cell>
          <cell r="G49">
            <v>60630</v>
          </cell>
          <cell r="H49">
            <v>54000</v>
          </cell>
          <cell r="I49">
            <v>13360</v>
          </cell>
          <cell r="J49">
            <v>8040</v>
          </cell>
          <cell r="K49">
            <v>4330</v>
          </cell>
          <cell r="L49">
            <v>3800</v>
          </cell>
          <cell r="M49">
            <v>920</v>
          </cell>
          <cell r="N49">
            <v>70</v>
          </cell>
          <cell r="O49">
            <v>190940</v>
          </cell>
          <cell r="P49">
            <v>119220</v>
          </cell>
          <cell r="Q49">
            <v>190940</v>
          </cell>
          <cell r="R49">
            <v>119220</v>
          </cell>
          <cell r="S49">
            <v>65950</v>
          </cell>
          <cell r="T49">
            <v>58790</v>
          </cell>
        </row>
        <row r="50">
          <cell r="A50">
            <v>44</v>
          </cell>
          <cell r="B50" t="str">
            <v>真生保育園</v>
          </cell>
          <cell r="C50">
            <v>90</v>
          </cell>
          <cell r="D50">
            <v>4</v>
          </cell>
          <cell r="E50">
            <v>161360</v>
          </cell>
          <cell r="F50">
            <v>94960</v>
          </cell>
          <cell r="G50">
            <v>45400</v>
          </cell>
          <cell r="H50">
            <v>38770</v>
          </cell>
          <cell r="I50">
            <v>6070</v>
          </cell>
          <cell r="J50">
            <v>3410</v>
          </cell>
          <cell r="K50">
            <v>1550</v>
          </cell>
          <cell r="L50">
            <v>1290</v>
          </cell>
          <cell r="M50">
            <v>510</v>
          </cell>
          <cell r="N50">
            <v>20</v>
          </cell>
          <cell r="O50">
            <v>167960</v>
          </cell>
          <cell r="P50">
            <v>98900</v>
          </cell>
          <cell r="Q50">
            <v>167960</v>
          </cell>
          <cell r="R50">
            <v>98900</v>
          </cell>
          <cell r="S50">
            <v>47480</v>
          </cell>
          <cell r="T50">
            <v>40590</v>
          </cell>
        </row>
        <row r="51">
          <cell r="A51">
            <v>45</v>
          </cell>
          <cell r="B51" t="str">
            <v>アップルナースリー検見川浜保育園</v>
          </cell>
          <cell r="C51">
            <v>30</v>
          </cell>
          <cell r="D51">
            <v>4</v>
          </cell>
          <cell r="E51">
            <v>189830</v>
          </cell>
          <cell r="F51">
            <v>123430</v>
          </cell>
          <cell r="G51">
            <v>73870</v>
          </cell>
          <cell r="H51">
            <v>67240</v>
          </cell>
          <cell r="I51">
            <v>7210</v>
          </cell>
          <cell r="J51">
            <v>4550</v>
          </cell>
          <cell r="K51">
            <v>2690</v>
          </cell>
          <cell r="L51">
            <v>2430</v>
          </cell>
          <cell r="M51">
            <v>1150</v>
          </cell>
          <cell r="N51">
            <v>40</v>
          </cell>
          <cell r="O51">
            <v>198230</v>
          </cell>
          <cell r="P51">
            <v>129170</v>
          </cell>
          <cell r="Q51">
            <v>198230</v>
          </cell>
          <cell r="R51">
            <v>129170</v>
          </cell>
          <cell r="S51">
            <v>77750</v>
          </cell>
          <cell r="T51">
            <v>70860</v>
          </cell>
        </row>
      </sheetData>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ショートカット"/>
      <sheetName val="ToDo"/>
      <sheetName val="修学資金ToDo"/>
      <sheetName val="会計検査Todo"/>
      <sheetName val="新規メモ"/>
      <sheetName val="机上連絡先"/>
      <sheetName val="来年度"/>
      <sheetName val="280401_6対1→5対1"/>
      <sheetName val="２７加配一人追加"/>
      <sheetName val="引き継ぎ構成"/>
      <sheetName val="連絡先"/>
      <sheetName val="28末-29当初"/>
      <sheetName val="照会対応関係【担当分】"/>
      <sheetName val="29末-30当初"/>
      <sheetName val="改善"/>
      <sheetName val="年度末対策 (2)"/>
      <sheetName val="H28園連絡先等"/>
      <sheetName val="園別備忘録"/>
      <sheetName val="業務知識"/>
      <sheetName val="各園の提出物管理"/>
      <sheetName val="280720市町村保育状況調査票"/>
      <sheetName val="民間障害児数及び配置保育士数"/>
      <sheetName val="交付決定内訳一覧"/>
      <sheetName val="技系"/>
      <sheetName val="貼付用"/>
      <sheetName val="28保育士数、正規非正規の割合"/>
      <sheetName val="29保育士数、正規非正規の割合"/>
      <sheetName val="27保育士数、正規非正規の割合"/>
      <sheetName val="28年4月時点の年齢別入所者と配置"/>
      <sheetName val="千葉市が不公平な扱いを受けている補助金（障害児保育費）根拠"/>
      <sheetName val="要件緩和の理解"/>
      <sheetName val="リスト"/>
      <sheetName val="旅費"/>
      <sheetName val="修学資金裁量免除計算"/>
      <sheetName val="歳入の調定方法"/>
      <sheetName val="修学資金"/>
      <sheetName val="27-29_常勤保育士数の割合 "/>
      <sheetName val="地域型園長年齢"/>
      <sheetName val="Sheet1"/>
      <sheetName val="メールボックス"/>
      <sheetName val="各園情報(30)"/>
      <sheetName val="机上連絡先29"/>
      <sheetName val="連絡先2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4">
          <cell r="B4" t="str">
            <v>01_全般</v>
          </cell>
          <cell r="C4" t="str">
            <v>01_知識</v>
          </cell>
          <cell r="F4" t="str">
            <v>01_ワード</v>
          </cell>
          <cell r="G4" t="str">
            <v>01_関数</v>
          </cell>
        </row>
        <row r="5">
          <cell r="B5" t="str">
            <v>02_配置基準</v>
          </cell>
          <cell r="C5" t="str">
            <v>02_進め方</v>
          </cell>
          <cell r="F5" t="str">
            <v>02_エクセル</v>
          </cell>
          <cell r="G5" t="str">
            <v>02_短縮</v>
          </cell>
        </row>
        <row r="6">
          <cell r="B6" t="str">
            <v>04_処遇改善等加算(基礎分)</v>
          </cell>
          <cell r="C6" t="str">
            <v>03_注意事項</v>
          </cell>
          <cell r="F6" t="str">
            <v>03_PC機能</v>
          </cell>
          <cell r="G6" t="str">
            <v>03_方法・知識</v>
          </cell>
        </row>
        <row r="7">
          <cell r="B7" t="str">
            <v>05_要件緩和</v>
          </cell>
          <cell r="C7" t="str">
            <v>04_連絡</v>
          </cell>
          <cell r="F7" t="str">
            <v>04_outlook</v>
          </cell>
          <cell r="G7">
            <v>0</v>
          </cell>
        </row>
        <row r="8">
          <cell r="B8" t="str">
            <v>08_文書管理</v>
          </cell>
          <cell r="C8" t="str">
            <v>05_人</v>
          </cell>
          <cell r="F8">
            <v>0</v>
          </cell>
          <cell r="G8">
            <v>0</v>
          </cell>
        </row>
        <row r="9">
          <cell r="B9" t="str">
            <v>09_財務</v>
          </cell>
          <cell r="C9" t="str">
            <v>06_改善事項</v>
          </cell>
        </row>
        <row r="10">
          <cell r="B10" t="str">
            <v>11_施設運営費</v>
          </cell>
          <cell r="C10" t="str">
            <v>07_検討</v>
          </cell>
        </row>
        <row r="11">
          <cell r="B11" t="str">
            <v>12_委託費・加算・給付費・小規模</v>
          </cell>
          <cell r="C11" t="str">
            <v>08_用語集</v>
          </cell>
        </row>
        <row r="12">
          <cell r="B12" t="str">
            <v>13_管外</v>
          </cell>
          <cell r="C12">
            <v>0</v>
          </cell>
        </row>
        <row r="13">
          <cell r="B13" t="str">
            <v>14_修学資金貸付等</v>
          </cell>
          <cell r="C13">
            <v>0</v>
          </cell>
        </row>
        <row r="14">
          <cell r="B14">
            <v>0</v>
          </cell>
          <cell r="C14">
            <v>0</v>
          </cell>
        </row>
        <row r="15">
          <cell r="B15" t="str">
            <v>03_子ども・子育て</v>
          </cell>
          <cell r="C15">
            <v>0</v>
          </cell>
          <cell r="F15" t="str">
            <v>01_中央区</v>
          </cell>
        </row>
        <row r="16">
          <cell r="B16" t="str">
            <v>03-1_利用者支援</v>
          </cell>
          <cell r="F16" t="str">
            <v>02_花見川区</v>
          </cell>
        </row>
        <row r="17">
          <cell r="B17" t="str">
            <v>03-2_延長保育</v>
          </cell>
          <cell r="F17" t="str">
            <v>03_稲毛区</v>
          </cell>
        </row>
        <row r="18">
          <cell r="B18" t="str">
            <v>03-3_実費徴収</v>
          </cell>
          <cell r="F18" t="str">
            <v>04_若葉区</v>
          </cell>
        </row>
        <row r="19">
          <cell r="B19" t="str">
            <v>03-4_多様な事業者参入</v>
          </cell>
          <cell r="F19" t="str">
            <v>05_緑区</v>
          </cell>
        </row>
        <row r="20">
          <cell r="B20" t="str">
            <v>03-5_放課後児童健全育成事業</v>
          </cell>
          <cell r="F20" t="str">
            <v>06_美浜区</v>
          </cell>
        </row>
        <row r="21">
          <cell r="B21" t="str">
            <v>03-6_子育て短期支援事業</v>
          </cell>
        </row>
        <row r="22">
          <cell r="B22" t="str">
            <v>03-7_乳児家庭全戸訪問事業</v>
          </cell>
        </row>
        <row r="23">
          <cell r="B23" t="str">
            <v>03-8_養育支援訪問事業</v>
          </cell>
        </row>
        <row r="24">
          <cell r="B24" t="str">
            <v>03-9_子どもを守る地域ネットワーク機能強化</v>
          </cell>
        </row>
        <row r="25">
          <cell r="B25" t="str">
            <v>03-10_地域子育て支援拠点事業</v>
          </cell>
        </row>
        <row r="26">
          <cell r="B26" t="str">
            <v>03-11_一時預かり</v>
          </cell>
        </row>
        <row r="27">
          <cell r="B27" t="str">
            <v>03-12_病児保育</v>
          </cell>
        </row>
        <row r="28">
          <cell r="B28" t="str">
            <v>03-13_ファミリー・サポート・センター</v>
          </cell>
        </row>
        <row r="29">
          <cell r="B29" t="str">
            <v>31_先取りプロジェクト</v>
          </cell>
        </row>
        <row r="30">
          <cell r="B30" t="str">
            <v>91_保育料</v>
          </cell>
        </row>
        <row r="31">
          <cell r="B31" t="str">
            <v>99_その他</v>
          </cell>
        </row>
      </sheetData>
      <sheetData sheetId="32"/>
      <sheetData sheetId="33"/>
      <sheetData sheetId="34"/>
      <sheetData sheetId="35"/>
      <sheetData sheetId="36"/>
      <sheetData sheetId="37"/>
      <sheetData sheetId="38"/>
      <sheetData sheetId="39"/>
      <sheetData sheetId="40"/>
      <sheetData sheetId="41" refreshError="1"/>
      <sheetData sheetId="4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シート"/>
      <sheetName val="計算シート"/>
      <sheetName val="１～３号・対応表"/>
      <sheetName val="１号・質改善後"/>
      <sheetName val="１号・質改善後②"/>
      <sheetName val="１号・質改善前"/>
      <sheetName val="１号・質改善前②"/>
      <sheetName val="２・３号・質改善後"/>
      <sheetName val="２・３号・質改善後②"/>
      <sheetName val="２・３号・質改善前"/>
      <sheetName val="２・３号・質改善前②"/>
      <sheetName val="Ver."/>
    </sheetNames>
    <sheetDataSet>
      <sheetData sheetId="0" refreshError="1"/>
      <sheetData sheetId="1" refreshError="1"/>
      <sheetData sheetId="2">
        <row r="3">
          <cell r="I3" t="str">
            <v>なし</v>
          </cell>
          <cell r="L3" t="str">
            <v>0日</v>
          </cell>
          <cell r="N3" t="str">
            <v>0人</v>
          </cell>
          <cell r="O3" t="str">
            <v>認可施設</v>
          </cell>
        </row>
        <row r="4">
          <cell r="L4" t="str">
            <v>1日</v>
          </cell>
          <cell r="N4" t="str">
            <v>1人</v>
          </cell>
          <cell r="O4" t="str">
            <v>機能部分</v>
          </cell>
        </row>
        <row r="5">
          <cell r="L5" t="str">
            <v>2日</v>
          </cell>
          <cell r="N5" t="str">
            <v>2人</v>
          </cell>
        </row>
        <row r="6">
          <cell r="L6" t="str">
            <v>3日</v>
          </cell>
          <cell r="N6" t="str">
            <v>3人</v>
          </cell>
        </row>
        <row r="7">
          <cell r="L7" t="str">
            <v>4日</v>
          </cell>
          <cell r="N7" t="str">
            <v>4人</v>
          </cell>
        </row>
        <row r="8">
          <cell r="L8" t="str">
            <v>5日</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補助金用基本データ"/>
      <sheetName val="個別データ"/>
      <sheetName val="⓪ファイルの説明"/>
      <sheetName val="修正等箇所"/>
      <sheetName val="①基本情報"/>
      <sheetName val="②-1職員名簿"/>
      <sheetName val="②-2勤務時間数入力"/>
      <sheetName val="③児童数及び保育士定数 (2)-(1)"/>
      <sheetName val="④-1月別配置内訳書(2)-(2)-(A)"/>
      <sheetName val="④-2月別配置内訳書(2)-(2)-(B)"/>
      <sheetName val="④-3月別配置内訳書(2)-(2)-(C)"/>
      <sheetName val="⑤基本分、３歳未満児(3)"/>
      <sheetName val="⑥１・２歳児担当内訳書(4)"/>
      <sheetName val="⑦産休明け保育等(5)"/>
      <sheetName val="⑧要配慮内訳書(6)"/>
      <sheetName val="⑨調理内訳書(7)"/>
      <sheetName val="様式４"/>
      <sheetName val="様式６"/>
      <sheetName val="様式８"/>
      <sheetName val="精算書"/>
      <sheetName val="様式１"/>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補助金用基本データ"/>
      <sheetName val="個別データ"/>
      <sheetName val="⓪ファイルの説明"/>
      <sheetName val="①基本情報"/>
      <sheetName val="②-1職員名簿"/>
      <sheetName val="②-2勤務時間数入力"/>
      <sheetName val="③児童数及び保育士定数 (2)-(1)"/>
      <sheetName val="④-1月別配置内訳書(2)-(2)-(A)"/>
      <sheetName val="④-2月別配置内訳書(2)-(2)-(B)"/>
      <sheetName val="④-3月別配置内訳書(2)-(2)-(C)"/>
      <sheetName val="⑤基本分、３歳未満児(3)"/>
      <sheetName val="⑥１・２歳児担当内訳書(4)"/>
      <sheetName val="⑦産休明け保育等(5)"/>
      <sheetName val="⑧要配慮内訳書(6)"/>
      <sheetName val="⑨調理内訳書(7)"/>
      <sheetName val="様式３"/>
      <sheetName val="様式４"/>
      <sheetName val="様式６"/>
      <sheetName val="様式８"/>
      <sheetName val="精算書"/>
      <sheetName val="修正等箇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単価引上率"/>
      <sheetName val="目次１"/>
      <sheetName val="１居宅介護"/>
      <sheetName val="２重度訪問介護"/>
      <sheetName val="３行動援護"/>
      <sheetName val="４重度包括"/>
      <sheetName val="５療養介護"/>
      <sheetName val="６生活介護"/>
      <sheetName val="７児童デイ"/>
      <sheetName val="８短期入所"/>
      <sheetName val="９共同生活介護"/>
      <sheetName val="１０施設入所支援"/>
      <sheetName val="１１共同生活援助"/>
      <sheetName val="１２自立訓練（機能）"/>
      <sheetName val="１３自立訓練（生活）"/>
      <sheetName val="１４宿泊型自立訓練"/>
      <sheetName val="１５就労移行支援"/>
      <sheetName val="１６就労移行支援（養成）"/>
      <sheetName val="１７就労継続支援Ａ型"/>
      <sheetName val="１８就労継続支援Ｂ型"/>
      <sheetName val="１９相談支援"/>
      <sheetName val="２０身体入所更生"/>
      <sheetName val="２１身体通所更生"/>
      <sheetName val="２２身体入所療護"/>
      <sheetName val="２３身体通所療護"/>
      <sheetName val="２４身体入所授産"/>
      <sheetName val="２５身体通所授産"/>
      <sheetName val="２６知的入所更生"/>
      <sheetName val="２７知的通所更生"/>
      <sheetName val="２８知的入所授産"/>
      <sheetName val="２９知的通所授産"/>
      <sheetName val="３０知的通勤寮"/>
      <sheetName val="【比較前】単価入力"/>
      <sheetName val="入力シート"/>
      <sheetName val="Sheet3"/>
      <sheetName val="Sheet2"/>
      <sheetName val="実績報告書（処遇改善Ⅰ）"/>
      <sheetName val="【提出不要】実績報告書（処遇改善Ⅰ）"/>
      <sheetName val="【様式５別添１】賃金改善明細書（職員別）"/>
      <sheetName val="保育単価表【抽出】"/>
    </sheetNames>
    <sheetDataSet>
      <sheetData sheetId="0" refreshError="1">
        <row r="2">
          <cell r="B2">
            <v>4.5999999999999999E-2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最新基本データ"/>
      <sheetName val="事業所内含む認可外一覧 (1月)  "/>
      <sheetName val="事業所内含む認可外一覧 (12月)  "/>
      <sheetName val="事業所内含む認可外一覧 (11月)"/>
      <sheetName val="先Ｐとルーム一覧"/>
      <sheetName val="事業所内含む認可外一覧 (9月) "/>
      <sheetName val="ルーム保育料HP用"/>
      <sheetName val="最新基本データ (５月)"/>
      <sheetName val="先Ｐとルーム一覧 (2)"/>
      <sheetName val="事業所内含む認可外一覧"/>
      <sheetName val="事業所内含む認可外一覧 (7月)"/>
    </sheetNames>
    <sheetDataSet>
      <sheetData sheetId="0">
        <row r="1">
          <cell r="A1" t="str">
            <v>平成27年度　千葉市保育ルーム認定施設一覧</v>
          </cell>
        </row>
        <row r="5">
          <cell r="A5">
            <v>1</v>
          </cell>
          <cell r="B5" t="str">
            <v>かるがも保育園蘇我園</v>
          </cell>
          <cell r="C5" t="str">
            <v>260-0842</v>
          </cell>
          <cell r="D5" t="str">
            <v>中央区南町2-6-10 初芝ﾋﾞﾙ101</v>
          </cell>
          <cell r="E5" t="str">
            <v>丸　恵美</v>
          </cell>
          <cell r="F5" t="str">
            <v>261-8349</v>
          </cell>
          <cell r="G5" t="str">
            <v>261-8349</v>
          </cell>
          <cell r="H5" t="str">
            <v>rnqsc985@ybb.ne.jp</v>
          </cell>
          <cell r="I5">
            <v>37653</v>
          </cell>
          <cell r="J5" t="str">
            <v>1・2F</v>
          </cell>
          <cell r="K5">
            <v>77.33</v>
          </cell>
          <cell r="L5">
            <v>45</v>
          </cell>
          <cell r="M5">
            <v>45</v>
          </cell>
          <cell r="N5" t="str">
            <v>7:00～20:00</v>
          </cell>
          <cell r="O5" t="str">
            <v>51,500～74,300円</v>
          </cell>
          <cell r="P5">
            <v>53300</v>
          </cell>
          <cell r="Q5">
            <v>43000</v>
          </cell>
          <cell r="R5">
            <v>43000</v>
          </cell>
          <cell r="S5">
            <v>44500</v>
          </cell>
          <cell r="T5">
            <v>44500</v>
          </cell>
          <cell r="U5">
            <v>44500</v>
          </cell>
          <cell r="V5">
            <v>74300</v>
          </cell>
          <cell r="W5">
            <v>64000</v>
          </cell>
          <cell r="X5">
            <v>64000</v>
          </cell>
          <cell r="Y5">
            <v>51500</v>
          </cell>
          <cell r="Z5">
            <v>51500</v>
          </cell>
          <cell r="AA5">
            <v>51500</v>
          </cell>
          <cell r="AB5" t="str">
            <v>上の子・1万円引</v>
          </cell>
          <cell r="AC5">
            <v>21000</v>
          </cell>
          <cell r="AD5" t="str">
            <v>施設調理</v>
          </cell>
          <cell r="AE5" t="str">
            <v>○</v>
          </cell>
          <cell r="AF5" t="str">
            <v>○</v>
          </cell>
          <cell r="AG5" t="str">
            <v>株式会社</v>
          </cell>
          <cell r="AH5" t="str">
            <v>株式会社　かるがも</v>
          </cell>
          <cell r="AI5" t="str">
            <v>四街道市四街道1-5-5</v>
          </cell>
          <cell r="AJ5" t="str">
            <v>代表取締役　目片智恵美</v>
          </cell>
          <cell r="AK5" t="str">
            <v>株式会社　かるがも</v>
          </cell>
          <cell r="AL5" t="str">
            <v>四街道市四街道1-5-5</v>
          </cell>
          <cell r="AM5" t="str">
            <v>代表取締役　目片智恵美</v>
          </cell>
        </row>
        <row r="6">
          <cell r="A6">
            <v>2</v>
          </cell>
          <cell r="B6" t="str">
            <v>キッズ・ガーデン千葉中央園</v>
          </cell>
          <cell r="C6" t="str">
            <v>260-0013</v>
          </cell>
          <cell r="D6" t="str">
            <v>中央区中央3-13-1 富士屋ﾋﾞﾙ2F</v>
          </cell>
          <cell r="E6" t="str">
            <v>井手　健二郎</v>
          </cell>
          <cell r="F6" t="str">
            <v>202-3888</v>
          </cell>
          <cell r="G6" t="str">
            <v>202-3888</v>
          </cell>
          <cell r="H6" t="str">
            <v>ide@kids-garden.co.jp</v>
          </cell>
          <cell r="I6">
            <v>36220</v>
          </cell>
          <cell r="J6" t="str">
            <v>2F</v>
          </cell>
          <cell r="K6">
            <v>50.17</v>
          </cell>
          <cell r="L6">
            <v>30</v>
          </cell>
          <cell r="M6">
            <v>30</v>
          </cell>
          <cell r="N6" t="str">
            <v>7:00～19:30</v>
          </cell>
          <cell r="O6" t="str">
            <v>52,150～56,950円</v>
          </cell>
          <cell r="P6">
            <v>51950</v>
          </cell>
          <cell r="Q6">
            <v>51950</v>
          </cell>
          <cell r="R6">
            <v>51950</v>
          </cell>
          <cell r="S6">
            <v>47150</v>
          </cell>
          <cell r="T6">
            <v>47150</v>
          </cell>
          <cell r="U6">
            <v>47150</v>
          </cell>
          <cell r="V6">
            <v>56950</v>
          </cell>
          <cell r="W6">
            <v>56950</v>
          </cell>
          <cell r="X6">
            <v>56950</v>
          </cell>
          <cell r="Y6">
            <v>52150</v>
          </cell>
          <cell r="Z6">
            <v>52150</v>
          </cell>
          <cell r="AA6">
            <v>52150</v>
          </cell>
          <cell r="AB6" t="str">
            <v>上の子・半額</v>
          </cell>
          <cell r="AC6">
            <v>0</v>
          </cell>
          <cell r="AD6" t="str">
            <v>外部委託</v>
          </cell>
          <cell r="AE6" t="str">
            <v>×</v>
          </cell>
          <cell r="AF6" t="str">
            <v>○</v>
          </cell>
          <cell r="AG6" t="str">
            <v>株式会社</v>
          </cell>
          <cell r="AH6" t="str">
            <v>(株)生活設計</v>
          </cell>
          <cell r="AI6" t="str">
            <v>八千代市勝田1247-6</v>
          </cell>
          <cell r="AJ6" t="str">
            <v>代表取締役　井手　健二郎</v>
          </cell>
          <cell r="AK6" t="str">
            <v>(株)生活設計</v>
          </cell>
          <cell r="AL6" t="str">
            <v>八千代市勝田1247-6</v>
          </cell>
          <cell r="AM6" t="str">
            <v>代表取締役　井手　健二郎</v>
          </cell>
        </row>
        <row r="7">
          <cell r="A7">
            <v>3</v>
          </cell>
          <cell r="B7" t="str">
            <v>こどもハウスいるか</v>
          </cell>
          <cell r="C7" t="str">
            <v>260-0012</v>
          </cell>
          <cell r="D7" t="str">
            <v>中央区本町1-5-3</v>
          </cell>
          <cell r="E7" t="str">
            <v>島田　和典</v>
          </cell>
          <cell r="F7" t="str">
            <v>224-7171</v>
          </cell>
          <cell r="G7" t="str">
            <v>224-7179</v>
          </cell>
          <cell r="H7" t="str">
            <v>なし</v>
          </cell>
          <cell r="I7">
            <v>38534</v>
          </cell>
          <cell r="J7" t="str">
            <v>1F</v>
          </cell>
          <cell r="K7">
            <v>51.48</v>
          </cell>
          <cell r="L7">
            <v>31</v>
          </cell>
          <cell r="M7">
            <v>31</v>
          </cell>
          <cell r="N7" t="str">
            <v>6:00～23:00</v>
          </cell>
          <cell r="O7" t="str">
            <v>34,000～49,000円</v>
          </cell>
          <cell r="P7">
            <v>37000</v>
          </cell>
          <cell r="Q7">
            <v>35000</v>
          </cell>
          <cell r="R7">
            <v>30000</v>
          </cell>
          <cell r="S7">
            <v>25000</v>
          </cell>
          <cell r="T7">
            <v>22000</v>
          </cell>
          <cell r="U7">
            <v>22000</v>
          </cell>
          <cell r="V7">
            <v>49000</v>
          </cell>
          <cell r="W7">
            <v>47000</v>
          </cell>
          <cell r="X7">
            <v>42000</v>
          </cell>
          <cell r="Y7">
            <v>37000</v>
          </cell>
          <cell r="Z7">
            <v>34000</v>
          </cell>
          <cell r="AA7">
            <v>34000</v>
          </cell>
          <cell r="AB7" t="str">
            <v>上の子・1万円引</v>
          </cell>
          <cell r="AC7">
            <v>0</v>
          </cell>
          <cell r="AD7" t="str">
            <v>外部委託</v>
          </cell>
          <cell r="AE7" t="str">
            <v>○</v>
          </cell>
          <cell r="AF7" t="str">
            <v>○</v>
          </cell>
          <cell r="AG7" t="str">
            <v>NPO法人</v>
          </cell>
          <cell r="AH7" t="str">
            <v>民間会社</v>
          </cell>
          <cell r="AI7" t="str">
            <v>民間会社</v>
          </cell>
          <cell r="AJ7" t="str">
            <v>千葉市中央区院内2-15-13</v>
          </cell>
          <cell r="AK7" t="str">
            <v>(非)介護サービス</v>
          </cell>
          <cell r="AL7" t="str">
            <v>千葉市中央区院内2-15-13</v>
          </cell>
          <cell r="AM7" t="str">
            <v>理事代表　島田　裕子</v>
          </cell>
        </row>
        <row r="8">
          <cell r="A8">
            <v>4</v>
          </cell>
          <cell r="B8" t="str">
            <v>中央保育所</v>
          </cell>
          <cell r="C8" t="str">
            <v>260-0007</v>
          </cell>
          <cell r="D8" t="str">
            <v>中央区祐光2-11-12 SKﾏﾝｼｮﾝ213号</v>
          </cell>
          <cell r="E8" t="str">
            <v>渡邉　正行</v>
          </cell>
          <cell r="F8" t="str">
            <v>227-5155</v>
          </cell>
          <cell r="G8" t="str">
            <v>227-5508</v>
          </cell>
          <cell r="H8" t="str">
            <v>qq5t2nmd@honey.ocn.ne.jp</v>
          </cell>
          <cell r="I8">
            <v>36346</v>
          </cell>
          <cell r="J8" t="str">
            <v>1・2F</v>
          </cell>
          <cell r="K8">
            <v>290.2</v>
          </cell>
          <cell r="L8">
            <v>130</v>
          </cell>
          <cell r="M8">
            <v>59</v>
          </cell>
          <cell r="N8" t="str">
            <v>6:00～22:00</v>
          </cell>
          <cell r="O8" t="str">
            <v>37,090～61,860円</v>
          </cell>
          <cell r="P8">
            <v>46860</v>
          </cell>
          <cell r="Q8">
            <v>40660</v>
          </cell>
          <cell r="R8">
            <v>28300</v>
          </cell>
          <cell r="S8">
            <v>27090</v>
          </cell>
          <cell r="T8">
            <v>27090</v>
          </cell>
          <cell r="U8">
            <v>27090</v>
          </cell>
          <cell r="V8">
            <v>61860</v>
          </cell>
          <cell r="W8">
            <v>55660</v>
          </cell>
          <cell r="X8">
            <v>43300</v>
          </cell>
          <cell r="Y8">
            <v>37090</v>
          </cell>
          <cell r="Z8">
            <v>37090</v>
          </cell>
          <cell r="AA8">
            <v>37090</v>
          </cell>
          <cell r="AB8" t="str">
            <v>上の子・０歳、１歳、２歳→１万５千円引き、３歳以上→１万円引</v>
          </cell>
          <cell r="AC8">
            <v>0</v>
          </cell>
          <cell r="AD8" t="str">
            <v>施設調理</v>
          </cell>
          <cell r="AE8" t="str">
            <v>○</v>
          </cell>
          <cell r="AF8" t="str">
            <v>○</v>
          </cell>
          <cell r="AG8" t="str">
            <v>株式会社</v>
          </cell>
          <cell r="AH8" t="str">
            <v>有</v>
          </cell>
          <cell r="AI8" t="str">
            <v>個人</v>
          </cell>
          <cell r="AJ8" t="str">
            <v>昼間型</v>
          </cell>
          <cell r="AK8" t="str">
            <v>（株）かずさケアーサポート</v>
          </cell>
          <cell r="AL8" t="str">
            <v>千葉市中央区神明町26番地３</v>
          </cell>
          <cell r="AM8" t="str">
            <v>代表取締役　渡邉正行</v>
          </cell>
        </row>
        <row r="9">
          <cell r="A9">
            <v>5</v>
          </cell>
          <cell r="B9" t="str">
            <v>はっぴぃルーム本千葉駅前園</v>
          </cell>
          <cell r="C9" t="str">
            <v>260-0854</v>
          </cell>
          <cell r="D9" t="str">
            <v>中央区長洲1-24-12 今井ﾋﾞﾙ1F</v>
          </cell>
          <cell r="E9" t="str">
            <v>川崎　いずみ</v>
          </cell>
          <cell r="F9" t="str">
            <v>202-2562</v>
          </cell>
          <cell r="G9" t="str">
            <v>202-2562</v>
          </cell>
          <cell r="H9" t="str">
            <v>なし</v>
          </cell>
          <cell r="I9">
            <v>37247</v>
          </cell>
          <cell r="J9" t="str">
            <v>1F</v>
          </cell>
          <cell r="K9">
            <v>55.5</v>
          </cell>
          <cell r="L9">
            <v>28</v>
          </cell>
          <cell r="M9">
            <v>28</v>
          </cell>
          <cell r="N9" t="str">
            <v>7:30～21:00</v>
          </cell>
          <cell r="O9" t="str">
            <v>51,700～64,700円</v>
          </cell>
          <cell r="P9">
            <v>44500</v>
          </cell>
          <cell r="Q9">
            <v>50700</v>
          </cell>
          <cell r="R9">
            <v>47700</v>
          </cell>
          <cell r="S9">
            <v>44700</v>
          </cell>
          <cell r="T9">
            <v>41700</v>
          </cell>
          <cell r="U9">
            <v>41700</v>
          </cell>
          <cell r="V9">
            <v>58500</v>
          </cell>
          <cell r="W9">
            <v>64700</v>
          </cell>
          <cell r="X9">
            <v>61700</v>
          </cell>
          <cell r="Y9">
            <v>58700</v>
          </cell>
          <cell r="Z9">
            <v>51700</v>
          </cell>
          <cell r="AA9">
            <v>51700</v>
          </cell>
          <cell r="AB9" t="str">
            <v>上の子・半額</v>
          </cell>
          <cell r="AC9">
            <v>10000</v>
          </cell>
          <cell r="AD9" t="str">
            <v>外部委託</v>
          </cell>
          <cell r="AE9" t="str">
            <v>×</v>
          </cell>
          <cell r="AF9" t="str">
            <v>○</v>
          </cell>
          <cell r="AG9" t="str">
            <v>個人</v>
          </cell>
          <cell r="AH9" t="str">
            <v>有</v>
          </cell>
          <cell r="AI9" t="str">
            <v>個人</v>
          </cell>
          <cell r="AJ9" t="str">
            <v>併用型</v>
          </cell>
          <cell r="AK9" t="str">
            <v>浅沼　滝二</v>
          </cell>
          <cell r="AL9" t="str">
            <v>千葉市中央区仁戸名町236-9</v>
          </cell>
          <cell r="AM9" t="str">
            <v>浅沼　滝二</v>
          </cell>
        </row>
        <row r="10">
          <cell r="A10">
            <v>6</v>
          </cell>
          <cell r="B10" t="str">
            <v>ベビールームこどものへや</v>
          </cell>
          <cell r="C10" t="str">
            <v>260-0854</v>
          </cell>
          <cell r="D10" t="str">
            <v>中央区長洲1-33-13 共栄ﾋﾞﾙ</v>
          </cell>
          <cell r="E10" t="str">
            <v>岩本　明</v>
          </cell>
          <cell r="F10" t="str">
            <v>227-0007</v>
          </cell>
          <cell r="G10" t="str">
            <v>202-2723</v>
          </cell>
          <cell r="H10" t="str">
            <v xml:space="preserve">ak.4000@tea.ocn.ne.jp
</v>
          </cell>
          <cell r="I10">
            <v>35217</v>
          </cell>
          <cell r="J10" t="str">
            <v>1F</v>
          </cell>
          <cell r="K10">
            <v>39.83</v>
          </cell>
          <cell r="L10">
            <v>23</v>
          </cell>
          <cell r="M10">
            <v>23</v>
          </cell>
          <cell r="N10" t="str">
            <v>8:00～20:00</v>
          </cell>
          <cell r="O10" t="str">
            <v>58,500～73,500円</v>
          </cell>
          <cell r="P10">
            <v>63500</v>
          </cell>
          <cell r="Q10">
            <v>53500</v>
          </cell>
          <cell r="R10">
            <v>53500</v>
          </cell>
          <cell r="S10">
            <v>48500</v>
          </cell>
          <cell r="T10">
            <v>48500</v>
          </cell>
          <cell r="U10">
            <v>48500</v>
          </cell>
          <cell r="V10">
            <v>73500</v>
          </cell>
          <cell r="W10">
            <v>63500</v>
          </cell>
          <cell r="X10">
            <v>63500</v>
          </cell>
          <cell r="Y10">
            <v>58500</v>
          </cell>
          <cell r="Z10">
            <v>58500</v>
          </cell>
          <cell r="AA10">
            <v>58500</v>
          </cell>
          <cell r="AB10" t="str">
            <v>上の子・半額</v>
          </cell>
          <cell r="AC10">
            <v>15000</v>
          </cell>
          <cell r="AD10" t="str">
            <v>外部委託</v>
          </cell>
          <cell r="AE10" t="str">
            <v>×</v>
          </cell>
          <cell r="AF10" t="str">
            <v>○</v>
          </cell>
          <cell r="AG10" t="str">
            <v>有限会社</v>
          </cell>
          <cell r="AH10" t="str">
            <v>無</v>
          </cell>
          <cell r="AI10" t="str">
            <v>民間会社</v>
          </cell>
          <cell r="AJ10" t="str">
            <v>併用型</v>
          </cell>
          <cell r="AK10" t="str">
            <v>(有)共栄サークル</v>
          </cell>
          <cell r="AL10" t="str">
            <v>千葉市中央区長洲1-33-13</v>
          </cell>
          <cell r="AM10" t="str">
            <v>代表取締役　岩本　明</v>
          </cell>
        </row>
        <row r="11">
          <cell r="A11">
            <v>7</v>
          </cell>
          <cell r="B11" t="str">
            <v>リトルガーデン千葉ポートタウン</v>
          </cell>
          <cell r="C11" t="str">
            <v>260-0025</v>
          </cell>
          <cell r="D11" t="str">
            <v>中央区問屋町1-50 千葉ﾎﾟｰﾄﾀｳﾝ1F</v>
          </cell>
          <cell r="E11" t="str">
            <v>吉田　さやか</v>
          </cell>
          <cell r="F11" t="str">
            <v>244-8839</v>
          </cell>
          <cell r="G11" t="str">
            <v>244-8839</v>
          </cell>
          <cell r="H11" t="str">
            <v>porttown@littlegarden-inter.com</v>
          </cell>
          <cell r="I11">
            <v>38403</v>
          </cell>
          <cell r="J11" t="str">
            <v>1F</v>
          </cell>
          <cell r="K11">
            <v>278.97000000000003</v>
          </cell>
          <cell r="L11">
            <v>100</v>
          </cell>
          <cell r="M11">
            <v>59</v>
          </cell>
          <cell r="N11" t="str">
            <v>7:00～19:00</v>
          </cell>
          <cell r="O11" t="str">
            <v>76,000～92,500円</v>
          </cell>
          <cell r="P11">
            <v>66000</v>
          </cell>
          <cell r="Q11">
            <v>59000</v>
          </cell>
          <cell r="R11">
            <v>59000</v>
          </cell>
          <cell r="S11">
            <v>76000</v>
          </cell>
          <cell r="T11">
            <v>72000</v>
          </cell>
          <cell r="U11">
            <v>72000</v>
          </cell>
          <cell r="V11">
            <v>86000</v>
          </cell>
          <cell r="W11">
            <v>76000</v>
          </cell>
          <cell r="X11">
            <v>76000</v>
          </cell>
          <cell r="Y11">
            <v>95000</v>
          </cell>
          <cell r="Z11">
            <v>92500</v>
          </cell>
          <cell r="AA11">
            <v>92500</v>
          </cell>
          <cell r="AB11" t="str">
            <v>第２子以降・１万円引</v>
          </cell>
          <cell r="AC11">
            <v>50000</v>
          </cell>
          <cell r="AD11" t="str">
            <v>施設調理</v>
          </cell>
          <cell r="AE11" t="str">
            <v>×</v>
          </cell>
          <cell r="AF11" t="str">
            <v>○</v>
          </cell>
          <cell r="AG11" t="str">
            <v>合資会社</v>
          </cell>
          <cell r="AH11" t="str">
            <v>無</v>
          </cell>
          <cell r="AI11" t="str">
            <v>個人</v>
          </cell>
          <cell r="AJ11" t="str">
            <v>併用型</v>
          </cell>
          <cell r="AK11" t="str">
            <v>合資会社ライフコミュニケーション</v>
          </cell>
          <cell r="AL11" t="str">
            <v>美浜区中瀬2－6－1　WBGﾏﾘﾌﾞｳｴｽﾄ2F</v>
          </cell>
          <cell r="AM11" t="str">
            <v>無限責任社員　佐々木　豊</v>
          </cell>
        </row>
        <row r="12">
          <cell r="A12">
            <v>8</v>
          </cell>
          <cell r="B12" t="str">
            <v>エバーキッズ幕張保育園</v>
          </cell>
          <cell r="C12" t="str">
            <v>262-0033</v>
          </cell>
          <cell r="D12" t="str">
            <v>花見川区幕張本郷2-4-8</v>
          </cell>
          <cell r="E12" t="str">
            <v>松原　舞</v>
          </cell>
          <cell r="F12" t="str">
            <v>276-8451</v>
          </cell>
          <cell r="G12" t="str">
            <v>276-8451</v>
          </cell>
          <cell r="H12" t="str">
            <v xml:space="preserve">maruyama@babys-breath.org </v>
          </cell>
          <cell r="I12">
            <v>39886</v>
          </cell>
          <cell r="J12" t="str">
            <v>1F</v>
          </cell>
          <cell r="K12">
            <v>39.6</v>
          </cell>
          <cell r="L12">
            <v>24</v>
          </cell>
          <cell r="M12">
            <v>24</v>
          </cell>
          <cell r="N12" t="str">
            <v>7:30～19:00</v>
          </cell>
          <cell r="O12" t="str">
            <v>55,000～59,000円</v>
          </cell>
          <cell r="P12">
            <v>54000</v>
          </cell>
          <cell r="Q12">
            <v>50000</v>
          </cell>
          <cell r="R12">
            <v>50000</v>
          </cell>
          <cell r="S12">
            <v>50000</v>
          </cell>
          <cell r="T12">
            <v>50000</v>
          </cell>
          <cell r="U12">
            <v>50000</v>
          </cell>
          <cell r="V12">
            <v>59000</v>
          </cell>
          <cell r="W12">
            <v>55000</v>
          </cell>
          <cell r="X12">
            <v>55000</v>
          </cell>
          <cell r="Y12">
            <v>55000</v>
          </cell>
          <cell r="Z12">
            <v>55000</v>
          </cell>
          <cell r="AA12">
            <v>55000</v>
          </cell>
          <cell r="AB12" t="str">
            <v>上の子・１万円引</v>
          </cell>
          <cell r="AC12">
            <v>20000</v>
          </cell>
          <cell r="AD12" t="str">
            <v>施設調理</v>
          </cell>
          <cell r="AE12" t="str">
            <v>×</v>
          </cell>
          <cell r="AF12" t="str">
            <v>○</v>
          </cell>
          <cell r="AG12" t="str">
            <v>株式会社</v>
          </cell>
          <cell r="AH12" t="str">
            <v>(株)babys breath</v>
          </cell>
          <cell r="AI12" t="str">
            <v>東京都千代田区東神田2-9-8　高橋ビル4F</v>
          </cell>
          <cell r="AJ12" t="str">
            <v>代表取締役　松原　舞</v>
          </cell>
          <cell r="AK12" t="str">
            <v>(株)babys breath</v>
          </cell>
          <cell r="AL12" t="str">
            <v>東京都千代田区東神田2-9-8　高橋ビル4F</v>
          </cell>
          <cell r="AM12" t="str">
            <v>代表取締役　松原　舞</v>
          </cell>
        </row>
        <row r="13">
          <cell r="A13">
            <v>9</v>
          </cell>
          <cell r="B13" t="str">
            <v>きっずかりん</v>
          </cell>
          <cell r="C13" t="str">
            <v>262-0012</v>
          </cell>
          <cell r="D13" t="str">
            <v>花見川区千種町112-1</v>
          </cell>
          <cell r="E13" t="str">
            <v>吉田　良則</v>
          </cell>
          <cell r="F13" t="str">
            <v>286-7755</v>
          </cell>
          <cell r="G13" t="str">
            <v>286-7850</v>
          </cell>
          <cell r="H13" t="str">
            <v>hayasaka@yamamori-inc.co.jp</v>
          </cell>
          <cell r="I13">
            <v>39983</v>
          </cell>
          <cell r="J13" t="str">
            <v>1F</v>
          </cell>
          <cell r="K13">
            <v>28.37</v>
          </cell>
          <cell r="L13">
            <v>10</v>
          </cell>
          <cell r="M13">
            <v>10</v>
          </cell>
          <cell r="N13" t="str">
            <v>8:00～18:00</v>
          </cell>
          <cell r="O13" t="str">
            <v>40,000～50,000円</v>
          </cell>
          <cell r="P13">
            <v>45000</v>
          </cell>
          <cell r="Q13">
            <v>42000</v>
          </cell>
          <cell r="R13">
            <v>42000</v>
          </cell>
          <cell r="S13">
            <v>35000</v>
          </cell>
          <cell r="T13">
            <v>35000</v>
          </cell>
          <cell r="U13">
            <v>35000</v>
          </cell>
          <cell r="V13">
            <v>50000</v>
          </cell>
          <cell r="W13">
            <v>47000</v>
          </cell>
          <cell r="X13">
            <v>47000</v>
          </cell>
          <cell r="Y13">
            <v>40000</v>
          </cell>
          <cell r="Z13">
            <v>40000</v>
          </cell>
          <cell r="AA13">
            <v>40000</v>
          </cell>
          <cell r="AB13" t="str">
            <v>上の子・半額</v>
          </cell>
          <cell r="AC13">
            <v>0</v>
          </cell>
          <cell r="AD13" t="str">
            <v>外部委託</v>
          </cell>
          <cell r="AE13" t="str">
            <v>○</v>
          </cell>
          <cell r="AF13" t="str">
            <v>○</v>
          </cell>
          <cell r="AG13" t="str">
            <v>株式会社</v>
          </cell>
          <cell r="AH13" t="str">
            <v>㈱ユタカ</v>
          </cell>
          <cell r="AI13" t="str">
            <v>花見川区千種町112-6</v>
          </cell>
          <cell r="AJ13" t="str">
            <v>代表取締役　吉田　良則</v>
          </cell>
          <cell r="AK13" t="str">
            <v>㈱ユタカ</v>
          </cell>
          <cell r="AL13" t="str">
            <v>花見川区千種町112-6</v>
          </cell>
          <cell r="AM13" t="str">
            <v>代表取締役　吉田　良則</v>
          </cell>
        </row>
        <row r="14">
          <cell r="A14">
            <v>10</v>
          </cell>
          <cell r="B14" t="str">
            <v>キッズスペース・ウィーピー幕張本郷</v>
          </cell>
          <cell r="C14" t="str">
            <v>262-0033</v>
          </cell>
          <cell r="D14" t="str">
            <v>花見川区幕張本郷2-6-4</v>
          </cell>
          <cell r="E14" t="str">
            <v>本明　日出紀</v>
          </cell>
          <cell r="F14" t="str">
            <v>213-8311</v>
          </cell>
          <cell r="G14" t="str">
            <v>213-8311</v>
          </cell>
          <cell r="H14" t="str">
            <v>info@weepee.jp</v>
          </cell>
          <cell r="I14">
            <v>37928</v>
          </cell>
          <cell r="J14" t="str">
            <v>1F</v>
          </cell>
          <cell r="K14">
            <v>112.29</v>
          </cell>
          <cell r="L14">
            <v>51</v>
          </cell>
          <cell r="M14">
            <v>51</v>
          </cell>
          <cell r="N14" t="str">
            <v>7:00～20:00</v>
          </cell>
          <cell r="O14" t="str">
            <v>48,500～71,750円</v>
          </cell>
          <cell r="P14">
            <v>50000</v>
          </cell>
          <cell r="Q14">
            <v>48200</v>
          </cell>
          <cell r="R14">
            <v>44900</v>
          </cell>
          <cell r="S14">
            <v>41500</v>
          </cell>
          <cell r="T14">
            <v>38200</v>
          </cell>
          <cell r="U14">
            <v>38200</v>
          </cell>
          <cell r="V14">
            <v>71750</v>
          </cell>
          <cell r="W14">
            <v>69500</v>
          </cell>
          <cell r="X14">
            <v>66000</v>
          </cell>
          <cell r="Y14">
            <v>53200</v>
          </cell>
          <cell r="Z14">
            <v>48500</v>
          </cell>
          <cell r="AA14">
            <v>48500</v>
          </cell>
          <cell r="AB14" t="str">
            <v>上の子・半額</v>
          </cell>
          <cell r="AC14">
            <v>10800</v>
          </cell>
          <cell r="AD14" t="str">
            <v>外部委託</v>
          </cell>
          <cell r="AE14" t="str">
            <v>×</v>
          </cell>
          <cell r="AF14" t="str">
            <v>○</v>
          </cell>
          <cell r="AG14" t="str">
            <v>株式会社</v>
          </cell>
          <cell r="AH14" t="str">
            <v>不明</v>
          </cell>
          <cell r="AI14" t="str">
            <v>不明</v>
          </cell>
          <cell r="AJ14" t="str">
            <v>習志野市津田沼3-17-18</v>
          </cell>
          <cell r="AK14" t="str">
            <v>(株)習志野駅前託児所</v>
          </cell>
          <cell r="AL14" t="str">
            <v>習志野市津田沼3-17-18</v>
          </cell>
          <cell r="AM14" t="str">
            <v>代表取締役　藤本　みのり</v>
          </cell>
        </row>
        <row r="15">
          <cell r="A15">
            <v>11</v>
          </cell>
          <cell r="B15" t="str">
            <v>ＫＩＤＤＹ　ＫＩＮＧＤＯＭ</v>
          </cell>
          <cell r="C15" t="str">
            <v>262-0033</v>
          </cell>
          <cell r="D15" t="str">
            <v>花見川区幕張本郷6-15-2</v>
          </cell>
          <cell r="E15" t="str">
            <v>濱出　真志子</v>
          </cell>
          <cell r="F15" t="str">
            <v>308-9552</v>
          </cell>
          <cell r="G15" t="str">
            <v>308-9552</v>
          </cell>
          <cell r="H15" t="str">
            <v>info@kiddykingdom.lolipop.jp</v>
          </cell>
          <cell r="I15">
            <v>39322</v>
          </cell>
          <cell r="J15" t="str">
            <v>1・2F</v>
          </cell>
          <cell r="K15">
            <v>33.700000000000003</v>
          </cell>
          <cell r="L15">
            <v>20</v>
          </cell>
          <cell r="M15">
            <v>20</v>
          </cell>
          <cell r="N15" t="str">
            <v>7:00～19:00</v>
          </cell>
          <cell r="O15" t="str">
            <v>42,000～75,000円</v>
          </cell>
          <cell r="P15">
            <v>60000</v>
          </cell>
          <cell r="Q15">
            <v>50000</v>
          </cell>
          <cell r="R15">
            <v>45000</v>
          </cell>
          <cell r="S15">
            <v>37000</v>
          </cell>
          <cell r="T15">
            <v>32000</v>
          </cell>
          <cell r="U15">
            <v>32000</v>
          </cell>
          <cell r="V15">
            <v>75000</v>
          </cell>
          <cell r="W15">
            <v>65000</v>
          </cell>
          <cell r="X15">
            <v>55000</v>
          </cell>
          <cell r="Y15">
            <v>47000</v>
          </cell>
          <cell r="Z15">
            <v>42000</v>
          </cell>
          <cell r="AA15">
            <v>42000</v>
          </cell>
          <cell r="AB15" t="str">
            <v>上の子・半額</v>
          </cell>
          <cell r="AC15">
            <v>15000</v>
          </cell>
          <cell r="AD15" t="str">
            <v>外部委託</v>
          </cell>
          <cell r="AE15" t="str">
            <v>×</v>
          </cell>
          <cell r="AF15" t="str">
            <v>○</v>
          </cell>
          <cell r="AG15" t="str">
            <v>株式会社</v>
          </cell>
          <cell r="AH15" t="str">
            <v>有</v>
          </cell>
          <cell r="AI15" t="str">
            <v>民間会社</v>
          </cell>
          <cell r="AJ15" t="str">
            <v>併用型</v>
          </cell>
          <cell r="AK15" t="str">
            <v>(株)PowerBean</v>
          </cell>
          <cell r="AL15" t="str">
            <v>千葉市花見川区幕張本郷6-26-4</v>
          </cell>
          <cell r="AM15" t="str">
            <v>代表取締役　石坂　淳</v>
          </cell>
        </row>
        <row r="16">
          <cell r="A16">
            <v>12</v>
          </cell>
          <cell r="B16" t="str">
            <v>キャンディ検見川園</v>
          </cell>
          <cell r="C16" t="str">
            <v>262-0023</v>
          </cell>
          <cell r="D16" t="str">
            <v>花見川区検見川町3-302-25</v>
          </cell>
          <cell r="E16" t="str">
            <v>平賀　淳</v>
          </cell>
          <cell r="F16" t="str">
            <v>310-3577</v>
          </cell>
          <cell r="G16" t="str">
            <v>310-3577</v>
          </cell>
          <cell r="H16" t="str">
            <v>candy_hoikuroom@yahoo.co.jp</v>
          </cell>
          <cell r="I16">
            <v>39728</v>
          </cell>
          <cell r="J16" t="str">
            <v>2F</v>
          </cell>
          <cell r="K16">
            <v>46.74</v>
          </cell>
          <cell r="L16">
            <v>27</v>
          </cell>
          <cell r="M16">
            <v>27</v>
          </cell>
          <cell r="N16" t="str">
            <v>7:30～19:00</v>
          </cell>
          <cell r="O16" t="str">
            <v>53,200～63,200円</v>
          </cell>
          <cell r="P16">
            <v>45000</v>
          </cell>
          <cell r="Q16">
            <v>53200</v>
          </cell>
          <cell r="R16">
            <v>51200</v>
          </cell>
          <cell r="S16">
            <v>51200</v>
          </cell>
          <cell r="T16">
            <v>46200</v>
          </cell>
          <cell r="U16">
            <v>46200</v>
          </cell>
          <cell r="V16">
            <v>55000</v>
          </cell>
          <cell r="W16">
            <v>63200</v>
          </cell>
          <cell r="X16">
            <v>58200</v>
          </cell>
          <cell r="Y16">
            <v>58200</v>
          </cell>
          <cell r="Z16">
            <v>53200</v>
          </cell>
          <cell r="AA16">
            <v>53200</v>
          </cell>
          <cell r="AB16" t="str">
            <v>上の子・１万円引</v>
          </cell>
          <cell r="AC16">
            <v>15000</v>
          </cell>
          <cell r="AD16" t="str">
            <v>外部委託</v>
          </cell>
          <cell r="AE16" t="str">
            <v>×</v>
          </cell>
          <cell r="AF16" t="str">
            <v>○</v>
          </cell>
          <cell r="AG16" t="str">
            <v>個人</v>
          </cell>
          <cell r="AH16" t="str">
            <v>石川　義人</v>
          </cell>
          <cell r="AI16" t="str">
            <v>千葉市花見川区検見川町3-326-3</v>
          </cell>
          <cell r="AJ16" t="str">
            <v>石川　義人</v>
          </cell>
          <cell r="AK16" t="str">
            <v>石川　義人</v>
          </cell>
          <cell r="AL16" t="str">
            <v>千葉市花見川区検見川町3-326-3</v>
          </cell>
          <cell r="AM16" t="str">
            <v>石川　義人</v>
          </cell>
        </row>
        <row r="17">
          <cell r="A17">
            <v>13</v>
          </cell>
          <cell r="B17" t="str">
            <v>新検見川駅前保育園（旧：ちびっこランド新検見川園）</v>
          </cell>
          <cell r="C17" t="str">
            <v>262-0022</v>
          </cell>
          <cell r="D17" t="str">
            <v>花見川区南花園2-2-12-ｱｺﾙﾃﾞ新検見川201</v>
          </cell>
          <cell r="E17" t="str">
            <v>西重　誠</v>
          </cell>
          <cell r="F17" t="str">
            <v>301-2877</v>
          </cell>
          <cell r="G17" t="str">
            <v>301-2877</v>
          </cell>
          <cell r="H17" t="str">
            <v xml:space="preserve">nishishige.makoto@rose.plala.or.jp
</v>
          </cell>
          <cell r="I17">
            <v>40631</v>
          </cell>
          <cell r="J17" t="str">
            <v>2F</v>
          </cell>
          <cell r="K17">
            <v>80.8</v>
          </cell>
          <cell r="L17">
            <v>40</v>
          </cell>
          <cell r="M17">
            <v>40</v>
          </cell>
          <cell r="N17" t="str">
            <v>7:30～19:00</v>
          </cell>
          <cell r="O17" t="str">
            <v>39,380～56,180円</v>
          </cell>
          <cell r="P17">
            <v>39300</v>
          </cell>
          <cell r="Q17">
            <v>37800</v>
          </cell>
          <cell r="R17">
            <v>37400</v>
          </cell>
          <cell r="S17">
            <v>39900</v>
          </cell>
          <cell r="T17">
            <v>33400</v>
          </cell>
          <cell r="U17">
            <v>31500</v>
          </cell>
          <cell r="V17">
            <v>56180</v>
          </cell>
          <cell r="W17">
            <v>53030</v>
          </cell>
          <cell r="X17">
            <v>49880</v>
          </cell>
          <cell r="Y17">
            <v>49880</v>
          </cell>
          <cell r="Z17">
            <v>39380</v>
          </cell>
          <cell r="AA17">
            <v>39380</v>
          </cell>
          <cell r="AB17" t="str">
            <v>上の子・6割引</v>
          </cell>
          <cell r="AC17">
            <v>10800</v>
          </cell>
          <cell r="AD17" t="str">
            <v>外部委託</v>
          </cell>
          <cell r="AE17" t="str">
            <v>×</v>
          </cell>
          <cell r="AF17" t="str">
            <v>○</v>
          </cell>
          <cell r="AG17" t="str">
            <v>個人</v>
          </cell>
          <cell r="AH17" t="str">
            <v>西重　誠</v>
          </cell>
          <cell r="AI17" t="str">
            <v>美浜区幸町1-7-1-709</v>
          </cell>
          <cell r="AJ17" t="str">
            <v>西重　誠</v>
          </cell>
          <cell r="AK17" t="str">
            <v>西重　誠</v>
          </cell>
          <cell r="AL17" t="str">
            <v>美浜区幸町1-7-1-709</v>
          </cell>
          <cell r="AM17" t="str">
            <v>西重　誠</v>
          </cell>
        </row>
        <row r="18">
          <cell r="A18">
            <v>14</v>
          </cell>
          <cell r="B18" t="str">
            <v>チャイルドケアセンター・プレイディア</v>
          </cell>
          <cell r="C18" t="str">
            <v>262-0033</v>
          </cell>
          <cell r="D18" t="str">
            <v>花見川区幕張本郷1-3-22　</v>
          </cell>
          <cell r="E18" t="str">
            <v>伊藤　紗智子</v>
          </cell>
          <cell r="F18" t="str">
            <v>273-8866</v>
          </cell>
          <cell r="G18" t="str">
            <v>273-8866</v>
          </cell>
          <cell r="H18" t="str">
            <v>info@playidea.jp</v>
          </cell>
          <cell r="I18">
            <v>41548</v>
          </cell>
          <cell r="J18" t="str">
            <v>1F</v>
          </cell>
          <cell r="K18">
            <v>75.63</v>
          </cell>
          <cell r="L18">
            <v>29</v>
          </cell>
          <cell r="M18">
            <v>29</v>
          </cell>
          <cell r="N18" t="str">
            <v>7:45～19:00</v>
          </cell>
          <cell r="O18" t="str">
            <v>71,000～79,000円</v>
          </cell>
          <cell r="P18">
            <v>59000</v>
          </cell>
          <cell r="Q18">
            <v>53000</v>
          </cell>
          <cell r="R18">
            <v>53000</v>
          </cell>
          <cell r="S18">
            <v>51000</v>
          </cell>
          <cell r="T18">
            <v>51000</v>
          </cell>
          <cell r="U18">
            <v>51000</v>
          </cell>
          <cell r="V18">
            <v>79000</v>
          </cell>
          <cell r="W18">
            <v>73000</v>
          </cell>
          <cell r="X18">
            <v>73000</v>
          </cell>
          <cell r="Y18">
            <v>71000</v>
          </cell>
          <cell r="Z18">
            <v>71000</v>
          </cell>
          <cell r="AA18">
            <v>71000</v>
          </cell>
          <cell r="AB18" t="str">
            <v>上の子・半額</v>
          </cell>
          <cell r="AC18">
            <v>12000</v>
          </cell>
          <cell r="AD18" t="str">
            <v>外部委託</v>
          </cell>
          <cell r="AE18" t="str">
            <v>×</v>
          </cell>
          <cell r="AF18" t="str">
            <v>○</v>
          </cell>
          <cell r="AG18" t="str">
            <v>株式会社</v>
          </cell>
          <cell r="AH18" t="str">
            <v>(株)習志野駅前託児所</v>
          </cell>
          <cell r="AI18" t="str">
            <v>習志野市津田沼3-17-18</v>
          </cell>
          <cell r="AJ18" t="str">
            <v>代表取締役　藤本　みのり</v>
          </cell>
          <cell r="AK18" t="str">
            <v>(株)習志野駅前託児所</v>
          </cell>
          <cell r="AL18" t="str">
            <v>習志野市津田沼3-17-18</v>
          </cell>
          <cell r="AM18" t="str">
            <v>代表取締役　藤本　みのり</v>
          </cell>
        </row>
        <row r="19">
          <cell r="A19">
            <v>15</v>
          </cell>
          <cell r="B19" t="str">
            <v>花見川さくら学園</v>
          </cell>
          <cell r="C19" t="str">
            <v>262-0042</v>
          </cell>
          <cell r="D19" t="str">
            <v>花見川区花島町430-35</v>
          </cell>
          <cell r="E19" t="str">
            <v>鈴木　信吾</v>
          </cell>
          <cell r="F19" t="str">
            <v>250-4150</v>
          </cell>
          <cell r="G19" t="str">
            <v>258-0246</v>
          </cell>
          <cell r="H19" t="str">
            <v>info@sakura-n.jp</v>
          </cell>
          <cell r="I19">
            <v>28581</v>
          </cell>
          <cell r="J19" t="str">
            <v>1F</v>
          </cell>
          <cell r="K19">
            <v>159</v>
          </cell>
          <cell r="L19">
            <v>78</v>
          </cell>
          <cell r="M19">
            <v>59</v>
          </cell>
          <cell r="N19" t="str">
            <v>7:00～19:00</v>
          </cell>
          <cell r="O19" t="str">
            <v>45,410～103,910円</v>
          </cell>
          <cell r="P19">
            <v>59910</v>
          </cell>
          <cell r="Q19">
            <v>55910</v>
          </cell>
          <cell r="R19">
            <v>45910</v>
          </cell>
          <cell r="S19">
            <v>31910</v>
          </cell>
          <cell r="T19">
            <v>31410</v>
          </cell>
          <cell r="U19">
            <v>31410</v>
          </cell>
          <cell r="V19">
            <v>103910</v>
          </cell>
          <cell r="W19">
            <v>99910</v>
          </cell>
          <cell r="X19">
            <v>89910</v>
          </cell>
          <cell r="Y19">
            <v>45910</v>
          </cell>
          <cell r="Z19">
            <v>45410</v>
          </cell>
          <cell r="AA19">
            <v>45410</v>
          </cell>
          <cell r="AB19" t="str">
            <v>助成対象児：下の子、対象外児：上の子・ 助成対象児：下の子が0～2歳までは下の子から2万円引、下の子が3歳以上からは下の子から1万円引 対象外児：上の子が0～2歳までは上の子から1万5千円引、上の子が3歳以上からは上の子から5千円引</v>
          </cell>
          <cell r="AC19">
            <v>50000</v>
          </cell>
          <cell r="AD19" t="str">
            <v>外部委託</v>
          </cell>
          <cell r="AE19" t="str">
            <v>×</v>
          </cell>
          <cell r="AF19" t="str">
            <v>×</v>
          </cell>
          <cell r="AG19" t="str">
            <v>個人</v>
          </cell>
          <cell r="AH19" t="str">
            <v>鈴木　信吾</v>
          </cell>
          <cell r="AI19" t="str">
            <v>千葉市花見川区花島町432－10</v>
          </cell>
          <cell r="AJ19" t="str">
            <v>鈴木　信吾</v>
          </cell>
          <cell r="AK19" t="str">
            <v>鈴木　信吾</v>
          </cell>
          <cell r="AL19" t="str">
            <v>千葉市花見川区花島町432－10</v>
          </cell>
          <cell r="AM19" t="str">
            <v>鈴木　信吾</v>
          </cell>
        </row>
        <row r="20">
          <cell r="A20">
            <v>16</v>
          </cell>
          <cell r="B20" t="str">
            <v>幕張おおぞら保育園</v>
          </cell>
          <cell r="C20" t="str">
            <v>262-0032</v>
          </cell>
          <cell r="D20" t="str">
            <v>花見川区幕張町6-291-2 ﾆｭｰｳｨﾝｸﾞ幕張2F</v>
          </cell>
          <cell r="E20" t="str">
            <v>仮屋　明浩</v>
          </cell>
          <cell r="F20" t="str">
            <v>275-7827</v>
          </cell>
          <cell r="G20" t="str">
            <v>275-7827</v>
          </cell>
          <cell r="H20" t="str">
            <v xml:space="preserve">makusorahoiku@xsj.biglobe.ne.jp
</v>
          </cell>
          <cell r="I20">
            <v>37417</v>
          </cell>
          <cell r="J20" t="str">
            <v>2F</v>
          </cell>
          <cell r="K20">
            <v>46.7</v>
          </cell>
          <cell r="L20">
            <v>28</v>
          </cell>
          <cell r="M20">
            <v>28</v>
          </cell>
          <cell r="N20" t="str">
            <v>7:00～19:00</v>
          </cell>
          <cell r="O20" t="str">
            <v>48,170～65,450円</v>
          </cell>
          <cell r="P20">
            <v>46670</v>
          </cell>
          <cell r="Q20">
            <v>44140</v>
          </cell>
          <cell r="R20">
            <v>44140</v>
          </cell>
          <cell r="S20">
            <v>43630</v>
          </cell>
          <cell r="T20">
            <v>39980</v>
          </cell>
          <cell r="U20">
            <v>39980</v>
          </cell>
          <cell r="V20">
            <v>65450</v>
          </cell>
          <cell r="W20">
            <v>62200</v>
          </cell>
          <cell r="X20">
            <v>62200</v>
          </cell>
          <cell r="Y20">
            <v>58970</v>
          </cell>
          <cell r="Z20">
            <v>48170</v>
          </cell>
          <cell r="AA20">
            <v>48170</v>
          </cell>
          <cell r="AB20" t="str">
            <v>上の子・半額</v>
          </cell>
          <cell r="AC20">
            <v>10500</v>
          </cell>
          <cell r="AD20" t="str">
            <v>外部委託</v>
          </cell>
          <cell r="AE20" t="str">
            <v>×</v>
          </cell>
          <cell r="AF20" t="str">
            <v>○</v>
          </cell>
          <cell r="AG20" t="str">
            <v>個人</v>
          </cell>
          <cell r="AH20" t="str">
            <v>有</v>
          </cell>
          <cell r="AI20" t="str">
            <v>個人</v>
          </cell>
          <cell r="AJ20" t="str">
            <v>昼間型</v>
          </cell>
          <cell r="AK20" t="str">
            <v>仮屋　明浩</v>
          </cell>
          <cell r="AL20" t="str">
            <v>花見川区み春野１－２２－６</v>
          </cell>
          <cell r="AM20" t="str">
            <v>仮屋　明浩</v>
          </cell>
        </row>
        <row r="21">
          <cell r="A21">
            <v>17</v>
          </cell>
          <cell r="B21" t="str">
            <v>幕張台保育園</v>
          </cell>
          <cell r="C21" t="str">
            <v>262-0033</v>
          </cell>
          <cell r="D21" t="str">
            <v>花見川区幕張本郷5-17-4</v>
          </cell>
          <cell r="E21" t="str">
            <v>若山　喜世子</v>
          </cell>
          <cell r="F21" t="str">
            <v>272-9206</v>
          </cell>
          <cell r="G21" t="str">
            <v>272-9206</v>
          </cell>
          <cell r="H21" t="str">
            <v>makuharidaihoikuen@yahoo.co.jp</v>
          </cell>
          <cell r="I21">
            <v>28230</v>
          </cell>
          <cell r="J21" t="str">
            <v>1F</v>
          </cell>
          <cell r="K21">
            <v>177.2</v>
          </cell>
          <cell r="L21">
            <v>30</v>
          </cell>
          <cell r="M21">
            <v>30</v>
          </cell>
          <cell r="N21" t="str">
            <v>7:30～18:00</v>
          </cell>
          <cell r="O21" t="str">
            <v>32,800～47,800円</v>
          </cell>
          <cell r="P21" t="str">
            <v>-</v>
          </cell>
          <cell r="Q21">
            <v>34000</v>
          </cell>
          <cell r="R21">
            <v>24000</v>
          </cell>
          <cell r="S21">
            <v>19000</v>
          </cell>
          <cell r="T21">
            <v>19000</v>
          </cell>
          <cell r="U21">
            <v>19000</v>
          </cell>
          <cell r="V21" t="str">
            <v>-</v>
          </cell>
          <cell r="W21">
            <v>37000</v>
          </cell>
          <cell r="X21">
            <v>27000</v>
          </cell>
          <cell r="Y21">
            <v>22000</v>
          </cell>
          <cell r="Z21">
            <v>22000</v>
          </cell>
          <cell r="AA21">
            <v>22000</v>
          </cell>
          <cell r="AB21" t="str">
            <v>下の子・1万円引</v>
          </cell>
          <cell r="AC21">
            <v>50000</v>
          </cell>
          <cell r="AD21" t="str">
            <v>外部委託</v>
          </cell>
          <cell r="AE21" t="str">
            <v>×</v>
          </cell>
          <cell r="AF21" t="str">
            <v>×</v>
          </cell>
          <cell r="AG21" t="str">
            <v>個人</v>
          </cell>
          <cell r="AH21" t="str">
            <v>若山　明日香</v>
          </cell>
          <cell r="AI21" t="str">
            <v>花見川区幕張町２－１０１０－４６</v>
          </cell>
          <cell r="AJ21" t="str">
            <v>若山　明日香</v>
          </cell>
          <cell r="AK21" t="str">
            <v>若山　明日香</v>
          </cell>
          <cell r="AL21" t="str">
            <v>花見川区幕張町２－１０１０－４６</v>
          </cell>
          <cell r="AM21" t="str">
            <v>若山　明日香</v>
          </cell>
        </row>
        <row r="22">
          <cell r="A22">
            <v>18</v>
          </cell>
          <cell r="B22" t="str">
            <v>幕張星の子保育園</v>
          </cell>
          <cell r="C22" t="str">
            <v>262-0032</v>
          </cell>
          <cell r="D22" t="str">
            <v>花見川区幕張町4－586－1</v>
          </cell>
          <cell r="E22" t="str">
            <v>伊藤　正一</v>
          </cell>
          <cell r="F22" t="str">
            <v>213-3331</v>
          </cell>
          <cell r="G22" t="str">
            <v>213-3382</v>
          </cell>
          <cell r="H22" t="str">
            <v xml:space="preserve">makuhari-hoshinoko@jbs-nursery.co.jp
</v>
          </cell>
          <cell r="I22">
            <v>41183</v>
          </cell>
          <cell r="J22" t="str">
            <v>１・2F</v>
          </cell>
          <cell r="K22">
            <v>41.63</v>
          </cell>
          <cell r="L22">
            <v>24</v>
          </cell>
          <cell r="M22">
            <v>24</v>
          </cell>
          <cell r="N22" t="str">
            <v>7:00～20:00</v>
          </cell>
          <cell r="O22" t="str">
            <v>69,000～78,000円</v>
          </cell>
          <cell r="P22">
            <v>63000</v>
          </cell>
          <cell r="Q22">
            <v>61000</v>
          </cell>
          <cell r="R22">
            <v>61000</v>
          </cell>
          <cell r="S22">
            <v>57000</v>
          </cell>
          <cell r="T22">
            <v>54000</v>
          </cell>
          <cell r="U22">
            <v>54000</v>
          </cell>
          <cell r="V22">
            <v>78000</v>
          </cell>
          <cell r="W22">
            <v>76000</v>
          </cell>
          <cell r="X22">
            <v>76000</v>
          </cell>
          <cell r="Y22">
            <v>72000</v>
          </cell>
          <cell r="Z22">
            <v>69000</v>
          </cell>
          <cell r="AA22">
            <v>69000</v>
          </cell>
          <cell r="AB22" t="str">
            <v>上の子・1万円引</v>
          </cell>
          <cell r="AC22">
            <v>15000</v>
          </cell>
          <cell r="AD22" t="str">
            <v>外部委託</v>
          </cell>
          <cell r="AE22" t="str">
            <v>×</v>
          </cell>
          <cell r="AF22" t="str">
            <v>○</v>
          </cell>
          <cell r="AG22" t="str">
            <v>株式会社</v>
          </cell>
          <cell r="AH22" t="str">
            <v>JBSナーサリー株式会社</v>
          </cell>
          <cell r="AI22" t="str">
            <v>東京都中央区銀座2丁目15番2号</v>
          </cell>
          <cell r="AJ22" t="str">
            <v>代表取締役社長　池内　規行</v>
          </cell>
          <cell r="AK22" t="str">
            <v>JBSナーサリー株式会社</v>
          </cell>
          <cell r="AL22" t="str">
            <v>東京都中央区銀座2丁目15番2号</v>
          </cell>
          <cell r="AM22" t="str">
            <v>代表取締役社長　池内　規行</v>
          </cell>
        </row>
        <row r="23">
          <cell r="A23">
            <v>19</v>
          </cell>
          <cell r="B23" t="str">
            <v>マミー＆ミー幕張</v>
          </cell>
          <cell r="C23" t="str">
            <v>262-0032</v>
          </cell>
          <cell r="D23" t="str">
            <v>花見川区幕張町5-417-222 幕張ｸﾞﾘｰﾝﾊｲﾂ117</v>
          </cell>
          <cell r="E23" t="str">
            <v>袖山　雄士</v>
          </cell>
          <cell r="F23" t="str">
            <v>213-2373</v>
          </cell>
          <cell r="G23" t="str">
            <v>213-2374</v>
          </cell>
          <cell r="H23" t="str">
            <v>kouno@spinaldesign.co.jp</v>
          </cell>
          <cell r="I23">
            <v>39171</v>
          </cell>
          <cell r="J23" t="str">
            <v>1F</v>
          </cell>
          <cell r="K23">
            <v>50.37</v>
          </cell>
          <cell r="L23">
            <v>30</v>
          </cell>
          <cell r="M23">
            <v>30</v>
          </cell>
          <cell r="N23" t="str">
            <v>7:30～18:00</v>
          </cell>
          <cell r="O23" t="str">
            <v>45,000～59,000円</v>
          </cell>
          <cell r="P23">
            <v>49000</v>
          </cell>
          <cell r="Q23">
            <v>43000</v>
          </cell>
          <cell r="R23">
            <v>43000</v>
          </cell>
          <cell r="S23">
            <v>35000</v>
          </cell>
          <cell r="T23">
            <v>35000</v>
          </cell>
          <cell r="U23">
            <v>35000</v>
          </cell>
          <cell r="V23">
            <v>59000</v>
          </cell>
          <cell r="W23">
            <v>53000</v>
          </cell>
          <cell r="X23">
            <v>53000</v>
          </cell>
          <cell r="Y23">
            <v>45000</v>
          </cell>
          <cell r="Z23">
            <v>45000</v>
          </cell>
          <cell r="AA23">
            <v>45000</v>
          </cell>
          <cell r="AB23" t="str">
            <v>上の子・１万円</v>
          </cell>
          <cell r="AC23">
            <v>10000</v>
          </cell>
          <cell r="AD23" t="str">
            <v>施設調理</v>
          </cell>
          <cell r="AE23" t="str">
            <v>×</v>
          </cell>
          <cell r="AF23" t="str">
            <v>○</v>
          </cell>
          <cell r="AG23" t="str">
            <v>株式会社</v>
          </cell>
          <cell r="AH23" t="str">
            <v>無</v>
          </cell>
          <cell r="AI23" t="str">
            <v>個人</v>
          </cell>
          <cell r="AJ23" t="str">
            <v>昼間型</v>
          </cell>
          <cell r="AK23" t="str">
            <v>(株)SPINALDESIGN</v>
          </cell>
          <cell r="AL23" t="str">
            <v>東京都江東区青海2-7-4</v>
          </cell>
          <cell r="AM23" t="str">
            <v>代表取締役　藤本　賢</v>
          </cell>
        </row>
        <row r="24">
          <cell r="A24">
            <v>20</v>
          </cell>
          <cell r="B24" t="str">
            <v>リトルガーデン　幕張本郷</v>
          </cell>
          <cell r="C24" t="str">
            <v>262-0033</v>
          </cell>
          <cell r="D24" t="str">
            <v>花見川区幕張本郷２－２１－１</v>
          </cell>
          <cell r="E24" t="str">
            <v>小宮　佳子</v>
          </cell>
          <cell r="F24" t="str">
            <v>216-2220</v>
          </cell>
          <cell r="G24" t="str">
            <v>216－2221</v>
          </cell>
          <cell r="H24" t="str">
            <v>makuharihongou@littlegarden-inter.com</v>
          </cell>
          <cell r="I24" t="str">
            <v>H25．4</v>
          </cell>
          <cell r="J24" t="str">
            <v>1F</v>
          </cell>
          <cell r="K24">
            <v>225.5</v>
          </cell>
          <cell r="L24">
            <v>100</v>
          </cell>
          <cell r="M24">
            <v>59</v>
          </cell>
          <cell r="N24" t="str">
            <v>7:00～19:00</v>
          </cell>
          <cell r="O24" t="str">
            <v>76,000～95,000円</v>
          </cell>
          <cell r="P24">
            <v>66000</v>
          </cell>
          <cell r="Q24">
            <v>59000</v>
          </cell>
          <cell r="R24">
            <v>59000</v>
          </cell>
          <cell r="S24">
            <v>76000</v>
          </cell>
          <cell r="T24">
            <v>72000</v>
          </cell>
          <cell r="U24">
            <v>72000</v>
          </cell>
          <cell r="V24">
            <v>86000</v>
          </cell>
          <cell r="W24">
            <v>76000</v>
          </cell>
          <cell r="X24">
            <v>76000</v>
          </cell>
          <cell r="Y24">
            <v>95000</v>
          </cell>
          <cell r="Z24">
            <v>92500</v>
          </cell>
          <cell r="AA24">
            <v>92500</v>
          </cell>
          <cell r="AB24" t="str">
            <v>10,000円引き</v>
          </cell>
          <cell r="AC24">
            <v>50000</v>
          </cell>
          <cell r="AD24" t="str">
            <v>施設調理</v>
          </cell>
          <cell r="AE24" t="str">
            <v>○</v>
          </cell>
          <cell r="AF24" t="str">
            <v>○</v>
          </cell>
          <cell r="AG24" t="str">
            <v>合資会社</v>
          </cell>
          <cell r="AH24" t="str">
            <v>無</v>
          </cell>
          <cell r="AI24" t="str">
            <v>個人</v>
          </cell>
          <cell r="AJ24" t="str">
            <v>併用型</v>
          </cell>
          <cell r="AK24" t="str">
            <v>合資会社ライフコミュニケーション</v>
          </cell>
          <cell r="AL24" t="str">
            <v>美浜区中瀬2－6－1　WBGﾏﾘﾌﾞｳｴｽﾄ2F</v>
          </cell>
          <cell r="AM24" t="str">
            <v>無限責任社員　佐々木　豊</v>
          </cell>
        </row>
        <row r="25">
          <cell r="A25">
            <v>21</v>
          </cell>
          <cell r="B25" t="str">
            <v>スクルドエンジェル保育園稲毛園</v>
          </cell>
          <cell r="C25" t="str">
            <v>263-0043</v>
          </cell>
          <cell r="D25" t="str">
            <v>稲毛区小仲台2-8-2 渡辺ビル1F</v>
          </cell>
          <cell r="E25" t="str">
            <v>小長井　発</v>
          </cell>
          <cell r="F25" t="str">
            <v>441-4772</v>
          </cell>
          <cell r="G25" t="str">
            <v>―</v>
          </cell>
          <cell r="H25" t="str">
            <v>inage@skuld-angel.com</v>
          </cell>
          <cell r="I25">
            <v>40924</v>
          </cell>
          <cell r="J25" t="str">
            <v>1F</v>
          </cell>
          <cell r="K25">
            <v>47</v>
          </cell>
          <cell r="L25">
            <v>28</v>
          </cell>
          <cell r="M25">
            <v>28</v>
          </cell>
          <cell r="N25" t="str">
            <v>7:30～21:00</v>
          </cell>
          <cell r="O25" t="str">
            <v>55,000～61,000円</v>
          </cell>
          <cell r="P25">
            <v>56000</v>
          </cell>
          <cell r="Q25">
            <v>54000</v>
          </cell>
          <cell r="R25">
            <v>52000</v>
          </cell>
          <cell r="S25">
            <v>50000</v>
          </cell>
          <cell r="T25">
            <v>50000</v>
          </cell>
          <cell r="U25">
            <v>50000</v>
          </cell>
          <cell r="V25">
            <v>61000</v>
          </cell>
          <cell r="W25">
            <v>59000</v>
          </cell>
          <cell r="X25">
            <v>57000</v>
          </cell>
          <cell r="Y25">
            <v>55000</v>
          </cell>
          <cell r="Z25">
            <v>55000</v>
          </cell>
          <cell r="AA25">
            <v>55000</v>
          </cell>
          <cell r="AB25" t="str">
            <v>上の子・１万円</v>
          </cell>
          <cell r="AC25">
            <v>10000</v>
          </cell>
          <cell r="AD25" t="str">
            <v>施設調理</v>
          </cell>
          <cell r="AE25" t="str">
            <v>×</v>
          </cell>
          <cell r="AF25" t="str">
            <v>○</v>
          </cell>
          <cell r="AG25" t="str">
            <v>株式会社</v>
          </cell>
          <cell r="AH25" t="str">
            <v>㈱ｽｸﾙﾄﾞｱﾝﾄﾞｶﾝﾊﾟﾆｰ</v>
          </cell>
          <cell r="AI25" t="str">
            <v>東京都新宿区新宿６－７－１エルプリメント新宿３１１</v>
          </cell>
          <cell r="AJ25" t="str">
            <v>代表取締役　若林　雅樹</v>
          </cell>
          <cell r="AK25" t="str">
            <v>㈱ｽｸﾙﾄﾞｱﾝﾄﾞｶﾝﾊﾟﾆｰ</v>
          </cell>
          <cell r="AL25" t="str">
            <v>東京都新宿区新宿６－７－１エルプリメント新宿３１１</v>
          </cell>
          <cell r="AM25" t="str">
            <v>代表取締役　若林　雅樹</v>
          </cell>
        </row>
        <row r="26">
          <cell r="A26">
            <v>22</v>
          </cell>
          <cell r="B26" t="str">
            <v>ちびっこランド稲毛愛教園</v>
          </cell>
          <cell r="C26" t="str">
            <v>263-0031</v>
          </cell>
          <cell r="D26" t="str">
            <v>稲毛区稲毛東5-1-4 斉藤ﾋﾞﾙ1F</v>
          </cell>
          <cell r="E26" t="str">
            <v>依田　直也</v>
          </cell>
          <cell r="F26" t="str">
            <v>204-2366</v>
          </cell>
          <cell r="G26" t="str">
            <v>204-2366</v>
          </cell>
          <cell r="H26" t="str">
            <v>info@inage-aikouen.com</v>
          </cell>
          <cell r="I26">
            <v>37442</v>
          </cell>
          <cell r="J26" t="str">
            <v>1F</v>
          </cell>
          <cell r="K26">
            <v>28.3</v>
          </cell>
          <cell r="L26">
            <v>17</v>
          </cell>
          <cell r="M26">
            <v>17</v>
          </cell>
          <cell r="N26" t="str">
            <v>7:30～19:00</v>
          </cell>
          <cell r="O26" t="str">
            <v>52,450～65,450円</v>
          </cell>
          <cell r="P26">
            <v>44000</v>
          </cell>
          <cell r="Q26">
            <v>50950</v>
          </cell>
          <cell r="R26">
            <v>48950</v>
          </cell>
          <cell r="S26">
            <v>48950</v>
          </cell>
          <cell r="T26">
            <v>43950</v>
          </cell>
          <cell r="U26">
            <v>43950</v>
          </cell>
          <cell r="V26">
            <v>58500</v>
          </cell>
          <cell r="W26">
            <v>65450</v>
          </cell>
          <cell r="X26">
            <v>62450</v>
          </cell>
          <cell r="Y26">
            <v>59450</v>
          </cell>
          <cell r="Z26">
            <v>52450</v>
          </cell>
          <cell r="AA26">
            <v>52450</v>
          </cell>
          <cell r="AB26" t="str">
            <v>上の子・半額 ※但し、食事・おやつ代。損害保険料を除いた保育料</v>
          </cell>
          <cell r="AC26">
            <v>10000</v>
          </cell>
          <cell r="AD26" t="str">
            <v>外部委託</v>
          </cell>
          <cell r="AE26" t="str">
            <v>×</v>
          </cell>
          <cell r="AF26" t="str">
            <v>○</v>
          </cell>
          <cell r="AG26" t="str">
            <v>個人</v>
          </cell>
          <cell r="AH26" t="str">
            <v>依田　直也</v>
          </cell>
          <cell r="AI26" t="str">
            <v>稲毛区稲毛東5-1-4 斉藤ﾋﾞﾙ1F</v>
          </cell>
          <cell r="AJ26" t="str">
            <v>依田　直也</v>
          </cell>
          <cell r="AK26" t="str">
            <v>依田　直也</v>
          </cell>
          <cell r="AL26" t="str">
            <v>稲毛区稲毛東5-1-4 斉藤ﾋﾞﾙ1F</v>
          </cell>
          <cell r="AM26" t="str">
            <v>依田　直也</v>
          </cell>
        </row>
        <row r="27">
          <cell r="A27">
            <v>23</v>
          </cell>
          <cell r="B27" t="str">
            <v>ハニーキッズ草野園</v>
          </cell>
          <cell r="C27" t="str">
            <v>263-0005</v>
          </cell>
          <cell r="D27" t="str">
            <v>稲毛区長沼町312－14</v>
          </cell>
          <cell r="E27" t="str">
            <v>関根　雅晴</v>
          </cell>
          <cell r="F27" t="str">
            <v>251-3449</v>
          </cell>
          <cell r="G27" t="str">
            <v>251-3449</v>
          </cell>
          <cell r="H27" t="str">
            <v>inage@honeykids.jp</v>
          </cell>
          <cell r="I27" t="str">
            <v>H25.3</v>
          </cell>
          <cell r="J27" t="str">
            <v>1F</v>
          </cell>
          <cell r="K27">
            <v>62.37</v>
          </cell>
          <cell r="L27">
            <v>33</v>
          </cell>
          <cell r="M27">
            <v>33</v>
          </cell>
          <cell r="N27" t="str">
            <v>7:30～18:00</v>
          </cell>
          <cell r="O27" t="str">
            <v>46,000～59,000円</v>
          </cell>
          <cell r="P27">
            <v>49000</v>
          </cell>
          <cell r="Q27">
            <v>42000</v>
          </cell>
          <cell r="R27">
            <v>42000</v>
          </cell>
          <cell r="S27">
            <v>36000</v>
          </cell>
          <cell r="T27">
            <v>36000</v>
          </cell>
          <cell r="U27">
            <v>36000</v>
          </cell>
          <cell r="V27">
            <v>59000</v>
          </cell>
          <cell r="W27">
            <v>52000</v>
          </cell>
          <cell r="X27">
            <v>52000</v>
          </cell>
          <cell r="Y27">
            <v>46000</v>
          </cell>
          <cell r="Z27">
            <v>46000</v>
          </cell>
          <cell r="AA27">
            <v>46000</v>
          </cell>
          <cell r="AB27" t="str">
            <v>10,000円引き</v>
          </cell>
          <cell r="AC27">
            <v>10000</v>
          </cell>
          <cell r="AD27" t="str">
            <v>施設調理</v>
          </cell>
          <cell r="AE27" t="str">
            <v>×</v>
          </cell>
          <cell r="AF27" t="str">
            <v>○</v>
          </cell>
          <cell r="AG27" t="str">
            <v>株式会社</v>
          </cell>
          <cell r="AH27" t="str">
            <v>(株)ハニーキッズ</v>
          </cell>
          <cell r="AI27" t="str">
            <v>稲毛区長沼町312-14</v>
          </cell>
          <cell r="AJ27" t="str">
            <v>代表取締役　関根　雅晴</v>
          </cell>
          <cell r="AK27" t="str">
            <v>(株)ハニーキッズ</v>
          </cell>
          <cell r="AL27" t="str">
            <v>稲毛区長沼町312-14</v>
          </cell>
          <cell r="AM27" t="str">
            <v>代表取締役　関根　雅晴</v>
          </cell>
        </row>
        <row r="28">
          <cell r="A28">
            <v>24</v>
          </cell>
          <cell r="B28" t="str">
            <v>ぴょこたんランド</v>
          </cell>
          <cell r="C28" t="str">
            <v>263-0021</v>
          </cell>
          <cell r="D28" t="str">
            <v>稲毛区轟町4‐6‐23グランドメゾンとどろき２０１</v>
          </cell>
          <cell r="E28" t="str">
            <v>徳成　日出人</v>
          </cell>
          <cell r="F28" t="str">
            <v>216-3957</v>
          </cell>
          <cell r="G28" t="str">
            <v>216-3957</v>
          </cell>
          <cell r="H28" t="str">
            <v>tptokunari@aol.com</v>
          </cell>
          <cell r="I28">
            <v>40664</v>
          </cell>
          <cell r="J28" t="str">
            <v>2F</v>
          </cell>
          <cell r="K28">
            <v>80</v>
          </cell>
          <cell r="L28">
            <v>35</v>
          </cell>
          <cell r="M28">
            <v>35</v>
          </cell>
          <cell r="N28" t="str">
            <v>24時間</v>
          </cell>
          <cell r="O28" t="str">
            <v>45,000～60,000円</v>
          </cell>
          <cell r="P28">
            <v>50000</v>
          </cell>
          <cell r="Q28">
            <v>45000</v>
          </cell>
          <cell r="R28">
            <v>45000</v>
          </cell>
          <cell r="S28">
            <v>38000</v>
          </cell>
          <cell r="T28">
            <v>38000</v>
          </cell>
          <cell r="U28">
            <v>38000</v>
          </cell>
          <cell r="V28">
            <v>60000</v>
          </cell>
          <cell r="W28">
            <v>54000</v>
          </cell>
          <cell r="X28">
            <v>54000</v>
          </cell>
          <cell r="Y28">
            <v>45000</v>
          </cell>
          <cell r="Z28">
            <v>45000</v>
          </cell>
          <cell r="AA28">
            <v>45000</v>
          </cell>
          <cell r="AB28" t="str">
            <v>上の子・半額</v>
          </cell>
          <cell r="AC28">
            <v>10000</v>
          </cell>
          <cell r="AD28" t="str">
            <v>外部委託</v>
          </cell>
          <cell r="AE28" t="str">
            <v>○</v>
          </cell>
          <cell r="AF28" t="str">
            <v>○</v>
          </cell>
          <cell r="AG28" t="str">
            <v>株式会社</v>
          </cell>
          <cell r="AH28" t="str">
            <v>(株)DEPARTURES</v>
          </cell>
          <cell r="AI28" t="str">
            <v>千葉市稲毛区作草部５９２番地２</v>
          </cell>
          <cell r="AJ28" t="str">
            <v>代表取締役　龍崎　真実</v>
          </cell>
          <cell r="AK28" t="str">
            <v>(株)DEPARTURES</v>
          </cell>
          <cell r="AL28" t="str">
            <v>千葉市稲毛区作草部５９２番地２</v>
          </cell>
          <cell r="AM28" t="str">
            <v>代表取締役　龍崎　真実</v>
          </cell>
        </row>
        <row r="29">
          <cell r="A29">
            <v>25</v>
          </cell>
          <cell r="B29" t="str">
            <v>かるがも保育園都賀園</v>
          </cell>
          <cell r="C29" t="str">
            <v>264-0025</v>
          </cell>
          <cell r="D29" t="str">
            <v>若葉区都賀5-20-4</v>
          </cell>
          <cell r="E29" t="str">
            <v>目片　智恵美</v>
          </cell>
          <cell r="F29" t="str">
            <v>235-3715</v>
          </cell>
          <cell r="G29" t="str">
            <v>235-3715</v>
          </cell>
          <cell r="H29" t="str">
            <v>rnqsc985@ybb.ne.jp</v>
          </cell>
          <cell r="I29">
            <v>36720</v>
          </cell>
          <cell r="J29" t="str">
            <v>1F</v>
          </cell>
          <cell r="K29">
            <v>123.7</v>
          </cell>
          <cell r="L29">
            <v>46</v>
          </cell>
          <cell r="M29">
            <v>46</v>
          </cell>
          <cell r="N29" t="str">
            <v>7:00～20:00</v>
          </cell>
          <cell r="O29" t="str">
            <v>51,500～74,300円</v>
          </cell>
          <cell r="P29">
            <v>53300</v>
          </cell>
          <cell r="Q29">
            <v>43000</v>
          </cell>
          <cell r="R29">
            <v>43000</v>
          </cell>
          <cell r="S29">
            <v>44500</v>
          </cell>
          <cell r="T29">
            <v>44500</v>
          </cell>
          <cell r="U29">
            <v>44500</v>
          </cell>
          <cell r="V29">
            <v>74300</v>
          </cell>
          <cell r="W29">
            <v>64000</v>
          </cell>
          <cell r="X29">
            <v>64000</v>
          </cell>
          <cell r="Y29">
            <v>51500</v>
          </cell>
          <cell r="Z29">
            <v>51500</v>
          </cell>
          <cell r="AA29">
            <v>51500</v>
          </cell>
          <cell r="AB29" t="str">
            <v>上の子・１万円引</v>
          </cell>
          <cell r="AC29">
            <v>21000</v>
          </cell>
          <cell r="AD29" t="str">
            <v>施設調理</v>
          </cell>
          <cell r="AE29" t="str">
            <v>○</v>
          </cell>
          <cell r="AF29" t="str">
            <v>○</v>
          </cell>
          <cell r="AG29" t="str">
            <v>株式会社</v>
          </cell>
          <cell r="AH29" t="str">
            <v>株式会社　かるがも</v>
          </cell>
          <cell r="AI29" t="str">
            <v>四街道市四街道1-5-5</v>
          </cell>
          <cell r="AJ29" t="str">
            <v>代表取締役　目片智恵美</v>
          </cell>
          <cell r="AK29" t="str">
            <v>株式会社　かるがも</v>
          </cell>
          <cell r="AL29" t="str">
            <v>四街道市四街道1-5-5</v>
          </cell>
          <cell r="AM29" t="str">
            <v>代表取締役　目片智恵美</v>
          </cell>
        </row>
        <row r="30">
          <cell r="A30">
            <v>26</v>
          </cell>
          <cell r="B30" t="str">
            <v>キッズ倶楽部</v>
          </cell>
          <cell r="C30" t="str">
            <v>264-0025</v>
          </cell>
          <cell r="D30" t="str">
            <v>若葉区都賀3-17-5 戸村第2ﾊｲﾂ101</v>
          </cell>
          <cell r="E30" t="str">
            <v>土屋　秀規</v>
          </cell>
          <cell r="F30" t="str">
            <v>233-8622</v>
          </cell>
          <cell r="G30" t="str">
            <v>233-8622</v>
          </cell>
          <cell r="H30" t="str">
            <v>kidsclub.tsuga@mb.point.ne.jp</v>
          </cell>
          <cell r="I30">
            <v>38231</v>
          </cell>
          <cell r="J30" t="str">
            <v>1F</v>
          </cell>
          <cell r="K30">
            <v>41.13</v>
          </cell>
          <cell r="L30">
            <v>23</v>
          </cell>
          <cell r="M30">
            <v>23</v>
          </cell>
          <cell r="N30" t="str">
            <v>24時間</v>
          </cell>
          <cell r="O30" t="str">
            <v>42,000～57,000円</v>
          </cell>
          <cell r="P30">
            <v>33000</v>
          </cell>
          <cell r="Q30">
            <v>33000</v>
          </cell>
          <cell r="R30">
            <v>35000</v>
          </cell>
          <cell r="S30">
            <v>33000</v>
          </cell>
          <cell r="T30">
            <v>32000</v>
          </cell>
          <cell r="U30">
            <v>32000</v>
          </cell>
          <cell r="V30">
            <v>57000</v>
          </cell>
          <cell r="W30">
            <v>57000</v>
          </cell>
          <cell r="X30">
            <v>54000</v>
          </cell>
          <cell r="Y30">
            <v>43000</v>
          </cell>
          <cell r="Z30">
            <v>42000</v>
          </cell>
          <cell r="AA30">
            <v>42000</v>
          </cell>
          <cell r="AB30" t="str">
            <v>末子以外・半額</v>
          </cell>
          <cell r="AC30">
            <v>10000</v>
          </cell>
          <cell r="AD30" t="str">
            <v>施設調理</v>
          </cell>
          <cell r="AE30" t="str">
            <v>○</v>
          </cell>
          <cell r="AF30" t="str">
            <v>○</v>
          </cell>
          <cell r="AG30" t="str">
            <v>個人</v>
          </cell>
          <cell r="AH30" t="str">
            <v>有</v>
          </cell>
          <cell r="AI30" t="str">
            <v>個人</v>
          </cell>
          <cell r="AJ30" t="str">
            <v>昼間型</v>
          </cell>
          <cell r="AK30" t="str">
            <v>土屋　秀規</v>
          </cell>
          <cell r="AL30" t="str">
            <v>いすみ市岬町長者301</v>
          </cell>
          <cell r="AM30" t="str">
            <v>土屋　秀規</v>
          </cell>
        </row>
        <row r="31">
          <cell r="A31">
            <v>27</v>
          </cell>
          <cell r="B31" t="str">
            <v>ひまわり保育園</v>
          </cell>
          <cell r="C31" t="str">
            <v>264-0029</v>
          </cell>
          <cell r="D31" t="str">
            <v>若葉区桜木北1-15-1</v>
          </cell>
          <cell r="E31" t="str">
            <v>久保　孝子</v>
          </cell>
          <cell r="F31" t="str">
            <v>232-6090</v>
          </cell>
          <cell r="G31" t="str">
            <v>232-6090</v>
          </cell>
          <cell r="H31" t="str">
            <v>himawarihoikuen_sakuragi@ybb.nejp</v>
          </cell>
          <cell r="I31">
            <v>39904</v>
          </cell>
          <cell r="J31" t="str">
            <v>1F</v>
          </cell>
          <cell r="K31">
            <v>36.799999999999997</v>
          </cell>
          <cell r="L31">
            <v>22</v>
          </cell>
          <cell r="M31">
            <v>22</v>
          </cell>
          <cell r="N31" t="str">
            <v>7:30～19:00</v>
          </cell>
          <cell r="O31" t="str">
            <v>35,000～44,000円</v>
          </cell>
          <cell r="P31">
            <v>34000</v>
          </cell>
          <cell r="Q31">
            <v>32000</v>
          </cell>
          <cell r="R31">
            <v>32000</v>
          </cell>
          <cell r="S31">
            <v>30000</v>
          </cell>
          <cell r="T31">
            <v>25000</v>
          </cell>
          <cell r="U31">
            <v>25000</v>
          </cell>
          <cell r="V31">
            <v>44000</v>
          </cell>
          <cell r="W31">
            <v>42000</v>
          </cell>
          <cell r="X31">
            <v>42000</v>
          </cell>
          <cell r="Y31">
            <v>40000</v>
          </cell>
          <cell r="Z31">
            <v>35000</v>
          </cell>
          <cell r="AA31">
            <v>35000</v>
          </cell>
          <cell r="AB31" t="str">
            <v>上の子・半額</v>
          </cell>
          <cell r="AC31">
            <v>5000</v>
          </cell>
          <cell r="AD31" t="str">
            <v>施設調理</v>
          </cell>
          <cell r="AE31" t="str">
            <v>×</v>
          </cell>
          <cell r="AF31" t="str">
            <v>×</v>
          </cell>
          <cell r="AG31" t="str">
            <v>個人</v>
          </cell>
          <cell r="AH31" t="str">
            <v>久保　孝子</v>
          </cell>
          <cell r="AI31" t="str">
            <v>千葉市若葉区桜木８－２０－３２</v>
          </cell>
          <cell r="AJ31" t="str">
            <v>久保　孝子</v>
          </cell>
          <cell r="AK31" t="str">
            <v>久保　孝子</v>
          </cell>
          <cell r="AL31" t="str">
            <v>千葉市若葉区桜木８－２０－３２</v>
          </cell>
          <cell r="AM31" t="str">
            <v>久保　孝子</v>
          </cell>
        </row>
        <row r="32">
          <cell r="A32">
            <v>28</v>
          </cell>
          <cell r="B32" t="str">
            <v>ベビー＆キッズルームおあふ</v>
          </cell>
          <cell r="C32" t="str">
            <v>264-0002</v>
          </cell>
          <cell r="D32" t="str">
            <v>若葉区千城台東3-23-3</v>
          </cell>
          <cell r="E32" t="str">
            <v>中山　えい子</v>
          </cell>
          <cell r="F32" t="str">
            <v>236-3624</v>
          </cell>
          <cell r="G32" t="str">
            <v>236-3624</v>
          </cell>
          <cell r="H32" t="str">
            <v>eiko-n@cnc.jp</v>
          </cell>
          <cell r="I32">
            <v>36434</v>
          </cell>
          <cell r="J32" t="str">
            <v>1F</v>
          </cell>
          <cell r="K32">
            <v>36.299999999999997</v>
          </cell>
          <cell r="L32">
            <v>20</v>
          </cell>
          <cell r="M32">
            <v>20</v>
          </cell>
          <cell r="N32" t="str">
            <v>7:00～20:00</v>
          </cell>
          <cell r="O32" t="str">
            <v>36,100～50,300円</v>
          </cell>
          <cell r="P32">
            <v>45300</v>
          </cell>
          <cell r="Q32">
            <v>39800</v>
          </cell>
          <cell r="R32">
            <v>39800</v>
          </cell>
          <cell r="S32">
            <v>33100</v>
          </cell>
          <cell r="T32">
            <v>33100</v>
          </cell>
          <cell r="U32">
            <v>33100</v>
          </cell>
          <cell r="V32">
            <v>50300</v>
          </cell>
          <cell r="W32">
            <v>44800</v>
          </cell>
          <cell r="X32">
            <v>44800</v>
          </cell>
          <cell r="Y32">
            <v>36100</v>
          </cell>
          <cell r="Z32">
            <v>36100</v>
          </cell>
          <cell r="AA32">
            <v>36100</v>
          </cell>
          <cell r="AB32" t="str">
            <v>上の子・１万円引</v>
          </cell>
          <cell r="AC32">
            <v>10000</v>
          </cell>
          <cell r="AD32" t="str">
            <v>施設調理</v>
          </cell>
          <cell r="AE32" t="str">
            <v>×</v>
          </cell>
          <cell r="AF32" t="str">
            <v>○</v>
          </cell>
          <cell r="AG32" t="str">
            <v>個人</v>
          </cell>
          <cell r="AH32" t="str">
            <v>有</v>
          </cell>
          <cell r="AI32" t="str">
            <v>個人</v>
          </cell>
          <cell r="AJ32" t="str">
            <v>昼間型</v>
          </cell>
          <cell r="AK32" t="str">
            <v>中山　えい子</v>
          </cell>
          <cell r="AL32" t="str">
            <v>千葉市若葉区千城台東3-23-3</v>
          </cell>
          <cell r="AM32" t="str">
            <v>中山　えい子</v>
          </cell>
        </row>
        <row r="33">
          <cell r="A33">
            <v>29</v>
          </cell>
          <cell r="B33" t="str">
            <v>保育ルームねこのて</v>
          </cell>
          <cell r="C33" t="str">
            <v>264-0032</v>
          </cell>
          <cell r="D33" t="str">
            <v>若葉区みつわ台5-1-86-1</v>
          </cell>
          <cell r="E33" t="str">
            <v>黒木　健司</v>
          </cell>
          <cell r="F33" t="str">
            <v>290-6555</v>
          </cell>
          <cell r="G33" t="str">
            <v>290-6554</v>
          </cell>
          <cell r="H33" t="str">
            <v>babyroom_nekonote@yahoo.co.jp</v>
          </cell>
          <cell r="I33">
            <v>40969</v>
          </cell>
          <cell r="J33" t="str">
            <v>1F</v>
          </cell>
          <cell r="K33">
            <v>52</v>
          </cell>
          <cell r="L33">
            <v>29</v>
          </cell>
          <cell r="M33">
            <v>29</v>
          </cell>
          <cell r="N33" t="str">
            <v>7:30～20:00</v>
          </cell>
          <cell r="O33" t="str">
            <v>51,500円</v>
          </cell>
          <cell r="P33">
            <v>39500</v>
          </cell>
          <cell r="Q33">
            <v>39500</v>
          </cell>
          <cell r="R33">
            <v>39500</v>
          </cell>
          <cell r="S33">
            <v>39500</v>
          </cell>
          <cell r="T33">
            <v>39500</v>
          </cell>
          <cell r="U33">
            <v>39500</v>
          </cell>
          <cell r="V33">
            <v>51500</v>
          </cell>
          <cell r="W33">
            <v>51500</v>
          </cell>
          <cell r="X33">
            <v>51500</v>
          </cell>
          <cell r="Y33">
            <v>51500</v>
          </cell>
          <cell r="Z33">
            <v>51500</v>
          </cell>
          <cell r="AA33">
            <v>51500</v>
          </cell>
          <cell r="AB33" t="str">
            <v>下の子・1万円引き</v>
          </cell>
          <cell r="AC33">
            <v>10000</v>
          </cell>
          <cell r="AD33" t="str">
            <v>施設調理</v>
          </cell>
          <cell r="AE33" t="str">
            <v>×</v>
          </cell>
          <cell r="AF33" t="str">
            <v>○</v>
          </cell>
          <cell r="AG33" t="str">
            <v>個人</v>
          </cell>
          <cell r="AH33" t="str">
            <v>内山　立康</v>
          </cell>
          <cell r="AI33" t="str">
            <v>八街市八街へ199-1586</v>
          </cell>
          <cell r="AJ33" t="str">
            <v>内山　立康</v>
          </cell>
          <cell r="AK33" t="str">
            <v>内山　立康</v>
          </cell>
          <cell r="AL33" t="str">
            <v>八街市八街へ199-1586</v>
          </cell>
          <cell r="AM33" t="str">
            <v>内山　立康</v>
          </cell>
        </row>
        <row r="34">
          <cell r="A34">
            <v>30</v>
          </cell>
          <cell r="B34" t="str">
            <v>みつばち保育園</v>
          </cell>
          <cell r="C34" t="str">
            <v>264-0029</v>
          </cell>
          <cell r="D34" t="str">
            <v>若葉区桜木北2-10-6</v>
          </cell>
          <cell r="E34" t="str">
            <v>豊田　美恵</v>
          </cell>
          <cell r="F34" t="str">
            <v>231-1846</v>
          </cell>
          <cell r="G34" t="str">
            <v>231-1846</v>
          </cell>
          <cell r="H34" t="str">
            <v>mitsubachikids@gmail.com</v>
          </cell>
          <cell r="I34">
            <v>27829</v>
          </cell>
          <cell r="J34" t="str">
            <v>1F</v>
          </cell>
          <cell r="K34">
            <v>49.5</v>
          </cell>
          <cell r="L34">
            <v>26</v>
          </cell>
          <cell r="M34">
            <v>26</v>
          </cell>
          <cell r="N34" t="str">
            <v>7:00～19:00</v>
          </cell>
          <cell r="O34" t="str">
            <v>37,000円</v>
          </cell>
          <cell r="P34">
            <v>27000</v>
          </cell>
          <cell r="Q34">
            <v>27000</v>
          </cell>
          <cell r="R34">
            <v>27000</v>
          </cell>
          <cell r="S34">
            <v>27000</v>
          </cell>
          <cell r="T34">
            <v>27000</v>
          </cell>
          <cell r="U34">
            <v>27000</v>
          </cell>
          <cell r="V34">
            <v>37000</v>
          </cell>
          <cell r="W34">
            <v>37000</v>
          </cell>
          <cell r="X34">
            <v>37000</v>
          </cell>
          <cell r="Y34">
            <v>37000</v>
          </cell>
          <cell r="Z34">
            <v>37000</v>
          </cell>
          <cell r="AA34">
            <v>37000</v>
          </cell>
          <cell r="AB34" t="str">
            <v>上の子・1万円引き</v>
          </cell>
          <cell r="AC34">
            <v>0</v>
          </cell>
          <cell r="AD34" t="str">
            <v>施設調理</v>
          </cell>
          <cell r="AE34" t="str">
            <v>×</v>
          </cell>
          <cell r="AF34" t="str">
            <v>○</v>
          </cell>
          <cell r="AG34" t="str">
            <v>個人</v>
          </cell>
          <cell r="AH34" t="str">
            <v>有</v>
          </cell>
          <cell r="AI34" t="str">
            <v>個人</v>
          </cell>
          <cell r="AJ34" t="str">
            <v>昼間型</v>
          </cell>
          <cell r="AK34" t="str">
            <v>豊田　美恵</v>
          </cell>
          <cell r="AL34" t="str">
            <v>千葉市若葉区桜木北2-10-6</v>
          </cell>
          <cell r="AM34" t="str">
            <v>豊田　美恵</v>
          </cell>
        </row>
        <row r="35">
          <cell r="A35">
            <v>31</v>
          </cell>
          <cell r="B35" t="str">
            <v>あすみ東保育園</v>
          </cell>
          <cell r="C35" t="str">
            <v>267-0061</v>
          </cell>
          <cell r="D35" t="str">
            <v>緑区あすみが丘東4-9-2</v>
          </cell>
          <cell r="E35" t="str">
            <v>木原　真裕美</v>
          </cell>
          <cell r="F35" t="str">
            <v>295-5823</v>
          </cell>
          <cell r="G35" t="str">
            <v>295-0766</v>
          </cell>
          <cell r="H35" t="str">
            <v>rb2@goldluys.jp</v>
          </cell>
          <cell r="I35">
            <v>37469</v>
          </cell>
          <cell r="J35" t="str">
            <v>1F</v>
          </cell>
          <cell r="K35">
            <v>124.14</v>
          </cell>
          <cell r="L35">
            <v>59</v>
          </cell>
          <cell r="M35">
            <v>59</v>
          </cell>
          <cell r="N35" t="str">
            <v>7:00～19:00</v>
          </cell>
          <cell r="O35" t="str">
            <v>64,720～76,220円</v>
          </cell>
          <cell r="P35">
            <v>58220</v>
          </cell>
          <cell r="Q35">
            <v>51220</v>
          </cell>
          <cell r="R35">
            <v>51220</v>
          </cell>
          <cell r="S35">
            <v>46720</v>
          </cell>
          <cell r="T35">
            <v>46720</v>
          </cell>
          <cell r="U35">
            <v>46720</v>
          </cell>
          <cell r="V35">
            <v>76220</v>
          </cell>
          <cell r="W35">
            <v>69220</v>
          </cell>
          <cell r="X35">
            <v>69220</v>
          </cell>
          <cell r="Y35">
            <v>64720</v>
          </cell>
          <cell r="Z35">
            <v>64720</v>
          </cell>
          <cell r="AA35">
            <v>64720</v>
          </cell>
          <cell r="AB35" t="str">
            <v>上の子・１万円引</v>
          </cell>
          <cell r="AC35">
            <v>26000</v>
          </cell>
          <cell r="AD35" t="str">
            <v>施設調理</v>
          </cell>
          <cell r="AE35" t="str">
            <v>×</v>
          </cell>
          <cell r="AF35" t="str">
            <v>○</v>
          </cell>
          <cell r="AG35" t="str">
            <v>株式会社</v>
          </cell>
          <cell r="AH35" t="str">
            <v>無</v>
          </cell>
          <cell r="AI35" t="str">
            <v>個人</v>
          </cell>
          <cell r="AJ35" t="str">
            <v>昼間型</v>
          </cell>
          <cell r="AK35" t="str">
            <v>(株)GOLDLUYS</v>
          </cell>
          <cell r="AL35" t="str">
            <v>千葉市緑区あすみが丘東4-9-2</v>
          </cell>
          <cell r="AM35" t="str">
            <v>代表取締役　粒良　知史</v>
          </cell>
        </row>
        <row r="36">
          <cell r="A36">
            <v>32</v>
          </cell>
          <cell r="B36" t="str">
            <v>保育所　ドルフィンキッズランド</v>
          </cell>
          <cell r="C36" t="str">
            <v>266-0031</v>
          </cell>
          <cell r="D36" t="str">
            <v>緑区おゆみ野3-39-1　ｾﾝﾄｱﾍﾞﾆｭｰ102</v>
          </cell>
          <cell r="E36" t="str">
            <v>長谷川　郁代</v>
          </cell>
          <cell r="F36" t="str">
            <v>300-1943</v>
          </cell>
          <cell r="G36" t="str">
            <v>300-1943</v>
          </cell>
          <cell r="H36" t="str">
            <v>oyuminoen1943@mail.goo.ne.jp</v>
          </cell>
          <cell r="I36">
            <v>39757</v>
          </cell>
          <cell r="J36" t="str">
            <v>1F</v>
          </cell>
          <cell r="K36">
            <v>83.5</v>
          </cell>
          <cell r="L36">
            <v>40</v>
          </cell>
          <cell r="M36">
            <v>40</v>
          </cell>
          <cell r="N36" t="str">
            <v>7:30～19:30</v>
          </cell>
          <cell r="O36" t="str">
            <v>43,000～59,000円</v>
          </cell>
          <cell r="P36">
            <v>49000</v>
          </cell>
          <cell r="Q36">
            <v>48000</v>
          </cell>
          <cell r="R36">
            <v>43000</v>
          </cell>
          <cell r="S36">
            <v>41000</v>
          </cell>
          <cell r="T36">
            <v>37000</v>
          </cell>
          <cell r="U36">
            <v>37000</v>
          </cell>
          <cell r="V36">
            <v>59000</v>
          </cell>
          <cell r="W36">
            <v>58000</v>
          </cell>
          <cell r="X36">
            <v>53000</v>
          </cell>
          <cell r="Y36">
            <v>51000</v>
          </cell>
          <cell r="Z36">
            <v>43000</v>
          </cell>
          <cell r="AA36">
            <v>43000</v>
          </cell>
          <cell r="AB36" t="str">
            <v>上の子・半額</v>
          </cell>
          <cell r="AC36">
            <v>20000</v>
          </cell>
          <cell r="AD36" t="str">
            <v>外部委託</v>
          </cell>
          <cell r="AE36" t="str">
            <v>×</v>
          </cell>
          <cell r="AF36" t="str">
            <v>○</v>
          </cell>
          <cell r="AG36" t="str">
            <v>株式会社</v>
          </cell>
          <cell r="AH36" t="str">
            <v>（株）ディーケーエル</v>
          </cell>
          <cell r="AI36" t="str">
            <v>千葉市緑区おゆみ野3-39-1 ｾﾝﾄｱﾍﾞﾆｭｰ102</v>
          </cell>
          <cell r="AJ36" t="str">
            <v>代表取締役　長谷川郁代</v>
          </cell>
          <cell r="AK36" t="str">
            <v>（株）ディーケーエル</v>
          </cell>
          <cell r="AL36" t="str">
            <v>千葉市緑区おゆみ野3-39-1 ｾﾝﾄｱﾍﾞﾆｭｰ102</v>
          </cell>
          <cell r="AM36" t="str">
            <v>代表取締役　長谷川郁代</v>
          </cell>
        </row>
        <row r="37">
          <cell r="A37">
            <v>33</v>
          </cell>
          <cell r="B37" t="str">
            <v>トレジャーキッズ</v>
          </cell>
          <cell r="C37" t="str">
            <v>266-0033</v>
          </cell>
          <cell r="D37" t="str">
            <v>緑区おゆみ野南3-30　サンクレイドルおゆみ野ステーションウィズ</v>
          </cell>
          <cell r="E37" t="str">
            <v>井上　富美子</v>
          </cell>
          <cell r="F37" t="str">
            <v>309-8677</v>
          </cell>
          <cell r="G37" t="str">
            <v>309-8677</v>
          </cell>
          <cell r="H37" t="str">
            <v>torejya_kids_oyumino@yahoo.co.jp</v>
          </cell>
          <cell r="I37">
            <v>41000</v>
          </cell>
          <cell r="J37" t="str">
            <v>1F</v>
          </cell>
          <cell r="K37">
            <v>128</v>
          </cell>
          <cell r="L37">
            <v>35</v>
          </cell>
          <cell r="M37">
            <v>35</v>
          </cell>
          <cell r="N37" t="str">
            <v>7:00～19:00</v>
          </cell>
          <cell r="O37" t="str">
            <v>42,000～75,000円</v>
          </cell>
          <cell r="P37">
            <v>55000</v>
          </cell>
          <cell r="Q37">
            <v>45000</v>
          </cell>
          <cell r="R37">
            <v>40000</v>
          </cell>
          <cell r="S37">
            <v>38000</v>
          </cell>
          <cell r="T37">
            <v>35000</v>
          </cell>
          <cell r="U37">
            <v>35000</v>
          </cell>
          <cell r="V37">
            <v>75000</v>
          </cell>
          <cell r="W37">
            <v>65000</v>
          </cell>
          <cell r="X37">
            <v>55000</v>
          </cell>
          <cell r="Y37">
            <v>48000</v>
          </cell>
          <cell r="Z37">
            <v>42000</v>
          </cell>
          <cell r="AA37">
            <v>42000</v>
          </cell>
          <cell r="AB37" t="str">
            <v>下の子・1万円引</v>
          </cell>
          <cell r="AC37">
            <v>20000</v>
          </cell>
          <cell r="AD37" t="str">
            <v>外部委託</v>
          </cell>
          <cell r="AE37" t="str">
            <v>×</v>
          </cell>
          <cell r="AF37" t="str">
            <v>○</v>
          </cell>
          <cell r="AG37" t="str">
            <v>合同会社</v>
          </cell>
          <cell r="AH37" t="str">
            <v>オフィスツゥトゥー合同会社</v>
          </cell>
          <cell r="AI37" t="str">
            <v>千葉市おゆみ野中央8-17-1</v>
          </cell>
          <cell r="AJ37" t="str">
            <v>代表社員　早水　由美子</v>
          </cell>
          <cell r="AK37" t="str">
            <v>オフィスツゥトゥー合同会社</v>
          </cell>
          <cell r="AL37" t="str">
            <v>千葉市おゆみ野中央8-17-1</v>
          </cell>
          <cell r="AM37" t="str">
            <v>代表社員　早水　由美子</v>
          </cell>
        </row>
        <row r="38">
          <cell r="A38">
            <v>34</v>
          </cell>
          <cell r="B38" t="str">
            <v>リトルガーデンおゆみ野</v>
          </cell>
          <cell r="C38" t="str">
            <v>266-0033</v>
          </cell>
          <cell r="D38" t="str">
            <v>緑区おゆみ野南2-12-1</v>
          </cell>
          <cell r="E38" t="str">
            <v>臼井　桜織</v>
          </cell>
          <cell r="F38" t="str">
            <v>292-6014</v>
          </cell>
          <cell r="G38" t="str">
            <v>292-6014</v>
          </cell>
          <cell r="H38" t="str">
            <v>oyumino@littlegarden-inter.com</v>
          </cell>
          <cell r="I38">
            <v>38437</v>
          </cell>
          <cell r="J38" t="str">
            <v>1F</v>
          </cell>
          <cell r="K38">
            <v>230.61</v>
          </cell>
          <cell r="L38">
            <v>100</v>
          </cell>
          <cell r="M38">
            <v>59</v>
          </cell>
          <cell r="N38" t="str">
            <v>7:00～20:00</v>
          </cell>
          <cell r="O38" t="str">
            <v>76,000～98,000円</v>
          </cell>
          <cell r="P38">
            <v>66000</v>
          </cell>
          <cell r="Q38">
            <v>59000</v>
          </cell>
          <cell r="R38">
            <v>59000</v>
          </cell>
          <cell r="S38">
            <v>78000</v>
          </cell>
          <cell r="T38">
            <v>76000</v>
          </cell>
          <cell r="U38">
            <v>72000</v>
          </cell>
          <cell r="V38">
            <v>86000</v>
          </cell>
          <cell r="W38">
            <v>76000</v>
          </cell>
          <cell r="X38">
            <v>76000</v>
          </cell>
          <cell r="Y38">
            <v>98000</v>
          </cell>
          <cell r="Z38">
            <v>95000</v>
          </cell>
          <cell r="AA38">
            <v>92500</v>
          </cell>
          <cell r="AB38" t="str">
            <v>下の子・１万円引</v>
          </cell>
          <cell r="AC38">
            <v>50000</v>
          </cell>
          <cell r="AD38" t="str">
            <v>施設調理</v>
          </cell>
          <cell r="AE38" t="str">
            <v>×</v>
          </cell>
          <cell r="AF38" t="str">
            <v>○</v>
          </cell>
          <cell r="AG38" t="str">
            <v>合資会社</v>
          </cell>
          <cell r="AH38" t="str">
            <v>無</v>
          </cell>
          <cell r="AI38" t="str">
            <v>個人</v>
          </cell>
          <cell r="AJ38" t="str">
            <v>併用型</v>
          </cell>
          <cell r="AK38" t="str">
            <v>合資会社ライフコミュニケーション</v>
          </cell>
          <cell r="AL38" t="str">
            <v>美浜区中瀬2－6－1　WBGﾏﾘﾌﾞｳｴｽﾄ2F</v>
          </cell>
          <cell r="AM38" t="str">
            <v>無限責任社員　佐々木　豊</v>
          </cell>
        </row>
        <row r="39">
          <cell r="A39">
            <v>35</v>
          </cell>
          <cell r="B39" t="str">
            <v>スクルドエンジェル保育園検見川浜園</v>
          </cell>
          <cell r="C39" t="str">
            <v>261-0011</v>
          </cell>
          <cell r="D39" t="str">
            <v>美浜区真砂3-13-12　BAYPERCH真砂２階</v>
          </cell>
          <cell r="E39" t="str">
            <v>笹原　嘉純</v>
          </cell>
          <cell r="F39" t="str">
            <v>279-3400</v>
          </cell>
          <cell r="G39" t="str">
            <v>279-3400</v>
          </cell>
          <cell r="H39" t="str">
            <v>kemigawahama@skuld-angel.com</v>
          </cell>
          <cell r="I39">
            <v>41246</v>
          </cell>
          <cell r="J39" t="str">
            <v>2F</v>
          </cell>
          <cell r="K39">
            <v>60</v>
          </cell>
          <cell r="L39">
            <v>30</v>
          </cell>
          <cell r="M39">
            <v>27</v>
          </cell>
          <cell r="N39" t="str">
            <v>7:30～19:30</v>
          </cell>
          <cell r="O39" t="str">
            <v>54,000～60,000円</v>
          </cell>
          <cell r="P39">
            <v>55000</v>
          </cell>
          <cell r="Q39">
            <v>53000</v>
          </cell>
          <cell r="R39">
            <v>51000</v>
          </cell>
          <cell r="S39">
            <v>49000</v>
          </cell>
          <cell r="T39">
            <v>49000</v>
          </cell>
          <cell r="U39">
            <v>49000</v>
          </cell>
          <cell r="V39">
            <v>60000</v>
          </cell>
          <cell r="W39">
            <v>58000</v>
          </cell>
          <cell r="X39">
            <v>56000</v>
          </cell>
          <cell r="Y39">
            <v>54000</v>
          </cell>
          <cell r="Z39">
            <v>54000</v>
          </cell>
          <cell r="AA39">
            <v>54000</v>
          </cell>
          <cell r="AB39" t="str">
            <v>上の子・半額</v>
          </cell>
          <cell r="AC39">
            <v>10000</v>
          </cell>
          <cell r="AD39" t="str">
            <v>施設調理</v>
          </cell>
          <cell r="AE39" t="str">
            <v>×</v>
          </cell>
          <cell r="AF39" t="str">
            <v>○</v>
          </cell>
          <cell r="AG39" t="str">
            <v>合同会社</v>
          </cell>
          <cell r="AH39" t="str">
            <v>合同会社　育未来</v>
          </cell>
          <cell r="AI39" t="str">
            <v>静岡県沼津市志下４７３－２</v>
          </cell>
          <cell r="AJ39" t="str">
            <v>代表社員　笹原　嘉純</v>
          </cell>
          <cell r="AK39" t="str">
            <v>合同会社　育未来</v>
          </cell>
          <cell r="AL39" t="str">
            <v>静岡県沼津市志下４７３－２</v>
          </cell>
          <cell r="AM39" t="str">
            <v>代表社員　笹原　嘉純</v>
          </cell>
        </row>
        <row r="40">
          <cell r="A40">
            <v>36</v>
          </cell>
          <cell r="B40" t="str">
            <v>リトルガーデンＷＢＧ</v>
          </cell>
          <cell r="C40" t="str">
            <v>261-7102</v>
          </cell>
          <cell r="D40" t="str">
            <v>美浜区中瀬2-6　WBGﾏﾘﾌﾞｳｪｽﾄ2F</v>
          </cell>
          <cell r="E40" t="str">
            <v>三迫　崇広</v>
          </cell>
          <cell r="F40" t="str">
            <v>351-1630</v>
          </cell>
          <cell r="G40" t="str">
            <v>351-1629</v>
          </cell>
          <cell r="H40" t="str">
            <v>makuhari-wbg@littlegarden-inter.com</v>
          </cell>
          <cell r="I40">
            <v>36965</v>
          </cell>
          <cell r="J40" t="str">
            <v>2F</v>
          </cell>
          <cell r="K40">
            <v>111.1</v>
          </cell>
          <cell r="L40">
            <v>65</v>
          </cell>
          <cell r="M40">
            <v>59</v>
          </cell>
          <cell r="N40" t="str">
            <v>7:00～21:00</v>
          </cell>
          <cell r="O40" t="str">
            <v>66,000～86,000円</v>
          </cell>
          <cell r="P40">
            <v>66000</v>
          </cell>
          <cell r="Q40">
            <v>59000</v>
          </cell>
          <cell r="R40">
            <v>59000</v>
          </cell>
          <cell r="S40">
            <v>57000</v>
          </cell>
          <cell r="T40">
            <v>57000</v>
          </cell>
          <cell r="U40">
            <v>57000</v>
          </cell>
          <cell r="V40">
            <v>86000</v>
          </cell>
          <cell r="W40">
            <v>76000</v>
          </cell>
          <cell r="X40">
            <v>76000</v>
          </cell>
          <cell r="Y40">
            <v>66000</v>
          </cell>
          <cell r="Z40">
            <v>66000</v>
          </cell>
          <cell r="AA40">
            <v>66000</v>
          </cell>
          <cell r="AB40" t="str">
            <v>下の子・1万円引</v>
          </cell>
          <cell r="AC40">
            <v>35000</v>
          </cell>
          <cell r="AD40" t="str">
            <v>施設調理</v>
          </cell>
          <cell r="AE40" t="str">
            <v>○</v>
          </cell>
          <cell r="AF40" t="str">
            <v>○</v>
          </cell>
          <cell r="AG40" t="str">
            <v>合資会社</v>
          </cell>
          <cell r="AH40" t="str">
            <v>無</v>
          </cell>
          <cell r="AI40" t="str">
            <v>個人</v>
          </cell>
          <cell r="AJ40" t="str">
            <v>併用型</v>
          </cell>
          <cell r="AK40" t="str">
            <v>合資会社ライフコミュニケーション</v>
          </cell>
          <cell r="AL40" t="str">
            <v>美浜区中瀬2－6－1　WBGﾏﾘﾌﾞｳｴｽﾄ2F</v>
          </cell>
          <cell r="AM40" t="str">
            <v>無限責任社員　佐々木　豊</v>
          </cell>
        </row>
        <row r="41">
          <cell r="A41">
            <v>37</v>
          </cell>
          <cell r="B41" t="str">
            <v>リトルガーデン幕張</v>
          </cell>
          <cell r="C41" t="str">
            <v>261-0023</v>
          </cell>
          <cell r="D41" t="str">
            <v>美浜区中瀬1-6NTT幕張ﾋﾞﾙ１F</v>
          </cell>
          <cell r="E41" t="str">
            <v>菊池　真弓</v>
          </cell>
          <cell r="F41" t="str">
            <v>351-7670</v>
          </cell>
          <cell r="G41" t="str">
            <v>306-7260</v>
          </cell>
          <cell r="H41" t="str">
            <v xml:space="preserve">makuhari-ntt@littlegarden-inter.com
</v>
          </cell>
          <cell r="I41">
            <v>39174</v>
          </cell>
          <cell r="J41" t="str">
            <v>1F</v>
          </cell>
          <cell r="K41">
            <v>165.44</v>
          </cell>
          <cell r="L41">
            <v>100</v>
          </cell>
          <cell r="M41">
            <v>59</v>
          </cell>
          <cell r="N41" t="str">
            <v>7:00～19:00</v>
          </cell>
          <cell r="O41" t="str">
            <v>76,000～98,000円</v>
          </cell>
          <cell r="P41">
            <v>66000</v>
          </cell>
          <cell r="Q41">
            <v>59000</v>
          </cell>
          <cell r="R41">
            <v>78000</v>
          </cell>
          <cell r="S41">
            <v>76000</v>
          </cell>
          <cell r="T41">
            <v>72000</v>
          </cell>
          <cell r="U41">
            <v>72000</v>
          </cell>
          <cell r="V41">
            <v>86000</v>
          </cell>
          <cell r="W41">
            <v>76000</v>
          </cell>
          <cell r="X41">
            <v>98000</v>
          </cell>
          <cell r="Y41">
            <v>95000</v>
          </cell>
          <cell r="Z41">
            <v>92500</v>
          </cell>
          <cell r="AA41">
            <v>92500</v>
          </cell>
          <cell r="AB41" t="str">
            <v>下の子・1万円引</v>
          </cell>
          <cell r="AC41">
            <v>50000</v>
          </cell>
          <cell r="AD41" t="str">
            <v>施設調理</v>
          </cell>
          <cell r="AE41" t="str">
            <v>×</v>
          </cell>
          <cell r="AF41" t="str">
            <v>○</v>
          </cell>
          <cell r="AG41" t="str">
            <v>合資会社</v>
          </cell>
          <cell r="AH41" t="str">
            <v>無</v>
          </cell>
          <cell r="AI41" t="str">
            <v>個人</v>
          </cell>
          <cell r="AJ41" t="str">
            <v>併用型</v>
          </cell>
          <cell r="AK41" t="str">
            <v>合資会社ライフコミュニケーション</v>
          </cell>
          <cell r="AL41" t="str">
            <v>美浜区中瀬2－6－1　WBGﾏﾘﾌﾞｳｴｽﾄ2F</v>
          </cell>
          <cell r="AM41" t="str">
            <v>無限責任社員　佐々木　豊</v>
          </cell>
        </row>
        <row r="42">
          <cell r="A42" t="str">
            <v>　</v>
          </cell>
        </row>
        <row r="43">
          <cell r="A43" t="str">
            <v>平成２7年度　千葉市先取りP認定施設一覧</v>
          </cell>
        </row>
        <row r="44">
          <cell r="A44">
            <v>39</v>
          </cell>
          <cell r="B44" t="str">
            <v>あい・あい保育園　今井園</v>
          </cell>
          <cell r="C44" t="str">
            <v>260-0834</v>
          </cell>
          <cell r="D44" t="str">
            <v>中央区今井1-17-4</v>
          </cell>
          <cell r="E44" t="str">
            <v>吉田　英子</v>
          </cell>
          <cell r="F44" t="str">
            <v>208-7286</v>
          </cell>
          <cell r="G44" t="str">
            <v>208-7289</v>
          </cell>
          <cell r="H44" t="str">
            <v>imaien@dgb21.com</v>
          </cell>
          <cell r="I44" t="str">
            <v>H22.4</v>
          </cell>
          <cell r="J44" t="str">
            <v>1F</v>
          </cell>
          <cell r="K44">
            <v>47.64</v>
          </cell>
          <cell r="L44">
            <v>20</v>
          </cell>
          <cell r="M44">
            <v>20</v>
          </cell>
          <cell r="N44" t="str">
            <v>7:00～20:00</v>
          </cell>
          <cell r="O44" t="str">
            <v>63,000円</v>
          </cell>
          <cell r="P44">
            <v>53000</v>
          </cell>
          <cell r="Q44">
            <v>53000</v>
          </cell>
          <cell r="R44">
            <v>53000</v>
          </cell>
          <cell r="S44">
            <v>53000</v>
          </cell>
          <cell r="T44">
            <v>53000</v>
          </cell>
          <cell r="U44">
            <v>53000</v>
          </cell>
          <cell r="V44">
            <v>63000</v>
          </cell>
          <cell r="W44">
            <v>63000</v>
          </cell>
          <cell r="X44">
            <v>63000</v>
          </cell>
          <cell r="Y44">
            <v>63000</v>
          </cell>
          <cell r="Z44">
            <v>63000</v>
          </cell>
          <cell r="AA44">
            <v>63000</v>
          </cell>
          <cell r="AB44" t="str">
            <v>上の子・半額</v>
          </cell>
          <cell r="AC44">
            <v>20000</v>
          </cell>
          <cell r="AD44" t="str">
            <v>施設調理</v>
          </cell>
          <cell r="AE44" t="str">
            <v>×</v>
          </cell>
          <cell r="AF44" t="str">
            <v>○</v>
          </cell>
          <cell r="AG44" t="str">
            <v>株式会社</v>
          </cell>
          <cell r="AH44" t="str">
            <v>（株）global bridge</v>
          </cell>
          <cell r="AI44" t="str">
            <v>東京都墨田区亀沢4-5-4　プルームビル2階</v>
          </cell>
          <cell r="AJ44" t="str">
            <v>代表取締役　貞松　成</v>
          </cell>
          <cell r="AK44" t="str">
            <v>（株）global bridge</v>
          </cell>
          <cell r="AL44" t="str">
            <v>東京都墨田区亀沢4-5-4　プルームビル2階</v>
          </cell>
          <cell r="AM44" t="str">
            <v>代表取締役　貞松　成</v>
          </cell>
        </row>
        <row r="45">
          <cell r="A45">
            <v>40</v>
          </cell>
          <cell r="B45" t="str">
            <v>そがチャイルドハウス</v>
          </cell>
          <cell r="C45" t="str">
            <v>260-0842</v>
          </cell>
          <cell r="D45" t="str">
            <v>中央区南町3-12-1</v>
          </cell>
          <cell r="E45" t="str">
            <v>藤原　一美</v>
          </cell>
          <cell r="F45" t="str">
            <v>488-5445</v>
          </cell>
          <cell r="G45" t="str">
            <v>488-5445</v>
          </cell>
          <cell r="H45" t="str">
            <v>spu25zr9@bell.ocn.ne.jp</v>
          </cell>
          <cell r="I45" t="str">
            <v>H21.4</v>
          </cell>
          <cell r="J45" t="str">
            <v>1F</v>
          </cell>
          <cell r="K45">
            <v>80.61</v>
          </cell>
          <cell r="L45">
            <v>24</v>
          </cell>
          <cell r="M45">
            <v>24</v>
          </cell>
          <cell r="N45" t="str">
            <v>7:00～19:00</v>
          </cell>
          <cell r="O45" t="str">
            <v>50,000～65,000円</v>
          </cell>
          <cell r="P45">
            <v>45000</v>
          </cell>
          <cell r="Q45">
            <v>40000</v>
          </cell>
          <cell r="R45">
            <v>40000</v>
          </cell>
          <cell r="S45">
            <v>35000</v>
          </cell>
          <cell r="T45">
            <v>30000</v>
          </cell>
          <cell r="U45">
            <v>30000</v>
          </cell>
          <cell r="V45">
            <v>65000</v>
          </cell>
          <cell r="W45">
            <v>60000</v>
          </cell>
          <cell r="X45">
            <v>60000</v>
          </cell>
          <cell r="Y45">
            <v>55000</v>
          </cell>
          <cell r="Z45">
            <v>50000</v>
          </cell>
          <cell r="AA45">
            <v>50000</v>
          </cell>
          <cell r="AB45" t="str">
            <v>上の子・１万円引</v>
          </cell>
          <cell r="AC45">
            <v>10000</v>
          </cell>
          <cell r="AD45" t="str">
            <v>施設調理</v>
          </cell>
          <cell r="AE45" t="str">
            <v>×</v>
          </cell>
          <cell r="AF45" t="str">
            <v>○</v>
          </cell>
          <cell r="AG45" t="str">
            <v>NPO法人</v>
          </cell>
          <cell r="AH45" t="str">
            <v>NPO法人　すこやかキッズ</v>
          </cell>
          <cell r="AI45" t="str">
            <v>茂原市緑が丘1-48-11</v>
          </cell>
          <cell r="AJ45" t="str">
            <v>理事長　若菜　敬子</v>
          </cell>
          <cell r="AK45" t="str">
            <v>NPO法人　すこやかキッズ</v>
          </cell>
          <cell r="AL45" t="str">
            <v>茂原市緑が丘1-48-11</v>
          </cell>
          <cell r="AM45" t="str">
            <v>理事長　若菜　敬子</v>
          </cell>
        </row>
        <row r="46">
          <cell r="A46">
            <v>41</v>
          </cell>
          <cell r="B46" t="str">
            <v>チャイルドタイム千葉寺エンゼルホーム</v>
          </cell>
          <cell r="C46" t="str">
            <v>260-0844</v>
          </cell>
          <cell r="D46" t="str">
            <v>中央区千葉寺町886-1　ﾀﾞｲｱﾊﾟﾚｽﾋﾙﾄｯﾌﾟｴﾌ千葉寺駅前204</v>
          </cell>
          <cell r="E46" t="str">
            <v>大泉　章子</v>
          </cell>
          <cell r="F46" t="str">
            <v>268-1153</v>
          </cell>
          <cell r="G46" t="str">
            <v>309-5005</v>
          </cell>
          <cell r="H46" t="str">
            <v>chibadera@sand.ocn.ne.jp</v>
          </cell>
          <cell r="I46" t="str">
            <v>H13.4</v>
          </cell>
          <cell r="J46" t="str">
            <v>2F</v>
          </cell>
          <cell r="K46">
            <v>84.12</v>
          </cell>
          <cell r="L46">
            <v>35</v>
          </cell>
          <cell r="M46">
            <v>35</v>
          </cell>
          <cell r="N46" t="str">
            <v>7:00～20:00</v>
          </cell>
          <cell r="O46" t="str">
            <v>67,800～87,800円</v>
          </cell>
          <cell r="P46">
            <v>65800</v>
          </cell>
          <cell r="Q46">
            <v>62800</v>
          </cell>
          <cell r="R46">
            <v>59800</v>
          </cell>
          <cell r="S46">
            <v>57800</v>
          </cell>
          <cell r="T46">
            <v>55800</v>
          </cell>
          <cell r="U46">
            <v>53800</v>
          </cell>
          <cell r="V46">
            <v>87800</v>
          </cell>
          <cell r="W46">
            <v>83800</v>
          </cell>
          <cell r="X46">
            <v>79800</v>
          </cell>
          <cell r="Y46">
            <v>73800</v>
          </cell>
          <cell r="Z46">
            <v>71800</v>
          </cell>
          <cell r="AA46">
            <v>67800</v>
          </cell>
          <cell r="AB46" t="str">
            <v>上の子・１万円引</v>
          </cell>
          <cell r="AC46">
            <v>10000</v>
          </cell>
          <cell r="AD46" t="str">
            <v>施設調理</v>
          </cell>
          <cell r="AE46" t="str">
            <v>×</v>
          </cell>
          <cell r="AF46" t="str">
            <v>○</v>
          </cell>
          <cell r="AG46" t="str">
            <v>株式会社</v>
          </cell>
          <cell r="AH46" t="str">
            <v>（株）チャイルドタイム</v>
          </cell>
          <cell r="AI46" t="str">
            <v>東京都八王子市明神町4-7-3　やまとビル6F</v>
          </cell>
          <cell r="AJ46" t="str">
            <v>代表取締役　毎熊　嘉郎</v>
          </cell>
          <cell r="AK46" t="str">
            <v>（株）チャイルドタイム</v>
          </cell>
          <cell r="AL46" t="str">
            <v>東京都八王子市明神町4-7-3　やまとビル6F</v>
          </cell>
          <cell r="AM46" t="str">
            <v>代表取締役　毎熊　嘉郎</v>
          </cell>
        </row>
        <row r="47">
          <cell r="A47">
            <v>42</v>
          </cell>
          <cell r="B47" t="str">
            <v>まほろば保育所</v>
          </cell>
          <cell r="C47" t="str">
            <v>260-0001</v>
          </cell>
          <cell r="D47" t="str">
            <v>中央区都町2-13-1　ﾊﾟｰｸｱﾍﾞﾆｭｰ103</v>
          </cell>
          <cell r="E47" t="str">
            <v>原岡　愛弥</v>
          </cell>
          <cell r="F47" t="str">
            <v>231-0080</v>
          </cell>
          <cell r="G47" t="str">
            <v>231-0080</v>
          </cell>
          <cell r="H47" t="str">
            <v>miyako020610@ybb.ne.jp</v>
          </cell>
          <cell r="I47" t="str">
            <v>H14.6</v>
          </cell>
          <cell r="J47" t="str">
            <v>1F</v>
          </cell>
          <cell r="K47">
            <v>67.900000000000006</v>
          </cell>
          <cell r="L47">
            <v>24</v>
          </cell>
          <cell r="M47">
            <v>24</v>
          </cell>
          <cell r="N47" t="str">
            <v>7:00～20:00</v>
          </cell>
          <cell r="O47" t="str">
            <v>48,500～58,500円</v>
          </cell>
          <cell r="P47">
            <v>48500</v>
          </cell>
          <cell r="Q47">
            <v>48500</v>
          </cell>
          <cell r="R47">
            <v>48500</v>
          </cell>
          <cell r="S47">
            <v>48500</v>
          </cell>
          <cell r="T47">
            <v>38500</v>
          </cell>
          <cell r="U47">
            <v>38500</v>
          </cell>
          <cell r="V47">
            <v>58500</v>
          </cell>
          <cell r="W47">
            <v>58500</v>
          </cell>
          <cell r="X47">
            <v>58500</v>
          </cell>
          <cell r="Y47">
            <v>58500</v>
          </cell>
          <cell r="Z47">
            <v>48500</v>
          </cell>
          <cell r="AA47">
            <v>48500</v>
          </cell>
          <cell r="AB47" t="str">
            <v>上の子・半額</v>
          </cell>
          <cell r="AC47">
            <v>10000</v>
          </cell>
          <cell r="AD47" t="str">
            <v>施設調理</v>
          </cell>
          <cell r="AE47" t="str">
            <v>×</v>
          </cell>
          <cell r="AF47" t="str">
            <v>○</v>
          </cell>
          <cell r="AG47" t="str">
            <v>個人</v>
          </cell>
          <cell r="AH47" t="str">
            <v>千葉市中央区都町1-52-9　ルミエール102</v>
          </cell>
          <cell r="AI47" t="str">
            <v>橘原　隆之</v>
          </cell>
          <cell r="AL47" t="str">
            <v>千葉市中央区都町1-52-9　ルミエール102</v>
          </cell>
          <cell r="AM47" t="str">
            <v>橘原　隆之</v>
          </cell>
        </row>
        <row r="48">
          <cell r="A48">
            <v>43</v>
          </cell>
          <cell r="B48" t="str">
            <v>キッズルームぴょんぴょん</v>
          </cell>
          <cell r="C48" t="str">
            <v>262-0045</v>
          </cell>
          <cell r="D48" t="str">
            <v>花見川区作新台1-6-11</v>
          </cell>
          <cell r="E48" t="str">
            <v>矢島　祐子</v>
          </cell>
          <cell r="F48" t="str">
            <v>257-6730</v>
          </cell>
          <cell r="G48" t="str">
            <v>257-6730</v>
          </cell>
          <cell r="H48" t="str">
            <v>yuko-kiku@ams.odn.ne.jp</v>
          </cell>
          <cell r="I48" t="str">
            <v>H19.6</v>
          </cell>
          <cell r="J48" t="str">
            <v>1F</v>
          </cell>
          <cell r="K48">
            <v>50.74</v>
          </cell>
          <cell r="L48">
            <v>20</v>
          </cell>
          <cell r="M48">
            <v>20</v>
          </cell>
          <cell r="N48" t="str">
            <v>7:00～19:00</v>
          </cell>
          <cell r="O48" t="str">
            <v>59,000～85,000円</v>
          </cell>
          <cell r="P48">
            <v>65000</v>
          </cell>
          <cell r="Q48">
            <v>60000</v>
          </cell>
          <cell r="R48">
            <v>57000</v>
          </cell>
          <cell r="S48">
            <v>56000</v>
          </cell>
          <cell r="T48">
            <v>45000</v>
          </cell>
          <cell r="U48">
            <v>45000</v>
          </cell>
          <cell r="V48">
            <v>85000</v>
          </cell>
          <cell r="W48">
            <v>80000</v>
          </cell>
          <cell r="X48">
            <v>72000</v>
          </cell>
          <cell r="Y48">
            <v>70000</v>
          </cell>
          <cell r="Z48">
            <v>59000</v>
          </cell>
          <cell r="AA48">
            <v>59000</v>
          </cell>
          <cell r="AB48" t="str">
            <v>上の子・半額</v>
          </cell>
          <cell r="AC48">
            <v>3000</v>
          </cell>
          <cell r="AD48" t="str">
            <v>施設調理</v>
          </cell>
          <cell r="AE48" t="str">
            <v>×</v>
          </cell>
          <cell r="AF48" t="str">
            <v>○</v>
          </cell>
          <cell r="AG48" t="str">
            <v>個人</v>
          </cell>
          <cell r="AH48" t="str">
            <v>千葉市花見川区作新台1-6-11</v>
          </cell>
          <cell r="AI48" t="str">
            <v>矢島　祐子</v>
          </cell>
          <cell r="AL48" t="str">
            <v>千葉市花見川区作新台1-6-11</v>
          </cell>
          <cell r="AM48" t="str">
            <v>矢島　祐子</v>
          </cell>
        </row>
        <row r="49">
          <cell r="A49">
            <v>44</v>
          </cell>
          <cell r="B49" t="str">
            <v>キッズルームＫＯＲＵ</v>
          </cell>
          <cell r="C49" t="str">
            <v>263-0043</v>
          </cell>
          <cell r="D49" t="str">
            <v>稲毛区小仲台2-8-25　第8横土ﾋﾞﾙ1F</v>
          </cell>
          <cell r="E49" t="str">
            <v>横土　ノリ子</v>
          </cell>
          <cell r="F49" t="str">
            <v>251-0220</v>
          </cell>
          <cell r="G49" t="str">
            <v>306-5269</v>
          </cell>
          <cell r="H49" t="str">
            <v>yokodo@peach.ocn.ne.jp</v>
          </cell>
          <cell r="I49" t="str">
            <v>H17.3</v>
          </cell>
          <cell r="J49" t="str">
            <v>1F</v>
          </cell>
          <cell r="K49">
            <v>76.3</v>
          </cell>
          <cell r="L49">
            <v>34</v>
          </cell>
          <cell r="M49">
            <v>34</v>
          </cell>
          <cell r="N49" t="str">
            <v>7:00～19:00</v>
          </cell>
          <cell r="O49" t="str">
            <v>61,250～71,750円</v>
          </cell>
          <cell r="P49">
            <v>61750</v>
          </cell>
          <cell r="Q49">
            <v>61750</v>
          </cell>
          <cell r="R49">
            <v>61750</v>
          </cell>
          <cell r="S49">
            <v>61750</v>
          </cell>
          <cell r="T49">
            <v>56250</v>
          </cell>
          <cell r="U49">
            <v>56250</v>
          </cell>
          <cell r="V49">
            <v>71750</v>
          </cell>
          <cell r="W49">
            <v>71750</v>
          </cell>
          <cell r="X49">
            <v>71750</v>
          </cell>
          <cell r="Y49">
            <v>71750</v>
          </cell>
          <cell r="Z49">
            <v>61250</v>
          </cell>
          <cell r="AA49">
            <v>61250</v>
          </cell>
          <cell r="AB49" t="str">
            <v>上の子・１万円引</v>
          </cell>
          <cell r="AC49">
            <v>10000</v>
          </cell>
          <cell r="AD49" t="str">
            <v>施設調理</v>
          </cell>
          <cell r="AE49" t="str">
            <v>×</v>
          </cell>
          <cell r="AF49" t="str">
            <v>○</v>
          </cell>
          <cell r="AG49" t="str">
            <v>株式会社</v>
          </cell>
          <cell r="AH49" t="str">
            <v>（株）KORU</v>
          </cell>
          <cell r="AI49" t="str">
            <v>千葉市稲毛区小仲台2-8-25　第8横土ビル1F</v>
          </cell>
          <cell r="AJ49" t="str">
            <v>代表取締役　横土　ノリ子</v>
          </cell>
          <cell r="AK49" t="str">
            <v>（株）KORU</v>
          </cell>
          <cell r="AL49" t="str">
            <v>千葉市稲毛区小仲台2-8-25　第8横土ビル1F</v>
          </cell>
          <cell r="AM49" t="str">
            <v>代表取締役　横土　ノリ子</v>
          </cell>
        </row>
        <row r="50">
          <cell r="A50">
            <v>45</v>
          </cell>
          <cell r="B50" t="str">
            <v>たくみん保育園</v>
          </cell>
          <cell r="C50" t="str">
            <v>264-0006</v>
          </cell>
          <cell r="D50" t="str">
            <v>若葉区小倉台4-19-2</v>
          </cell>
          <cell r="E50" t="str">
            <v>小甲　明子</v>
          </cell>
          <cell r="F50" t="str">
            <v>214-2711</v>
          </cell>
          <cell r="G50" t="str">
            <v>214-2711</v>
          </cell>
          <cell r="H50" t="str">
            <v>info@takumin.jp</v>
          </cell>
          <cell r="I50" t="str">
            <v>H17.3</v>
          </cell>
          <cell r="J50" t="str">
            <v>1F</v>
          </cell>
          <cell r="K50">
            <v>69.83</v>
          </cell>
          <cell r="L50">
            <v>24</v>
          </cell>
          <cell r="M50">
            <v>24</v>
          </cell>
          <cell r="N50" t="str">
            <v>7:00～19:00</v>
          </cell>
          <cell r="O50" t="str">
            <v>53,000～58,000円</v>
          </cell>
          <cell r="P50">
            <v>43000</v>
          </cell>
          <cell r="Q50">
            <v>43000</v>
          </cell>
          <cell r="R50">
            <v>43000</v>
          </cell>
          <cell r="S50">
            <v>38000</v>
          </cell>
          <cell r="T50">
            <v>38000</v>
          </cell>
          <cell r="U50">
            <v>38000</v>
          </cell>
          <cell r="V50">
            <v>58000</v>
          </cell>
          <cell r="W50">
            <v>58000</v>
          </cell>
          <cell r="X50">
            <v>58000</v>
          </cell>
          <cell r="Y50">
            <v>53000</v>
          </cell>
          <cell r="Z50">
            <v>53000</v>
          </cell>
          <cell r="AA50">
            <v>53000</v>
          </cell>
          <cell r="AB50" t="str">
            <v>下の子・半額</v>
          </cell>
          <cell r="AC50">
            <v>5000</v>
          </cell>
          <cell r="AD50" t="str">
            <v>施設調理</v>
          </cell>
          <cell r="AE50" t="str">
            <v>×</v>
          </cell>
          <cell r="AF50" t="str">
            <v>●</v>
          </cell>
          <cell r="AG50" t="str">
            <v>社会福祉法人</v>
          </cell>
          <cell r="AH50" t="str">
            <v>（福）大きな家族</v>
          </cell>
          <cell r="AI50" t="str">
            <v>千葉市中央区問屋町13-5</v>
          </cell>
          <cell r="AJ50" t="str">
            <v>理事長　間山　有子</v>
          </cell>
          <cell r="AK50" t="str">
            <v>（福）大きな家族</v>
          </cell>
          <cell r="AL50" t="str">
            <v>千葉市中央区問屋町13-5</v>
          </cell>
          <cell r="AM50" t="str">
            <v>理事長　間山　有子</v>
          </cell>
        </row>
        <row r="51">
          <cell r="A51">
            <v>46</v>
          </cell>
          <cell r="B51" t="str">
            <v>マミー＆ミー西都賀</v>
          </cell>
          <cell r="C51" t="str">
            <v>264-0026</v>
          </cell>
          <cell r="D51" t="str">
            <v>若葉区西都賀3-20-3　ｼﾊﾞﾀﾊｲﾂ都賀１Ｆ</v>
          </cell>
          <cell r="E51" t="str">
            <v>小林　美由起</v>
          </cell>
          <cell r="F51" t="str">
            <v>290-5860</v>
          </cell>
          <cell r="G51" t="str">
            <v>290-5861</v>
          </cell>
          <cell r="H51" t="str">
            <v>kouno@spinaldesign.co.jp</v>
          </cell>
          <cell r="I51" t="str">
            <v>H19.3</v>
          </cell>
          <cell r="J51" t="str">
            <v>1F</v>
          </cell>
          <cell r="K51">
            <v>62.99</v>
          </cell>
          <cell r="L51">
            <v>20</v>
          </cell>
          <cell r="M51">
            <v>20</v>
          </cell>
          <cell r="N51" t="str">
            <v>7:00～18:00</v>
          </cell>
          <cell r="O51" t="str">
            <v>58,000～64,000円</v>
          </cell>
          <cell r="P51">
            <v>54000</v>
          </cell>
          <cell r="Q51">
            <v>48000</v>
          </cell>
          <cell r="R51">
            <v>48000</v>
          </cell>
          <cell r="S51">
            <v>52000</v>
          </cell>
          <cell r="T51">
            <v>52000</v>
          </cell>
          <cell r="U51">
            <v>52000</v>
          </cell>
          <cell r="V51">
            <v>64000</v>
          </cell>
          <cell r="W51">
            <v>58000</v>
          </cell>
          <cell r="X51">
            <v>58000</v>
          </cell>
          <cell r="Y51">
            <v>62000</v>
          </cell>
          <cell r="Z51">
            <v>62000</v>
          </cell>
          <cell r="AA51">
            <v>62000</v>
          </cell>
          <cell r="AB51" t="str">
            <v>上の子・１万円引</v>
          </cell>
          <cell r="AC51">
            <v>10000</v>
          </cell>
          <cell r="AD51" t="str">
            <v>施設調理</v>
          </cell>
          <cell r="AE51" t="str">
            <v>×</v>
          </cell>
          <cell r="AF51" t="str">
            <v>○</v>
          </cell>
          <cell r="AG51" t="str">
            <v>株式会社</v>
          </cell>
          <cell r="AH51" t="str">
            <v>（株）SPINAL　DESIGN</v>
          </cell>
          <cell r="AI51" t="str">
            <v>東京都江東区青海2-7-4-810</v>
          </cell>
          <cell r="AJ51" t="str">
            <v>代表取締役　藤本　賢</v>
          </cell>
          <cell r="AK51" t="str">
            <v>（株）SPINAL　DESIGN</v>
          </cell>
          <cell r="AL51" t="str">
            <v>東京都江東区青海2-7-4-810</v>
          </cell>
          <cell r="AM51" t="str">
            <v>代表取締役　藤本　賢</v>
          </cell>
        </row>
        <row r="52">
          <cell r="A52">
            <v>47</v>
          </cell>
          <cell r="B52" t="str">
            <v>ミルキーホーム都賀園</v>
          </cell>
          <cell r="C52" t="str">
            <v>264-0025</v>
          </cell>
          <cell r="D52" t="str">
            <v>若葉区都賀3-12-3　ﾌﾟﾗﾄｰ都賀102</v>
          </cell>
          <cell r="E52" t="str">
            <v>久保　隆</v>
          </cell>
          <cell r="F52" t="str">
            <v>235-1077</v>
          </cell>
          <cell r="G52" t="str">
            <v>235-1077</v>
          </cell>
          <cell r="H52" t="str">
            <v>mi@ssss.co.jp</v>
          </cell>
          <cell r="I52" t="str">
            <v>H14.4</v>
          </cell>
          <cell r="J52" t="str">
            <v>1F</v>
          </cell>
          <cell r="K52">
            <v>69.680000000000007</v>
          </cell>
          <cell r="L52">
            <v>28</v>
          </cell>
          <cell r="M52">
            <v>28</v>
          </cell>
          <cell r="N52" t="str">
            <v>7:00～21:00</v>
          </cell>
          <cell r="O52" t="str">
            <v>46,550～60,550円</v>
          </cell>
          <cell r="P52">
            <v>46600</v>
          </cell>
          <cell r="Q52">
            <v>42600</v>
          </cell>
          <cell r="R52">
            <v>42600</v>
          </cell>
          <cell r="S52">
            <v>36800</v>
          </cell>
          <cell r="T52">
            <v>36800</v>
          </cell>
          <cell r="U52">
            <v>36800</v>
          </cell>
          <cell r="V52">
            <v>60550</v>
          </cell>
          <cell r="W52">
            <v>56550</v>
          </cell>
          <cell r="X52">
            <v>56550</v>
          </cell>
          <cell r="Y52">
            <v>46550</v>
          </cell>
          <cell r="Z52">
            <v>46550</v>
          </cell>
          <cell r="AA52">
            <v>46550</v>
          </cell>
          <cell r="AB52" t="str">
            <v>ケース別に異なるため記載困難</v>
          </cell>
          <cell r="AC52">
            <v>13000</v>
          </cell>
          <cell r="AD52" t="str">
            <v>施設調理</v>
          </cell>
          <cell r="AE52" t="str">
            <v>○</v>
          </cell>
          <cell r="AF52" t="str">
            <v>●</v>
          </cell>
          <cell r="AG52" t="str">
            <v>株式会社</v>
          </cell>
          <cell r="AH52" t="str">
            <v>（株）ハッピーナース</v>
          </cell>
          <cell r="AI52" t="str">
            <v>柏市増尾台3－6－41</v>
          </cell>
          <cell r="AJ52" t="str">
            <v>岡崎　玲子</v>
          </cell>
          <cell r="AK52" t="str">
            <v>（株）ハッピーナース</v>
          </cell>
          <cell r="AL52" t="str">
            <v>柏市増尾台3－6－41</v>
          </cell>
          <cell r="AM52" t="str">
            <v>岡崎　玲子</v>
          </cell>
        </row>
        <row r="53">
          <cell r="A53">
            <v>48</v>
          </cell>
          <cell r="B53" t="str">
            <v>やまどり保育園</v>
          </cell>
          <cell r="C53" t="str">
            <v>264-0025</v>
          </cell>
          <cell r="D53" t="str">
            <v>若葉区都賀2-12-11 技工ﾋﾞﾙ１F</v>
          </cell>
          <cell r="E53" t="str">
            <v>鳥山　弘章</v>
          </cell>
          <cell r="F53" t="str">
            <v>214-5730</v>
          </cell>
          <cell r="G53" t="str">
            <v>214-5735</v>
          </cell>
          <cell r="H53" t="str">
            <v xml:space="preserve">yamadori500321@yahoo.co.jp
</v>
          </cell>
          <cell r="I53">
            <v>39055</v>
          </cell>
          <cell r="J53" t="str">
            <v>1・2F</v>
          </cell>
          <cell r="K53">
            <v>192.24</v>
          </cell>
          <cell r="L53">
            <v>59</v>
          </cell>
          <cell r="M53">
            <v>59</v>
          </cell>
          <cell r="N53" t="str">
            <v>7:00～21:00</v>
          </cell>
          <cell r="O53" t="str">
            <v>52,500～57,000円</v>
          </cell>
          <cell r="P53">
            <v>47000</v>
          </cell>
          <cell r="Q53">
            <v>42500</v>
          </cell>
          <cell r="R53">
            <v>42500</v>
          </cell>
          <cell r="S53">
            <v>42500</v>
          </cell>
          <cell r="T53">
            <v>42500</v>
          </cell>
          <cell r="U53">
            <v>42500</v>
          </cell>
          <cell r="V53">
            <v>57000</v>
          </cell>
          <cell r="W53">
            <v>52500</v>
          </cell>
          <cell r="X53">
            <v>52500</v>
          </cell>
          <cell r="Y53">
            <v>52500</v>
          </cell>
          <cell r="Z53">
            <v>52500</v>
          </cell>
          <cell r="AA53">
            <v>52500</v>
          </cell>
          <cell r="AB53" t="str">
            <v>上の子・１万円引</v>
          </cell>
          <cell r="AC53">
            <v>5000</v>
          </cell>
          <cell r="AD53" t="str">
            <v>施設調理</v>
          </cell>
          <cell r="AE53" t="str">
            <v>×</v>
          </cell>
          <cell r="AF53" t="str">
            <v>○</v>
          </cell>
          <cell r="AG53" t="str">
            <v>株式会社</v>
          </cell>
          <cell r="AH53" t="str">
            <v>無</v>
          </cell>
          <cell r="AI53" t="str">
            <v>民間会社</v>
          </cell>
          <cell r="AJ53" t="str">
            <v>併用型</v>
          </cell>
          <cell r="AK53" t="str">
            <v>（株）TORIコーポレーション</v>
          </cell>
          <cell r="AL53" t="str">
            <v>千葉市若葉区都賀2-12-11 技工ﾋﾞﾙ3F</v>
          </cell>
          <cell r="AM53" t="str">
            <v>代表取締役　鳥山　弘章</v>
          </cell>
        </row>
        <row r="54">
          <cell r="A54">
            <v>49</v>
          </cell>
          <cell r="B54" t="str">
            <v>かるがも保育園鎌取駅前園</v>
          </cell>
          <cell r="C54" t="str">
            <v>266-0031</v>
          </cell>
          <cell r="D54" t="str">
            <v>緑区おゆみ野3-10-7</v>
          </cell>
          <cell r="E54" t="str">
            <v>平松　弥穂</v>
          </cell>
          <cell r="F54" t="str">
            <v>292-8349</v>
          </cell>
          <cell r="G54" t="str">
            <v>292-8349</v>
          </cell>
          <cell r="H54" t="str">
            <v>rnqsc984@ybb.ne.jp</v>
          </cell>
          <cell r="I54" t="str">
            <v>H14.4</v>
          </cell>
          <cell r="J54" t="str">
            <v>1・2F</v>
          </cell>
          <cell r="K54">
            <v>195.03</v>
          </cell>
          <cell r="L54">
            <v>59</v>
          </cell>
          <cell r="M54">
            <v>59</v>
          </cell>
          <cell r="N54" t="str">
            <v>7:00～20:00</v>
          </cell>
          <cell r="O54" t="str">
            <v>60,700～85,500円</v>
          </cell>
          <cell r="P54">
            <v>64500</v>
          </cell>
          <cell r="Q54">
            <v>54500</v>
          </cell>
          <cell r="R54">
            <v>54500</v>
          </cell>
          <cell r="S54">
            <v>53700</v>
          </cell>
          <cell r="T54">
            <v>53700</v>
          </cell>
          <cell r="U54">
            <v>53700</v>
          </cell>
          <cell r="V54">
            <v>85500</v>
          </cell>
          <cell r="W54">
            <v>75500</v>
          </cell>
          <cell r="X54">
            <v>75500</v>
          </cell>
          <cell r="Y54">
            <v>60700</v>
          </cell>
          <cell r="Z54">
            <v>60700</v>
          </cell>
          <cell r="AA54">
            <v>60700</v>
          </cell>
          <cell r="AB54" t="str">
            <v>上の子・１万円引</v>
          </cell>
          <cell r="AC54">
            <v>20000</v>
          </cell>
          <cell r="AD54" t="str">
            <v>施設調理</v>
          </cell>
          <cell r="AE54" t="str">
            <v>○</v>
          </cell>
          <cell r="AF54" t="str">
            <v>○</v>
          </cell>
          <cell r="AG54" t="str">
            <v>株式会社</v>
          </cell>
          <cell r="AH54" t="str">
            <v>株式会社　かるがも</v>
          </cell>
          <cell r="AI54" t="str">
            <v>四街道市四街道1-5-5</v>
          </cell>
          <cell r="AJ54" t="str">
            <v>代表取締役　目片智恵美</v>
          </cell>
          <cell r="AK54" t="str">
            <v>株式会社　かるがも</v>
          </cell>
          <cell r="AL54" t="str">
            <v>四街道市四街道1-5-5</v>
          </cell>
          <cell r="AM54" t="str">
            <v>代表取締役　目片智恵美</v>
          </cell>
        </row>
        <row r="55">
          <cell r="A55">
            <v>50</v>
          </cell>
          <cell r="B55" t="str">
            <v>かるがも保育園鎌取小がも園</v>
          </cell>
          <cell r="C55" t="str">
            <v>266-0031</v>
          </cell>
          <cell r="D55" t="str">
            <v>緑区おゆみ野4-23-2</v>
          </cell>
          <cell r="E55" t="str">
            <v>古澤　由美子</v>
          </cell>
          <cell r="F55" t="str">
            <v>300-1152</v>
          </cell>
          <cell r="G55" t="str">
            <v>300-1152</v>
          </cell>
          <cell r="H55" t="str">
            <v>rnqsc985@ybb.ne.jp</v>
          </cell>
          <cell r="I55" t="str">
            <v>H17.1</v>
          </cell>
          <cell r="J55" t="str">
            <v>1F</v>
          </cell>
          <cell r="K55">
            <v>100.66</v>
          </cell>
          <cell r="L55">
            <v>36</v>
          </cell>
          <cell r="M55">
            <v>36</v>
          </cell>
          <cell r="N55" t="str">
            <v>7:00～20:00</v>
          </cell>
          <cell r="O55" t="str">
            <v>60,700～85,500円</v>
          </cell>
          <cell r="P55">
            <v>64500</v>
          </cell>
          <cell r="Q55">
            <v>54500</v>
          </cell>
          <cell r="R55">
            <v>54500</v>
          </cell>
          <cell r="S55">
            <v>53700</v>
          </cell>
          <cell r="T55">
            <v>53700</v>
          </cell>
          <cell r="U55">
            <v>53700</v>
          </cell>
          <cell r="V55">
            <v>85500</v>
          </cell>
          <cell r="W55">
            <v>75500</v>
          </cell>
          <cell r="X55">
            <v>75500</v>
          </cell>
          <cell r="Y55">
            <v>60700</v>
          </cell>
          <cell r="Z55">
            <v>60700</v>
          </cell>
          <cell r="AA55">
            <v>60700</v>
          </cell>
          <cell r="AB55" t="str">
            <v>上の子・１万円引</v>
          </cell>
          <cell r="AC55">
            <v>20000</v>
          </cell>
          <cell r="AD55" t="str">
            <v>施設調理</v>
          </cell>
          <cell r="AE55" t="str">
            <v>○</v>
          </cell>
          <cell r="AF55" t="str">
            <v>○</v>
          </cell>
          <cell r="AG55" t="str">
            <v>株式会社</v>
          </cell>
          <cell r="AH55" t="str">
            <v>株式会社　かるがも</v>
          </cell>
          <cell r="AI55" t="str">
            <v>四街道市四街道1-5-5</v>
          </cell>
          <cell r="AJ55" t="str">
            <v>代表取締役　目片智恵美</v>
          </cell>
          <cell r="AK55" t="str">
            <v>株式会社　かるがも</v>
          </cell>
          <cell r="AL55" t="str">
            <v>四街道市四街道1-5-5</v>
          </cell>
          <cell r="AM55" t="str">
            <v>代表取締役　目片智恵美</v>
          </cell>
        </row>
        <row r="56">
          <cell r="A56">
            <v>51</v>
          </cell>
          <cell r="B56" t="str">
            <v>子どものまきば保育園</v>
          </cell>
          <cell r="C56" t="str">
            <v>267-0061</v>
          </cell>
          <cell r="D56" t="str">
            <v>緑区土気町630-8</v>
          </cell>
          <cell r="E56" t="str">
            <v>宗像　正雄</v>
          </cell>
          <cell r="F56" t="str">
            <v>295-3349</v>
          </cell>
          <cell r="G56" t="str">
            <v>295-3349</v>
          </cell>
          <cell r="H56" t="str">
            <v>X90machan-shopping@yahoo.co.jp</v>
          </cell>
          <cell r="I56" t="str">
            <v>H15.2</v>
          </cell>
          <cell r="J56" t="str">
            <v>1F</v>
          </cell>
          <cell r="K56">
            <v>61.7</v>
          </cell>
          <cell r="L56">
            <v>31</v>
          </cell>
          <cell r="M56">
            <v>31</v>
          </cell>
          <cell r="N56" t="str">
            <v>7:00～19:00</v>
          </cell>
          <cell r="O56" t="str">
            <v>59,600～79,600円</v>
          </cell>
          <cell r="P56">
            <v>36000</v>
          </cell>
          <cell r="Q56">
            <v>42600</v>
          </cell>
          <cell r="R56">
            <v>40600</v>
          </cell>
          <cell r="S56">
            <v>39600</v>
          </cell>
          <cell r="T56">
            <v>39600</v>
          </cell>
          <cell r="U56">
            <v>39600</v>
          </cell>
          <cell r="V56">
            <v>77000</v>
          </cell>
          <cell r="W56">
            <v>79600</v>
          </cell>
          <cell r="X56">
            <v>75600</v>
          </cell>
          <cell r="Y56">
            <v>59600</v>
          </cell>
          <cell r="Z56">
            <v>59600</v>
          </cell>
          <cell r="AA56">
            <v>59600</v>
          </cell>
          <cell r="AB56" t="str">
            <v>上の子・１万円引</v>
          </cell>
          <cell r="AC56">
            <v>20000</v>
          </cell>
          <cell r="AD56" t="str">
            <v>施設調理</v>
          </cell>
          <cell r="AE56" t="str">
            <v>×</v>
          </cell>
          <cell r="AF56" t="str">
            <v>○</v>
          </cell>
          <cell r="AG56" t="str">
            <v>株式会社</v>
          </cell>
          <cell r="AH56" t="str">
            <v>ジェー・エス・テー株式会社</v>
          </cell>
          <cell r="AI56" t="str">
            <v>千葉市緑区土気町630-1</v>
          </cell>
          <cell r="AJ56" t="str">
            <v>代表取締役　星　恵子</v>
          </cell>
          <cell r="AK56" t="str">
            <v>ジェー・エス・テー株式会社</v>
          </cell>
          <cell r="AL56" t="str">
            <v>千葉市緑区土気町630-1</v>
          </cell>
          <cell r="AM56" t="str">
            <v>代表取締役　星　恵子</v>
          </cell>
        </row>
        <row r="57">
          <cell r="A57">
            <v>52</v>
          </cell>
          <cell r="B57" t="str">
            <v>キッズ・ガーデン　海浜幕張</v>
          </cell>
          <cell r="C57" t="str">
            <v>261-0021</v>
          </cell>
          <cell r="D57" t="str">
            <v>美浜区ひび野2－1－1　QVCスクエア2階</v>
          </cell>
          <cell r="E57" t="str">
            <v>井手　健二郎</v>
          </cell>
          <cell r="F57" t="str">
            <v>306-6288</v>
          </cell>
          <cell r="G57" t="str">
            <v>306-6287</v>
          </cell>
          <cell r="H57" t="str">
            <v>ide@kids-garden.co.jp</v>
          </cell>
          <cell r="I57" t="str">
            <v>H25,4</v>
          </cell>
          <cell r="J57" t="str">
            <v>2F</v>
          </cell>
          <cell r="K57">
            <v>152.27000000000001</v>
          </cell>
          <cell r="L57">
            <v>59</v>
          </cell>
          <cell r="M57">
            <v>59</v>
          </cell>
          <cell r="N57" t="str">
            <v>7:00～19:00</v>
          </cell>
          <cell r="O57" t="str">
            <v>68,800～73,800円</v>
          </cell>
          <cell r="P57">
            <v>83800</v>
          </cell>
          <cell r="Q57">
            <v>83800</v>
          </cell>
          <cell r="R57">
            <v>83800</v>
          </cell>
          <cell r="S57">
            <v>78800</v>
          </cell>
          <cell r="T57">
            <v>78800</v>
          </cell>
          <cell r="U57">
            <v>78800</v>
          </cell>
          <cell r="V57">
            <v>88800</v>
          </cell>
          <cell r="W57">
            <v>88800</v>
          </cell>
          <cell r="X57">
            <v>88800</v>
          </cell>
          <cell r="Y57">
            <v>83800</v>
          </cell>
          <cell r="Z57">
            <v>83800</v>
          </cell>
          <cell r="AA57">
            <v>83800</v>
          </cell>
          <cell r="AB57" t="str">
            <v>下の子3割引き</v>
          </cell>
          <cell r="AC57">
            <v>15000</v>
          </cell>
          <cell r="AD57" t="str">
            <v>施設調理</v>
          </cell>
          <cell r="AE57" t="str">
            <v>×</v>
          </cell>
          <cell r="AF57" t="str">
            <v>●</v>
          </cell>
          <cell r="AG57" t="str">
            <v>株式会社</v>
          </cell>
          <cell r="AH57" t="str">
            <v>(株)生活設計</v>
          </cell>
          <cell r="AI57" t="str">
            <v>八千代市勝田1247-6</v>
          </cell>
          <cell r="AJ57" t="str">
            <v>代表取締役　井手　健二郎</v>
          </cell>
          <cell r="AK57" t="str">
            <v>(株)生活設計</v>
          </cell>
          <cell r="AL57" t="str">
            <v>八千代市勝田1247-6</v>
          </cell>
          <cell r="AM57" t="str">
            <v>代表取締役　井手　健二郎</v>
          </cell>
        </row>
        <row r="58">
          <cell r="A58">
            <v>53</v>
          </cell>
          <cell r="B58" t="str">
            <v>なのはな保育所幸町ルーム</v>
          </cell>
          <cell r="C58" t="str">
            <v>261-0001</v>
          </cell>
          <cell r="D58" t="str">
            <v>美浜区幸町1-16-5　ｶﾈｼｮｳﾋﾞﾙ2F</v>
          </cell>
          <cell r="E58" t="str">
            <v>岡別府　陽子</v>
          </cell>
          <cell r="F58" t="str">
            <v>248-2478</v>
          </cell>
          <cell r="G58" t="str">
            <v>248-2478</v>
          </cell>
          <cell r="H58" t="str">
            <v>staff@nanohana-hoiku.com</v>
          </cell>
          <cell r="I58" t="str">
            <v>H17.9</v>
          </cell>
          <cell r="J58" t="str">
            <v>2F</v>
          </cell>
          <cell r="K58">
            <v>73</v>
          </cell>
          <cell r="L58">
            <v>27</v>
          </cell>
          <cell r="M58">
            <v>27</v>
          </cell>
          <cell r="N58" t="str">
            <v>7:00～20:00</v>
          </cell>
          <cell r="O58" t="str">
            <v>43,000～70,000円</v>
          </cell>
          <cell r="P58">
            <v>55000</v>
          </cell>
          <cell r="Q58">
            <v>45000</v>
          </cell>
          <cell r="R58">
            <v>37000</v>
          </cell>
          <cell r="S58">
            <v>34000</v>
          </cell>
          <cell r="T58">
            <v>30000</v>
          </cell>
          <cell r="U58">
            <v>30000</v>
          </cell>
          <cell r="V58">
            <v>70000</v>
          </cell>
          <cell r="W58">
            <v>60000</v>
          </cell>
          <cell r="X58">
            <v>55000</v>
          </cell>
          <cell r="Y58">
            <v>45000</v>
          </cell>
          <cell r="Z58">
            <v>43000</v>
          </cell>
          <cell r="AA58">
            <v>43000</v>
          </cell>
          <cell r="AB58" t="str">
            <v>下の子2万円引き</v>
          </cell>
          <cell r="AC58">
            <v>10000</v>
          </cell>
          <cell r="AD58" t="str">
            <v>施設調理</v>
          </cell>
          <cell r="AE58" t="str">
            <v>×</v>
          </cell>
          <cell r="AF58" t="str">
            <v>○</v>
          </cell>
          <cell r="AG58" t="str">
            <v>株式会社</v>
          </cell>
          <cell r="AH58" t="str">
            <v>（株）なのはな</v>
          </cell>
          <cell r="AI58" t="str">
            <v>千葉市美浜区幸町1-16-5　ｶﾈｼｮｳﾋﾞﾙ2F</v>
          </cell>
          <cell r="AJ58" t="str">
            <v>代表取締役　薮崎　流美子</v>
          </cell>
          <cell r="AK58" t="str">
            <v>（株）なのはな</v>
          </cell>
          <cell r="AL58" t="str">
            <v>千葉市美浜区幸町1-16-5　ｶﾈｼｮｳﾋﾞﾙ2F</v>
          </cell>
          <cell r="AM58" t="str">
            <v>代表取締役　薮崎　流美子</v>
          </cell>
        </row>
        <row r="60">
          <cell r="A60" t="str">
            <v>平成２６年度　認可外保育施設一覧（保育ルーム・先P除く）</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施設情報"/>
      <sheetName val="交付決定内訳一覧"/>
      <sheetName val="3.31現在職員数"/>
      <sheetName val="交付決定一覧"/>
      <sheetName val="決定通知（様式第２号）"/>
      <sheetName val="第１四半期"/>
      <sheetName val="第２四半期 "/>
      <sheetName val="第２支払"/>
      <sheetName val="第３四半期"/>
      <sheetName val="第３支払"/>
      <sheetName val="10月予備申請"/>
      <sheetName val="変更決定一覧"/>
      <sheetName val="変更通知（様式第5号）"/>
      <sheetName val="確定通知（様式第7号）"/>
      <sheetName val="差引所要額一覧"/>
      <sheetName val="差引所要額内訳 "/>
      <sheetName val="確定額一覧"/>
      <sheetName val="精算分"/>
      <sheetName val="精算書"/>
      <sheetName val="枝番号簿"/>
      <sheetName val="支払い一覧"/>
    </sheetNames>
    <sheetDataSet>
      <sheetData sheetId="0"/>
      <sheetData sheetId="1">
        <row r="4">
          <cell r="A4">
            <v>1</v>
          </cell>
          <cell r="B4" t="str">
            <v>院内保育園</v>
          </cell>
          <cell r="C4">
            <v>0</v>
          </cell>
          <cell r="D4">
            <v>2517000</v>
          </cell>
          <cell r="E4">
            <v>4116000</v>
          </cell>
          <cell r="F4">
            <v>0</v>
          </cell>
          <cell r="G4">
            <v>1502000</v>
          </cell>
          <cell r="H4">
            <v>0</v>
          </cell>
          <cell r="I4">
            <v>8135000</v>
          </cell>
        </row>
        <row r="5">
          <cell r="A5">
            <v>2</v>
          </cell>
          <cell r="B5" t="str">
            <v>旭ケ丘保育園</v>
          </cell>
          <cell r="C5">
            <v>0</v>
          </cell>
          <cell r="D5">
            <v>2517000</v>
          </cell>
          <cell r="E5">
            <v>4116000</v>
          </cell>
          <cell r="F5">
            <v>467000</v>
          </cell>
          <cell r="G5">
            <v>1588000</v>
          </cell>
          <cell r="H5">
            <v>2352000</v>
          </cell>
          <cell r="I5">
            <v>11040000</v>
          </cell>
        </row>
        <row r="6">
          <cell r="A6">
            <v>3</v>
          </cell>
          <cell r="B6" t="str">
            <v>稲毛保育園</v>
          </cell>
          <cell r="C6">
            <v>0</v>
          </cell>
          <cell r="D6">
            <v>2517000</v>
          </cell>
          <cell r="E6">
            <v>4116000</v>
          </cell>
          <cell r="F6">
            <v>0</v>
          </cell>
          <cell r="G6">
            <v>1588000</v>
          </cell>
          <cell r="H6">
            <v>2352000</v>
          </cell>
          <cell r="I6">
            <v>10573000</v>
          </cell>
        </row>
        <row r="7">
          <cell r="A7">
            <v>4</v>
          </cell>
          <cell r="B7" t="str">
            <v>みどり学園附属保育園</v>
          </cell>
          <cell r="C7">
            <v>0</v>
          </cell>
          <cell r="D7">
            <v>2517000</v>
          </cell>
          <cell r="E7">
            <v>4116000</v>
          </cell>
          <cell r="F7">
            <v>0</v>
          </cell>
          <cell r="G7">
            <v>1588000</v>
          </cell>
          <cell r="H7">
            <v>0</v>
          </cell>
          <cell r="I7">
            <v>8221000</v>
          </cell>
        </row>
        <row r="8">
          <cell r="A8">
            <v>5</v>
          </cell>
          <cell r="B8" t="str">
            <v>ちどり保育園</v>
          </cell>
          <cell r="C8">
            <v>0</v>
          </cell>
          <cell r="D8">
            <v>2517000</v>
          </cell>
          <cell r="E8">
            <v>4116000</v>
          </cell>
          <cell r="F8">
            <v>467000</v>
          </cell>
          <cell r="G8">
            <v>1584000</v>
          </cell>
          <cell r="H8">
            <v>0</v>
          </cell>
          <cell r="I8">
            <v>8684000</v>
          </cell>
        </row>
        <row r="9">
          <cell r="A9">
            <v>6</v>
          </cell>
          <cell r="B9" t="str">
            <v>今井保育園</v>
          </cell>
          <cell r="C9">
            <v>935000</v>
          </cell>
          <cell r="D9">
            <v>2517000</v>
          </cell>
          <cell r="E9">
            <v>4116000</v>
          </cell>
          <cell r="F9">
            <v>467000</v>
          </cell>
          <cell r="G9">
            <v>1588000</v>
          </cell>
          <cell r="H9">
            <v>2352000</v>
          </cell>
          <cell r="I9">
            <v>11975000</v>
          </cell>
        </row>
        <row r="10">
          <cell r="A10">
            <v>7</v>
          </cell>
          <cell r="B10" t="str">
            <v>若竹保育園</v>
          </cell>
          <cell r="C10">
            <v>0</v>
          </cell>
          <cell r="D10">
            <v>2517000</v>
          </cell>
          <cell r="E10">
            <v>4116000</v>
          </cell>
          <cell r="F10">
            <v>467000</v>
          </cell>
          <cell r="G10">
            <v>1588000</v>
          </cell>
          <cell r="H10">
            <v>2352000</v>
          </cell>
          <cell r="I10">
            <v>11040000</v>
          </cell>
        </row>
        <row r="11">
          <cell r="A11">
            <v>8</v>
          </cell>
          <cell r="B11" t="str">
            <v>千葉寺保育園</v>
          </cell>
          <cell r="C11">
            <v>0</v>
          </cell>
          <cell r="D11">
            <v>2517000</v>
          </cell>
          <cell r="E11">
            <v>4116000</v>
          </cell>
          <cell r="F11">
            <v>0</v>
          </cell>
          <cell r="G11">
            <v>1588000</v>
          </cell>
          <cell r="H11">
            <v>2352000</v>
          </cell>
          <cell r="I11">
            <v>10573000</v>
          </cell>
        </row>
        <row r="12">
          <cell r="A12">
            <v>9</v>
          </cell>
          <cell r="B12" t="str">
            <v>慈光保育園</v>
          </cell>
          <cell r="C12">
            <v>0</v>
          </cell>
          <cell r="D12">
            <v>2517000</v>
          </cell>
          <cell r="E12">
            <v>4116000</v>
          </cell>
          <cell r="F12">
            <v>467000</v>
          </cell>
          <cell r="G12">
            <v>1588000</v>
          </cell>
          <cell r="H12">
            <v>2352000</v>
          </cell>
          <cell r="I12">
            <v>11040000</v>
          </cell>
        </row>
        <row r="13">
          <cell r="A13">
            <v>10</v>
          </cell>
          <cell r="B13" t="str">
            <v>若梅保育園</v>
          </cell>
          <cell r="C13">
            <v>0</v>
          </cell>
          <cell r="D13">
            <v>2517000</v>
          </cell>
          <cell r="E13">
            <v>4116000</v>
          </cell>
          <cell r="F13">
            <v>467000</v>
          </cell>
          <cell r="G13">
            <v>1588000</v>
          </cell>
          <cell r="H13">
            <v>2352000</v>
          </cell>
          <cell r="I13">
            <v>11040000</v>
          </cell>
        </row>
        <row r="14">
          <cell r="A14">
            <v>11</v>
          </cell>
          <cell r="B14" t="str">
            <v>チューリップ保育園</v>
          </cell>
          <cell r="C14">
            <v>0</v>
          </cell>
          <cell r="D14">
            <v>2517000</v>
          </cell>
          <cell r="E14">
            <v>4116000</v>
          </cell>
          <cell r="F14">
            <v>0</v>
          </cell>
          <cell r="G14">
            <v>1077000</v>
          </cell>
          <cell r="H14">
            <v>2352000</v>
          </cell>
          <cell r="I14">
            <v>10062000</v>
          </cell>
        </row>
        <row r="15">
          <cell r="A15">
            <v>12</v>
          </cell>
          <cell r="B15" t="str">
            <v>幕張海浜保育園</v>
          </cell>
          <cell r="C15">
            <v>0</v>
          </cell>
          <cell r="D15">
            <v>2517000</v>
          </cell>
          <cell r="E15">
            <v>4116000</v>
          </cell>
          <cell r="F15">
            <v>467000</v>
          </cell>
          <cell r="G15">
            <v>1588000</v>
          </cell>
          <cell r="H15">
            <v>0</v>
          </cell>
          <cell r="I15">
            <v>8688000</v>
          </cell>
        </row>
        <row r="16">
          <cell r="A16">
            <v>13</v>
          </cell>
          <cell r="B16" t="str">
            <v>みつわ台保育園</v>
          </cell>
          <cell r="C16">
            <v>0</v>
          </cell>
          <cell r="D16">
            <v>2517000</v>
          </cell>
          <cell r="E16">
            <v>4116000</v>
          </cell>
          <cell r="F16">
            <v>467000</v>
          </cell>
          <cell r="G16">
            <v>1588000</v>
          </cell>
          <cell r="H16">
            <v>7056000</v>
          </cell>
          <cell r="I16">
            <v>15744000</v>
          </cell>
        </row>
        <row r="17">
          <cell r="A17">
            <v>14</v>
          </cell>
          <cell r="B17" t="str">
            <v>まどか保育園</v>
          </cell>
          <cell r="C17">
            <v>0</v>
          </cell>
          <cell r="D17">
            <v>2517000</v>
          </cell>
          <cell r="E17">
            <v>4116000</v>
          </cell>
          <cell r="F17">
            <v>467000</v>
          </cell>
          <cell r="G17">
            <v>1588000</v>
          </cell>
          <cell r="H17">
            <v>0</v>
          </cell>
          <cell r="I17">
            <v>8688000</v>
          </cell>
        </row>
        <row r="18">
          <cell r="A18">
            <v>15</v>
          </cell>
          <cell r="B18" t="str">
            <v>わかくさ保育園</v>
          </cell>
          <cell r="C18">
            <v>0</v>
          </cell>
          <cell r="D18">
            <v>2517000</v>
          </cell>
          <cell r="E18">
            <v>4116000</v>
          </cell>
          <cell r="F18">
            <v>467000</v>
          </cell>
          <cell r="G18">
            <v>1588000</v>
          </cell>
          <cell r="H18">
            <v>0</v>
          </cell>
          <cell r="I18">
            <v>8688000</v>
          </cell>
        </row>
        <row r="19">
          <cell r="A19">
            <v>16</v>
          </cell>
          <cell r="B19" t="str">
            <v>たいよう保育園</v>
          </cell>
          <cell r="C19">
            <v>0</v>
          </cell>
          <cell r="D19">
            <v>2517000</v>
          </cell>
          <cell r="E19">
            <v>4116000</v>
          </cell>
          <cell r="F19">
            <v>467000</v>
          </cell>
          <cell r="G19">
            <v>1588000</v>
          </cell>
          <cell r="H19">
            <v>0</v>
          </cell>
          <cell r="I19">
            <v>8688000</v>
          </cell>
        </row>
        <row r="20">
          <cell r="A20">
            <v>17</v>
          </cell>
          <cell r="B20" t="str">
            <v>松ケ丘保育園</v>
          </cell>
          <cell r="C20">
            <v>0</v>
          </cell>
          <cell r="D20">
            <v>2517000</v>
          </cell>
          <cell r="E20">
            <v>4116000</v>
          </cell>
          <cell r="F20">
            <v>467000</v>
          </cell>
          <cell r="G20">
            <v>1288000</v>
          </cell>
          <cell r="H20">
            <v>2352000</v>
          </cell>
          <cell r="I20">
            <v>10740000</v>
          </cell>
        </row>
        <row r="21">
          <cell r="A21">
            <v>18</v>
          </cell>
          <cell r="B21" t="str">
            <v>作草部保育園</v>
          </cell>
          <cell r="C21">
            <v>0</v>
          </cell>
          <cell r="D21">
            <v>2517000</v>
          </cell>
          <cell r="E21">
            <v>4116000</v>
          </cell>
          <cell r="F21">
            <v>467000</v>
          </cell>
          <cell r="G21">
            <v>1588000</v>
          </cell>
          <cell r="H21">
            <v>2352000</v>
          </cell>
          <cell r="I21">
            <v>11040000</v>
          </cell>
        </row>
        <row r="22">
          <cell r="A22">
            <v>19</v>
          </cell>
          <cell r="B22" t="str">
            <v>すずらん保育園</v>
          </cell>
          <cell r="C22">
            <v>0</v>
          </cell>
          <cell r="D22">
            <v>2517000</v>
          </cell>
          <cell r="E22">
            <v>4116000</v>
          </cell>
          <cell r="F22">
            <v>467000</v>
          </cell>
          <cell r="G22">
            <v>1588000</v>
          </cell>
          <cell r="H22">
            <v>2352000</v>
          </cell>
          <cell r="I22">
            <v>11040000</v>
          </cell>
        </row>
        <row r="23">
          <cell r="A23">
            <v>20</v>
          </cell>
          <cell r="B23" t="str">
            <v>なぎさ保育園</v>
          </cell>
          <cell r="C23">
            <v>0</v>
          </cell>
          <cell r="D23">
            <v>2517000</v>
          </cell>
          <cell r="E23">
            <v>4116000</v>
          </cell>
          <cell r="F23">
            <v>467000</v>
          </cell>
          <cell r="G23">
            <v>1588000</v>
          </cell>
          <cell r="H23">
            <v>0</v>
          </cell>
          <cell r="I23">
            <v>8688000</v>
          </cell>
        </row>
        <row r="24">
          <cell r="A24">
            <v>21</v>
          </cell>
          <cell r="B24" t="str">
            <v>南小中台保育園</v>
          </cell>
          <cell r="C24">
            <v>0</v>
          </cell>
          <cell r="D24">
            <v>2517000</v>
          </cell>
          <cell r="E24">
            <v>4116000</v>
          </cell>
          <cell r="F24">
            <v>467000</v>
          </cell>
          <cell r="G24">
            <v>1588000</v>
          </cell>
          <cell r="H24">
            <v>2352000</v>
          </cell>
          <cell r="I24">
            <v>11040000</v>
          </cell>
        </row>
        <row r="25">
          <cell r="A25">
            <v>22</v>
          </cell>
          <cell r="B25" t="str">
            <v>もみじ保育園</v>
          </cell>
          <cell r="C25">
            <v>0</v>
          </cell>
          <cell r="D25">
            <v>2517000</v>
          </cell>
          <cell r="E25">
            <v>4116000</v>
          </cell>
          <cell r="F25">
            <v>0</v>
          </cell>
          <cell r="G25">
            <v>1588000</v>
          </cell>
          <cell r="H25">
            <v>2352000</v>
          </cell>
          <cell r="I25">
            <v>10573000</v>
          </cell>
        </row>
        <row r="26">
          <cell r="A26">
            <v>23</v>
          </cell>
          <cell r="B26" t="str">
            <v>おゆみ野保育園</v>
          </cell>
          <cell r="C26">
            <v>0</v>
          </cell>
          <cell r="D26">
            <v>2517000</v>
          </cell>
          <cell r="E26">
            <v>4116000</v>
          </cell>
          <cell r="F26">
            <v>467000</v>
          </cell>
          <cell r="G26">
            <v>1588000</v>
          </cell>
          <cell r="H26">
            <v>2352000</v>
          </cell>
          <cell r="I26">
            <v>11040000</v>
          </cell>
        </row>
        <row r="27">
          <cell r="A27">
            <v>24</v>
          </cell>
          <cell r="B27" t="str">
            <v>ナーセリー鏡戸</v>
          </cell>
          <cell r="C27">
            <v>935000</v>
          </cell>
          <cell r="D27">
            <v>2517000</v>
          </cell>
          <cell r="E27">
            <v>4116000</v>
          </cell>
          <cell r="F27">
            <v>467000</v>
          </cell>
          <cell r="G27">
            <v>1588000</v>
          </cell>
          <cell r="H27">
            <v>0</v>
          </cell>
          <cell r="I27">
            <v>9623000</v>
          </cell>
        </row>
        <row r="28">
          <cell r="A28">
            <v>25</v>
          </cell>
          <cell r="B28" t="str">
            <v>打瀬保育園</v>
          </cell>
          <cell r="C28">
            <v>0</v>
          </cell>
          <cell r="D28">
            <v>2517000</v>
          </cell>
          <cell r="E28">
            <v>4116000</v>
          </cell>
          <cell r="F28">
            <v>467000</v>
          </cell>
          <cell r="G28">
            <v>1588000</v>
          </cell>
          <cell r="H28">
            <v>0</v>
          </cell>
          <cell r="I28">
            <v>8688000</v>
          </cell>
        </row>
        <row r="29">
          <cell r="A29">
            <v>26</v>
          </cell>
          <cell r="B29" t="str">
            <v>ふたば保育園</v>
          </cell>
          <cell r="C29">
            <v>0</v>
          </cell>
          <cell r="D29">
            <v>2517000</v>
          </cell>
          <cell r="E29">
            <v>4116000</v>
          </cell>
          <cell r="F29">
            <v>467000</v>
          </cell>
          <cell r="G29">
            <v>1588000</v>
          </cell>
          <cell r="H29">
            <v>4704000</v>
          </cell>
          <cell r="I29">
            <v>13392000</v>
          </cell>
        </row>
        <row r="30">
          <cell r="A30">
            <v>27</v>
          </cell>
          <cell r="B30" t="str">
            <v>明和輝保育園</v>
          </cell>
          <cell r="C30">
            <v>935000</v>
          </cell>
          <cell r="D30">
            <v>2517000</v>
          </cell>
          <cell r="E30">
            <v>4116000</v>
          </cell>
          <cell r="F30">
            <v>0</v>
          </cell>
          <cell r="G30">
            <v>1588000</v>
          </cell>
          <cell r="H30">
            <v>2352000</v>
          </cell>
          <cell r="I30">
            <v>11508000</v>
          </cell>
        </row>
        <row r="31">
          <cell r="A31">
            <v>28</v>
          </cell>
          <cell r="B31" t="str">
            <v>山王保育園</v>
          </cell>
          <cell r="C31">
            <v>0</v>
          </cell>
          <cell r="D31">
            <v>2517000</v>
          </cell>
          <cell r="E31">
            <v>4116000</v>
          </cell>
          <cell r="F31">
            <v>467000</v>
          </cell>
          <cell r="G31">
            <v>1588000</v>
          </cell>
          <cell r="H31">
            <v>0</v>
          </cell>
          <cell r="I31">
            <v>8688000</v>
          </cell>
        </row>
        <row r="32">
          <cell r="A32">
            <v>29</v>
          </cell>
          <cell r="B32" t="str">
            <v>チャイルド・ガーデン保育園</v>
          </cell>
          <cell r="C32">
            <v>0</v>
          </cell>
          <cell r="D32">
            <v>2517000</v>
          </cell>
          <cell r="E32">
            <v>4116000</v>
          </cell>
          <cell r="F32">
            <v>0</v>
          </cell>
          <cell r="G32">
            <v>1588000</v>
          </cell>
          <cell r="H32">
            <v>0</v>
          </cell>
          <cell r="I32">
            <v>8221000</v>
          </cell>
        </row>
        <row r="33">
          <cell r="A33">
            <v>30</v>
          </cell>
          <cell r="B33" t="str">
            <v>明徳土気保育園</v>
          </cell>
          <cell r="C33">
            <v>0</v>
          </cell>
          <cell r="D33">
            <v>2517000</v>
          </cell>
          <cell r="E33">
            <v>4116000</v>
          </cell>
          <cell r="F33">
            <v>467000</v>
          </cell>
          <cell r="G33">
            <v>1588000</v>
          </cell>
          <cell r="H33">
            <v>4704000</v>
          </cell>
          <cell r="I33">
            <v>13392000</v>
          </cell>
        </row>
        <row r="34">
          <cell r="A34">
            <v>31</v>
          </cell>
          <cell r="B34" t="str">
            <v>グレース保育園</v>
          </cell>
          <cell r="C34">
            <v>0</v>
          </cell>
          <cell r="D34">
            <v>2517000</v>
          </cell>
          <cell r="E34">
            <v>4116000</v>
          </cell>
          <cell r="F34">
            <v>0</v>
          </cell>
          <cell r="G34">
            <v>1588000</v>
          </cell>
          <cell r="H34">
            <v>2352000</v>
          </cell>
          <cell r="I34">
            <v>10573000</v>
          </cell>
        </row>
        <row r="35">
          <cell r="A35">
            <v>32</v>
          </cell>
          <cell r="B35" t="str">
            <v>みらい保育園</v>
          </cell>
          <cell r="C35">
            <v>0</v>
          </cell>
          <cell r="D35">
            <v>2517000</v>
          </cell>
          <cell r="E35">
            <v>4116000</v>
          </cell>
          <cell r="F35">
            <v>0</v>
          </cell>
          <cell r="G35">
            <v>1588000</v>
          </cell>
          <cell r="H35">
            <v>2352000</v>
          </cell>
          <cell r="I35">
            <v>10573000</v>
          </cell>
        </row>
        <row r="36">
          <cell r="A36">
            <v>33</v>
          </cell>
          <cell r="B36" t="str">
            <v>かまとり保育園</v>
          </cell>
          <cell r="C36">
            <v>0</v>
          </cell>
          <cell r="D36">
            <v>2517000</v>
          </cell>
          <cell r="E36">
            <v>4116000</v>
          </cell>
          <cell r="F36">
            <v>0</v>
          </cell>
          <cell r="G36">
            <v>1588000</v>
          </cell>
          <cell r="H36">
            <v>2352000</v>
          </cell>
          <cell r="I36">
            <v>10573000</v>
          </cell>
        </row>
        <row r="37">
          <cell r="A37">
            <v>34</v>
          </cell>
          <cell r="B37" t="str">
            <v>植草弁天保育園</v>
          </cell>
          <cell r="C37">
            <v>935000</v>
          </cell>
          <cell r="D37">
            <v>2517000</v>
          </cell>
          <cell r="E37">
            <v>4116000</v>
          </cell>
          <cell r="F37">
            <v>467000</v>
          </cell>
          <cell r="G37">
            <v>1588000</v>
          </cell>
          <cell r="H37">
            <v>0</v>
          </cell>
          <cell r="I37">
            <v>9623000</v>
          </cell>
        </row>
        <row r="38">
          <cell r="A38">
            <v>35</v>
          </cell>
          <cell r="B38" t="str">
            <v>ひなたぼっこ保育園</v>
          </cell>
          <cell r="C38">
            <v>0</v>
          </cell>
          <cell r="D38">
            <v>2517000</v>
          </cell>
          <cell r="E38">
            <v>4116000</v>
          </cell>
          <cell r="F38">
            <v>467000</v>
          </cell>
          <cell r="G38">
            <v>1588000</v>
          </cell>
          <cell r="H38">
            <v>0</v>
          </cell>
          <cell r="I38">
            <v>8688000</v>
          </cell>
        </row>
        <row r="39">
          <cell r="A39">
            <v>36</v>
          </cell>
          <cell r="B39" t="str">
            <v>はまかぜ保育園</v>
          </cell>
          <cell r="C39">
            <v>0</v>
          </cell>
          <cell r="D39">
            <v>2517000</v>
          </cell>
          <cell r="E39">
            <v>4116000</v>
          </cell>
          <cell r="F39">
            <v>467000</v>
          </cell>
          <cell r="G39">
            <v>1588000</v>
          </cell>
          <cell r="H39">
            <v>0</v>
          </cell>
          <cell r="I39">
            <v>8688000</v>
          </cell>
        </row>
        <row r="40">
          <cell r="A40">
            <v>37</v>
          </cell>
          <cell r="B40" t="str">
            <v>いなほ保育園</v>
          </cell>
          <cell r="C40">
            <v>0</v>
          </cell>
          <cell r="D40">
            <v>2517000</v>
          </cell>
          <cell r="E40">
            <v>4116000</v>
          </cell>
          <cell r="F40">
            <v>467000</v>
          </cell>
          <cell r="G40">
            <v>1588000</v>
          </cell>
          <cell r="H40">
            <v>0</v>
          </cell>
          <cell r="I40">
            <v>8688000</v>
          </cell>
        </row>
        <row r="41">
          <cell r="A41">
            <v>38</v>
          </cell>
          <cell r="B41" t="str">
            <v>キッズマーム保育園</v>
          </cell>
          <cell r="C41">
            <v>0</v>
          </cell>
          <cell r="D41">
            <v>2517000</v>
          </cell>
          <cell r="E41">
            <v>4116000</v>
          </cell>
          <cell r="F41">
            <v>0</v>
          </cell>
          <cell r="G41">
            <v>1588000</v>
          </cell>
          <cell r="H41">
            <v>2352000</v>
          </cell>
          <cell r="I41">
            <v>10573000</v>
          </cell>
        </row>
        <row r="42">
          <cell r="A42">
            <v>39</v>
          </cell>
          <cell r="B42" t="str">
            <v>アスク海浜幕張保育園</v>
          </cell>
          <cell r="C42">
            <v>0</v>
          </cell>
          <cell r="D42">
            <v>2517000</v>
          </cell>
          <cell r="E42">
            <v>4116000</v>
          </cell>
          <cell r="F42">
            <v>467000</v>
          </cell>
          <cell r="G42">
            <v>0</v>
          </cell>
          <cell r="H42">
            <v>0</v>
          </cell>
          <cell r="I42">
            <v>7100000</v>
          </cell>
        </row>
        <row r="43">
          <cell r="A43">
            <v>40</v>
          </cell>
          <cell r="B43" t="str">
            <v>明徳浜野駅保育園</v>
          </cell>
          <cell r="C43">
            <v>0</v>
          </cell>
          <cell r="D43">
            <v>2517000</v>
          </cell>
          <cell r="E43">
            <v>4116000</v>
          </cell>
          <cell r="F43">
            <v>0</v>
          </cell>
          <cell r="G43">
            <v>1588000</v>
          </cell>
          <cell r="H43">
            <v>0</v>
          </cell>
          <cell r="I43">
            <v>8221000</v>
          </cell>
        </row>
        <row r="44">
          <cell r="A44">
            <v>41</v>
          </cell>
          <cell r="B44" t="str">
            <v>幕張いもっこ保育園</v>
          </cell>
          <cell r="C44">
            <v>0</v>
          </cell>
          <cell r="D44">
            <v>2517000</v>
          </cell>
          <cell r="E44">
            <v>4116000</v>
          </cell>
          <cell r="F44">
            <v>467000</v>
          </cell>
          <cell r="G44">
            <v>1122000</v>
          </cell>
          <cell r="H44">
            <v>0</v>
          </cell>
          <cell r="I44">
            <v>8222000</v>
          </cell>
        </row>
        <row r="45">
          <cell r="A45">
            <v>42</v>
          </cell>
          <cell r="B45" t="str">
            <v>稲毛すきっぷ保育園</v>
          </cell>
          <cell r="C45">
            <v>0</v>
          </cell>
          <cell r="D45">
            <v>2517000</v>
          </cell>
          <cell r="E45">
            <v>4116000</v>
          </cell>
          <cell r="F45">
            <v>467000</v>
          </cell>
          <cell r="G45">
            <v>0</v>
          </cell>
          <cell r="H45">
            <v>0</v>
          </cell>
          <cell r="I45">
            <v>7100000</v>
          </cell>
        </row>
        <row r="46">
          <cell r="A46">
            <v>43</v>
          </cell>
          <cell r="B46" t="str">
            <v>千葉聖心保育園</v>
          </cell>
          <cell r="C46">
            <v>935000</v>
          </cell>
          <cell r="D46">
            <v>2517000</v>
          </cell>
          <cell r="E46">
            <v>4116000</v>
          </cell>
          <cell r="F46">
            <v>0</v>
          </cell>
          <cell r="G46">
            <v>0</v>
          </cell>
          <cell r="H46">
            <v>0</v>
          </cell>
          <cell r="I46">
            <v>7568000</v>
          </cell>
        </row>
        <row r="47">
          <cell r="A47">
            <v>44</v>
          </cell>
          <cell r="B47" t="str">
            <v>真生保育園</v>
          </cell>
          <cell r="C47">
            <v>0</v>
          </cell>
          <cell r="D47">
            <v>2517000</v>
          </cell>
          <cell r="E47">
            <v>4116000</v>
          </cell>
          <cell r="F47">
            <v>467000</v>
          </cell>
          <cell r="G47">
            <v>1588000</v>
          </cell>
          <cell r="H47">
            <v>0</v>
          </cell>
          <cell r="I47">
            <v>8688000</v>
          </cell>
        </row>
        <row r="48">
          <cell r="A48">
            <v>45</v>
          </cell>
          <cell r="B48" t="str">
            <v>アップルナースリー検見川浜保育園</v>
          </cell>
          <cell r="C48">
            <v>0</v>
          </cell>
          <cell r="D48">
            <v>2517000</v>
          </cell>
          <cell r="E48">
            <v>4116000</v>
          </cell>
          <cell r="F48">
            <v>467000</v>
          </cell>
          <cell r="G48">
            <v>1588000</v>
          </cell>
          <cell r="H48">
            <v>0</v>
          </cell>
          <cell r="I48">
            <v>8688000</v>
          </cell>
        </row>
        <row r="49">
          <cell r="A49">
            <v>46</v>
          </cell>
          <cell r="B49">
            <v>0</v>
          </cell>
          <cell r="C49">
            <v>0</v>
          </cell>
          <cell r="D49">
            <v>0</v>
          </cell>
          <cell r="E49">
            <v>0</v>
          </cell>
          <cell r="I49">
            <v>0</v>
          </cell>
        </row>
        <row r="50">
          <cell r="A50">
            <v>47</v>
          </cell>
          <cell r="B50">
            <v>0</v>
          </cell>
          <cell r="C50">
            <v>0</v>
          </cell>
          <cell r="D50">
            <v>0</v>
          </cell>
          <cell r="E50">
            <v>0</v>
          </cell>
          <cell r="I50">
            <v>0</v>
          </cell>
        </row>
        <row r="51">
          <cell r="A51">
            <v>48</v>
          </cell>
          <cell r="B51">
            <v>0</v>
          </cell>
          <cell r="C51">
            <v>0</v>
          </cell>
          <cell r="D51">
            <v>0</v>
          </cell>
          <cell r="E51">
            <v>0</v>
          </cell>
          <cell r="I51">
            <v>0</v>
          </cell>
        </row>
        <row r="52">
          <cell r="A52">
            <v>49</v>
          </cell>
          <cell r="B52">
            <v>0</v>
          </cell>
          <cell r="C52">
            <v>0</v>
          </cell>
          <cell r="D52">
            <v>0</v>
          </cell>
          <cell r="E52">
            <v>0</v>
          </cell>
          <cell r="I52">
            <v>0</v>
          </cell>
        </row>
        <row r="53">
          <cell r="A53">
            <v>50</v>
          </cell>
          <cell r="B53">
            <v>0</v>
          </cell>
          <cell r="C53">
            <v>0</v>
          </cell>
          <cell r="D53">
            <v>0</v>
          </cell>
          <cell r="E53">
            <v>0</v>
          </cell>
          <cell r="I53">
            <v>0</v>
          </cell>
        </row>
        <row r="54">
          <cell r="B54" t="str">
            <v>この行は使わないこと</v>
          </cell>
        </row>
        <row r="55">
          <cell r="B55" t="str">
            <v>合計</v>
          </cell>
          <cell r="C55">
            <v>4675000</v>
          </cell>
          <cell r="D55">
            <v>113265000</v>
          </cell>
          <cell r="E55">
            <v>185220000</v>
          </cell>
          <cell r="F55">
            <v>14477000</v>
          </cell>
          <cell r="G55">
            <v>65329000</v>
          </cell>
          <cell r="H55">
            <v>61152000</v>
          </cell>
          <cell r="I55">
            <v>444118000</v>
          </cell>
        </row>
      </sheetData>
      <sheetData sheetId="2"/>
      <sheetData sheetId="3"/>
      <sheetData sheetId="4"/>
      <sheetData sheetId="5"/>
      <sheetData sheetId="6"/>
      <sheetData sheetId="7"/>
      <sheetData sheetId="8"/>
      <sheetData sheetId="9"/>
      <sheetData sheetId="10"/>
      <sheetData sheetId="11">
        <row r="4">
          <cell r="A4">
            <v>1</v>
          </cell>
          <cell r="B4" t="str">
            <v>院内保育園</v>
          </cell>
          <cell r="C4" t="str">
            <v>(財)千葉愛育会</v>
          </cell>
          <cell r="D4" t="str">
            <v>日高   正和</v>
          </cell>
          <cell r="E4" t="str">
            <v>千葉市中央区院内2-5-6</v>
          </cell>
          <cell r="F4">
            <v>935000</v>
          </cell>
          <cell r="G4">
            <v>2572000</v>
          </cell>
          <cell r="H4">
            <v>3159000</v>
          </cell>
          <cell r="I4">
            <v>0</v>
          </cell>
          <cell r="J4">
            <v>1588000</v>
          </cell>
          <cell r="K4">
            <v>8254000</v>
          </cell>
          <cell r="L4">
            <v>8254000</v>
          </cell>
        </row>
        <row r="5">
          <cell r="A5">
            <v>2</v>
          </cell>
          <cell r="B5" t="str">
            <v>旭ケ丘保育園</v>
          </cell>
          <cell r="C5" t="str">
            <v>(福)千葉ベタニヤホーム</v>
          </cell>
          <cell r="D5" t="str">
            <v>中島　康文</v>
          </cell>
          <cell r="E5" t="str">
            <v>市川市国府台2-9-13</v>
          </cell>
          <cell r="F5">
            <v>2572000</v>
          </cell>
          <cell r="G5">
            <v>2572000</v>
          </cell>
          <cell r="H5">
            <v>4212000</v>
          </cell>
          <cell r="I5">
            <v>467000</v>
          </cell>
          <cell r="J5">
            <v>1588000</v>
          </cell>
          <cell r="K5">
            <v>2352000</v>
          </cell>
          <cell r="L5">
            <v>11191000</v>
          </cell>
        </row>
        <row r="6">
          <cell r="A6">
            <v>3</v>
          </cell>
          <cell r="B6" t="str">
            <v>稲毛保育園</v>
          </cell>
          <cell r="C6" t="str">
            <v>(福)千葉県厚生事業団</v>
          </cell>
          <cell r="D6" t="str">
            <v>佐藤 悦光</v>
          </cell>
          <cell r="E6" t="str">
            <v>柏市十余二175-42</v>
          </cell>
          <cell r="F6">
            <v>0</v>
          </cell>
          <cell r="G6">
            <v>2357000</v>
          </cell>
          <cell r="H6">
            <v>3510000</v>
          </cell>
          <cell r="I6">
            <v>0</v>
          </cell>
          <cell r="J6">
            <v>1588000</v>
          </cell>
          <cell r="K6">
            <v>2352000</v>
          </cell>
          <cell r="L6">
            <v>9807000</v>
          </cell>
        </row>
        <row r="7">
          <cell r="A7">
            <v>4</v>
          </cell>
          <cell r="B7" t="str">
            <v>みどり学園附属保育園</v>
          </cell>
          <cell r="C7" t="str">
            <v>(財)みどり学園附属保育園</v>
          </cell>
          <cell r="D7" t="str">
            <v>相原 美知江</v>
          </cell>
          <cell r="E7" t="str">
            <v>千葉市花見川区幕張町2-972</v>
          </cell>
          <cell r="F7">
            <v>0</v>
          </cell>
          <cell r="G7">
            <v>2572000</v>
          </cell>
          <cell r="H7">
            <v>4212000</v>
          </cell>
          <cell r="I7">
            <v>467000</v>
          </cell>
          <cell r="J7">
            <v>1588000</v>
          </cell>
          <cell r="K7">
            <v>0</v>
          </cell>
          <cell r="L7">
            <v>8839000</v>
          </cell>
        </row>
        <row r="8">
          <cell r="A8">
            <v>5</v>
          </cell>
          <cell r="B8" t="str">
            <v>ちどり保育園</v>
          </cell>
          <cell r="C8" t="str">
            <v>(財)ちどり保育園</v>
          </cell>
          <cell r="D8" t="str">
            <v>吉岡   正夫</v>
          </cell>
          <cell r="E8" t="str">
            <v>千葉市花見川区検見川町3-331-4</v>
          </cell>
          <cell r="F8">
            <v>1870000</v>
          </cell>
          <cell r="G8">
            <v>2572000</v>
          </cell>
          <cell r="H8">
            <v>4212000</v>
          </cell>
          <cell r="I8">
            <v>467000</v>
          </cell>
          <cell r="J8">
            <v>1588000</v>
          </cell>
          <cell r="K8">
            <v>2352000</v>
          </cell>
          <cell r="L8">
            <v>13061000</v>
          </cell>
        </row>
        <row r="9">
          <cell r="A9">
            <v>6</v>
          </cell>
          <cell r="B9" t="str">
            <v>今井保育園</v>
          </cell>
          <cell r="C9" t="str">
            <v>(財)今井保育園</v>
          </cell>
          <cell r="D9" t="str">
            <v>大森 権四郎</v>
          </cell>
          <cell r="E9" t="str">
            <v>千葉市中央区今井2-12-7</v>
          </cell>
          <cell r="F9">
            <v>935000</v>
          </cell>
          <cell r="G9">
            <v>2572000</v>
          </cell>
          <cell r="H9">
            <v>4212000</v>
          </cell>
          <cell r="I9">
            <v>467000</v>
          </cell>
          <cell r="J9">
            <v>1588000</v>
          </cell>
          <cell r="K9">
            <v>2352000</v>
          </cell>
          <cell r="L9">
            <v>12126000</v>
          </cell>
        </row>
        <row r="10">
          <cell r="A10">
            <v>7</v>
          </cell>
          <cell r="B10" t="str">
            <v>若竹保育園</v>
          </cell>
          <cell r="C10" t="str">
            <v>(福)恵福祉会</v>
          </cell>
          <cell r="D10" t="str">
            <v>片倉  憲太郎</v>
          </cell>
          <cell r="E10" t="str">
            <v>袖ケ浦市蔵波2598-1</v>
          </cell>
          <cell r="F10">
            <v>935000</v>
          </cell>
          <cell r="G10">
            <v>2572000</v>
          </cell>
          <cell r="H10">
            <v>4212000</v>
          </cell>
          <cell r="I10">
            <v>467000</v>
          </cell>
          <cell r="J10">
            <v>1588000</v>
          </cell>
          <cell r="K10">
            <v>2352000</v>
          </cell>
          <cell r="L10">
            <v>12126000</v>
          </cell>
        </row>
        <row r="11">
          <cell r="A11">
            <v>8</v>
          </cell>
          <cell r="B11" t="str">
            <v>千葉寺保育園</v>
          </cell>
          <cell r="C11" t="str">
            <v>(福)千葉寺福祉会</v>
          </cell>
          <cell r="D11" t="str">
            <v>鈴木敏弘</v>
          </cell>
          <cell r="E11" t="str">
            <v>千葉市中央区末広4-17-3</v>
          </cell>
          <cell r="F11">
            <v>935000</v>
          </cell>
          <cell r="G11">
            <v>2572000</v>
          </cell>
          <cell r="H11">
            <v>4212000</v>
          </cell>
          <cell r="I11">
            <v>467000</v>
          </cell>
          <cell r="J11">
            <v>1588000</v>
          </cell>
          <cell r="K11">
            <v>2352000</v>
          </cell>
          <cell r="L11">
            <v>12126000</v>
          </cell>
        </row>
        <row r="12">
          <cell r="A12">
            <v>9</v>
          </cell>
          <cell r="B12" t="str">
            <v>慈光保育園</v>
          </cell>
          <cell r="C12" t="str">
            <v>(福)龍澤園</v>
          </cell>
          <cell r="D12" t="str">
            <v>長谷川 和世</v>
          </cell>
          <cell r="E12" t="str">
            <v>千葉市中央区大巌寺町457-5</v>
          </cell>
          <cell r="F12">
            <v>0</v>
          </cell>
          <cell r="G12">
            <v>2572000</v>
          </cell>
          <cell r="H12">
            <v>4212000</v>
          </cell>
          <cell r="I12">
            <v>467000</v>
          </cell>
          <cell r="J12">
            <v>894000</v>
          </cell>
          <cell r="K12">
            <v>2352000</v>
          </cell>
          <cell r="L12">
            <v>10497000</v>
          </cell>
        </row>
        <row r="13">
          <cell r="A13">
            <v>10</v>
          </cell>
          <cell r="B13" t="str">
            <v>若梅保育園</v>
          </cell>
          <cell r="C13" t="str">
            <v>(福)恵福祉会</v>
          </cell>
          <cell r="D13" t="str">
            <v>片倉  憲太郎</v>
          </cell>
          <cell r="E13" t="str">
            <v>袖ケ浦市蔵波2598-1</v>
          </cell>
          <cell r="F13">
            <v>0</v>
          </cell>
          <cell r="G13">
            <v>2572000</v>
          </cell>
          <cell r="H13">
            <v>4212000</v>
          </cell>
          <cell r="I13">
            <v>467000</v>
          </cell>
          <cell r="J13">
            <v>1588000</v>
          </cell>
          <cell r="K13">
            <v>2352000</v>
          </cell>
          <cell r="L13">
            <v>11191000</v>
          </cell>
        </row>
        <row r="14">
          <cell r="A14">
            <v>11</v>
          </cell>
          <cell r="B14" t="str">
            <v>チューリップ保育園</v>
          </cell>
          <cell r="C14" t="str">
            <v>(福)聖心福祉会</v>
          </cell>
          <cell r="D14" t="str">
            <v>藤井 二佐枝</v>
          </cell>
          <cell r="E14" t="str">
            <v>千葉市美浜区真砂3-15-14</v>
          </cell>
          <cell r="F14">
            <v>935000</v>
          </cell>
          <cell r="G14">
            <v>2572000</v>
          </cell>
          <cell r="H14">
            <v>4212000</v>
          </cell>
          <cell r="I14">
            <v>467000</v>
          </cell>
          <cell r="J14">
            <v>955000</v>
          </cell>
          <cell r="K14">
            <v>2352000</v>
          </cell>
          <cell r="L14">
            <v>11493000</v>
          </cell>
        </row>
        <row r="15">
          <cell r="A15">
            <v>12</v>
          </cell>
          <cell r="B15" t="str">
            <v>幕張海浜保育園</v>
          </cell>
          <cell r="C15" t="str">
            <v>(福)愛の園福祉会</v>
          </cell>
          <cell r="D15" t="str">
            <v>堀口   路加</v>
          </cell>
          <cell r="E15" t="str">
            <v>八千代市大字米本1359米本団地4-39</v>
          </cell>
          <cell r="F15">
            <v>0</v>
          </cell>
          <cell r="G15">
            <v>2572000</v>
          </cell>
          <cell r="H15">
            <v>4212000</v>
          </cell>
          <cell r="I15">
            <v>467000</v>
          </cell>
          <cell r="J15">
            <v>1588000</v>
          </cell>
          <cell r="K15">
            <v>2352000</v>
          </cell>
          <cell r="L15">
            <v>11191000</v>
          </cell>
        </row>
        <row r="16">
          <cell r="A16">
            <v>13</v>
          </cell>
          <cell r="B16" t="str">
            <v>みつわ台保育園</v>
          </cell>
          <cell r="C16" t="str">
            <v xml:space="preserve">(福)豊福祉会 </v>
          </cell>
          <cell r="D16" t="str">
            <v>御園　愛子</v>
          </cell>
          <cell r="E16" t="str">
            <v>千葉市若葉区みつわ台5-8-8</v>
          </cell>
          <cell r="F16">
            <v>0</v>
          </cell>
          <cell r="G16">
            <v>2572000</v>
          </cell>
          <cell r="H16">
            <v>4212000</v>
          </cell>
          <cell r="I16">
            <v>467000</v>
          </cell>
          <cell r="J16">
            <v>1588000</v>
          </cell>
          <cell r="K16">
            <v>4704000</v>
          </cell>
          <cell r="L16">
            <v>13543000</v>
          </cell>
        </row>
        <row r="17">
          <cell r="A17">
            <v>14</v>
          </cell>
          <cell r="B17" t="str">
            <v>まどか保育園</v>
          </cell>
          <cell r="C17" t="str">
            <v>(福)高洲福祉会</v>
          </cell>
          <cell r="D17" t="str">
            <v>樋口　正春</v>
          </cell>
          <cell r="E17" t="str">
            <v>千葉市美浜区高洲1-15-2</v>
          </cell>
          <cell r="F17">
            <v>935000</v>
          </cell>
          <cell r="G17">
            <v>2572000</v>
          </cell>
          <cell r="H17">
            <v>4212000</v>
          </cell>
          <cell r="I17">
            <v>467000</v>
          </cell>
          <cell r="J17">
            <v>1456000</v>
          </cell>
          <cell r="K17">
            <v>0</v>
          </cell>
          <cell r="L17">
            <v>9642000</v>
          </cell>
        </row>
        <row r="18">
          <cell r="A18">
            <v>15</v>
          </cell>
          <cell r="B18" t="str">
            <v>わかくさ保育園</v>
          </cell>
          <cell r="C18" t="str">
            <v>(福)如水福祉会</v>
          </cell>
          <cell r="D18" t="str">
            <v>行木　道嗣</v>
          </cell>
          <cell r="E18" t="str">
            <v>千葉市緑区大椎町1199-2</v>
          </cell>
          <cell r="F18">
            <v>0</v>
          </cell>
          <cell r="G18">
            <v>2572000</v>
          </cell>
          <cell r="H18">
            <v>3510000</v>
          </cell>
          <cell r="I18">
            <v>467000</v>
          </cell>
          <cell r="J18">
            <v>1148000</v>
          </cell>
          <cell r="K18">
            <v>0</v>
          </cell>
          <cell r="L18">
            <v>7697000</v>
          </cell>
        </row>
        <row r="19">
          <cell r="A19">
            <v>16</v>
          </cell>
          <cell r="B19" t="str">
            <v>たいよう保育園</v>
          </cell>
          <cell r="C19" t="str">
            <v>(福)千葉福祉会</v>
          </cell>
          <cell r="D19" t="str">
            <v>中村　くに子</v>
          </cell>
          <cell r="E19" t="str">
            <v>千葉市若葉区みつわ台3-12-1</v>
          </cell>
          <cell r="F19">
            <v>935000</v>
          </cell>
          <cell r="G19">
            <v>2572000</v>
          </cell>
          <cell r="H19">
            <v>4212000</v>
          </cell>
          <cell r="I19">
            <v>467000</v>
          </cell>
          <cell r="J19">
            <v>1588000</v>
          </cell>
          <cell r="K19">
            <v>0</v>
          </cell>
          <cell r="L19">
            <v>9774000</v>
          </cell>
        </row>
        <row r="20">
          <cell r="A20">
            <v>17</v>
          </cell>
          <cell r="B20" t="str">
            <v>松ケ丘保育園</v>
          </cell>
          <cell r="C20" t="str">
            <v>(福)清流福祉会</v>
          </cell>
          <cell r="D20" t="str">
            <v>渡辺   光範</v>
          </cell>
          <cell r="E20" t="str">
            <v>千葉市中央区松ケ丘町563-1</v>
          </cell>
          <cell r="F20">
            <v>0</v>
          </cell>
          <cell r="G20">
            <v>2572000</v>
          </cell>
          <cell r="H20">
            <v>4212000</v>
          </cell>
          <cell r="I20">
            <v>467000</v>
          </cell>
          <cell r="J20">
            <v>1043000</v>
          </cell>
          <cell r="K20">
            <v>2352000</v>
          </cell>
          <cell r="L20">
            <v>10646000</v>
          </cell>
        </row>
        <row r="21">
          <cell r="A21">
            <v>18</v>
          </cell>
          <cell r="B21" t="str">
            <v>作草部保育園</v>
          </cell>
          <cell r="C21" t="str">
            <v>(福)扶葉福祉会</v>
          </cell>
          <cell r="D21" t="str">
            <v>竝木     清</v>
          </cell>
          <cell r="E21" t="str">
            <v>千葉市稲毛区作草部町698-3</v>
          </cell>
          <cell r="F21">
            <v>0</v>
          </cell>
          <cell r="G21">
            <v>2572000</v>
          </cell>
          <cell r="H21">
            <v>4212000</v>
          </cell>
          <cell r="I21">
            <v>467000</v>
          </cell>
          <cell r="J21">
            <v>1588000</v>
          </cell>
          <cell r="K21">
            <v>0</v>
          </cell>
          <cell r="L21">
            <v>8839000</v>
          </cell>
        </row>
        <row r="22">
          <cell r="A22">
            <v>19</v>
          </cell>
          <cell r="B22" t="str">
            <v>すずらん保育園</v>
          </cell>
          <cell r="C22" t="str">
            <v>(福)精粋福祉会</v>
          </cell>
          <cell r="D22" t="str">
            <v>林      榮子</v>
          </cell>
          <cell r="E22" t="str">
            <v>千葉市若葉区若松町2106-3</v>
          </cell>
          <cell r="F22">
            <v>0</v>
          </cell>
          <cell r="G22">
            <v>2572000</v>
          </cell>
          <cell r="H22">
            <v>4212000</v>
          </cell>
          <cell r="I22">
            <v>467000</v>
          </cell>
          <cell r="J22">
            <v>1588000</v>
          </cell>
          <cell r="K22">
            <v>2352000</v>
          </cell>
          <cell r="L22">
            <v>11191000</v>
          </cell>
        </row>
        <row r="23">
          <cell r="A23">
            <v>20</v>
          </cell>
          <cell r="B23" t="str">
            <v>なぎさ保育園</v>
          </cell>
          <cell r="C23" t="str">
            <v>(福)愛誠福祉会</v>
          </cell>
          <cell r="D23" t="str">
            <v>森田  喜代八</v>
          </cell>
          <cell r="E23" t="str">
            <v>千葉市美浜区高浜4-4-1</v>
          </cell>
          <cell r="F23">
            <v>0</v>
          </cell>
          <cell r="G23">
            <v>2572000</v>
          </cell>
          <cell r="H23">
            <v>4212000</v>
          </cell>
          <cell r="I23">
            <v>467000</v>
          </cell>
          <cell r="J23">
            <v>1588000</v>
          </cell>
          <cell r="K23">
            <v>0</v>
          </cell>
          <cell r="L23">
            <v>8839000</v>
          </cell>
        </row>
        <row r="24">
          <cell r="A24">
            <v>21</v>
          </cell>
          <cell r="B24" t="str">
            <v>南小中台保育園</v>
          </cell>
          <cell r="C24" t="str">
            <v>(福)南小中台福祉会</v>
          </cell>
          <cell r="D24" t="str">
            <v>原   八代重</v>
          </cell>
          <cell r="E24" t="str">
            <v>千葉市稲毛区小仲台8-21-1</v>
          </cell>
          <cell r="F24">
            <v>0</v>
          </cell>
          <cell r="G24">
            <v>2572000</v>
          </cell>
          <cell r="H24">
            <v>3861000</v>
          </cell>
          <cell r="I24">
            <v>467000</v>
          </cell>
          <cell r="J24">
            <v>1588000</v>
          </cell>
          <cell r="K24">
            <v>2352000</v>
          </cell>
          <cell r="L24">
            <v>10840000</v>
          </cell>
        </row>
        <row r="25">
          <cell r="A25">
            <v>22</v>
          </cell>
          <cell r="B25" t="str">
            <v>もみじ保育園</v>
          </cell>
          <cell r="C25" t="str">
            <v>(福)光楓福祉会</v>
          </cell>
          <cell r="D25" t="str">
            <v>大川   さ己</v>
          </cell>
          <cell r="E25" t="str">
            <v>千葉市美浜区磯辺5-14-5</v>
          </cell>
          <cell r="F25">
            <v>935000</v>
          </cell>
          <cell r="G25">
            <v>2572000</v>
          </cell>
          <cell r="H25">
            <v>4212000</v>
          </cell>
          <cell r="I25">
            <v>467000</v>
          </cell>
          <cell r="J25">
            <v>1588000</v>
          </cell>
          <cell r="K25">
            <v>2352000</v>
          </cell>
          <cell r="L25">
            <v>12126000</v>
          </cell>
        </row>
        <row r="26">
          <cell r="A26">
            <v>23</v>
          </cell>
          <cell r="B26" t="str">
            <v>おゆみ野保育園</v>
          </cell>
          <cell r="C26" t="str">
            <v>(福)おゆみ野福祉会</v>
          </cell>
          <cell r="D26" t="str">
            <v>長谷川 光男</v>
          </cell>
          <cell r="E26" t="str">
            <v>千葉市緑区おゆみ野２－７</v>
          </cell>
          <cell r="F26">
            <v>0</v>
          </cell>
          <cell r="G26">
            <v>2572000</v>
          </cell>
          <cell r="H26">
            <v>4212000</v>
          </cell>
          <cell r="I26">
            <v>467000</v>
          </cell>
          <cell r="J26">
            <v>1588000</v>
          </cell>
          <cell r="K26">
            <v>2352000</v>
          </cell>
          <cell r="L26">
            <v>11191000</v>
          </cell>
        </row>
        <row r="27">
          <cell r="A27">
            <v>24</v>
          </cell>
          <cell r="B27" t="str">
            <v>ナーセリー鏡戸</v>
          </cell>
          <cell r="C27" t="str">
            <v>(福)鏡明福祉会</v>
          </cell>
          <cell r="D27" t="str">
            <v>片岡  明</v>
          </cell>
          <cell r="E27" t="str">
            <v>千葉市緑区あすみが丘4-21-1</v>
          </cell>
          <cell r="F27">
            <v>0</v>
          </cell>
          <cell r="G27">
            <v>2572000</v>
          </cell>
          <cell r="H27">
            <v>4212000</v>
          </cell>
          <cell r="I27">
            <v>467000</v>
          </cell>
          <cell r="J27">
            <v>1588000</v>
          </cell>
          <cell r="K27">
            <v>0</v>
          </cell>
          <cell r="L27">
            <v>8839000</v>
          </cell>
        </row>
        <row r="28">
          <cell r="A28">
            <v>25</v>
          </cell>
          <cell r="B28" t="str">
            <v>打瀬保育園</v>
          </cell>
          <cell r="C28" t="str">
            <v>(福)健育会</v>
          </cell>
          <cell r="D28" t="str">
            <v>畑佐　新次郎</v>
          </cell>
          <cell r="E28" t="str">
            <v>千葉市美浜区打瀬1-3-5</v>
          </cell>
          <cell r="F28">
            <v>0</v>
          </cell>
          <cell r="G28">
            <v>2572000</v>
          </cell>
          <cell r="H28">
            <v>4212000</v>
          </cell>
          <cell r="I28">
            <v>467000</v>
          </cell>
          <cell r="J28">
            <v>1588000</v>
          </cell>
          <cell r="K28">
            <v>0</v>
          </cell>
          <cell r="L28">
            <v>8839000</v>
          </cell>
        </row>
        <row r="29">
          <cell r="A29">
            <v>26</v>
          </cell>
          <cell r="B29" t="str">
            <v>ふたば保育園</v>
          </cell>
          <cell r="C29" t="str">
            <v>(福)あかね福祉会</v>
          </cell>
          <cell r="D29" t="str">
            <v>篠原　昇一</v>
          </cell>
          <cell r="E29" t="str">
            <v>千葉市緑区刈田子町３０８-10</v>
          </cell>
          <cell r="F29">
            <v>0</v>
          </cell>
          <cell r="G29">
            <v>2572000</v>
          </cell>
          <cell r="H29">
            <v>4212000</v>
          </cell>
          <cell r="I29">
            <v>467000</v>
          </cell>
          <cell r="J29">
            <v>1588000</v>
          </cell>
          <cell r="K29">
            <v>4704000</v>
          </cell>
          <cell r="L29">
            <v>13543000</v>
          </cell>
        </row>
        <row r="30">
          <cell r="A30">
            <v>27</v>
          </cell>
          <cell r="B30" t="str">
            <v>明和輝保育園</v>
          </cell>
          <cell r="C30" t="str">
            <v>(福)健善富会</v>
          </cell>
          <cell r="D30" t="str">
            <v>井上　　悟</v>
          </cell>
          <cell r="E30" t="str">
            <v>千葉市緑区おゆみ野中央7-30</v>
          </cell>
          <cell r="F30">
            <v>0</v>
          </cell>
          <cell r="G30">
            <v>2572000</v>
          </cell>
          <cell r="H30">
            <v>4212000</v>
          </cell>
          <cell r="I30">
            <v>467000</v>
          </cell>
          <cell r="J30">
            <v>1588000</v>
          </cell>
          <cell r="K30">
            <v>2352000</v>
          </cell>
          <cell r="L30">
            <v>11191000</v>
          </cell>
        </row>
        <row r="31">
          <cell r="A31">
            <v>28</v>
          </cell>
          <cell r="B31" t="str">
            <v>山王保育園</v>
          </cell>
          <cell r="C31" t="str">
            <v>(福)豊樹園</v>
          </cell>
          <cell r="D31" t="str">
            <v>伊藤　年夫</v>
          </cell>
          <cell r="E31" t="str">
            <v>千葉市稲毛区山王町153-16</v>
          </cell>
          <cell r="F31">
            <v>0</v>
          </cell>
          <cell r="G31">
            <v>2572000</v>
          </cell>
          <cell r="H31">
            <v>4212000</v>
          </cell>
          <cell r="I31">
            <v>467000</v>
          </cell>
          <cell r="J31">
            <v>1588000</v>
          </cell>
          <cell r="K31">
            <v>2352000</v>
          </cell>
          <cell r="L31">
            <v>11191000</v>
          </cell>
        </row>
        <row r="32">
          <cell r="A32">
            <v>29</v>
          </cell>
          <cell r="B32" t="str">
            <v>チャイルド・ガーデン保育園</v>
          </cell>
          <cell r="C32" t="str">
            <v>(学)誠真学園</v>
          </cell>
          <cell r="D32" t="str">
            <v>中村　喜一郎</v>
          </cell>
          <cell r="E32" t="str">
            <v>千葉市稲毛区小仲台8-20-1</v>
          </cell>
          <cell r="F32">
            <v>0</v>
          </cell>
          <cell r="G32">
            <v>2572000</v>
          </cell>
          <cell r="H32">
            <v>3861000</v>
          </cell>
          <cell r="I32">
            <v>467000</v>
          </cell>
          <cell r="J32">
            <v>1588000</v>
          </cell>
          <cell r="K32">
            <v>392000</v>
          </cell>
          <cell r="L32">
            <v>8880000</v>
          </cell>
        </row>
        <row r="33">
          <cell r="A33">
            <v>30</v>
          </cell>
          <cell r="B33" t="str">
            <v>明徳土気保育園</v>
          </cell>
          <cell r="C33" t="str">
            <v>(福)千葉明徳会</v>
          </cell>
          <cell r="D33" t="str">
            <v>福中　儀明</v>
          </cell>
          <cell r="E33" t="str">
            <v>千葉市緑区土気町1626-5</v>
          </cell>
          <cell r="F33">
            <v>0</v>
          </cell>
          <cell r="G33">
            <v>2572000</v>
          </cell>
          <cell r="H33">
            <v>4212000</v>
          </cell>
          <cell r="I33">
            <v>467000</v>
          </cell>
          <cell r="J33">
            <v>1588000</v>
          </cell>
          <cell r="K33">
            <v>4704000</v>
          </cell>
          <cell r="L33">
            <v>13543000</v>
          </cell>
        </row>
        <row r="34">
          <cell r="A34">
            <v>31</v>
          </cell>
          <cell r="B34" t="str">
            <v>グレース保育園</v>
          </cell>
          <cell r="C34" t="str">
            <v>(福)小ばと会</v>
          </cell>
          <cell r="D34" t="str">
            <v>村松　重彦</v>
          </cell>
          <cell r="E34" t="str">
            <v>千葉市緑区おゆみ野中央2-7-7</v>
          </cell>
          <cell r="F34">
            <v>0</v>
          </cell>
          <cell r="G34">
            <v>2572000</v>
          </cell>
          <cell r="H34">
            <v>4212000</v>
          </cell>
          <cell r="I34">
            <v>467000</v>
          </cell>
          <cell r="J34">
            <v>1053000</v>
          </cell>
          <cell r="K34">
            <v>4704000</v>
          </cell>
          <cell r="L34">
            <v>13008000</v>
          </cell>
        </row>
        <row r="35">
          <cell r="A35">
            <v>32</v>
          </cell>
          <cell r="B35" t="str">
            <v>みらい保育園</v>
          </cell>
          <cell r="C35" t="str">
            <v>(福)天祐会</v>
          </cell>
          <cell r="D35" t="str">
            <v>江口　　進</v>
          </cell>
          <cell r="E35" t="str">
            <v>千葉市中央区港町13-30</v>
          </cell>
          <cell r="F35">
            <v>0</v>
          </cell>
          <cell r="G35">
            <v>2572000</v>
          </cell>
          <cell r="H35">
            <v>4212000</v>
          </cell>
          <cell r="I35">
            <v>467000</v>
          </cell>
          <cell r="J35">
            <v>1588000</v>
          </cell>
          <cell r="K35">
            <v>0</v>
          </cell>
          <cell r="L35">
            <v>8839000</v>
          </cell>
        </row>
        <row r="36">
          <cell r="A36">
            <v>33</v>
          </cell>
          <cell r="B36" t="str">
            <v>かまとり保育園</v>
          </cell>
          <cell r="C36" t="str">
            <v>(学）アゼリー学園</v>
          </cell>
          <cell r="D36" t="str">
            <v>来栖　宏二</v>
          </cell>
          <cell r="E36" t="str">
            <v>東京都江戸川区中央1－8－21</v>
          </cell>
          <cell r="F36">
            <v>0</v>
          </cell>
          <cell r="G36">
            <v>2572000</v>
          </cell>
          <cell r="H36">
            <v>4212000</v>
          </cell>
          <cell r="I36">
            <v>467000</v>
          </cell>
          <cell r="J36">
            <v>1588000</v>
          </cell>
          <cell r="K36">
            <v>2352000</v>
          </cell>
          <cell r="L36">
            <v>11191000</v>
          </cell>
        </row>
        <row r="37">
          <cell r="A37">
            <v>34</v>
          </cell>
          <cell r="B37" t="str">
            <v>植草弁天保育園</v>
          </cell>
          <cell r="C37" t="str">
            <v>(学)植草学園</v>
          </cell>
          <cell r="D37" t="str">
            <v>植草　昭</v>
          </cell>
          <cell r="E37" t="str">
            <v>千葉市中央区弁天2-8-9</v>
          </cell>
          <cell r="F37">
            <v>935000</v>
          </cell>
          <cell r="G37">
            <v>2143000</v>
          </cell>
          <cell r="H37">
            <v>1755000</v>
          </cell>
          <cell r="I37">
            <v>0</v>
          </cell>
          <cell r="J37">
            <v>1588000</v>
          </cell>
          <cell r="K37">
            <v>0</v>
          </cell>
          <cell r="L37">
            <v>6421000</v>
          </cell>
        </row>
        <row r="38">
          <cell r="A38">
            <v>35</v>
          </cell>
          <cell r="B38" t="str">
            <v>ひなたぼっこ保育園</v>
          </cell>
          <cell r="C38" t="str">
            <v>(社)千葉市民間保育園協議会</v>
          </cell>
          <cell r="D38" t="str">
            <v>山﨑　淳一</v>
          </cell>
          <cell r="E38" t="str">
            <v>千葉市中央区中央4-5-1</v>
          </cell>
          <cell r="F38">
            <v>0</v>
          </cell>
          <cell r="G38">
            <v>2572000</v>
          </cell>
          <cell r="H38">
            <v>4212000</v>
          </cell>
          <cell r="I38">
            <v>311000</v>
          </cell>
          <cell r="J38">
            <v>1588000</v>
          </cell>
          <cell r="K38">
            <v>0</v>
          </cell>
          <cell r="L38">
            <v>8683000</v>
          </cell>
        </row>
        <row r="39">
          <cell r="A39">
            <v>36</v>
          </cell>
          <cell r="B39" t="str">
            <v>はまかぜ保育園</v>
          </cell>
          <cell r="C39" t="str">
            <v>(福)愛誠福祉会</v>
          </cell>
          <cell r="D39" t="str">
            <v>森田喜代八</v>
          </cell>
          <cell r="E39" t="str">
            <v xml:space="preserve">千葉市中央区中央港1-24-14 </v>
          </cell>
          <cell r="F39">
            <v>935000</v>
          </cell>
          <cell r="G39">
            <v>2572000</v>
          </cell>
          <cell r="H39">
            <v>4212000</v>
          </cell>
          <cell r="I39">
            <v>155000</v>
          </cell>
          <cell r="J39">
            <v>1588000</v>
          </cell>
          <cell r="K39">
            <v>0</v>
          </cell>
          <cell r="L39">
            <v>9462000</v>
          </cell>
        </row>
        <row r="40">
          <cell r="A40">
            <v>37</v>
          </cell>
          <cell r="B40" t="str">
            <v>いなほ保育園</v>
          </cell>
          <cell r="C40" t="str">
            <v>(株)こどもの森</v>
          </cell>
          <cell r="D40" t="str">
            <v>久芳一裕</v>
          </cell>
          <cell r="E40" t="str">
            <v>東京都国分寺市光町2-5-1</v>
          </cell>
          <cell r="F40">
            <v>0</v>
          </cell>
          <cell r="G40">
            <v>2572000</v>
          </cell>
          <cell r="H40">
            <v>4212000</v>
          </cell>
          <cell r="I40">
            <v>311000</v>
          </cell>
          <cell r="J40">
            <v>809000</v>
          </cell>
          <cell r="K40">
            <v>0</v>
          </cell>
          <cell r="L40">
            <v>7904000</v>
          </cell>
        </row>
        <row r="41">
          <cell r="A41">
            <v>38</v>
          </cell>
          <cell r="B41" t="str">
            <v>キッズマーム保育園</v>
          </cell>
          <cell r="C41" t="str">
            <v>イングレソ（株）</v>
          </cell>
          <cell r="D41" t="str">
            <v>西村　妙子</v>
          </cell>
          <cell r="E41" t="str">
            <v>千葉市若葉区西都賀3-17-11</v>
          </cell>
          <cell r="F41">
            <v>0</v>
          </cell>
          <cell r="G41">
            <v>2572000</v>
          </cell>
          <cell r="H41">
            <v>4212000</v>
          </cell>
          <cell r="I41">
            <v>0</v>
          </cell>
          <cell r="J41">
            <v>1588000</v>
          </cell>
          <cell r="K41">
            <v>1764000</v>
          </cell>
          <cell r="L41">
            <v>10136000</v>
          </cell>
        </row>
        <row r="42">
          <cell r="A42">
            <v>39</v>
          </cell>
          <cell r="B42" t="str">
            <v>アスク海浜幕張保育園</v>
          </cell>
          <cell r="C42" t="str">
            <v>(株)日本保育サービス</v>
          </cell>
          <cell r="D42" t="str">
            <v>佐々木　幸一</v>
          </cell>
          <cell r="E42" t="str">
            <v>名古屋市東区葵3-15-31住友生命千種ニュータワービル17階</v>
          </cell>
          <cell r="F42">
            <v>935000</v>
          </cell>
          <cell r="G42">
            <v>2572000</v>
          </cell>
          <cell r="H42">
            <v>3159000</v>
          </cell>
          <cell r="I42">
            <v>0</v>
          </cell>
          <cell r="J42">
            <v>0</v>
          </cell>
          <cell r="K42">
            <v>0</v>
          </cell>
          <cell r="L42">
            <v>6666000</v>
          </cell>
        </row>
        <row r="43">
          <cell r="A43">
            <v>40</v>
          </cell>
          <cell r="B43" t="str">
            <v>明徳浜野駅保育園</v>
          </cell>
          <cell r="C43" t="str">
            <v>（学）千葉明徳学園</v>
          </cell>
          <cell r="D43" t="str">
            <v>福中　儀明</v>
          </cell>
          <cell r="E43" t="str">
            <v>千葉市中央区南生実町1412番地</v>
          </cell>
          <cell r="F43">
            <v>0</v>
          </cell>
          <cell r="G43">
            <v>0</v>
          </cell>
          <cell r="H43">
            <v>0</v>
          </cell>
          <cell r="I43">
            <v>0</v>
          </cell>
          <cell r="J43">
            <v>0</v>
          </cell>
          <cell r="L43">
            <v>0</v>
          </cell>
        </row>
        <row r="44">
          <cell r="A44">
            <v>41</v>
          </cell>
          <cell r="B44" t="str">
            <v>幕張いもっこ保育園</v>
          </cell>
          <cell r="C44" t="str">
            <v>（福）まくはり福志会</v>
          </cell>
          <cell r="D44" t="str">
            <v>大越　淑子</v>
          </cell>
          <cell r="E44" t="str">
            <v>千葉市花見川区幕張町4-608-1</v>
          </cell>
          <cell r="F44">
            <v>0</v>
          </cell>
          <cell r="G44">
            <v>0</v>
          </cell>
          <cell r="H44">
            <v>0</v>
          </cell>
          <cell r="I44">
            <v>0</v>
          </cell>
          <cell r="L44">
            <v>0</v>
          </cell>
        </row>
        <row r="45">
          <cell r="A45">
            <v>42</v>
          </cell>
          <cell r="B45" t="str">
            <v>稲毛すきっぷ保育園</v>
          </cell>
          <cell r="C45" t="str">
            <v>（株）俊英館</v>
          </cell>
          <cell r="D45" t="str">
            <v>田村　幸之</v>
          </cell>
          <cell r="E45" t="str">
            <v>東京都板橋区小茂根4-9-2　セガミビル3F</v>
          </cell>
          <cell r="F45">
            <v>0</v>
          </cell>
          <cell r="G45">
            <v>0</v>
          </cell>
          <cell r="H45">
            <v>0</v>
          </cell>
          <cell r="I45">
            <v>0</v>
          </cell>
          <cell r="L45">
            <v>0</v>
          </cell>
        </row>
        <row r="46">
          <cell r="A46">
            <v>43</v>
          </cell>
          <cell r="B46" t="str">
            <v>千葉聖心保育園</v>
          </cell>
          <cell r="C46" t="str">
            <v>（福）弘恕会</v>
          </cell>
          <cell r="D46" t="str">
            <v>森島　弘道</v>
          </cell>
          <cell r="E46" t="str">
            <v>千葉市若葉区若松町531-197</v>
          </cell>
          <cell r="F46">
            <v>0</v>
          </cell>
          <cell r="G46">
            <v>0</v>
          </cell>
          <cell r="H46">
            <v>0</v>
          </cell>
          <cell r="I46">
            <v>0</v>
          </cell>
          <cell r="L46">
            <v>0</v>
          </cell>
        </row>
        <row r="47">
          <cell r="A47">
            <v>44</v>
          </cell>
          <cell r="B47" t="str">
            <v>真生保育園</v>
          </cell>
          <cell r="C47" t="str">
            <v>（福）健善富会</v>
          </cell>
          <cell r="D47" t="str">
            <v>井上　　悟</v>
          </cell>
          <cell r="E47" t="str">
            <v>千葉市緑区おゆみ野南5-29-1</v>
          </cell>
          <cell r="F47">
            <v>0</v>
          </cell>
          <cell r="G47">
            <v>0</v>
          </cell>
          <cell r="H47">
            <v>0</v>
          </cell>
          <cell r="I47">
            <v>0</v>
          </cell>
          <cell r="L47">
            <v>0</v>
          </cell>
        </row>
        <row r="48">
          <cell r="A48">
            <v>45</v>
          </cell>
          <cell r="B48" t="str">
            <v>アップルナースリー検見川浜保育園</v>
          </cell>
          <cell r="C48" t="str">
            <v>（有）もっくもっく</v>
          </cell>
          <cell r="D48" t="str">
            <v>河口　知子</v>
          </cell>
          <cell r="E48" t="str">
            <v>浦安市当代島1-1-23　林ビル3F</v>
          </cell>
          <cell r="F48">
            <v>0</v>
          </cell>
          <cell r="G48">
            <v>0</v>
          </cell>
          <cell r="H48">
            <v>0</v>
          </cell>
          <cell r="I48">
            <v>0</v>
          </cell>
          <cell r="L48">
            <v>0</v>
          </cell>
        </row>
        <row r="49">
          <cell r="A49">
            <v>46</v>
          </cell>
        </row>
        <row r="50">
          <cell r="A50">
            <v>47</v>
          </cell>
        </row>
        <row r="51">
          <cell r="A51">
            <v>48</v>
          </cell>
        </row>
        <row r="52">
          <cell r="A52">
            <v>49</v>
          </cell>
        </row>
        <row r="53">
          <cell r="A53">
            <v>50</v>
          </cell>
        </row>
        <row r="54">
          <cell r="B54" t="str">
            <v>この行は使わないこと</v>
          </cell>
        </row>
      </sheetData>
      <sheetData sheetId="12"/>
      <sheetData sheetId="13"/>
      <sheetData sheetId="14"/>
      <sheetData sheetId="15"/>
      <sheetData sheetId="16"/>
      <sheetData sheetId="17"/>
      <sheetData sheetId="18"/>
      <sheetData sheetId="19"/>
      <sheetData sheetId="20">
        <row r="4">
          <cell r="A4">
            <v>1</v>
          </cell>
          <cell r="B4" t="str">
            <v>院内保育園</v>
          </cell>
          <cell r="C4">
            <v>0</v>
          </cell>
          <cell r="D4">
            <v>2517000</v>
          </cell>
          <cell r="E4">
            <v>4116000</v>
          </cell>
          <cell r="F4">
            <v>0</v>
          </cell>
          <cell r="G4">
            <v>1502000</v>
          </cell>
          <cell r="H4">
            <v>0</v>
          </cell>
          <cell r="I4">
            <v>8135000</v>
          </cell>
          <cell r="J4">
            <v>0</v>
          </cell>
          <cell r="K4">
            <v>629250</v>
          </cell>
          <cell r="L4">
            <v>1029000</v>
          </cell>
          <cell r="M4">
            <v>0</v>
          </cell>
          <cell r="N4">
            <v>375500</v>
          </cell>
          <cell r="O4">
            <v>0</v>
          </cell>
          <cell r="P4">
            <v>2033750</v>
          </cell>
        </row>
        <row r="5">
          <cell r="A5">
            <v>2</v>
          </cell>
          <cell r="B5" t="str">
            <v>旭ケ丘保育園</v>
          </cell>
          <cell r="C5">
            <v>0</v>
          </cell>
          <cell r="D5">
            <v>2517000</v>
          </cell>
          <cell r="E5">
            <v>4116000</v>
          </cell>
          <cell r="F5">
            <v>467000</v>
          </cell>
          <cell r="G5">
            <v>1588000</v>
          </cell>
          <cell r="H5">
            <v>2352000</v>
          </cell>
          <cell r="I5">
            <v>11040000</v>
          </cell>
          <cell r="J5">
            <v>0</v>
          </cell>
          <cell r="K5">
            <v>629250</v>
          </cell>
          <cell r="L5">
            <v>1029000</v>
          </cell>
          <cell r="M5">
            <v>116750</v>
          </cell>
          <cell r="N5">
            <v>397000</v>
          </cell>
          <cell r="O5">
            <v>588000</v>
          </cell>
          <cell r="P5">
            <v>2760000</v>
          </cell>
        </row>
        <row r="6">
          <cell r="A6">
            <v>3</v>
          </cell>
          <cell r="B6" t="str">
            <v>稲毛保育園</v>
          </cell>
          <cell r="C6">
            <v>0</v>
          </cell>
          <cell r="D6">
            <v>2517000</v>
          </cell>
          <cell r="E6">
            <v>4116000</v>
          </cell>
          <cell r="F6">
            <v>0</v>
          </cell>
          <cell r="G6">
            <v>1588000</v>
          </cell>
          <cell r="H6">
            <v>2352000</v>
          </cell>
          <cell r="I6">
            <v>10573000</v>
          </cell>
          <cell r="J6">
            <v>0</v>
          </cell>
          <cell r="K6">
            <v>629250</v>
          </cell>
          <cell r="L6">
            <v>1029000</v>
          </cell>
          <cell r="M6">
            <v>0</v>
          </cell>
          <cell r="N6">
            <v>397000</v>
          </cell>
          <cell r="O6">
            <v>588000</v>
          </cell>
          <cell r="P6">
            <v>2643250</v>
          </cell>
        </row>
        <row r="7">
          <cell r="A7">
            <v>4</v>
          </cell>
          <cell r="B7" t="str">
            <v>みどり学園附属保育園</v>
          </cell>
          <cell r="C7">
            <v>0</v>
          </cell>
          <cell r="D7">
            <v>2517000</v>
          </cell>
          <cell r="E7">
            <v>4116000</v>
          </cell>
          <cell r="F7">
            <v>0</v>
          </cell>
          <cell r="G7">
            <v>1588000</v>
          </cell>
          <cell r="H7">
            <v>0</v>
          </cell>
          <cell r="I7">
            <v>8221000</v>
          </cell>
          <cell r="J7">
            <v>0</v>
          </cell>
          <cell r="K7">
            <v>629250</v>
          </cell>
          <cell r="L7">
            <v>1029000</v>
          </cell>
          <cell r="M7">
            <v>0</v>
          </cell>
          <cell r="N7">
            <v>397000</v>
          </cell>
          <cell r="O7">
            <v>0</v>
          </cell>
          <cell r="P7">
            <v>2055250</v>
          </cell>
        </row>
        <row r="8">
          <cell r="A8">
            <v>5</v>
          </cell>
          <cell r="B8" t="str">
            <v>ちどり保育園</v>
          </cell>
          <cell r="C8">
            <v>0</v>
          </cell>
          <cell r="D8">
            <v>2517000</v>
          </cell>
          <cell r="E8">
            <v>4116000</v>
          </cell>
          <cell r="F8">
            <v>467000</v>
          </cell>
          <cell r="G8">
            <v>1584000</v>
          </cell>
          <cell r="H8">
            <v>0</v>
          </cell>
          <cell r="I8">
            <v>8684000</v>
          </cell>
          <cell r="J8">
            <v>0</v>
          </cell>
          <cell r="K8">
            <v>629250</v>
          </cell>
          <cell r="L8">
            <v>1029000</v>
          </cell>
          <cell r="M8">
            <v>116750</v>
          </cell>
          <cell r="N8">
            <v>396000</v>
          </cell>
          <cell r="O8">
            <v>0</v>
          </cell>
          <cell r="P8">
            <v>2171000</v>
          </cell>
        </row>
        <row r="9">
          <cell r="A9">
            <v>6</v>
          </cell>
          <cell r="B9" t="str">
            <v>今井保育園</v>
          </cell>
          <cell r="C9">
            <v>935000</v>
          </cell>
          <cell r="D9">
            <v>2517000</v>
          </cell>
          <cell r="E9">
            <v>4116000</v>
          </cell>
          <cell r="F9">
            <v>467000</v>
          </cell>
          <cell r="G9">
            <v>1588000</v>
          </cell>
          <cell r="H9">
            <v>2352000</v>
          </cell>
          <cell r="I9">
            <v>11975000</v>
          </cell>
          <cell r="J9">
            <v>233750</v>
          </cell>
          <cell r="K9">
            <v>629250</v>
          </cell>
          <cell r="L9">
            <v>1029000</v>
          </cell>
          <cell r="M9">
            <v>116750</v>
          </cell>
          <cell r="N9">
            <v>397000</v>
          </cell>
          <cell r="O9">
            <v>588000</v>
          </cell>
          <cell r="P9">
            <v>2993750</v>
          </cell>
        </row>
        <row r="10">
          <cell r="A10">
            <v>7</v>
          </cell>
          <cell r="B10" t="str">
            <v>若竹保育園</v>
          </cell>
          <cell r="C10">
            <v>0</v>
          </cell>
          <cell r="D10">
            <v>2517000</v>
          </cell>
          <cell r="E10">
            <v>4116000</v>
          </cell>
          <cell r="F10">
            <v>467000</v>
          </cell>
          <cell r="G10">
            <v>1588000</v>
          </cell>
          <cell r="H10">
            <v>2352000</v>
          </cell>
          <cell r="I10">
            <v>11040000</v>
          </cell>
          <cell r="J10">
            <v>0</v>
          </cell>
          <cell r="K10">
            <v>629250</v>
          </cell>
          <cell r="L10">
            <v>1029000</v>
          </cell>
          <cell r="M10">
            <v>116750</v>
          </cell>
          <cell r="N10">
            <v>397000</v>
          </cell>
          <cell r="O10">
            <v>588000</v>
          </cell>
          <cell r="P10">
            <v>2760000</v>
          </cell>
        </row>
        <row r="11">
          <cell r="A11">
            <v>8</v>
          </cell>
          <cell r="B11" t="str">
            <v>千葉寺保育園</v>
          </cell>
          <cell r="C11">
            <v>0</v>
          </cell>
          <cell r="D11">
            <v>2517000</v>
          </cell>
          <cell r="E11">
            <v>4116000</v>
          </cell>
          <cell r="F11">
            <v>0</v>
          </cell>
          <cell r="G11">
            <v>1588000</v>
          </cell>
          <cell r="H11">
            <v>2352000</v>
          </cell>
          <cell r="I11">
            <v>10573000</v>
          </cell>
          <cell r="J11">
            <v>0</v>
          </cell>
          <cell r="K11">
            <v>629250</v>
          </cell>
          <cell r="L11">
            <v>1029000</v>
          </cell>
          <cell r="M11">
            <v>0</v>
          </cell>
          <cell r="N11">
            <v>397000</v>
          </cell>
          <cell r="O11">
            <v>588000</v>
          </cell>
          <cell r="P11">
            <v>2643250</v>
          </cell>
        </row>
        <row r="12">
          <cell r="A12">
            <v>9</v>
          </cell>
          <cell r="B12" t="str">
            <v>慈光保育園</v>
          </cell>
          <cell r="C12">
            <v>0</v>
          </cell>
          <cell r="D12">
            <v>2517000</v>
          </cell>
          <cell r="E12">
            <v>4116000</v>
          </cell>
          <cell r="F12">
            <v>467000</v>
          </cell>
          <cell r="G12">
            <v>1588000</v>
          </cell>
          <cell r="H12">
            <v>2352000</v>
          </cell>
          <cell r="I12">
            <v>11040000</v>
          </cell>
          <cell r="J12">
            <v>0</v>
          </cell>
          <cell r="K12">
            <v>629250</v>
          </cell>
          <cell r="L12">
            <v>1029000</v>
          </cell>
          <cell r="M12">
            <v>116750</v>
          </cell>
          <cell r="N12">
            <v>397000</v>
          </cell>
          <cell r="O12">
            <v>588000</v>
          </cell>
          <cell r="P12">
            <v>2760000</v>
          </cell>
        </row>
        <row r="13">
          <cell r="A13">
            <v>10</v>
          </cell>
          <cell r="B13" t="str">
            <v>若梅保育園</v>
          </cell>
          <cell r="C13">
            <v>0</v>
          </cell>
          <cell r="D13">
            <v>2517000</v>
          </cell>
          <cell r="E13">
            <v>4116000</v>
          </cell>
          <cell r="F13">
            <v>467000</v>
          </cell>
          <cell r="G13">
            <v>1588000</v>
          </cell>
          <cell r="H13">
            <v>2352000</v>
          </cell>
          <cell r="I13">
            <v>11040000</v>
          </cell>
          <cell r="J13">
            <v>0</v>
          </cell>
          <cell r="K13">
            <v>629250</v>
          </cell>
          <cell r="L13">
            <v>1029000</v>
          </cell>
          <cell r="M13">
            <v>116750</v>
          </cell>
          <cell r="N13">
            <v>397000</v>
          </cell>
          <cell r="O13">
            <v>588000</v>
          </cell>
          <cell r="P13">
            <v>2760000</v>
          </cell>
        </row>
        <row r="14">
          <cell r="A14">
            <v>11</v>
          </cell>
          <cell r="B14" t="str">
            <v>チューリップ保育園</v>
          </cell>
          <cell r="C14">
            <v>0</v>
          </cell>
          <cell r="D14">
            <v>2517000</v>
          </cell>
          <cell r="E14">
            <v>4116000</v>
          </cell>
          <cell r="F14">
            <v>0</v>
          </cell>
          <cell r="G14">
            <v>1077000</v>
          </cell>
          <cell r="H14">
            <v>2352000</v>
          </cell>
          <cell r="I14">
            <v>10062000</v>
          </cell>
          <cell r="J14">
            <v>0</v>
          </cell>
          <cell r="K14">
            <v>629250</v>
          </cell>
          <cell r="L14">
            <v>1029000</v>
          </cell>
          <cell r="M14">
            <v>0</v>
          </cell>
          <cell r="N14">
            <v>269250</v>
          </cell>
          <cell r="O14">
            <v>588000</v>
          </cell>
          <cell r="P14">
            <v>2515500</v>
          </cell>
        </row>
        <row r="15">
          <cell r="A15">
            <v>12</v>
          </cell>
          <cell r="B15" t="str">
            <v>幕張海浜保育園</v>
          </cell>
          <cell r="C15">
            <v>0</v>
          </cell>
          <cell r="D15">
            <v>2517000</v>
          </cell>
          <cell r="E15">
            <v>4116000</v>
          </cell>
          <cell r="F15">
            <v>467000</v>
          </cell>
          <cell r="G15">
            <v>1588000</v>
          </cell>
          <cell r="H15">
            <v>0</v>
          </cell>
          <cell r="I15">
            <v>8688000</v>
          </cell>
          <cell r="J15">
            <v>0</v>
          </cell>
          <cell r="K15">
            <v>629250</v>
          </cell>
          <cell r="L15">
            <v>1029000</v>
          </cell>
          <cell r="M15">
            <v>116750</v>
          </cell>
          <cell r="N15">
            <v>397000</v>
          </cell>
          <cell r="O15">
            <v>0</v>
          </cell>
          <cell r="P15">
            <v>2172000</v>
          </cell>
        </row>
        <row r="16">
          <cell r="A16">
            <v>13</v>
          </cell>
          <cell r="B16" t="str">
            <v>みつわ台保育園</v>
          </cell>
          <cell r="C16">
            <v>0</v>
          </cell>
          <cell r="D16">
            <v>2517000</v>
          </cell>
          <cell r="E16">
            <v>4116000</v>
          </cell>
          <cell r="F16">
            <v>467000</v>
          </cell>
          <cell r="G16">
            <v>1588000</v>
          </cell>
          <cell r="H16">
            <v>7056000</v>
          </cell>
          <cell r="I16">
            <v>15744000</v>
          </cell>
          <cell r="J16">
            <v>0</v>
          </cell>
          <cell r="K16">
            <v>629250</v>
          </cell>
          <cell r="L16">
            <v>1029000</v>
          </cell>
          <cell r="M16">
            <v>116750</v>
          </cell>
          <cell r="N16">
            <v>397000</v>
          </cell>
          <cell r="O16">
            <v>1764000</v>
          </cell>
          <cell r="P16">
            <v>3936000</v>
          </cell>
        </row>
        <row r="17">
          <cell r="A17">
            <v>14</v>
          </cell>
          <cell r="B17" t="str">
            <v>まどか保育園</v>
          </cell>
          <cell r="C17">
            <v>0</v>
          </cell>
          <cell r="D17">
            <v>2517000</v>
          </cell>
          <cell r="E17">
            <v>4116000</v>
          </cell>
          <cell r="F17">
            <v>467000</v>
          </cell>
          <cell r="G17">
            <v>1588000</v>
          </cell>
          <cell r="H17">
            <v>0</v>
          </cell>
          <cell r="I17">
            <v>8688000</v>
          </cell>
          <cell r="J17">
            <v>0</v>
          </cell>
          <cell r="K17">
            <v>629250</v>
          </cell>
          <cell r="L17">
            <v>1029000</v>
          </cell>
          <cell r="M17">
            <v>116750</v>
          </cell>
          <cell r="N17">
            <v>397000</v>
          </cell>
          <cell r="O17">
            <v>0</v>
          </cell>
          <cell r="P17">
            <v>2172000</v>
          </cell>
        </row>
        <row r="18">
          <cell r="A18">
            <v>15</v>
          </cell>
          <cell r="B18" t="str">
            <v>わかくさ保育園</v>
          </cell>
          <cell r="C18">
            <v>0</v>
          </cell>
          <cell r="D18">
            <v>2517000</v>
          </cell>
          <cell r="E18">
            <v>4116000</v>
          </cell>
          <cell r="F18">
            <v>467000</v>
          </cell>
          <cell r="G18">
            <v>1588000</v>
          </cell>
          <cell r="H18">
            <v>0</v>
          </cell>
          <cell r="I18">
            <v>8688000</v>
          </cell>
          <cell r="J18">
            <v>0</v>
          </cell>
          <cell r="K18">
            <v>629250</v>
          </cell>
          <cell r="L18">
            <v>1029000</v>
          </cell>
          <cell r="M18">
            <v>116750</v>
          </cell>
          <cell r="N18">
            <v>397000</v>
          </cell>
          <cell r="O18">
            <v>0</v>
          </cell>
          <cell r="P18">
            <v>2172000</v>
          </cell>
        </row>
        <row r="19">
          <cell r="A19">
            <v>16</v>
          </cell>
          <cell r="B19" t="str">
            <v>たいよう保育園</v>
          </cell>
          <cell r="C19">
            <v>0</v>
          </cell>
          <cell r="D19">
            <v>2517000</v>
          </cell>
          <cell r="E19">
            <v>4116000</v>
          </cell>
          <cell r="F19">
            <v>467000</v>
          </cell>
          <cell r="G19">
            <v>1588000</v>
          </cell>
          <cell r="H19">
            <v>0</v>
          </cell>
          <cell r="I19">
            <v>8688000</v>
          </cell>
          <cell r="J19">
            <v>0</v>
          </cell>
          <cell r="K19">
            <v>629250</v>
          </cell>
          <cell r="L19">
            <v>1029000</v>
          </cell>
          <cell r="M19">
            <v>116750</v>
          </cell>
          <cell r="N19">
            <v>397000</v>
          </cell>
          <cell r="O19">
            <v>0</v>
          </cell>
          <cell r="P19">
            <v>2172000</v>
          </cell>
        </row>
        <row r="20">
          <cell r="A20">
            <v>17</v>
          </cell>
          <cell r="B20" t="str">
            <v>松ケ丘保育園</v>
          </cell>
          <cell r="C20">
            <v>0</v>
          </cell>
          <cell r="D20">
            <v>2517000</v>
          </cell>
          <cell r="E20">
            <v>4116000</v>
          </cell>
          <cell r="F20">
            <v>467000</v>
          </cell>
          <cell r="G20">
            <v>1288000</v>
          </cell>
          <cell r="H20">
            <v>2352000</v>
          </cell>
          <cell r="I20">
            <v>10740000</v>
          </cell>
          <cell r="J20">
            <v>0</v>
          </cell>
          <cell r="K20">
            <v>629250</v>
          </cell>
          <cell r="L20">
            <v>1029000</v>
          </cell>
          <cell r="M20">
            <v>116750</v>
          </cell>
          <cell r="N20">
            <v>322000</v>
          </cell>
          <cell r="O20">
            <v>588000</v>
          </cell>
          <cell r="P20">
            <v>2685000</v>
          </cell>
        </row>
        <row r="21">
          <cell r="A21">
            <v>18</v>
          </cell>
          <cell r="B21" t="str">
            <v>作草部保育園</v>
          </cell>
          <cell r="C21">
            <v>0</v>
          </cell>
          <cell r="D21">
            <v>2517000</v>
          </cell>
          <cell r="E21">
            <v>4116000</v>
          </cell>
          <cell r="F21">
            <v>467000</v>
          </cell>
          <cell r="G21">
            <v>1588000</v>
          </cell>
          <cell r="H21">
            <v>2352000</v>
          </cell>
          <cell r="I21">
            <v>11040000</v>
          </cell>
          <cell r="J21">
            <v>0</v>
          </cell>
          <cell r="K21">
            <v>629250</v>
          </cell>
          <cell r="L21">
            <v>1029000</v>
          </cell>
          <cell r="M21">
            <v>116750</v>
          </cell>
          <cell r="N21">
            <v>397000</v>
          </cell>
          <cell r="O21">
            <v>588000</v>
          </cell>
          <cell r="P21">
            <v>2760000</v>
          </cell>
        </row>
        <row r="22">
          <cell r="A22">
            <v>19</v>
          </cell>
          <cell r="B22" t="str">
            <v>すずらん保育園</v>
          </cell>
          <cell r="C22">
            <v>0</v>
          </cell>
          <cell r="D22">
            <v>2517000</v>
          </cell>
          <cell r="E22">
            <v>4116000</v>
          </cell>
          <cell r="F22">
            <v>467000</v>
          </cell>
          <cell r="G22">
            <v>1588000</v>
          </cell>
          <cell r="H22">
            <v>2352000</v>
          </cell>
          <cell r="I22">
            <v>11040000</v>
          </cell>
          <cell r="J22">
            <v>0</v>
          </cell>
          <cell r="K22">
            <v>629250</v>
          </cell>
          <cell r="L22">
            <v>1029000</v>
          </cell>
          <cell r="M22">
            <v>116750</v>
          </cell>
          <cell r="N22">
            <v>397000</v>
          </cell>
          <cell r="O22">
            <v>588000</v>
          </cell>
          <cell r="P22">
            <v>2760000</v>
          </cell>
        </row>
        <row r="23">
          <cell r="A23">
            <v>20</v>
          </cell>
          <cell r="B23" t="str">
            <v>なぎさ保育園</v>
          </cell>
          <cell r="C23">
            <v>0</v>
          </cell>
          <cell r="D23">
            <v>2517000</v>
          </cell>
          <cell r="E23">
            <v>4116000</v>
          </cell>
          <cell r="F23">
            <v>467000</v>
          </cell>
          <cell r="G23">
            <v>1588000</v>
          </cell>
          <cell r="H23">
            <v>0</v>
          </cell>
          <cell r="I23">
            <v>8688000</v>
          </cell>
          <cell r="J23">
            <v>0</v>
          </cell>
          <cell r="K23">
            <v>629250</v>
          </cell>
          <cell r="L23">
            <v>1029000</v>
          </cell>
          <cell r="M23">
            <v>116750</v>
          </cell>
          <cell r="N23">
            <v>397000</v>
          </cell>
          <cell r="O23">
            <v>0</v>
          </cell>
          <cell r="P23">
            <v>2172000</v>
          </cell>
        </row>
        <row r="24">
          <cell r="A24">
            <v>21</v>
          </cell>
          <cell r="B24" t="str">
            <v>南小中台保育園</v>
          </cell>
          <cell r="C24">
            <v>0</v>
          </cell>
          <cell r="D24">
            <v>2517000</v>
          </cell>
          <cell r="E24">
            <v>4116000</v>
          </cell>
          <cell r="F24">
            <v>467000</v>
          </cell>
          <cell r="G24">
            <v>1588000</v>
          </cell>
          <cell r="H24">
            <v>2352000</v>
          </cell>
          <cell r="I24">
            <v>11040000</v>
          </cell>
          <cell r="J24">
            <v>0</v>
          </cell>
          <cell r="K24">
            <v>629250</v>
          </cell>
          <cell r="L24">
            <v>1029000</v>
          </cell>
          <cell r="M24">
            <v>116750</v>
          </cell>
          <cell r="N24">
            <v>397000</v>
          </cell>
          <cell r="O24">
            <v>588000</v>
          </cell>
          <cell r="P24">
            <v>2760000</v>
          </cell>
        </row>
        <row r="25">
          <cell r="A25">
            <v>22</v>
          </cell>
          <cell r="B25" t="str">
            <v>もみじ保育園</v>
          </cell>
          <cell r="C25">
            <v>0</v>
          </cell>
          <cell r="D25">
            <v>2517000</v>
          </cell>
          <cell r="E25">
            <v>4116000</v>
          </cell>
          <cell r="F25">
            <v>0</v>
          </cell>
          <cell r="G25">
            <v>1588000</v>
          </cell>
          <cell r="H25">
            <v>2352000</v>
          </cell>
          <cell r="I25">
            <v>10573000</v>
          </cell>
          <cell r="J25">
            <v>0</v>
          </cell>
          <cell r="K25">
            <v>629250</v>
          </cell>
          <cell r="L25">
            <v>1029000</v>
          </cell>
          <cell r="M25">
            <v>0</v>
          </cell>
          <cell r="N25">
            <v>397000</v>
          </cell>
          <cell r="O25">
            <v>588000</v>
          </cell>
          <cell r="P25">
            <v>2643250</v>
          </cell>
        </row>
        <row r="26">
          <cell r="A26">
            <v>23</v>
          </cell>
          <cell r="B26" t="str">
            <v>おゆみ野保育園</v>
          </cell>
          <cell r="C26">
            <v>0</v>
          </cell>
          <cell r="D26">
            <v>2517000</v>
          </cell>
          <cell r="E26">
            <v>4116000</v>
          </cell>
          <cell r="F26">
            <v>467000</v>
          </cell>
          <cell r="G26">
            <v>1588000</v>
          </cell>
          <cell r="H26">
            <v>2352000</v>
          </cell>
          <cell r="I26">
            <v>11040000</v>
          </cell>
          <cell r="J26">
            <v>0</v>
          </cell>
          <cell r="K26">
            <v>629250</v>
          </cell>
          <cell r="L26">
            <v>1029000</v>
          </cell>
          <cell r="M26">
            <v>116750</v>
          </cell>
          <cell r="N26">
            <v>397000</v>
          </cell>
          <cell r="O26">
            <v>588000</v>
          </cell>
          <cell r="P26">
            <v>2760000</v>
          </cell>
        </row>
        <row r="27">
          <cell r="A27">
            <v>24</v>
          </cell>
          <cell r="B27" t="str">
            <v>ナーセリー鏡戸</v>
          </cell>
          <cell r="C27">
            <v>935000</v>
          </cell>
          <cell r="D27">
            <v>2517000</v>
          </cell>
          <cell r="E27">
            <v>4116000</v>
          </cell>
          <cell r="F27">
            <v>467000</v>
          </cell>
          <cell r="G27">
            <v>1588000</v>
          </cell>
          <cell r="H27">
            <v>0</v>
          </cell>
          <cell r="I27">
            <v>9623000</v>
          </cell>
          <cell r="J27">
            <v>233750</v>
          </cell>
          <cell r="K27">
            <v>629250</v>
          </cell>
          <cell r="L27">
            <v>1029000</v>
          </cell>
          <cell r="M27">
            <v>116750</v>
          </cell>
          <cell r="N27">
            <v>397000</v>
          </cell>
          <cell r="O27">
            <v>0</v>
          </cell>
          <cell r="P27">
            <v>2405750</v>
          </cell>
        </row>
        <row r="28">
          <cell r="A28">
            <v>25</v>
          </cell>
          <cell r="B28" t="str">
            <v>打瀬保育園</v>
          </cell>
          <cell r="C28">
            <v>0</v>
          </cell>
          <cell r="D28">
            <v>2517000</v>
          </cell>
          <cell r="E28">
            <v>4116000</v>
          </cell>
          <cell r="F28">
            <v>467000</v>
          </cell>
          <cell r="G28">
            <v>1588000</v>
          </cell>
          <cell r="H28">
            <v>0</v>
          </cell>
          <cell r="I28">
            <v>8688000</v>
          </cell>
          <cell r="J28">
            <v>0</v>
          </cell>
          <cell r="K28">
            <v>629250</v>
          </cell>
          <cell r="L28">
            <v>1029000</v>
          </cell>
          <cell r="M28">
            <v>116750</v>
          </cell>
          <cell r="N28">
            <v>397000</v>
          </cell>
          <cell r="O28">
            <v>0</v>
          </cell>
          <cell r="P28">
            <v>2172000</v>
          </cell>
        </row>
        <row r="29">
          <cell r="A29">
            <v>26</v>
          </cell>
          <cell r="B29" t="str">
            <v>ふたば保育園</v>
          </cell>
          <cell r="C29">
            <v>0</v>
          </cell>
          <cell r="D29">
            <v>2517000</v>
          </cell>
          <cell r="E29">
            <v>4116000</v>
          </cell>
          <cell r="F29">
            <v>467000</v>
          </cell>
          <cell r="G29">
            <v>1588000</v>
          </cell>
          <cell r="H29">
            <v>4704000</v>
          </cell>
          <cell r="I29">
            <v>13392000</v>
          </cell>
          <cell r="J29">
            <v>0</v>
          </cell>
          <cell r="K29">
            <v>629250</v>
          </cell>
          <cell r="L29">
            <v>1029000</v>
          </cell>
          <cell r="M29">
            <v>116750</v>
          </cell>
          <cell r="N29">
            <v>397000</v>
          </cell>
          <cell r="O29">
            <v>1176000</v>
          </cell>
          <cell r="P29">
            <v>3348000</v>
          </cell>
        </row>
        <row r="30">
          <cell r="A30">
            <v>27</v>
          </cell>
          <cell r="B30" t="str">
            <v>明和輝保育園</v>
          </cell>
          <cell r="C30">
            <v>935000</v>
          </cell>
          <cell r="D30">
            <v>2517000</v>
          </cell>
          <cell r="E30">
            <v>4116000</v>
          </cell>
          <cell r="F30">
            <v>0</v>
          </cell>
          <cell r="G30">
            <v>1588000</v>
          </cell>
          <cell r="H30">
            <v>2352000</v>
          </cell>
          <cell r="I30">
            <v>11508000</v>
          </cell>
          <cell r="J30">
            <v>233750</v>
          </cell>
          <cell r="K30">
            <v>629250</v>
          </cell>
          <cell r="L30">
            <v>1029000</v>
          </cell>
          <cell r="M30">
            <v>0</v>
          </cell>
          <cell r="N30">
            <v>397000</v>
          </cell>
          <cell r="O30">
            <v>588000</v>
          </cell>
          <cell r="P30">
            <v>2877000</v>
          </cell>
        </row>
        <row r="31">
          <cell r="A31">
            <v>28</v>
          </cell>
          <cell r="B31" t="str">
            <v>山王保育園</v>
          </cell>
          <cell r="C31">
            <v>0</v>
          </cell>
          <cell r="D31">
            <v>2517000</v>
          </cell>
          <cell r="E31">
            <v>4116000</v>
          </cell>
          <cell r="F31">
            <v>467000</v>
          </cell>
          <cell r="G31">
            <v>1588000</v>
          </cell>
          <cell r="H31">
            <v>0</v>
          </cell>
          <cell r="I31">
            <v>8688000</v>
          </cell>
          <cell r="J31">
            <v>0</v>
          </cell>
          <cell r="K31">
            <v>629250</v>
          </cell>
          <cell r="L31">
            <v>1029000</v>
          </cell>
          <cell r="M31">
            <v>116750</v>
          </cell>
          <cell r="N31">
            <v>397000</v>
          </cell>
          <cell r="O31">
            <v>0</v>
          </cell>
          <cell r="P31">
            <v>2172000</v>
          </cell>
        </row>
        <row r="32">
          <cell r="A32">
            <v>29</v>
          </cell>
          <cell r="B32" t="str">
            <v>チャイルド・ガーデン保育園</v>
          </cell>
          <cell r="C32">
            <v>0</v>
          </cell>
          <cell r="D32">
            <v>2517000</v>
          </cell>
          <cell r="E32">
            <v>4116000</v>
          </cell>
          <cell r="F32">
            <v>0</v>
          </cell>
          <cell r="G32">
            <v>1588000</v>
          </cell>
          <cell r="H32">
            <v>0</v>
          </cell>
          <cell r="I32">
            <v>8221000</v>
          </cell>
          <cell r="J32">
            <v>0</v>
          </cell>
          <cell r="K32">
            <v>629250</v>
          </cell>
          <cell r="L32">
            <v>1029000</v>
          </cell>
          <cell r="M32">
            <v>0</v>
          </cell>
          <cell r="N32">
            <v>397000</v>
          </cell>
          <cell r="O32">
            <v>0</v>
          </cell>
          <cell r="P32">
            <v>2055250</v>
          </cell>
        </row>
        <row r="33">
          <cell r="A33">
            <v>30</v>
          </cell>
          <cell r="B33" t="str">
            <v>明徳土気保育園</v>
          </cell>
          <cell r="C33">
            <v>0</v>
          </cell>
          <cell r="D33">
            <v>2517000</v>
          </cell>
          <cell r="E33">
            <v>4116000</v>
          </cell>
          <cell r="F33">
            <v>467000</v>
          </cell>
          <cell r="G33">
            <v>1588000</v>
          </cell>
          <cell r="H33">
            <v>4704000</v>
          </cell>
          <cell r="I33">
            <v>13392000</v>
          </cell>
          <cell r="J33">
            <v>0</v>
          </cell>
          <cell r="K33">
            <v>629250</v>
          </cell>
          <cell r="L33">
            <v>1029000</v>
          </cell>
          <cell r="M33">
            <v>116750</v>
          </cell>
          <cell r="N33">
            <v>397000</v>
          </cell>
          <cell r="O33">
            <v>1176000</v>
          </cell>
          <cell r="P33">
            <v>3348000</v>
          </cell>
        </row>
        <row r="34">
          <cell r="A34">
            <v>31</v>
          </cell>
          <cell r="B34" t="str">
            <v>グレース保育園</v>
          </cell>
          <cell r="C34">
            <v>0</v>
          </cell>
          <cell r="D34">
            <v>2517000</v>
          </cell>
          <cell r="E34">
            <v>4116000</v>
          </cell>
          <cell r="F34">
            <v>0</v>
          </cell>
          <cell r="G34">
            <v>1588000</v>
          </cell>
          <cell r="H34">
            <v>2352000</v>
          </cell>
          <cell r="I34">
            <v>10573000</v>
          </cell>
          <cell r="J34">
            <v>0</v>
          </cell>
          <cell r="K34">
            <v>629250</v>
          </cell>
          <cell r="L34">
            <v>1029000</v>
          </cell>
          <cell r="M34">
            <v>0</v>
          </cell>
          <cell r="N34">
            <v>397000</v>
          </cell>
          <cell r="O34">
            <v>588000</v>
          </cell>
          <cell r="P34">
            <v>2643250</v>
          </cell>
        </row>
        <row r="35">
          <cell r="A35">
            <v>32</v>
          </cell>
          <cell r="B35" t="str">
            <v>みらい保育園</v>
          </cell>
          <cell r="C35">
            <v>0</v>
          </cell>
          <cell r="D35">
            <v>2517000</v>
          </cell>
          <cell r="E35">
            <v>4116000</v>
          </cell>
          <cell r="F35">
            <v>0</v>
          </cell>
          <cell r="G35">
            <v>1588000</v>
          </cell>
          <cell r="H35">
            <v>2352000</v>
          </cell>
          <cell r="I35">
            <v>10573000</v>
          </cell>
          <cell r="J35">
            <v>0</v>
          </cell>
          <cell r="K35">
            <v>629250</v>
          </cell>
          <cell r="L35">
            <v>1029000</v>
          </cell>
          <cell r="M35">
            <v>0</v>
          </cell>
          <cell r="N35">
            <v>397000</v>
          </cell>
          <cell r="O35">
            <v>588000</v>
          </cell>
          <cell r="P35">
            <v>2643250</v>
          </cell>
        </row>
        <row r="36">
          <cell r="A36">
            <v>33</v>
          </cell>
          <cell r="B36" t="str">
            <v>かまとり保育園</v>
          </cell>
          <cell r="C36">
            <v>0</v>
          </cell>
          <cell r="D36">
            <v>2517000</v>
          </cell>
          <cell r="E36">
            <v>4116000</v>
          </cell>
          <cell r="F36">
            <v>0</v>
          </cell>
          <cell r="G36">
            <v>1588000</v>
          </cell>
          <cell r="H36">
            <v>2352000</v>
          </cell>
          <cell r="I36">
            <v>10573000</v>
          </cell>
          <cell r="J36">
            <v>0</v>
          </cell>
          <cell r="K36">
            <v>629250</v>
          </cell>
          <cell r="L36">
            <v>1029000</v>
          </cell>
          <cell r="M36">
            <v>0</v>
          </cell>
          <cell r="N36">
            <v>397000</v>
          </cell>
          <cell r="O36">
            <v>588000</v>
          </cell>
          <cell r="P36">
            <v>2643250</v>
          </cell>
        </row>
        <row r="37">
          <cell r="A37">
            <v>34</v>
          </cell>
          <cell r="B37" t="str">
            <v>植草弁天保育園</v>
          </cell>
          <cell r="C37">
            <v>935000</v>
          </cell>
          <cell r="D37">
            <v>2517000</v>
          </cell>
          <cell r="E37">
            <v>4116000</v>
          </cell>
          <cell r="F37">
            <v>467000</v>
          </cell>
          <cell r="G37">
            <v>1588000</v>
          </cell>
          <cell r="H37">
            <v>0</v>
          </cell>
          <cell r="I37">
            <v>9623000</v>
          </cell>
          <cell r="J37">
            <v>233750</v>
          </cell>
          <cell r="K37">
            <v>629250</v>
          </cell>
          <cell r="L37">
            <v>1029000</v>
          </cell>
          <cell r="M37">
            <v>116750</v>
          </cell>
          <cell r="N37">
            <v>397000</v>
          </cell>
          <cell r="O37">
            <v>0</v>
          </cell>
          <cell r="P37">
            <v>2405750</v>
          </cell>
        </row>
        <row r="38">
          <cell r="A38">
            <v>35</v>
          </cell>
          <cell r="B38" t="str">
            <v>ひなたぼっこ保育園</v>
          </cell>
          <cell r="C38">
            <v>0</v>
          </cell>
          <cell r="D38">
            <v>2517000</v>
          </cell>
          <cell r="E38">
            <v>4116000</v>
          </cell>
          <cell r="F38">
            <v>467000</v>
          </cell>
          <cell r="G38">
            <v>1588000</v>
          </cell>
          <cell r="H38">
            <v>0</v>
          </cell>
          <cell r="I38">
            <v>8688000</v>
          </cell>
          <cell r="J38">
            <v>0</v>
          </cell>
          <cell r="K38">
            <v>629250</v>
          </cell>
          <cell r="L38">
            <v>1029000</v>
          </cell>
          <cell r="M38">
            <v>116750</v>
          </cell>
          <cell r="N38">
            <v>397000</v>
          </cell>
          <cell r="O38">
            <v>0</v>
          </cell>
          <cell r="P38">
            <v>2172000</v>
          </cell>
        </row>
        <row r="39">
          <cell r="A39">
            <v>36</v>
          </cell>
          <cell r="B39" t="str">
            <v>はまかぜ保育園</v>
          </cell>
          <cell r="C39">
            <v>0</v>
          </cell>
          <cell r="D39">
            <v>2517000</v>
          </cell>
          <cell r="E39">
            <v>4116000</v>
          </cell>
          <cell r="F39">
            <v>467000</v>
          </cell>
          <cell r="G39">
            <v>1588000</v>
          </cell>
          <cell r="H39">
            <v>0</v>
          </cell>
          <cell r="I39">
            <v>8688000</v>
          </cell>
          <cell r="J39">
            <v>0</v>
          </cell>
          <cell r="K39">
            <v>629250</v>
          </cell>
          <cell r="L39">
            <v>1029000</v>
          </cell>
          <cell r="M39">
            <v>116750</v>
          </cell>
          <cell r="N39">
            <v>397000</v>
          </cell>
          <cell r="O39">
            <v>0</v>
          </cell>
          <cell r="P39">
            <v>2172000</v>
          </cell>
        </row>
        <row r="40">
          <cell r="A40">
            <v>37</v>
          </cell>
          <cell r="B40" t="str">
            <v>いなほ保育園</v>
          </cell>
          <cell r="C40">
            <v>0</v>
          </cell>
          <cell r="D40">
            <v>2517000</v>
          </cell>
          <cell r="E40">
            <v>4116000</v>
          </cell>
          <cell r="F40">
            <v>467000</v>
          </cell>
          <cell r="G40">
            <v>1588000</v>
          </cell>
          <cell r="H40">
            <v>0</v>
          </cell>
          <cell r="I40">
            <v>8688000</v>
          </cell>
          <cell r="J40">
            <v>0</v>
          </cell>
          <cell r="K40">
            <v>629250</v>
          </cell>
          <cell r="L40">
            <v>1029000</v>
          </cell>
          <cell r="M40">
            <v>116750</v>
          </cell>
          <cell r="N40">
            <v>397000</v>
          </cell>
          <cell r="O40">
            <v>0</v>
          </cell>
          <cell r="P40">
            <v>2172000</v>
          </cell>
        </row>
        <row r="41">
          <cell r="A41">
            <v>38</v>
          </cell>
          <cell r="B41" t="str">
            <v>キッズマーム保育園</v>
          </cell>
          <cell r="C41">
            <v>0</v>
          </cell>
          <cell r="D41">
            <v>2517000</v>
          </cell>
          <cell r="E41">
            <v>4116000</v>
          </cell>
          <cell r="F41">
            <v>0</v>
          </cell>
          <cell r="G41">
            <v>1588000</v>
          </cell>
          <cell r="H41">
            <v>2352000</v>
          </cell>
          <cell r="I41">
            <v>10573000</v>
          </cell>
          <cell r="J41">
            <v>0</v>
          </cell>
          <cell r="K41">
            <v>629250</v>
          </cell>
          <cell r="L41">
            <v>1029000</v>
          </cell>
          <cell r="M41">
            <v>0</v>
          </cell>
          <cell r="N41">
            <v>397000</v>
          </cell>
          <cell r="O41">
            <v>588000</v>
          </cell>
          <cell r="P41">
            <v>2643250</v>
          </cell>
        </row>
        <row r="42">
          <cell r="A42">
            <v>39</v>
          </cell>
          <cell r="B42" t="str">
            <v>アスク海浜幕張保育園</v>
          </cell>
          <cell r="C42">
            <v>0</v>
          </cell>
          <cell r="D42">
            <v>2517000</v>
          </cell>
          <cell r="E42">
            <v>4116000</v>
          </cell>
          <cell r="F42">
            <v>467000</v>
          </cell>
          <cell r="G42">
            <v>0</v>
          </cell>
          <cell r="H42">
            <v>0</v>
          </cell>
          <cell r="I42">
            <v>7100000</v>
          </cell>
          <cell r="J42">
            <v>0</v>
          </cell>
          <cell r="K42">
            <v>629250</v>
          </cell>
          <cell r="L42">
            <v>1029000</v>
          </cell>
          <cell r="M42">
            <v>116750</v>
          </cell>
          <cell r="N42">
            <v>0</v>
          </cell>
          <cell r="O42">
            <v>0</v>
          </cell>
          <cell r="P42">
            <v>1775000</v>
          </cell>
        </row>
        <row r="43">
          <cell r="A43">
            <v>40</v>
          </cell>
          <cell r="B43" t="str">
            <v>明徳浜野駅保育園</v>
          </cell>
          <cell r="C43">
            <v>0</v>
          </cell>
          <cell r="D43">
            <v>2517000</v>
          </cell>
          <cell r="E43">
            <v>4116000</v>
          </cell>
          <cell r="F43">
            <v>0</v>
          </cell>
          <cell r="G43">
            <v>1588000</v>
          </cell>
          <cell r="H43">
            <v>0</v>
          </cell>
          <cell r="I43">
            <v>8221000</v>
          </cell>
          <cell r="J43">
            <v>0</v>
          </cell>
          <cell r="K43">
            <v>629250</v>
          </cell>
          <cell r="L43">
            <v>1029000</v>
          </cell>
          <cell r="M43">
            <v>0</v>
          </cell>
          <cell r="N43">
            <v>397000</v>
          </cell>
          <cell r="O43">
            <v>0</v>
          </cell>
          <cell r="P43">
            <v>2055250</v>
          </cell>
        </row>
        <row r="44">
          <cell r="A44">
            <v>41</v>
          </cell>
          <cell r="B44" t="str">
            <v>幕張いもっこ保育園</v>
          </cell>
          <cell r="C44">
            <v>0</v>
          </cell>
          <cell r="D44">
            <v>2517000</v>
          </cell>
          <cell r="E44">
            <v>4116000</v>
          </cell>
          <cell r="F44">
            <v>467000</v>
          </cell>
          <cell r="G44">
            <v>1122000</v>
          </cell>
          <cell r="H44">
            <v>0</v>
          </cell>
          <cell r="I44">
            <v>8222000</v>
          </cell>
          <cell r="J44">
            <v>0</v>
          </cell>
          <cell r="K44">
            <v>629250</v>
          </cell>
          <cell r="L44">
            <v>1029000</v>
          </cell>
          <cell r="M44">
            <v>116750</v>
          </cell>
          <cell r="N44">
            <v>280500</v>
          </cell>
          <cell r="O44">
            <v>0</v>
          </cell>
          <cell r="P44">
            <v>2055500</v>
          </cell>
        </row>
        <row r="45">
          <cell r="A45">
            <v>42</v>
          </cell>
          <cell r="B45" t="str">
            <v>稲毛すきっぷ保育園</v>
          </cell>
          <cell r="C45">
            <v>0</v>
          </cell>
          <cell r="D45">
            <v>2517000</v>
          </cell>
          <cell r="E45">
            <v>4116000</v>
          </cell>
          <cell r="F45">
            <v>467000</v>
          </cell>
          <cell r="G45">
            <v>0</v>
          </cell>
          <cell r="H45">
            <v>0</v>
          </cell>
          <cell r="I45">
            <v>7100000</v>
          </cell>
          <cell r="J45">
            <v>0</v>
          </cell>
          <cell r="K45">
            <v>629250</v>
          </cell>
          <cell r="L45">
            <v>1029000</v>
          </cell>
          <cell r="M45">
            <v>116750</v>
          </cell>
          <cell r="N45">
            <v>0</v>
          </cell>
          <cell r="O45">
            <v>0</v>
          </cell>
          <cell r="P45">
            <v>1775000</v>
          </cell>
        </row>
        <row r="46">
          <cell r="A46">
            <v>43</v>
          </cell>
          <cell r="B46" t="str">
            <v>千葉聖心保育園</v>
          </cell>
          <cell r="C46">
            <v>935000</v>
          </cell>
          <cell r="D46">
            <v>2517000</v>
          </cell>
          <cell r="E46">
            <v>4116000</v>
          </cell>
          <cell r="F46">
            <v>0</v>
          </cell>
          <cell r="G46">
            <v>0</v>
          </cell>
          <cell r="H46">
            <v>0</v>
          </cell>
          <cell r="I46">
            <v>7568000</v>
          </cell>
          <cell r="J46">
            <v>233750</v>
          </cell>
          <cell r="K46">
            <v>629250</v>
          </cell>
          <cell r="L46">
            <v>1029000</v>
          </cell>
          <cell r="M46">
            <v>0</v>
          </cell>
          <cell r="N46">
            <v>0</v>
          </cell>
          <cell r="O46">
            <v>0</v>
          </cell>
          <cell r="P46">
            <v>1892000</v>
          </cell>
        </row>
        <row r="47">
          <cell r="A47">
            <v>44</v>
          </cell>
          <cell r="B47" t="str">
            <v>真生保育園</v>
          </cell>
          <cell r="C47">
            <v>0</v>
          </cell>
          <cell r="D47">
            <v>2517000</v>
          </cell>
          <cell r="E47">
            <v>4116000</v>
          </cell>
          <cell r="F47">
            <v>467000</v>
          </cell>
          <cell r="G47">
            <v>1588000</v>
          </cell>
          <cell r="H47">
            <v>0</v>
          </cell>
          <cell r="I47">
            <v>8688000</v>
          </cell>
          <cell r="J47">
            <v>0</v>
          </cell>
          <cell r="K47">
            <v>629250</v>
          </cell>
          <cell r="L47">
            <v>1029000</v>
          </cell>
          <cell r="M47">
            <v>116750</v>
          </cell>
          <cell r="N47">
            <v>397000</v>
          </cell>
          <cell r="O47">
            <v>0</v>
          </cell>
          <cell r="P47">
            <v>2172000</v>
          </cell>
        </row>
        <row r="48">
          <cell r="A48">
            <v>45</v>
          </cell>
          <cell r="B48" t="str">
            <v>アップルナースリー検見川浜保育園</v>
          </cell>
          <cell r="C48">
            <v>0</v>
          </cell>
          <cell r="D48">
            <v>2517000</v>
          </cell>
          <cell r="E48">
            <v>4116000</v>
          </cell>
          <cell r="F48">
            <v>467000</v>
          </cell>
          <cell r="G48">
            <v>1588000</v>
          </cell>
          <cell r="H48">
            <v>0</v>
          </cell>
          <cell r="I48">
            <v>8688000</v>
          </cell>
          <cell r="J48">
            <v>0</v>
          </cell>
          <cell r="K48">
            <v>629250</v>
          </cell>
          <cell r="L48">
            <v>1029000</v>
          </cell>
          <cell r="M48">
            <v>116750</v>
          </cell>
          <cell r="N48">
            <v>397000</v>
          </cell>
          <cell r="O48">
            <v>0</v>
          </cell>
          <cell r="P48">
            <v>2172000</v>
          </cell>
        </row>
        <row r="49">
          <cell r="A49">
            <v>46</v>
          </cell>
        </row>
        <row r="50">
          <cell r="A50">
            <v>47</v>
          </cell>
        </row>
        <row r="51">
          <cell r="A51">
            <v>48</v>
          </cell>
        </row>
        <row r="52">
          <cell r="A52">
            <v>49</v>
          </cell>
        </row>
        <row r="53">
          <cell r="A53">
            <v>50</v>
          </cell>
        </row>
        <row r="54">
          <cell r="B54" t="str">
            <v>この行は使わないこと</v>
          </cell>
        </row>
        <row r="55">
          <cell r="B55" t="str">
            <v>計</v>
          </cell>
          <cell r="C55">
            <v>4675000</v>
          </cell>
          <cell r="D55">
            <v>113265000</v>
          </cell>
          <cell r="E55">
            <v>185220000</v>
          </cell>
          <cell r="F55">
            <v>14477000</v>
          </cell>
          <cell r="G55">
            <v>65329000</v>
          </cell>
          <cell r="H55">
            <v>61152000</v>
          </cell>
          <cell r="I55">
            <v>444118000</v>
          </cell>
          <cell r="J55">
            <v>1168750</v>
          </cell>
          <cell r="K55">
            <v>28316250</v>
          </cell>
          <cell r="L55">
            <v>46305000</v>
          </cell>
          <cell r="M55">
            <v>3619250</v>
          </cell>
          <cell r="N55">
            <v>16332250</v>
          </cell>
          <cell r="O55">
            <v>15288000</v>
          </cell>
          <cell r="P55">
            <v>111029500</v>
          </cell>
        </row>
        <row r="59">
          <cell r="A59">
            <v>1</v>
          </cell>
          <cell r="B59" t="str">
            <v>院内保育園</v>
          </cell>
          <cell r="C59">
            <v>0</v>
          </cell>
          <cell r="D59">
            <v>629250</v>
          </cell>
          <cell r="E59">
            <v>1029000</v>
          </cell>
          <cell r="F59">
            <v>0</v>
          </cell>
          <cell r="G59">
            <v>375500</v>
          </cell>
          <cell r="H59">
            <v>0</v>
          </cell>
          <cell r="I59">
            <v>2033750</v>
          </cell>
          <cell r="J59">
            <v>0</v>
          </cell>
          <cell r="K59">
            <v>629250</v>
          </cell>
          <cell r="L59">
            <v>1029000</v>
          </cell>
          <cell r="M59">
            <v>0</v>
          </cell>
          <cell r="N59">
            <v>375500</v>
          </cell>
          <cell r="O59">
            <v>0</v>
          </cell>
          <cell r="P59">
            <v>2033750</v>
          </cell>
        </row>
        <row r="60">
          <cell r="A60">
            <v>2</v>
          </cell>
          <cell r="B60" t="str">
            <v>旭ケ丘保育園</v>
          </cell>
          <cell r="C60">
            <v>0</v>
          </cell>
          <cell r="D60">
            <v>629250</v>
          </cell>
          <cell r="E60">
            <v>1029000</v>
          </cell>
          <cell r="F60">
            <v>116750</v>
          </cell>
          <cell r="G60">
            <v>397000</v>
          </cell>
          <cell r="H60">
            <v>588000</v>
          </cell>
          <cell r="I60">
            <v>2760000</v>
          </cell>
          <cell r="J60">
            <v>0</v>
          </cell>
          <cell r="K60">
            <v>629250</v>
          </cell>
          <cell r="L60">
            <v>1029000</v>
          </cell>
          <cell r="M60">
            <v>116750</v>
          </cell>
          <cell r="N60">
            <v>397000</v>
          </cell>
          <cell r="O60">
            <v>588000</v>
          </cell>
          <cell r="P60">
            <v>2760000</v>
          </cell>
        </row>
        <row r="61">
          <cell r="A61">
            <v>3</v>
          </cell>
          <cell r="B61" t="str">
            <v>稲毛保育園</v>
          </cell>
          <cell r="C61">
            <v>0</v>
          </cell>
          <cell r="D61">
            <v>629250</v>
          </cell>
          <cell r="E61">
            <v>1029000</v>
          </cell>
          <cell r="F61">
            <v>0</v>
          </cell>
          <cell r="G61">
            <v>397000</v>
          </cell>
          <cell r="H61">
            <v>588000</v>
          </cell>
          <cell r="I61">
            <v>2643250</v>
          </cell>
          <cell r="J61">
            <v>0</v>
          </cell>
          <cell r="K61">
            <v>629250</v>
          </cell>
          <cell r="L61">
            <v>1029000</v>
          </cell>
          <cell r="M61">
            <v>0</v>
          </cell>
          <cell r="N61">
            <v>397000</v>
          </cell>
          <cell r="O61">
            <v>588000</v>
          </cell>
          <cell r="P61">
            <v>2643250</v>
          </cell>
        </row>
        <row r="62">
          <cell r="A62">
            <v>4</v>
          </cell>
          <cell r="B62" t="str">
            <v>みどり学園附属保育園</v>
          </cell>
          <cell r="C62">
            <v>0</v>
          </cell>
          <cell r="D62">
            <v>629250</v>
          </cell>
          <cell r="E62">
            <v>1029000</v>
          </cell>
          <cell r="F62">
            <v>0</v>
          </cell>
          <cell r="G62">
            <v>397000</v>
          </cell>
          <cell r="H62">
            <v>0</v>
          </cell>
          <cell r="I62">
            <v>2055250</v>
          </cell>
          <cell r="J62">
            <v>0</v>
          </cell>
          <cell r="K62">
            <v>629250</v>
          </cell>
          <cell r="L62">
            <v>1029000</v>
          </cell>
          <cell r="M62">
            <v>0</v>
          </cell>
          <cell r="N62">
            <v>397000</v>
          </cell>
          <cell r="O62">
            <v>0</v>
          </cell>
          <cell r="P62">
            <v>2055250</v>
          </cell>
        </row>
        <row r="63">
          <cell r="A63">
            <v>5</v>
          </cell>
          <cell r="B63" t="str">
            <v>ちどり保育園</v>
          </cell>
          <cell r="C63">
            <v>0</v>
          </cell>
          <cell r="D63">
            <v>629250</v>
          </cell>
          <cell r="E63">
            <v>1029000</v>
          </cell>
          <cell r="F63">
            <v>116750</v>
          </cell>
          <cell r="G63">
            <v>396000</v>
          </cell>
          <cell r="H63">
            <v>0</v>
          </cell>
          <cell r="I63">
            <v>2171000</v>
          </cell>
          <cell r="J63">
            <v>0</v>
          </cell>
          <cell r="K63">
            <v>629250</v>
          </cell>
          <cell r="L63">
            <v>1029000</v>
          </cell>
          <cell r="M63">
            <v>116750</v>
          </cell>
          <cell r="N63">
            <v>396000</v>
          </cell>
          <cell r="O63">
            <v>0</v>
          </cell>
          <cell r="P63">
            <v>2171000</v>
          </cell>
        </row>
        <row r="64">
          <cell r="A64">
            <v>6</v>
          </cell>
          <cell r="B64" t="str">
            <v>今井保育園</v>
          </cell>
          <cell r="C64">
            <v>233750</v>
          </cell>
          <cell r="D64">
            <v>629250</v>
          </cell>
          <cell r="E64">
            <v>1029000</v>
          </cell>
          <cell r="F64">
            <v>116750</v>
          </cell>
          <cell r="G64">
            <v>397000</v>
          </cell>
          <cell r="H64">
            <v>588000</v>
          </cell>
          <cell r="I64">
            <v>2993750</v>
          </cell>
          <cell r="J64">
            <v>233750</v>
          </cell>
          <cell r="K64">
            <v>629250</v>
          </cell>
          <cell r="L64">
            <v>1029000</v>
          </cell>
          <cell r="M64">
            <v>116750</v>
          </cell>
          <cell r="N64">
            <v>397000</v>
          </cell>
          <cell r="O64">
            <v>588000</v>
          </cell>
          <cell r="P64">
            <v>2993750</v>
          </cell>
        </row>
        <row r="65">
          <cell r="A65">
            <v>7</v>
          </cell>
          <cell r="B65" t="str">
            <v>若竹保育園</v>
          </cell>
          <cell r="C65">
            <v>0</v>
          </cell>
          <cell r="D65">
            <v>629250</v>
          </cell>
          <cell r="E65">
            <v>1029000</v>
          </cell>
          <cell r="F65">
            <v>116750</v>
          </cell>
          <cell r="G65">
            <v>397000</v>
          </cell>
          <cell r="H65">
            <v>588000</v>
          </cell>
          <cell r="I65">
            <v>2760000</v>
          </cell>
          <cell r="J65">
            <v>0</v>
          </cell>
          <cell r="K65">
            <v>629250</v>
          </cell>
          <cell r="L65">
            <v>1029000</v>
          </cell>
          <cell r="M65">
            <v>116750</v>
          </cell>
          <cell r="N65">
            <v>397000</v>
          </cell>
          <cell r="O65">
            <v>588000</v>
          </cell>
          <cell r="P65">
            <v>2760000</v>
          </cell>
        </row>
        <row r="66">
          <cell r="A66">
            <v>8</v>
          </cell>
          <cell r="B66" t="str">
            <v>千葉寺保育園</v>
          </cell>
          <cell r="C66">
            <v>0</v>
          </cell>
          <cell r="D66">
            <v>629250</v>
          </cell>
          <cell r="E66">
            <v>1029000</v>
          </cell>
          <cell r="F66">
            <v>0</v>
          </cell>
          <cell r="G66">
            <v>397000</v>
          </cell>
          <cell r="H66">
            <v>588000</v>
          </cell>
          <cell r="I66">
            <v>2643250</v>
          </cell>
          <cell r="J66">
            <v>0</v>
          </cell>
          <cell r="K66">
            <v>629250</v>
          </cell>
          <cell r="L66">
            <v>1029000</v>
          </cell>
          <cell r="M66">
            <v>0</v>
          </cell>
          <cell r="N66">
            <v>397000</v>
          </cell>
          <cell r="O66">
            <v>588000</v>
          </cell>
          <cell r="P66">
            <v>2643250</v>
          </cell>
        </row>
        <row r="67">
          <cell r="A67">
            <v>9</v>
          </cell>
          <cell r="B67" t="str">
            <v>慈光保育園</v>
          </cell>
          <cell r="C67">
            <v>0</v>
          </cell>
          <cell r="D67">
            <v>629250</v>
          </cell>
          <cell r="E67">
            <v>1029000</v>
          </cell>
          <cell r="F67">
            <v>116750</v>
          </cell>
          <cell r="G67">
            <v>397000</v>
          </cell>
          <cell r="H67">
            <v>588000</v>
          </cell>
          <cell r="I67">
            <v>2760000</v>
          </cell>
          <cell r="J67">
            <v>0</v>
          </cell>
          <cell r="K67">
            <v>629250</v>
          </cell>
          <cell r="L67">
            <v>1029000</v>
          </cell>
          <cell r="M67">
            <v>116750</v>
          </cell>
          <cell r="N67">
            <v>397000</v>
          </cell>
          <cell r="O67">
            <v>588000</v>
          </cell>
          <cell r="P67">
            <v>2760000</v>
          </cell>
        </row>
        <row r="68">
          <cell r="A68">
            <v>10</v>
          </cell>
          <cell r="B68" t="str">
            <v>若梅保育園</v>
          </cell>
          <cell r="C68">
            <v>0</v>
          </cell>
          <cell r="D68">
            <v>629250</v>
          </cell>
          <cell r="E68">
            <v>1029000</v>
          </cell>
          <cell r="F68">
            <v>116750</v>
          </cell>
          <cell r="G68">
            <v>397000</v>
          </cell>
          <cell r="H68">
            <v>588000</v>
          </cell>
          <cell r="I68">
            <v>2760000</v>
          </cell>
          <cell r="J68">
            <v>0</v>
          </cell>
          <cell r="K68">
            <v>629250</v>
          </cell>
          <cell r="L68">
            <v>1029000</v>
          </cell>
          <cell r="M68">
            <v>116750</v>
          </cell>
          <cell r="N68">
            <v>397000</v>
          </cell>
          <cell r="O68">
            <v>588000</v>
          </cell>
          <cell r="P68">
            <v>2760000</v>
          </cell>
        </row>
        <row r="69">
          <cell r="A69">
            <v>11</v>
          </cell>
          <cell r="B69" t="str">
            <v>チューリップ保育園</v>
          </cell>
          <cell r="C69">
            <v>0</v>
          </cell>
          <cell r="D69">
            <v>629250</v>
          </cell>
          <cell r="E69">
            <v>1029000</v>
          </cell>
          <cell r="F69">
            <v>0</v>
          </cell>
          <cell r="G69">
            <v>269250</v>
          </cell>
          <cell r="H69">
            <v>588000</v>
          </cell>
          <cell r="I69">
            <v>2515500</v>
          </cell>
          <cell r="J69">
            <v>0</v>
          </cell>
          <cell r="K69">
            <v>629250</v>
          </cell>
          <cell r="L69">
            <v>1029000</v>
          </cell>
          <cell r="M69">
            <v>0</v>
          </cell>
          <cell r="N69">
            <v>269250</v>
          </cell>
          <cell r="O69">
            <v>588000</v>
          </cell>
          <cell r="P69">
            <v>2515500</v>
          </cell>
        </row>
        <row r="70">
          <cell r="A70">
            <v>12</v>
          </cell>
          <cell r="B70" t="str">
            <v>幕張海浜保育園</v>
          </cell>
          <cell r="C70">
            <v>0</v>
          </cell>
          <cell r="D70">
            <v>629250</v>
          </cell>
          <cell r="E70">
            <v>1029000</v>
          </cell>
          <cell r="F70">
            <v>116750</v>
          </cell>
          <cell r="G70">
            <v>397000</v>
          </cell>
          <cell r="H70">
            <v>0</v>
          </cell>
          <cell r="I70">
            <v>2172000</v>
          </cell>
          <cell r="J70">
            <v>0</v>
          </cell>
          <cell r="K70">
            <v>629250</v>
          </cell>
          <cell r="L70">
            <v>1029000</v>
          </cell>
          <cell r="M70">
            <v>116750</v>
          </cell>
          <cell r="N70">
            <v>397000</v>
          </cell>
          <cell r="O70">
            <v>0</v>
          </cell>
          <cell r="P70">
            <v>2172000</v>
          </cell>
        </row>
        <row r="71">
          <cell r="A71">
            <v>13</v>
          </cell>
          <cell r="B71" t="str">
            <v>みつわ台保育園</v>
          </cell>
          <cell r="C71">
            <v>0</v>
          </cell>
          <cell r="D71">
            <v>629250</v>
          </cell>
          <cell r="E71">
            <v>1029000</v>
          </cell>
          <cell r="F71">
            <v>116750</v>
          </cell>
          <cell r="G71">
            <v>397000</v>
          </cell>
          <cell r="H71">
            <v>1764000</v>
          </cell>
          <cell r="I71">
            <v>3936000</v>
          </cell>
          <cell r="J71">
            <v>0</v>
          </cell>
          <cell r="K71">
            <v>629250</v>
          </cell>
          <cell r="L71">
            <v>1029000</v>
          </cell>
          <cell r="M71">
            <v>116750</v>
          </cell>
          <cell r="N71">
            <v>397000</v>
          </cell>
          <cell r="O71">
            <v>1764000</v>
          </cell>
          <cell r="P71">
            <v>3936000</v>
          </cell>
        </row>
        <row r="72">
          <cell r="A72">
            <v>14</v>
          </cell>
          <cell r="B72" t="str">
            <v>まどか保育園</v>
          </cell>
          <cell r="C72">
            <v>0</v>
          </cell>
          <cell r="D72">
            <v>629250</v>
          </cell>
          <cell r="E72">
            <v>1029000</v>
          </cell>
          <cell r="F72">
            <v>116750</v>
          </cell>
          <cell r="G72">
            <v>397000</v>
          </cell>
          <cell r="H72">
            <v>0</v>
          </cell>
          <cell r="I72">
            <v>2172000</v>
          </cell>
          <cell r="J72">
            <v>0</v>
          </cell>
          <cell r="K72">
            <v>629250</v>
          </cell>
          <cell r="L72">
            <v>1029000</v>
          </cell>
          <cell r="M72">
            <v>116750</v>
          </cell>
          <cell r="N72">
            <v>397000</v>
          </cell>
          <cell r="O72">
            <v>0</v>
          </cell>
          <cell r="P72">
            <v>2172000</v>
          </cell>
        </row>
        <row r="73">
          <cell r="A73">
            <v>15</v>
          </cell>
          <cell r="B73" t="str">
            <v>わかくさ保育園</v>
          </cell>
          <cell r="C73">
            <v>0</v>
          </cell>
          <cell r="D73">
            <v>629250</v>
          </cell>
          <cell r="E73">
            <v>1029000</v>
          </cell>
          <cell r="F73">
            <v>116750</v>
          </cell>
          <cell r="G73">
            <v>397000</v>
          </cell>
          <cell r="H73">
            <v>0</v>
          </cell>
          <cell r="I73">
            <v>2172000</v>
          </cell>
          <cell r="J73">
            <v>0</v>
          </cell>
          <cell r="K73">
            <v>629250</v>
          </cell>
          <cell r="L73">
            <v>1029000</v>
          </cell>
          <cell r="M73">
            <v>116750</v>
          </cell>
          <cell r="N73">
            <v>397000</v>
          </cell>
          <cell r="O73">
            <v>0</v>
          </cell>
          <cell r="P73">
            <v>2172000</v>
          </cell>
        </row>
        <row r="74">
          <cell r="A74">
            <v>16</v>
          </cell>
          <cell r="B74" t="str">
            <v>たいよう保育園</v>
          </cell>
          <cell r="C74">
            <v>0</v>
          </cell>
          <cell r="D74">
            <v>629250</v>
          </cell>
          <cell r="E74">
            <v>1029000</v>
          </cell>
          <cell r="F74">
            <v>116750</v>
          </cell>
          <cell r="G74">
            <v>397000</v>
          </cell>
          <cell r="H74">
            <v>0</v>
          </cell>
          <cell r="I74">
            <v>2172000</v>
          </cell>
          <cell r="J74">
            <v>0</v>
          </cell>
          <cell r="K74">
            <v>629250</v>
          </cell>
          <cell r="L74">
            <v>1029000</v>
          </cell>
          <cell r="M74">
            <v>116750</v>
          </cell>
          <cell r="N74">
            <v>397000</v>
          </cell>
          <cell r="O74">
            <v>0</v>
          </cell>
          <cell r="P74">
            <v>2172000</v>
          </cell>
        </row>
        <row r="75">
          <cell r="A75">
            <v>17</v>
          </cell>
          <cell r="B75" t="str">
            <v>松ケ丘保育園</v>
          </cell>
          <cell r="C75">
            <v>0</v>
          </cell>
          <cell r="D75">
            <v>629250</v>
          </cell>
          <cell r="E75">
            <v>1029000</v>
          </cell>
          <cell r="F75">
            <v>116750</v>
          </cell>
          <cell r="G75">
            <v>322000</v>
          </cell>
          <cell r="H75">
            <v>588000</v>
          </cell>
          <cell r="I75">
            <v>2685000</v>
          </cell>
          <cell r="J75">
            <v>0</v>
          </cell>
          <cell r="K75">
            <v>629250</v>
          </cell>
          <cell r="L75">
            <v>1029000</v>
          </cell>
          <cell r="M75">
            <v>116750</v>
          </cell>
          <cell r="N75">
            <v>322000</v>
          </cell>
          <cell r="O75">
            <v>588000</v>
          </cell>
          <cell r="P75">
            <v>2685000</v>
          </cell>
        </row>
        <row r="76">
          <cell r="A76">
            <v>18</v>
          </cell>
          <cell r="B76" t="str">
            <v>作草部保育園</v>
          </cell>
          <cell r="C76">
            <v>0</v>
          </cell>
          <cell r="D76">
            <v>629250</v>
          </cell>
          <cell r="E76">
            <v>1029000</v>
          </cell>
          <cell r="F76">
            <v>116750</v>
          </cell>
          <cell r="G76">
            <v>397000</v>
          </cell>
          <cell r="H76">
            <v>588000</v>
          </cell>
          <cell r="I76">
            <v>2760000</v>
          </cell>
          <cell r="J76">
            <v>0</v>
          </cell>
          <cell r="K76">
            <v>629250</v>
          </cell>
          <cell r="L76">
            <v>1029000</v>
          </cell>
          <cell r="M76">
            <v>116750</v>
          </cell>
          <cell r="N76">
            <v>397000</v>
          </cell>
          <cell r="O76">
            <v>588000</v>
          </cell>
          <cell r="P76">
            <v>2760000</v>
          </cell>
        </row>
        <row r="77">
          <cell r="A77">
            <v>19</v>
          </cell>
          <cell r="B77" t="str">
            <v>すずらん保育園</v>
          </cell>
          <cell r="C77">
            <v>0</v>
          </cell>
          <cell r="D77">
            <v>629250</v>
          </cell>
          <cell r="E77">
            <v>1029000</v>
          </cell>
          <cell r="F77">
            <v>116750</v>
          </cell>
          <cell r="G77">
            <v>397000</v>
          </cell>
          <cell r="H77">
            <v>588000</v>
          </cell>
          <cell r="I77">
            <v>2760000</v>
          </cell>
          <cell r="J77">
            <v>0</v>
          </cell>
          <cell r="K77">
            <v>629250</v>
          </cell>
          <cell r="L77">
            <v>1029000</v>
          </cell>
          <cell r="M77">
            <v>116750</v>
          </cell>
          <cell r="N77">
            <v>397000</v>
          </cell>
          <cell r="O77">
            <v>588000</v>
          </cell>
          <cell r="P77">
            <v>2760000</v>
          </cell>
        </row>
        <row r="78">
          <cell r="A78">
            <v>20</v>
          </cell>
          <cell r="B78" t="str">
            <v>なぎさ保育園</v>
          </cell>
          <cell r="C78">
            <v>0</v>
          </cell>
          <cell r="D78">
            <v>629250</v>
          </cell>
          <cell r="E78">
            <v>1029000</v>
          </cell>
          <cell r="F78">
            <v>116750</v>
          </cell>
          <cell r="G78">
            <v>397000</v>
          </cell>
          <cell r="H78">
            <v>0</v>
          </cell>
          <cell r="I78">
            <v>2172000</v>
          </cell>
          <cell r="J78">
            <v>0</v>
          </cell>
          <cell r="K78">
            <v>629250</v>
          </cell>
          <cell r="L78">
            <v>1029000</v>
          </cell>
          <cell r="M78">
            <v>116750</v>
          </cell>
          <cell r="N78">
            <v>397000</v>
          </cell>
          <cell r="O78">
            <v>0</v>
          </cell>
          <cell r="P78">
            <v>2172000</v>
          </cell>
        </row>
        <row r="79">
          <cell r="A79">
            <v>21</v>
          </cell>
          <cell r="B79" t="str">
            <v>南小中台保育園</v>
          </cell>
          <cell r="C79">
            <v>0</v>
          </cell>
          <cell r="D79">
            <v>629250</v>
          </cell>
          <cell r="E79">
            <v>1029000</v>
          </cell>
          <cell r="F79">
            <v>116750</v>
          </cell>
          <cell r="G79">
            <v>397000</v>
          </cell>
          <cell r="H79">
            <v>588000</v>
          </cell>
          <cell r="I79">
            <v>2760000</v>
          </cell>
          <cell r="J79">
            <v>0</v>
          </cell>
          <cell r="K79">
            <v>629250</v>
          </cell>
          <cell r="L79">
            <v>1029000</v>
          </cell>
          <cell r="M79">
            <v>116750</v>
          </cell>
          <cell r="N79">
            <v>397000</v>
          </cell>
          <cell r="O79">
            <v>588000</v>
          </cell>
          <cell r="P79">
            <v>2760000</v>
          </cell>
        </row>
        <row r="80">
          <cell r="A80">
            <v>22</v>
          </cell>
          <cell r="B80" t="str">
            <v>もみじ保育園</v>
          </cell>
          <cell r="C80">
            <v>0</v>
          </cell>
          <cell r="D80">
            <v>629250</v>
          </cell>
          <cell r="E80">
            <v>1029000</v>
          </cell>
          <cell r="F80">
            <v>0</v>
          </cell>
          <cell r="G80">
            <v>397000</v>
          </cell>
          <cell r="H80">
            <v>588000</v>
          </cell>
          <cell r="I80">
            <v>2643250</v>
          </cell>
          <cell r="J80">
            <v>0</v>
          </cell>
          <cell r="K80">
            <v>629250</v>
          </cell>
          <cell r="L80">
            <v>1029000</v>
          </cell>
          <cell r="M80">
            <v>0</v>
          </cell>
          <cell r="N80">
            <v>397000</v>
          </cell>
          <cell r="O80">
            <v>588000</v>
          </cell>
          <cell r="P80">
            <v>2643250</v>
          </cell>
        </row>
        <row r="81">
          <cell r="A81">
            <v>23</v>
          </cell>
          <cell r="B81" t="str">
            <v>おゆみ野保育園</v>
          </cell>
          <cell r="C81">
            <v>0</v>
          </cell>
          <cell r="D81">
            <v>629250</v>
          </cell>
          <cell r="E81">
            <v>1029000</v>
          </cell>
          <cell r="F81">
            <v>116750</v>
          </cell>
          <cell r="G81">
            <v>397000</v>
          </cell>
          <cell r="H81">
            <v>588000</v>
          </cell>
          <cell r="I81">
            <v>2760000</v>
          </cell>
          <cell r="J81">
            <v>0</v>
          </cell>
          <cell r="K81">
            <v>629250</v>
          </cell>
          <cell r="L81">
            <v>1029000</v>
          </cell>
          <cell r="M81">
            <v>116750</v>
          </cell>
          <cell r="N81">
            <v>397000</v>
          </cell>
          <cell r="O81">
            <v>588000</v>
          </cell>
          <cell r="P81">
            <v>2760000</v>
          </cell>
        </row>
        <row r="82">
          <cell r="A82">
            <v>24</v>
          </cell>
          <cell r="B82" t="str">
            <v>ナーセリー鏡戸</v>
          </cell>
          <cell r="C82">
            <v>233750</v>
          </cell>
          <cell r="D82">
            <v>629250</v>
          </cell>
          <cell r="E82">
            <v>1029000</v>
          </cell>
          <cell r="F82">
            <v>116750</v>
          </cell>
          <cell r="G82">
            <v>397000</v>
          </cell>
          <cell r="H82">
            <v>0</v>
          </cell>
          <cell r="I82">
            <v>2405750</v>
          </cell>
          <cell r="J82">
            <v>233750</v>
          </cell>
          <cell r="K82">
            <v>629250</v>
          </cell>
          <cell r="L82">
            <v>1029000</v>
          </cell>
          <cell r="M82">
            <v>116750</v>
          </cell>
          <cell r="N82">
            <v>397000</v>
          </cell>
          <cell r="O82">
            <v>0</v>
          </cell>
          <cell r="P82">
            <v>2405750</v>
          </cell>
        </row>
        <row r="83">
          <cell r="A83">
            <v>25</v>
          </cell>
          <cell r="B83" t="str">
            <v>打瀬保育園</v>
          </cell>
          <cell r="C83">
            <v>0</v>
          </cell>
          <cell r="D83">
            <v>629250</v>
          </cell>
          <cell r="E83">
            <v>1029000</v>
          </cell>
          <cell r="F83">
            <v>116750</v>
          </cell>
          <cell r="G83">
            <v>397000</v>
          </cell>
          <cell r="H83">
            <v>0</v>
          </cell>
          <cell r="I83">
            <v>2172000</v>
          </cell>
          <cell r="J83">
            <v>0</v>
          </cell>
          <cell r="K83">
            <v>629250</v>
          </cell>
          <cell r="L83">
            <v>1029000</v>
          </cell>
          <cell r="M83">
            <v>116750</v>
          </cell>
          <cell r="N83">
            <v>397000</v>
          </cell>
          <cell r="O83">
            <v>0</v>
          </cell>
          <cell r="P83">
            <v>2172000</v>
          </cell>
        </row>
        <row r="84">
          <cell r="A84">
            <v>26</v>
          </cell>
          <cell r="B84" t="str">
            <v>ふたば保育園</v>
          </cell>
          <cell r="C84">
            <v>0</v>
          </cell>
          <cell r="D84">
            <v>629250</v>
          </cell>
          <cell r="E84">
            <v>1029000</v>
          </cell>
          <cell r="F84">
            <v>116750</v>
          </cell>
          <cell r="G84">
            <v>397000</v>
          </cell>
          <cell r="H84">
            <v>1176000</v>
          </cell>
          <cell r="I84">
            <v>3348000</v>
          </cell>
          <cell r="J84">
            <v>0</v>
          </cell>
          <cell r="K84">
            <v>629250</v>
          </cell>
          <cell r="L84">
            <v>1029000</v>
          </cell>
          <cell r="M84">
            <v>116750</v>
          </cell>
          <cell r="N84">
            <v>397000</v>
          </cell>
          <cell r="O84">
            <v>1176000</v>
          </cell>
          <cell r="P84">
            <v>3348000</v>
          </cell>
        </row>
        <row r="85">
          <cell r="A85">
            <v>27</v>
          </cell>
          <cell r="B85" t="str">
            <v>明和輝保育園</v>
          </cell>
          <cell r="C85">
            <v>233750</v>
          </cell>
          <cell r="D85">
            <v>629250</v>
          </cell>
          <cell r="E85">
            <v>1029000</v>
          </cell>
          <cell r="F85">
            <v>0</v>
          </cell>
          <cell r="G85">
            <v>397000</v>
          </cell>
          <cell r="H85">
            <v>588000</v>
          </cell>
          <cell r="I85">
            <v>2877000</v>
          </cell>
          <cell r="J85">
            <v>233750</v>
          </cell>
          <cell r="K85">
            <v>629250</v>
          </cell>
          <cell r="L85">
            <v>1029000</v>
          </cell>
          <cell r="M85">
            <v>0</v>
          </cell>
          <cell r="N85">
            <v>397000</v>
          </cell>
          <cell r="O85">
            <v>588000</v>
          </cell>
          <cell r="P85">
            <v>2877000</v>
          </cell>
        </row>
        <row r="86">
          <cell r="A86">
            <v>28</v>
          </cell>
          <cell r="B86" t="str">
            <v>山王保育園</v>
          </cell>
          <cell r="C86">
            <v>0</v>
          </cell>
          <cell r="D86">
            <v>629250</v>
          </cell>
          <cell r="E86">
            <v>1029000</v>
          </cell>
          <cell r="F86">
            <v>116750</v>
          </cell>
          <cell r="G86">
            <v>397000</v>
          </cell>
          <cell r="H86">
            <v>0</v>
          </cell>
          <cell r="I86">
            <v>2172000</v>
          </cell>
          <cell r="J86">
            <v>0</v>
          </cell>
          <cell r="K86">
            <v>629250</v>
          </cell>
          <cell r="L86">
            <v>1029000</v>
          </cell>
          <cell r="M86">
            <v>116750</v>
          </cell>
          <cell r="N86">
            <v>397000</v>
          </cell>
          <cell r="O86">
            <v>0</v>
          </cell>
          <cell r="P86">
            <v>2172000</v>
          </cell>
        </row>
        <row r="87">
          <cell r="A87">
            <v>29</v>
          </cell>
          <cell r="B87" t="str">
            <v>チャイルド・ガーデン保育園</v>
          </cell>
          <cell r="C87">
            <v>0</v>
          </cell>
          <cell r="D87">
            <v>629250</v>
          </cell>
          <cell r="E87">
            <v>1029000</v>
          </cell>
          <cell r="F87">
            <v>0</v>
          </cell>
          <cell r="G87">
            <v>397000</v>
          </cell>
          <cell r="H87">
            <v>0</v>
          </cell>
          <cell r="I87">
            <v>2055250</v>
          </cell>
          <cell r="J87">
            <v>0</v>
          </cell>
          <cell r="K87">
            <v>629250</v>
          </cell>
          <cell r="L87">
            <v>1029000</v>
          </cell>
          <cell r="M87">
            <v>0</v>
          </cell>
          <cell r="N87">
            <v>397000</v>
          </cell>
          <cell r="O87">
            <v>0</v>
          </cell>
          <cell r="P87">
            <v>2055250</v>
          </cell>
        </row>
        <row r="88">
          <cell r="A88">
            <v>30</v>
          </cell>
          <cell r="B88" t="str">
            <v>明徳土気保育園</v>
          </cell>
          <cell r="C88">
            <v>0</v>
          </cell>
          <cell r="D88">
            <v>629250</v>
          </cell>
          <cell r="E88">
            <v>1029000</v>
          </cell>
          <cell r="F88">
            <v>116750</v>
          </cell>
          <cell r="G88">
            <v>397000</v>
          </cell>
          <cell r="H88">
            <v>1176000</v>
          </cell>
          <cell r="I88">
            <v>3348000</v>
          </cell>
          <cell r="J88">
            <v>0</v>
          </cell>
          <cell r="K88">
            <v>629250</v>
          </cell>
          <cell r="L88">
            <v>1029000</v>
          </cell>
          <cell r="M88">
            <v>116750</v>
          </cell>
          <cell r="N88">
            <v>397000</v>
          </cell>
          <cell r="O88">
            <v>1176000</v>
          </cell>
          <cell r="P88">
            <v>3348000</v>
          </cell>
        </row>
        <row r="89">
          <cell r="A89">
            <v>31</v>
          </cell>
          <cell r="B89" t="str">
            <v>グレース保育園</v>
          </cell>
          <cell r="C89">
            <v>0</v>
          </cell>
          <cell r="D89">
            <v>629250</v>
          </cell>
          <cell r="E89">
            <v>1029000</v>
          </cell>
          <cell r="F89">
            <v>0</v>
          </cell>
          <cell r="G89">
            <v>397000</v>
          </cell>
          <cell r="H89">
            <v>588000</v>
          </cell>
          <cell r="I89">
            <v>2643250</v>
          </cell>
          <cell r="J89">
            <v>0</v>
          </cell>
          <cell r="K89">
            <v>629250</v>
          </cell>
          <cell r="L89">
            <v>1029000</v>
          </cell>
          <cell r="M89">
            <v>0</v>
          </cell>
          <cell r="N89">
            <v>397000</v>
          </cell>
          <cell r="O89">
            <v>588000</v>
          </cell>
          <cell r="P89">
            <v>2643250</v>
          </cell>
        </row>
        <row r="90">
          <cell r="A90">
            <v>32</v>
          </cell>
          <cell r="B90" t="str">
            <v>みらい保育園</v>
          </cell>
          <cell r="C90">
            <v>0</v>
          </cell>
          <cell r="D90">
            <v>629250</v>
          </cell>
          <cell r="E90">
            <v>1029000</v>
          </cell>
          <cell r="F90">
            <v>0</v>
          </cell>
          <cell r="G90">
            <v>397000</v>
          </cell>
          <cell r="H90">
            <v>588000</v>
          </cell>
          <cell r="I90">
            <v>2643250</v>
          </cell>
          <cell r="J90">
            <v>0</v>
          </cell>
          <cell r="K90">
            <v>629250</v>
          </cell>
          <cell r="L90">
            <v>1029000</v>
          </cell>
          <cell r="M90">
            <v>0</v>
          </cell>
          <cell r="N90">
            <v>397000</v>
          </cell>
          <cell r="O90">
            <v>588000</v>
          </cell>
          <cell r="P90">
            <v>2643250</v>
          </cell>
        </row>
        <row r="91">
          <cell r="A91">
            <v>33</v>
          </cell>
          <cell r="B91" t="str">
            <v>かまとり保育園</v>
          </cell>
          <cell r="C91">
            <v>0</v>
          </cell>
          <cell r="D91">
            <v>629250</v>
          </cell>
          <cell r="E91">
            <v>1029000</v>
          </cell>
          <cell r="F91">
            <v>0</v>
          </cell>
          <cell r="G91">
            <v>397000</v>
          </cell>
          <cell r="H91">
            <v>588000</v>
          </cell>
          <cell r="I91">
            <v>2643250</v>
          </cell>
          <cell r="J91">
            <v>0</v>
          </cell>
          <cell r="K91">
            <v>629250</v>
          </cell>
          <cell r="L91">
            <v>1029000</v>
          </cell>
          <cell r="M91">
            <v>0</v>
          </cell>
          <cell r="N91">
            <v>397000</v>
          </cell>
          <cell r="O91">
            <v>588000</v>
          </cell>
          <cell r="P91">
            <v>2643250</v>
          </cell>
        </row>
        <row r="92">
          <cell r="A92">
            <v>34</v>
          </cell>
          <cell r="B92" t="str">
            <v>植草弁天保育園</v>
          </cell>
          <cell r="C92">
            <v>233750</v>
          </cell>
          <cell r="D92">
            <v>629250</v>
          </cell>
          <cell r="E92">
            <v>1029000</v>
          </cell>
          <cell r="F92">
            <v>116750</v>
          </cell>
          <cell r="G92">
            <v>397000</v>
          </cell>
          <cell r="H92">
            <v>0</v>
          </cell>
          <cell r="I92">
            <v>2405750</v>
          </cell>
          <cell r="J92">
            <v>233750</v>
          </cell>
          <cell r="K92">
            <v>629250</v>
          </cell>
          <cell r="L92">
            <v>1029000</v>
          </cell>
          <cell r="M92">
            <v>116750</v>
          </cell>
          <cell r="N92">
            <v>397000</v>
          </cell>
          <cell r="O92">
            <v>0</v>
          </cell>
          <cell r="P92">
            <v>2405750</v>
          </cell>
        </row>
        <row r="93">
          <cell r="A93">
            <v>35</v>
          </cell>
          <cell r="B93" t="str">
            <v>ひなたぼっこ保育園</v>
          </cell>
          <cell r="C93">
            <v>0</v>
          </cell>
          <cell r="D93">
            <v>629250</v>
          </cell>
          <cell r="E93">
            <v>1029000</v>
          </cell>
          <cell r="F93">
            <v>116750</v>
          </cell>
          <cell r="G93">
            <v>397000</v>
          </cell>
          <cell r="H93">
            <v>0</v>
          </cell>
          <cell r="I93">
            <v>2172000</v>
          </cell>
          <cell r="J93">
            <v>0</v>
          </cell>
          <cell r="K93">
            <v>629250</v>
          </cell>
          <cell r="L93">
            <v>1029000</v>
          </cell>
          <cell r="M93">
            <v>116750</v>
          </cell>
          <cell r="N93">
            <v>397000</v>
          </cell>
          <cell r="O93">
            <v>0</v>
          </cell>
          <cell r="P93">
            <v>2172000</v>
          </cell>
        </row>
        <row r="94">
          <cell r="A94">
            <v>36</v>
          </cell>
          <cell r="B94" t="str">
            <v>はまかぜ保育園</v>
          </cell>
          <cell r="C94">
            <v>0</v>
          </cell>
          <cell r="D94">
            <v>629250</v>
          </cell>
          <cell r="E94">
            <v>1029000</v>
          </cell>
          <cell r="F94">
            <v>116750</v>
          </cell>
          <cell r="G94">
            <v>397000</v>
          </cell>
          <cell r="H94">
            <v>0</v>
          </cell>
          <cell r="I94">
            <v>2172000</v>
          </cell>
          <cell r="J94">
            <v>0</v>
          </cell>
          <cell r="K94">
            <v>629250</v>
          </cell>
          <cell r="L94">
            <v>1029000</v>
          </cell>
          <cell r="M94">
            <v>116750</v>
          </cell>
          <cell r="N94">
            <v>397000</v>
          </cell>
          <cell r="O94">
            <v>0</v>
          </cell>
          <cell r="P94">
            <v>2172000</v>
          </cell>
        </row>
        <row r="95">
          <cell r="A95">
            <v>37</v>
          </cell>
          <cell r="B95" t="str">
            <v>いなほ保育園</v>
          </cell>
          <cell r="C95">
            <v>0</v>
          </cell>
          <cell r="D95">
            <v>629250</v>
          </cell>
          <cell r="E95">
            <v>1029000</v>
          </cell>
          <cell r="F95">
            <v>116750</v>
          </cell>
          <cell r="G95">
            <v>397000</v>
          </cell>
          <cell r="H95">
            <v>0</v>
          </cell>
          <cell r="I95">
            <v>2172000</v>
          </cell>
          <cell r="J95">
            <v>0</v>
          </cell>
          <cell r="K95">
            <v>629250</v>
          </cell>
          <cell r="L95">
            <v>1029000</v>
          </cell>
          <cell r="M95">
            <v>116750</v>
          </cell>
          <cell r="N95">
            <v>397000</v>
          </cell>
          <cell r="O95">
            <v>0</v>
          </cell>
          <cell r="P95">
            <v>2172000</v>
          </cell>
        </row>
        <row r="96">
          <cell r="A96">
            <v>38</v>
          </cell>
          <cell r="B96" t="str">
            <v>キッズマーム保育園</v>
          </cell>
          <cell r="C96">
            <v>0</v>
          </cell>
          <cell r="D96">
            <v>629250</v>
          </cell>
          <cell r="E96">
            <v>1029000</v>
          </cell>
          <cell r="F96">
            <v>0</v>
          </cell>
          <cell r="G96">
            <v>397000</v>
          </cell>
          <cell r="H96">
            <v>588000</v>
          </cell>
          <cell r="I96">
            <v>2643250</v>
          </cell>
          <cell r="J96">
            <v>0</v>
          </cell>
          <cell r="K96">
            <v>629250</v>
          </cell>
          <cell r="L96">
            <v>1029000</v>
          </cell>
          <cell r="M96">
            <v>0</v>
          </cell>
          <cell r="N96">
            <v>397000</v>
          </cell>
          <cell r="O96">
            <v>588000</v>
          </cell>
          <cell r="P96">
            <v>2643250</v>
          </cell>
        </row>
        <row r="97">
          <cell r="A97">
            <v>39</v>
          </cell>
          <cell r="B97" t="str">
            <v>アスク海浜幕張保育園</v>
          </cell>
          <cell r="C97">
            <v>0</v>
          </cell>
          <cell r="D97">
            <v>629250</v>
          </cell>
          <cell r="E97">
            <v>1029000</v>
          </cell>
          <cell r="F97">
            <v>116750</v>
          </cell>
          <cell r="G97">
            <v>0</v>
          </cell>
          <cell r="H97">
            <v>0</v>
          </cell>
          <cell r="I97">
            <v>1775000</v>
          </cell>
          <cell r="J97">
            <v>0</v>
          </cell>
          <cell r="K97">
            <v>629250</v>
          </cell>
          <cell r="L97">
            <v>1029000</v>
          </cell>
          <cell r="M97">
            <v>116750</v>
          </cell>
          <cell r="N97">
            <v>0</v>
          </cell>
          <cell r="O97">
            <v>0</v>
          </cell>
          <cell r="P97">
            <v>1775000</v>
          </cell>
        </row>
        <row r="98">
          <cell r="A98">
            <v>40</v>
          </cell>
          <cell r="B98" t="str">
            <v>明徳浜野駅保育園</v>
          </cell>
          <cell r="C98">
            <v>0</v>
          </cell>
          <cell r="D98">
            <v>629250</v>
          </cell>
          <cell r="E98">
            <v>1029000</v>
          </cell>
          <cell r="F98">
            <v>0</v>
          </cell>
          <cell r="G98">
            <v>397000</v>
          </cell>
          <cell r="H98">
            <v>0</v>
          </cell>
          <cell r="I98">
            <v>2055250</v>
          </cell>
          <cell r="J98">
            <v>0</v>
          </cell>
          <cell r="K98">
            <v>629250</v>
          </cell>
          <cell r="L98">
            <v>1029000</v>
          </cell>
          <cell r="M98">
            <v>0</v>
          </cell>
          <cell r="N98">
            <v>397000</v>
          </cell>
          <cell r="O98">
            <v>0</v>
          </cell>
          <cell r="P98">
            <v>2055250</v>
          </cell>
        </row>
        <row r="99">
          <cell r="A99">
            <v>41</v>
          </cell>
          <cell r="B99" t="str">
            <v>幕張いもっこ保育園</v>
          </cell>
          <cell r="C99">
            <v>0</v>
          </cell>
          <cell r="D99">
            <v>629250</v>
          </cell>
          <cell r="E99">
            <v>1029000</v>
          </cell>
          <cell r="F99">
            <v>116750</v>
          </cell>
          <cell r="G99">
            <v>280500</v>
          </cell>
          <cell r="H99">
            <v>0</v>
          </cell>
          <cell r="I99">
            <v>2055500</v>
          </cell>
          <cell r="J99">
            <v>0</v>
          </cell>
          <cell r="K99">
            <v>629250</v>
          </cell>
          <cell r="L99">
            <v>1029000</v>
          </cell>
          <cell r="M99">
            <v>116750</v>
          </cell>
          <cell r="N99">
            <v>280500</v>
          </cell>
          <cell r="O99">
            <v>0</v>
          </cell>
          <cell r="P99">
            <v>2055500</v>
          </cell>
        </row>
        <row r="100">
          <cell r="A100">
            <v>42</v>
          </cell>
          <cell r="B100" t="str">
            <v>稲毛すきっぷ保育園</v>
          </cell>
          <cell r="C100">
            <v>0</v>
          </cell>
          <cell r="D100">
            <v>629250</v>
          </cell>
          <cell r="E100">
            <v>1029000</v>
          </cell>
          <cell r="F100">
            <v>116750</v>
          </cell>
          <cell r="G100">
            <v>0</v>
          </cell>
          <cell r="H100">
            <v>0</v>
          </cell>
          <cell r="I100">
            <v>1775000</v>
          </cell>
          <cell r="J100">
            <v>0</v>
          </cell>
          <cell r="K100">
            <v>629250</v>
          </cell>
          <cell r="L100">
            <v>1029000</v>
          </cell>
          <cell r="M100">
            <v>116750</v>
          </cell>
          <cell r="N100">
            <v>0</v>
          </cell>
          <cell r="O100">
            <v>0</v>
          </cell>
          <cell r="P100">
            <v>1775000</v>
          </cell>
        </row>
        <row r="101">
          <cell r="A101">
            <v>43</v>
          </cell>
          <cell r="B101" t="str">
            <v>千葉聖心保育園</v>
          </cell>
          <cell r="C101">
            <v>233750</v>
          </cell>
          <cell r="D101">
            <v>629250</v>
          </cell>
          <cell r="E101">
            <v>1029000</v>
          </cell>
          <cell r="F101">
            <v>0</v>
          </cell>
          <cell r="G101">
            <v>0</v>
          </cell>
          <cell r="H101">
            <v>0</v>
          </cell>
          <cell r="I101">
            <v>1892000</v>
          </cell>
          <cell r="J101">
            <v>233750</v>
          </cell>
          <cell r="K101">
            <v>629250</v>
          </cell>
          <cell r="L101">
            <v>1029000</v>
          </cell>
          <cell r="M101">
            <v>0</v>
          </cell>
          <cell r="N101">
            <v>0</v>
          </cell>
          <cell r="O101">
            <v>0</v>
          </cell>
          <cell r="P101">
            <v>1892000</v>
          </cell>
        </row>
        <row r="102">
          <cell r="A102">
            <v>44</v>
          </cell>
          <cell r="B102" t="str">
            <v>真生保育園</v>
          </cell>
          <cell r="C102">
            <v>0</v>
          </cell>
          <cell r="D102">
            <v>629250</v>
          </cell>
          <cell r="E102">
            <v>1029000</v>
          </cell>
          <cell r="F102">
            <v>116750</v>
          </cell>
          <cell r="G102">
            <v>397000</v>
          </cell>
          <cell r="H102">
            <v>0</v>
          </cell>
          <cell r="I102">
            <v>2172000</v>
          </cell>
          <cell r="J102">
            <v>0</v>
          </cell>
          <cell r="K102">
            <v>629250</v>
          </cell>
          <cell r="L102">
            <v>1029000</v>
          </cell>
          <cell r="M102">
            <v>116750</v>
          </cell>
          <cell r="N102">
            <v>397000</v>
          </cell>
          <cell r="O102">
            <v>0</v>
          </cell>
          <cell r="P102">
            <v>2172000</v>
          </cell>
        </row>
        <row r="103">
          <cell r="A103">
            <v>45</v>
          </cell>
          <cell r="B103" t="str">
            <v>アップルナースリー検見川浜保育園</v>
          </cell>
          <cell r="C103">
            <v>0</v>
          </cell>
          <cell r="D103">
            <v>629250</v>
          </cell>
          <cell r="E103">
            <v>1029000</v>
          </cell>
          <cell r="F103">
            <v>116750</v>
          </cell>
          <cell r="G103">
            <v>397000</v>
          </cell>
          <cell r="H103">
            <v>0</v>
          </cell>
          <cell r="I103">
            <v>2172000</v>
          </cell>
          <cell r="J103">
            <v>0</v>
          </cell>
          <cell r="K103">
            <v>629250</v>
          </cell>
          <cell r="L103">
            <v>1029000</v>
          </cell>
          <cell r="M103">
            <v>116750</v>
          </cell>
          <cell r="N103">
            <v>397000</v>
          </cell>
          <cell r="O103">
            <v>0</v>
          </cell>
          <cell r="P103">
            <v>2172000</v>
          </cell>
        </row>
        <row r="104">
          <cell r="A104">
            <v>46</v>
          </cell>
        </row>
        <row r="105">
          <cell r="A105">
            <v>47</v>
          </cell>
        </row>
        <row r="106">
          <cell r="A106">
            <v>48</v>
          </cell>
        </row>
        <row r="107">
          <cell r="A107">
            <v>49</v>
          </cell>
        </row>
        <row r="108">
          <cell r="A108">
            <v>50</v>
          </cell>
        </row>
        <row r="109">
          <cell r="B109" t="str">
            <v>この行は使わないこと</v>
          </cell>
        </row>
        <row r="110">
          <cell r="B110" t="str">
            <v>計</v>
          </cell>
          <cell r="C110">
            <v>1168750</v>
          </cell>
          <cell r="D110">
            <v>28316250</v>
          </cell>
          <cell r="E110">
            <v>46305000</v>
          </cell>
          <cell r="F110">
            <v>3619250</v>
          </cell>
          <cell r="G110">
            <v>16332250</v>
          </cell>
          <cell r="H110">
            <v>15288000</v>
          </cell>
          <cell r="I110">
            <v>111029500</v>
          </cell>
          <cell r="J110">
            <v>1168750</v>
          </cell>
          <cell r="K110">
            <v>28316250</v>
          </cell>
          <cell r="L110">
            <v>46305000</v>
          </cell>
          <cell r="M110">
            <v>3619250</v>
          </cell>
          <cell r="N110">
            <v>16332250</v>
          </cell>
          <cell r="O110">
            <v>15288000</v>
          </cell>
          <cell r="P110">
            <v>111029500</v>
          </cell>
        </row>
        <row r="114">
          <cell r="A114">
            <v>1</v>
          </cell>
          <cell r="B114" t="str">
            <v>院内保育園</v>
          </cell>
          <cell r="C114">
            <v>0</v>
          </cell>
          <cell r="D114">
            <v>1258500</v>
          </cell>
          <cell r="E114">
            <v>2058000</v>
          </cell>
          <cell r="F114">
            <v>0</v>
          </cell>
          <cell r="G114">
            <v>751000</v>
          </cell>
          <cell r="H114">
            <v>0</v>
          </cell>
          <cell r="I114">
            <v>4067500</v>
          </cell>
          <cell r="J114">
            <v>0</v>
          </cell>
          <cell r="K114">
            <v>629250</v>
          </cell>
          <cell r="L114">
            <v>1029000</v>
          </cell>
          <cell r="M114">
            <v>0</v>
          </cell>
          <cell r="N114">
            <v>375500</v>
          </cell>
          <cell r="O114">
            <v>0</v>
          </cell>
          <cell r="P114">
            <v>2033750</v>
          </cell>
        </row>
        <row r="115">
          <cell r="A115">
            <v>2</v>
          </cell>
          <cell r="B115" t="str">
            <v>旭ケ丘保育園</v>
          </cell>
          <cell r="C115">
            <v>0</v>
          </cell>
          <cell r="D115">
            <v>1258500</v>
          </cell>
          <cell r="E115">
            <v>2058000</v>
          </cell>
          <cell r="F115">
            <v>233500</v>
          </cell>
          <cell r="G115">
            <v>794000</v>
          </cell>
          <cell r="H115">
            <v>1176000</v>
          </cell>
          <cell r="I115">
            <v>5520000</v>
          </cell>
          <cell r="J115">
            <v>0</v>
          </cell>
          <cell r="K115">
            <v>629250</v>
          </cell>
          <cell r="L115">
            <v>1029000</v>
          </cell>
          <cell r="M115">
            <v>116750</v>
          </cell>
          <cell r="N115">
            <v>397000</v>
          </cell>
          <cell r="O115">
            <v>588000</v>
          </cell>
          <cell r="P115">
            <v>2760000</v>
          </cell>
        </row>
        <row r="116">
          <cell r="A116">
            <v>3</v>
          </cell>
          <cell r="B116" t="str">
            <v>稲毛保育園</v>
          </cell>
          <cell r="C116">
            <v>0</v>
          </cell>
          <cell r="D116">
            <v>1258500</v>
          </cell>
          <cell r="E116">
            <v>2058000</v>
          </cell>
          <cell r="F116">
            <v>0</v>
          </cell>
          <cell r="G116">
            <v>794000</v>
          </cell>
          <cell r="H116">
            <v>1176000</v>
          </cell>
          <cell r="I116">
            <v>5286500</v>
          </cell>
          <cell r="J116">
            <v>0</v>
          </cell>
          <cell r="K116">
            <v>629250</v>
          </cell>
          <cell r="L116">
            <v>1029000</v>
          </cell>
          <cell r="M116">
            <v>0</v>
          </cell>
          <cell r="N116">
            <v>397000</v>
          </cell>
          <cell r="O116">
            <v>588000</v>
          </cell>
          <cell r="P116">
            <v>2643250</v>
          </cell>
        </row>
        <row r="117">
          <cell r="A117">
            <v>4</v>
          </cell>
          <cell r="B117" t="str">
            <v>みどり学園附属保育園</v>
          </cell>
          <cell r="C117">
            <v>0</v>
          </cell>
          <cell r="D117">
            <v>1258500</v>
          </cell>
          <cell r="E117">
            <v>2058000</v>
          </cell>
          <cell r="F117">
            <v>0</v>
          </cell>
          <cell r="G117">
            <v>794000</v>
          </cell>
          <cell r="H117">
            <v>0</v>
          </cell>
          <cell r="I117">
            <v>4110500</v>
          </cell>
          <cell r="J117">
            <v>0</v>
          </cell>
          <cell r="K117">
            <v>629250</v>
          </cell>
          <cell r="L117">
            <v>1029000</v>
          </cell>
          <cell r="M117">
            <v>0</v>
          </cell>
          <cell r="N117">
            <v>397000</v>
          </cell>
          <cell r="O117">
            <v>0</v>
          </cell>
          <cell r="P117">
            <v>2055250</v>
          </cell>
        </row>
        <row r="118">
          <cell r="A118">
            <v>5</v>
          </cell>
          <cell r="B118" t="str">
            <v>ちどり保育園</v>
          </cell>
          <cell r="C118">
            <v>0</v>
          </cell>
          <cell r="D118">
            <v>1258500</v>
          </cell>
          <cell r="E118">
            <v>2058000</v>
          </cell>
          <cell r="F118">
            <v>233500</v>
          </cell>
          <cell r="G118">
            <v>792000</v>
          </cell>
          <cell r="H118">
            <v>0</v>
          </cell>
          <cell r="I118">
            <v>4342000</v>
          </cell>
          <cell r="J118">
            <v>0</v>
          </cell>
          <cell r="K118">
            <v>629250</v>
          </cell>
          <cell r="L118">
            <v>1029000</v>
          </cell>
          <cell r="M118">
            <v>116750</v>
          </cell>
          <cell r="N118">
            <v>396000</v>
          </cell>
          <cell r="O118">
            <v>0</v>
          </cell>
          <cell r="P118">
            <v>2171000</v>
          </cell>
        </row>
        <row r="119">
          <cell r="A119">
            <v>6</v>
          </cell>
          <cell r="B119" t="str">
            <v>今井保育園</v>
          </cell>
          <cell r="C119">
            <v>467500</v>
          </cell>
          <cell r="D119">
            <v>1258500</v>
          </cell>
          <cell r="E119">
            <v>2058000</v>
          </cell>
          <cell r="F119">
            <v>233500</v>
          </cell>
          <cell r="G119">
            <v>794000</v>
          </cell>
          <cell r="H119">
            <v>1176000</v>
          </cell>
          <cell r="I119">
            <v>5987500</v>
          </cell>
          <cell r="J119">
            <v>233750</v>
          </cell>
          <cell r="K119">
            <v>629250</v>
          </cell>
          <cell r="L119">
            <v>1029000</v>
          </cell>
          <cell r="M119">
            <v>116750</v>
          </cell>
          <cell r="N119">
            <v>397000</v>
          </cell>
          <cell r="O119">
            <v>588000</v>
          </cell>
          <cell r="P119">
            <v>2993750</v>
          </cell>
        </row>
        <row r="120">
          <cell r="A120">
            <v>7</v>
          </cell>
          <cell r="B120" t="str">
            <v>若竹保育園</v>
          </cell>
          <cell r="C120">
            <v>0</v>
          </cell>
          <cell r="D120">
            <v>1258500</v>
          </cell>
          <cell r="E120">
            <v>2058000</v>
          </cell>
          <cell r="F120">
            <v>233500</v>
          </cell>
          <cell r="G120">
            <v>794000</v>
          </cell>
          <cell r="H120">
            <v>1176000</v>
          </cell>
          <cell r="I120">
            <v>5520000</v>
          </cell>
          <cell r="J120">
            <v>0</v>
          </cell>
          <cell r="K120">
            <v>629250</v>
          </cell>
          <cell r="L120">
            <v>1029000</v>
          </cell>
          <cell r="M120">
            <v>116750</v>
          </cell>
          <cell r="N120">
            <v>397000</v>
          </cell>
          <cell r="O120">
            <v>588000</v>
          </cell>
          <cell r="P120">
            <v>2760000</v>
          </cell>
        </row>
        <row r="121">
          <cell r="A121">
            <v>8</v>
          </cell>
          <cell r="B121" t="str">
            <v>千葉寺保育園</v>
          </cell>
          <cell r="C121">
            <v>0</v>
          </cell>
          <cell r="D121">
            <v>1258500</v>
          </cell>
          <cell r="E121">
            <v>2058000</v>
          </cell>
          <cell r="F121">
            <v>0</v>
          </cell>
          <cell r="G121">
            <v>794000</v>
          </cell>
          <cell r="H121">
            <v>1176000</v>
          </cell>
          <cell r="I121">
            <v>5286500</v>
          </cell>
          <cell r="J121">
            <v>0</v>
          </cell>
          <cell r="K121">
            <v>629250</v>
          </cell>
          <cell r="L121">
            <v>1029000</v>
          </cell>
          <cell r="M121">
            <v>0</v>
          </cell>
          <cell r="N121">
            <v>397000</v>
          </cell>
          <cell r="O121">
            <v>588000</v>
          </cell>
          <cell r="P121">
            <v>2643250</v>
          </cell>
        </row>
        <row r="122">
          <cell r="A122">
            <v>9</v>
          </cell>
          <cell r="B122" t="str">
            <v>慈光保育園</v>
          </cell>
          <cell r="C122">
            <v>0</v>
          </cell>
          <cell r="D122">
            <v>1258500</v>
          </cell>
          <cell r="E122">
            <v>2058000</v>
          </cell>
          <cell r="F122">
            <v>233500</v>
          </cell>
          <cell r="G122">
            <v>794000</v>
          </cell>
          <cell r="H122">
            <v>1176000</v>
          </cell>
          <cell r="I122">
            <v>5520000</v>
          </cell>
          <cell r="J122">
            <v>0</v>
          </cell>
          <cell r="K122">
            <v>629250</v>
          </cell>
          <cell r="L122">
            <v>1029000</v>
          </cell>
          <cell r="M122">
            <v>116750</v>
          </cell>
          <cell r="N122">
            <v>397000</v>
          </cell>
          <cell r="O122">
            <v>588000</v>
          </cell>
          <cell r="P122">
            <v>2760000</v>
          </cell>
        </row>
        <row r="123">
          <cell r="A123">
            <v>10</v>
          </cell>
          <cell r="B123" t="str">
            <v>若梅保育園</v>
          </cell>
          <cell r="C123">
            <v>0</v>
          </cell>
          <cell r="D123">
            <v>1258500</v>
          </cell>
          <cell r="E123">
            <v>2058000</v>
          </cell>
          <cell r="F123">
            <v>233500</v>
          </cell>
          <cell r="G123">
            <v>794000</v>
          </cell>
          <cell r="H123">
            <v>1176000</v>
          </cell>
          <cell r="I123">
            <v>5520000</v>
          </cell>
          <cell r="J123">
            <v>0</v>
          </cell>
          <cell r="K123">
            <v>629250</v>
          </cell>
          <cell r="L123">
            <v>1029000</v>
          </cell>
          <cell r="M123">
            <v>116750</v>
          </cell>
          <cell r="N123">
            <v>397000</v>
          </cell>
          <cell r="O123">
            <v>588000</v>
          </cell>
          <cell r="P123">
            <v>2760000</v>
          </cell>
        </row>
        <row r="124">
          <cell r="A124">
            <v>11</v>
          </cell>
          <cell r="B124" t="str">
            <v>チューリップ保育園</v>
          </cell>
          <cell r="C124">
            <v>0</v>
          </cell>
          <cell r="D124">
            <v>1258500</v>
          </cell>
          <cell r="E124">
            <v>2058000</v>
          </cell>
          <cell r="F124">
            <v>0</v>
          </cell>
          <cell r="G124">
            <v>538500</v>
          </cell>
          <cell r="H124">
            <v>1176000</v>
          </cell>
          <cell r="I124">
            <v>5031000</v>
          </cell>
          <cell r="J124">
            <v>0</v>
          </cell>
          <cell r="K124">
            <v>629250</v>
          </cell>
          <cell r="L124">
            <v>1029000</v>
          </cell>
          <cell r="M124">
            <v>0</v>
          </cell>
          <cell r="N124">
            <v>269250</v>
          </cell>
          <cell r="O124">
            <v>588000</v>
          </cell>
          <cell r="P124">
            <v>2515500</v>
          </cell>
        </row>
        <row r="125">
          <cell r="A125">
            <v>12</v>
          </cell>
          <cell r="B125" t="str">
            <v>幕張海浜保育園</v>
          </cell>
          <cell r="C125">
            <v>0</v>
          </cell>
          <cell r="D125">
            <v>1258500</v>
          </cell>
          <cell r="E125">
            <v>2058000</v>
          </cell>
          <cell r="F125">
            <v>233500</v>
          </cell>
          <cell r="G125">
            <v>794000</v>
          </cell>
          <cell r="H125">
            <v>0</v>
          </cell>
          <cell r="I125">
            <v>4344000</v>
          </cell>
          <cell r="J125">
            <v>0</v>
          </cell>
          <cell r="K125">
            <v>629250</v>
          </cell>
          <cell r="L125">
            <v>1029000</v>
          </cell>
          <cell r="M125">
            <v>116750</v>
          </cell>
          <cell r="N125">
            <v>397000</v>
          </cell>
          <cell r="O125">
            <v>0</v>
          </cell>
          <cell r="P125">
            <v>2172000</v>
          </cell>
        </row>
        <row r="126">
          <cell r="A126">
            <v>13</v>
          </cell>
          <cell r="B126" t="str">
            <v>みつわ台保育園</v>
          </cell>
          <cell r="C126">
            <v>0</v>
          </cell>
          <cell r="D126">
            <v>1258500</v>
          </cell>
          <cell r="E126">
            <v>2058000</v>
          </cell>
          <cell r="F126">
            <v>233500</v>
          </cell>
          <cell r="G126">
            <v>794000</v>
          </cell>
          <cell r="H126">
            <v>3528000</v>
          </cell>
          <cell r="I126">
            <v>7872000</v>
          </cell>
          <cell r="J126">
            <v>0</v>
          </cell>
          <cell r="K126">
            <v>629250</v>
          </cell>
          <cell r="L126">
            <v>1029000</v>
          </cell>
          <cell r="M126">
            <v>116750</v>
          </cell>
          <cell r="N126">
            <v>397000</v>
          </cell>
          <cell r="O126">
            <v>1764000</v>
          </cell>
          <cell r="P126">
            <v>3936000</v>
          </cell>
        </row>
        <row r="127">
          <cell r="A127">
            <v>14</v>
          </cell>
          <cell r="B127" t="str">
            <v>まどか保育園</v>
          </cell>
          <cell r="C127">
            <v>0</v>
          </cell>
          <cell r="D127">
            <v>1258500</v>
          </cell>
          <cell r="E127">
            <v>2058000</v>
          </cell>
          <cell r="F127">
            <v>233500</v>
          </cell>
          <cell r="G127">
            <v>794000</v>
          </cell>
          <cell r="H127">
            <v>0</v>
          </cell>
          <cell r="I127">
            <v>4344000</v>
          </cell>
          <cell r="J127">
            <v>0</v>
          </cell>
          <cell r="K127">
            <v>629250</v>
          </cell>
          <cell r="L127">
            <v>1029000</v>
          </cell>
          <cell r="M127">
            <v>116750</v>
          </cell>
          <cell r="N127">
            <v>397000</v>
          </cell>
          <cell r="O127">
            <v>0</v>
          </cell>
          <cell r="P127">
            <v>2172000</v>
          </cell>
        </row>
        <row r="128">
          <cell r="A128">
            <v>15</v>
          </cell>
          <cell r="B128" t="str">
            <v>わかくさ保育園</v>
          </cell>
          <cell r="C128">
            <v>0</v>
          </cell>
          <cell r="D128">
            <v>1258500</v>
          </cell>
          <cell r="E128">
            <v>2058000</v>
          </cell>
          <cell r="F128">
            <v>233500</v>
          </cell>
          <cell r="G128">
            <v>794000</v>
          </cell>
          <cell r="H128">
            <v>0</v>
          </cell>
          <cell r="I128">
            <v>4344000</v>
          </cell>
          <cell r="J128">
            <v>0</v>
          </cell>
          <cell r="K128">
            <v>629250</v>
          </cell>
          <cell r="L128">
            <v>1029000</v>
          </cell>
          <cell r="M128">
            <v>116750</v>
          </cell>
          <cell r="N128">
            <v>397000</v>
          </cell>
          <cell r="O128">
            <v>0</v>
          </cell>
          <cell r="P128">
            <v>2172000</v>
          </cell>
        </row>
        <row r="129">
          <cell r="A129">
            <v>16</v>
          </cell>
          <cell r="B129" t="str">
            <v>たいよう保育園</v>
          </cell>
          <cell r="C129">
            <v>0</v>
          </cell>
          <cell r="D129">
            <v>1258500</v>
          </cell>
          <cell r="E129">
            <v>2058000</v>
          </cell>
          <cell r="F129">
            <v>233500</v>
          </cell>
          <cell r="G129">
            <v>794000</v>
          </cell>
          <cell r="H129">
            <v>0</v>
          </cell>
          <cell r="I129">
            <v>4344000</v>
          </cell>
          <cell r="J129">
            <v>0</v>
          </cell>
          <cell r="K129">
            <v>629250</v>
          </cell>
          <cell r="L129">
            <v>1029000</v>
          </cell>
          <cell r="M129">
            <v>116750</v>
          </cell>
          <cell r="N129">
            <v>397000</v>
          </cell>
          <cell r="O129">
            <v>0</v>
          </cell>
          <cell r="P129">
            <v>2172000</v>
          </cell>
        </row>
        <row r="130">
          <cell r="A130">
            <v>17</v>
          </cell>
          <cell r="B130" t="str">
            <v>松ケ丘保育園</v>
          </cell>
          <cell r="C130">
            <v>0</v>
          </cell>
          <cell r="D130">
            <v>1258500</v>
          </cell>
          <cell r="E130">
            <v>2058000</v>
          </cell>
          <cell r="F130">
            <v>233500</v>
          </cell>
          <cell r="G130">
            <v>644000</v>
          </cell>
          <cell r="H130">
            <v>1176000</v>
          </cell>
          <cell r="I130">
            <v>5370000</v>
          </cell>
          <cell r="J130">
            <v>0</v>
          </cell>
          <cell r="K130">
            <v>629250</v>
          </cell>
          <cell r="L130">
            <v>1029000</v>
          </cell>
          <cell r="M130">
            <v>116750</v>
          </cell>
          <cell r="N130">
            <v>322000</v>
          </cell>
          <cell r="O130">
            <v>588000</v>
          </cell>
          <cell r="P130">
            <v>2685000</v>
          </cell>
        </row>
        <row r="131">
          <cell r="A131">
            <v>18</v>
          </cell>
          <cell r="B131" t="str">
            <v>作草部保育園</v>
          </cell>
          <cell r="C131">
            <v>0</v>
          </cell>
          <cell r="D131">
            <v>1258500</v>
          </cell>
          <cell r="E131">
            <v>2058000</v>
          </cell>
          <cell r="F131">
            <v>233500</v>
          </cell>
          <cell r="G131">
            <v>794000</v>
          </cell>
          <cell r="H131">
            <v>1176000</v>
          </cell>
          <cell r="I131">
            <v>5520000</v>
          </cell>
          <cell r="J131">
            <v>0</v>
          </cell>
          <cell r="K131">
            <v>629250</v>
          </cell>
          <cell r="L131">
            <v>1029000</v>
          </cell>
          <cell r="M131">
            <v>116750</v>
          </cell>
          <cell r="N131">
            <v>397000</v>
          </cell>
          <cell r="O131">
            <v>588000</v>
          </cell>
          <cell r="P131">
            <v>2760000</v>
          </cell>
        </row>
        <row r="132">
          <cell r="A132">
            <v>19</v>
          </cell>
          <cell r="B132" t="str">
            <v>すずらん保育園</v>
          </cell>
          <cell r="C132">
            <v>0</v>
          </cell>
          <cell r="D132">
            <v>1258500</v>
          </cell>
          <cell r="E132">
            <v>2058000</v>
          </cell>
          <cell r="F132">
            <v>233500</v>
          </cell>
          <cell r="G132">
            <v>794000</v>
          </cell>
          <cell r="H132">
            <v>1176000</v>
          </cell>
          <cell r="I132">
            <v>5520000</v>
          </cell>
          <cell r="J132">
            <v>0</v>
          </cell>
          <cell r="K132">
            <v>629250</v>
          </cell>
          <cell r="L132">
            <v>1029000</v>
          </cell>
          <cell r="M132">
            <v>116750</v>
          </cell>
          <cell r="N132">
            <v>397000</v>
          </cell>
          <cell r="O132">
            <v>588000</v>
          </cell>
          <cell r="P132">
            <v>2760000</v>
          </cell>
        </row>
        <row r="133">
          <cell r="A133">
            <v>20</v>
          </cell>
          <cell r="B133" t="str">
            <v>なぎさ保育園</v>
          </cell>
          <cell r="C133">
            <v>0</v>
          </cell>
          <cell r="D133">
            <v>1258500</v>
          </cell>
          <cell r="E133">
            <v>2058000</v>
          </cell>
          <cell r="F133">
            <v>233500</v>
          </cell>
          <cell r="G133">
            <v>794000</v>
          </cell>
          <cell r="H133">
            <v>0</v>
          </cell>
          <cell r="I133">
            <v>4344000</v>
          </cell>
          <cell r="J133">
            <v>0</v>
          </cell>
          <cell r="K133">
            <v>629250</v>
          </cell>
          <cell r="L133">
            <v>1029000</v>
          </cell>
          <cell r="M133">
            <v>116750</v>
          </cell>
          <cell r="N133">
            <v>397000</v>
          </cell>
          <cell r="O133">
            <v>0</v>
          </cell>
          <cell r="P133">
            <v>2172000</v>
          </cell>
        </row>
        <row r="134">
          <cell r="A134">
            <v>21</v>
          </cell>
          <cell r="B134" t="str">
            <v>南小中台保育園</v>
          </cell>
          <cell r="C134">
            <v>0</v>
          </cell>
          <cell r="D134">
            <v>1258500</v>
          </cell>
          <cell r="E134">
            <v>2058000</v>
          </cell>
          <cell r="F134">
            <v>233500</v>
          </cell>
          <cell r="G134">
            <v>794000</v>
          </cell>
          <cell r="H134">
            <v>1176000</v>
          </cell>
          <cell r="I134">
            <v>5520000</v>
          </cell>
          <cell r="J134">
            <v>0</v>
          </cell>
          <cell r="K134">
            <v>629250</v>
          </cell>
          <cell r="L134">
            <v>1029000</v>
          </cell>
          <cell r="M134">
            <v>116750</v>
          </cell>
          <cell r="N134">
            <v>397000</v>
          </cell>
          <cell r="O134">
            <v>588000</v>
          </cell>
          <cell r="P134">
            <v>2760000</v>
          </cell>
        </row>
        <row r="135">
          <cell r="A135">
            <v>22</v>
          </cell>
          <cell r="B135" t="str">
            <v>もみじ保育園</v>
          </cell>
          <cell r="C135">
            <v>0</v>
          </cell>
          <cell r="D135">
            <v>1258500</v>
          </cell>
          <cell r="E135">
            <v>2058000</v>
          </cell>
          <cell r="F135">
            <v>0</v>
          </cell>
          <cell r="G135">
            <v>794000</v>
          </cell>
          <cell r="H135">
            <v>1176000</v>
          </cell>
          <cell r="I135">
            <v>5286500</v>
          </cell>
          <cell r="J135">
            <v>0</v>
          </cell>
          <cell r="K135">
            <v>629250</v>
          </cell>
          <cell r="L135">
            <v>1029000</v>
          </cell>
          <cell r="M135">
            <v>0</v>
          </cell>
          <cell r="N135">
            <v>397000</v>
          </cell>
          <cell r="O135">
            <v>588000</v>
          </cell>
          <cell r="P135">
            <v>2643250</v>
          </cell>
        </row>
        <row r="136">
          <cell r="A136">
            <v>23</v>
          </cell>
          <cell r="B136" t="str">
            <v>おゆみ野保育園</v>
          </cell>
          <cell r="C136">
            <v>0</v>
          </cell>
          <cell r="D136">
            <v>1258500</v>
          </cell>
          <cell r="E136">
            <v>2058000</v>
          </cell>
          <cell r="F136">
            <v>233500</v>
          </cell>
          <cell r="G136">
            <v>794000</v>
          </cell>
          <cell r="H136">
            <v>1176000</v>
          </cell>
          <cell r="I136">
            <v>5520000</v>
          </cell>
          <cell r="J136">
            <v>0</v>
          </cell>
          <cell r="K136">
            <v>629250</v>
          </cell>
          <cell r="L136">
            <v>1029000</v>
          </cell>
          <cell r="M136">
            <v>116750</v>
          </cell>
          <cell r="N136">
            <v>397000</v>
          </cell>
          <cell r="O136">
            <v>588000</v>
          </cell>
          <cell r="P136">
            <v>2760000</v>
          </cell>
        </row>
        <row r="137">
          <cell r="A137">
            <v>24</v>
          </cell>
          <cell r="B137" t="str">
            <v>ナーセリー鏡戸</v>
          </cell>
          <cell r="C137">
            <v>467500</v>
          </cell>
          <cell r="D137">
            <v>1258500</v>
          </cell>
          <cell r="E137">
            <v>2058000</v>
          </cell>
          <cell r="F137">
            <v>233500</v>
          </cell>
          <cell r="G137">
            <v>794000</v>
          </cell>
          <cell r="H137">
            <v>0</v>
          </cell>
          <cell r="I137">
            <v>4811500</v>
          </cell>
          <cell r="J137">
            <v>233750</v>
          </cell>
          <cell r="K137">
            <v>629250</v>
          </cell>
          <cell r="L137">
            <v>1029000</v>
          </cell>
          <cell r="M137">
            <v>116750</v>
          </cell>
          <cell r="N137">
            <v>397000</v>
          </cell>
          <cell r="O137">
            <v>0</v>
          </cell>
          <cell r="P137">
            <v>2405750</v>
          </cell>
        </row>
        <row r="138">
          <cell r="A138">
            <v>25</v>
          </cell>
          <cell r="B138" t="str">
            <v>打瀬保育園</v>
          </cell>
          <cell r="C138">
            <v>0</v>
          </cell>
          <cell r="D138">
            <v>1258500</v>
          </cell>
          <cell r="E138">
            <v>2058000</v>
          </cell>
          <cell r="F138">
            <v>233500</v>
          </cell>
          <cell r="G138">
            <v>794000</v>
          </cell>
          <cell r="H138">
            <v>0</v>
          </cell>
          <cell r="I138">
            <v>4344000</v>
          </cell>
          <cell r="J138">
            <v>0</v>
          </cell>
          <cell r="K138">
            <v>629250</v>
          </cell>
          <cell r="L138">
            <v>1029000</v>
          </cell>
          <cell r="M138">
            <v>116750</v>
          </cell>
          <cell r="N138">
            <v>397000</v>
          </cell>
          <cell r="O138">
            <v>0</v>
          </cell>
          <cell r="P138">
            <v>2172000</v>
          </cell>
        </row>
        <row r="139">
          <cell r="A139">
            <v>26</v>
          </cell>
          <cell r="B139" t="str">
            <v>ふたば保育園</v>
          </cell>
          <cell r="C139">
            <v>0</v>
          </cell>
          <cell r="D139">
            <v>1258500</v>
          </cell>
          <cell r="E139">
            <v>2058000</v>
          </cell>
          <cell r="F139">
            <v>233500</v>
          </cell>
          <cell r="G139">
            <v>794000</v>
          </cell>
          <cell r="H139">
            <v>2352000</v>
          </cell>
          <cell r="I139">
            <v>6696000</v>
          </cell>
          <cell r="J139">
            <v>0</v>
          </cell>
          <cell r="K139">
            <v>629250</v>
          </cell>
          <cell r="L139">
            <v>1029000</v>
          </cell>
          <cell r="M139">
            <v>116750</v>
          </cell>
          <cell r="N139">
            <v>397000</v>
          </cell>
          <cell r="O139">
            <v>1176000</v>
          </cell>
          <cell r="P139">
            <v>3348000</v>
          </cell>
        </row>
        <row r="140">
          <cell r="A140">
            <v>27</v>
          </cell>
          <cell r="B140" t="str">
            <v>明和輝保育園</v>
          </cell>
          <cell r="C140">
            <v>467500</v>
          </cell>
          <cell r="D140">
            <v>1258500</v>
          </cell>
          <cell r="E140">
            <v>2058000</v>
          </cell>
          <cell r="F140">
            <v>0</v>
          </cell>
          <cell r="G140">
            <v>794000</v>
          </cell>
          <cell r="H140">
            <v>1176000</v>
          </cell>
          <cell r="I140">
            <v>5754000</v>
          </cell>
          <cell r="J140">
            <v>233750</v>
          </cell>
          <cell r="K140">
            <v>629250</v>
          </cell>
          <cell r="L140">
            <v>1029000</v>
          </cell>
          <cell r="M140">
            <v>0</v>
          </cell>
          <cell r="N140">
            <v>397000</v>
          </cell>
          <cell r="O140">
            <v>588000</v>
          </cell>
          <cell r="P140">
            <v>2877000</v>
          </cell>
        </row>
        <row r="141">
          <cell r="A141">
            <v>28</v>
          </cell>
          <cell r="B141" t="str">
            <v>山王保育園</v>
          </cell>
          <cell r="C141">
            <v>0</v>
          </cell>
          <cell r="D141">
            <v>1258500</v>
          </cell>
          <cell r="E141">
            <v>2058000</v>
          </cell>
          <cell r="F141">
            <v>233500</v>
          </cell>
          <cell r="G141">
            <v>794000</v>
          </cell>
          <cell r="H141">
            <v>0</v>
          </cell>
          <cell r="I141">
            <v>4344000</v>
          </cell>
          <cell r="J141">
            <v>0</v>
          </cell>
          <cell r="K141">
            <v>629250</v>
          </cell>
          <cell r="L141">
            <v>1029000</v>
          </cell>
          <cell r="M141">
            <v>116750</v>
          </cell>
          <cell r="N141">
            <v>397000</v>
          </cell>
          <cell r="O141">
            <v>0</v>
          </cell>
          <cell r="P141">
            <v>2172000</v>
          </cell>
        </row>
        <row r="142">
          <cell r="A142">
            <v>29</v>
          </cell>
          <cell r="B142" t="str">
            <v>チャイルド・ガーデン保育園</v>
          </cell>
          <cell r="C142">
            <v>0</v>
          </cell>
          <cell r="D142">
            <v>1258500</v>
          </cell>
          <cell r="E142">
            <v>2058000</v>
          </cell>
          <cell r="F142">
            <v>0</v>
          </cell>
          <cell r="G142">
            <v>794000</v>
          </cell>
          <cell r="H142">
            <v>0</v>
          </cell>
          <cell r="I142">
            <v>4110500</v>
          </cell>
          <cell r="J142">
            <v>0</v>
          </cell>
          <cell r="K142">
            <v>629250</v>
          </cell>
          <cell r="L142">
            <v>1029000</v>
          </cell>
          <cell r="M142">
            <v>0</v>
          </cell>
          <cell r="N142">
            <v>397000</v>
          </cell>
          <cell r="O142">
            <v>0</v>
          </cell>
          <cell r="P142">
            <v>2055250</v>
          </cell>
        </row>
        <row r="143">
          <cell r="A143">
            <v>30</v>
          </cell>
          <cell r="B143" t="str">
            <v>明徳土気保育園</v>
          </cell>
          <cell r="C143">
            <v>0</v>
          </cell>
          <cell r="D143">
            <v>1258500</v>
          </cell>
          <cell r="E143">
            <v>2058000</v>
          </cell>
          <cell r="F143">
            <v>233500</v>
          </cell>
          <cell r="G143">
            <v>794000</v>
          </cell>
          <cell r="H143">
            <v>2352000</v>
          </cell>
          <cell r="I143">
            <v>6696000</v>
          </cell>
          <cell r="J143">
            <v>0</v>
          </cell>
          <cell r="K143">
            <v>629250</v>
          </cell>
          <cell r="L143">
            <v>1029000</v>
          </cell>
          <cell r="M143">
            <v>116750</v>
          </cell>
          <cell r="N143">
            <v>397000</v>
          </cell>
          <cell r="O143">
            <v>1176000</v>
          </cell>
          <cell r="P143">
            <v>3348000</v>
          </cell>
        </row>
        <row r="144">
          <cell r="A144">
            <v>31</v>
          </cell>
          <cell r="B144" t="str">
            <v>グレース保育園</v>
          </cell>
          <cell r="C144">
            <v>0</v>
          </cell>
          <cell r="D144">
            <v>1258500</v>
          </cell>
          <cell r="E144">
            <v>2058000</v>
          </cell>
          <cell r="F144">
            <v>0</v>
          </cell>
          <cell r="G144">
            <v>794000</v>
          </cell>
          <cell r="H144">
            <v>1176000</v>
          </cell>
          <cell r="I144">
            <v>5286500</v>
          </cell>
          <cell r="J144">
            <v>0</v>
          </cell>
          <cell r="K144">
            <v>629250</v>
          </cell>
          <cell r="L144">
            <v>1029000</v>
          </cell>
          <cell r="M144">
            <v>0</v>
          </cell>
          <cell r="N144">
            <v>397000</v>
          </cell>
          <cell r="O144">
            <v>588000</v>
          </cell>
          <cell r="P144">
            <v>2643250</v>
          </cell>
        </row>
        <row r="145">
          <cell r="A145">
            <v>32</v>
          </cell>
          <cell r="B145" t="str">
            <v>みらい保育園</v>
          </cell>
          <cell r="C145">
            <v>0</v>
          </cell>
          <cell r="D145">
            <v>1258500</v>
          </cell>
          <cell r="E145">
            <v>2058000</v>
          </cell>
          <cell r="F145">
            <v>0</v>
          </cell>
          <cell r="G145">
            <v>794000</v>
          </cell>
          <cell r="H145">
            <v>1176000</v>
          </cell>
          <cell r="I145">
            <v>5286500</v>
          </cell>
          <cell r="J145">
            <v>0</v>
          </cell>
          <cell r="K145">
            <v>629250</v>
          </cell>
          <cell r="L145">
            <v>1029000</v>
          </cell>
          <cell r="M145">
            <v>0</v>
          </cell>
          <cell r="N145">
            <v>397000</v>
          </cell>
          <cell r="O145">
            <v>588000</v>
          </cell>
          <cell r="P145">
            <v>2643250</v>
          </cell>
        </row>
        <row r="146">
          <cell r="A146">
            <v>33</v>
          </cell>
          <cell r="B146" t="str">
            <v>かまとり保育園</v>
          </cell>
          <cell r="C146">
            <v>0</v>
          </cell>
          <cell r="D146">
            <v>1258500</v>
          </cell>
          <cell r="E146">
            <v>2058000</v>
          </cell>
          <cell r="F146">
            <v>0</v>
          </cell>
          <cell r="G146">
            <v>794000</v>
          </cell>
          <cell r="H146">
            <v>1176000</v>
          </cell>
          <cell r="I146">
            <v>5286500</v>
          </cell>
          <cell r="J146">
            <v>0</v>
          </cell>
          <cell r="K146">
            <v>629250</v>
          </cell>
          <cell r="L146">
            <v>1029000</v>
          </cell>
          <cell r="M146">
            <v>0</v>
          </cell>
          <cell r="N146">
            <v>397000</v>
          </cell>
          <cell r="O146">
            <v>588000</v>
          </cell>
          <cell r="P146">
            <v>2643250</v>
          </cell>
        </row>
        <row r="147">
          <cell r="A147">
            <v>34</v>
          </cell>
          <cell r="B147" t="str">
            <v>植草弁天保育園</v>
          </cell>
          <cell r="C147">
            <v>467500</v>
          </cell>
          <cell r="D147">
            <v>1258500</v>
          </cell>
          <cell r="E147">
            <v>2058000</v>
          </cell>
          <cell r="F147">
            <v>233500</v>
          </cell>
          <cell r="G147">
            <v>794000</v>
          </cell>
          <cell r="H147">
            <v>0</v>
          </cell>
          <cell r="I147">
            <v>4811500</v>
          </cell>
          <cell r="J147">
            <v>233750</v>
          </cell>
          <cell r="K147">
            <v>629250</v>
          </cell>
          <cell r="L147">
            <v>1029000</v>
          </cell>
          <cell r="M147">
            <v>116750</v>
          </cell>
          <cell r="N147">
            <v>397000</v>
          </cell>
          <cell r="O147">
            <v>0</v>
          </cell>
          <cell r="P147">
            <v>2405750</v>
          </cell>
        </row>
        <row r="148">
          <cell r="A148">
            <v>35</v>
          </cell>
          <cell r="B148" t="str">
            <v>ひなたぼっこ保育園</v>
          </cell>
          <cell r="C148">
            <v>0</v>
          </cell>
          <cell r="D148">
            <v>1258500</v>
          </cell>
          <cell r="E148">
            <v>2058000</v>
          </cell>
          <cell r="F148">
            <v>233500</v>
          </cell>
          <cell r="G148">
            <v>794000</v>
          </cell>
          <cell r="H148">
            <v>0</v>
          </cell>
          <cell r="I148">
            <v>4344000</v>
          </cell>
          <cell r="J148">
            <v>0</v>
          </cell>
          <cell r="K148">
            <v>629250</v>
          </cell>
          <cell r="L148">
            <v>1029000</v>
          </cell>
          <cell r="M148">
            <v>116750</v>
          </cell>
          <cell r="N148">
            <v>397000</v>
          </cell>
          <cell r="O148">
            <v>0</v>
          </cell>
          <cell r="P148">
            <v>2172000</v>
          </cell>
        </row>
        <row r="149">
          <cell r="A149">
            <v>36</v>
          </cell>
          <cell r="B149" t="str">
            <v>はまかぜ保育園</v>
          </cell>
          <cell r="C149">
            <v>0</v>
          </cell>
          <cell r="D149">
            <v>1258500</v>
          </cell>
          <cell r="E149">
            <v>2058000</v>
          </cell>
          <cell r="F149">
            <v>233500</v>
          </cell>
          <cell r="G149">
            <v>794000</v>
          </cell>
          <cell r="H149">
            <v>0</v>
          </cell>
          <cell r="I149">
            <v>4344000</v>
          </cell>
          <cell r="J149">
            <v>0</v>
          </cell>
          <cell r="K149">
            <v>629250</v>
          </cell>
          <cell r="L149">
            <v>1029000</v>
          </cell>
          <cell r="M149">
            <v>116750</v>
          </cell>
          <cell r="N149">
            <v>397000</v>
          </cell>
          <cell r="O149">
            <v>0</v>
          </cell>
          <cell r="P149">
            <v>2172000</v>
          </cell>
        </row>
        <row r="150">
          <cell r="A150">
            <v>37</v>
          </cell>
          <cell r="B150" t="str">
            <v>いなほ保育園</v>
          </cell>
          <cell r="C150">
            <v>0</v>
          </cell>
          <cell r="D150">
            <v>1258500</v>
          </cell>
          <cell r="E150">
            <v>2058000</v>
          </cell>
          <cell r="F150">
            <v>233500</v>
          </cell>
          <cell r="G150">
            <v>794000</v>
          </cell>
          <cell r="H150">
            <v>0</v>
          </cell>
          <cell r="I150">
            <v>4344000</v>
          </cell>
          <cell r="J150">
            <v>0</v>
          </cell>
          <cell r="K150">
            <v>629250</v>
          </cell>
          <cell r="L150">
            <v>1029000</v>
          </cell>
          <cell r="M150">
            <v>116750</v>
          </cell>
          <cell r="N150">
            <v>397000</v>
          </cell>
          <cell r="O150">
            <v>0</v>
          </cell>
          <cell r="P150">
            <v>2172000</v>
          </cell>
        </row>
        <row r="151">
          <cell r="A151">
            <v>38</v>
          </cell>
          <cell r="B151" t="str">
            <v>キッズマーム保育園</v>
          </cell>
          <cell r="C151">
            <v>0</v>
          </cell>
          <cell r="D151">
            <v>1258500</v>
          </cell>
          <cell r="E151">
            <v>2058000</v>
          </cell>
          <cell r="F151">
            <v>0</v>
          </cell>
          <cell r="G151">
            <v>794000</v>
          </cell>
          <cell r="H151">
            <v>1176000</v>
          </cell>
          <cell r="I151">
            <v>5286500</v>
          </cell>
          <cell r="J151">
            <v>0</v>
          </cell>
          <cell r="K151">
            <v>629250</v>
          </cell>
          <cell r="L151">
            <v>1029000</v>
          </cell>
          <cell r="M151">
            <v>0</v>
          </cell>
          <cell r="N151">
            <v>397000</v>
          </cell>
          <cell r="O151">
            <v>588000</v>
          </cell>
          <cell r="P151">
            <v>2643250</v>
          </cell>
        </row>
        <row r="152">
          <cell r="A152">
            <v>39</v>
          </cell>
          <cell r="B152" t="str">
            <v>アスク海浜幕張保育園</v>
          </cell>
          <cell r="C152">
            <v>0</v>
          </cell>
          <cell r="D152">
            <v>1258500</v>
          </cell>
          <cell r="E152">
            <v>2058000</v>
          </cell>
          <cell r="F152">
            <v>233500</v>
          </cell>
          <cell r="G152">
            <v>0</v>
          </cell>
          <cell r="H152">
            <v>0</v>
          </cell>
          <cell r="I152">
            <v>3550000</v>
          </cell>
          <cell r="J152">
            <v>0</v>
          </cell>
          <cell r="K152">
            <v>629250</v>
          </cell>
          <cell r="L152">
            <v>1029000</v>
          </cell>
          <cell r="M152">
            <v>116750</v>
          </cell>
          <cell r="N152">
            <v>0</v>
          </cell>
          <cell r="O152">
            <v>0</v>
          </cell>
          <cell r="P152">
            <v>1775000</v>
          </cell>
        </row>
        <row r="153">
          <cell r="A153">
            <v>40</v>
          </cell>
          <cell r="B153" t="str">
            <v>明徳浜野駅保育園</v>
          </cell>
          <cell r="C153">
            <v>0</v>
          </cell>
          <cell r="D153">
            <v>1258500</v>
          </cell>
          <cell r="E153">
            <v>2058000</v>
          </cell>
          <cell r="F153">
            <v>0</v>
          </cell>
          <cell r="G153">
            <v>794000</v>
          </cell>
          <cell r="H153">
            <v>0</v>
          </cell>
          <cell r="I153">
            <v>4110500</v>
          </cell>
          <cell r="J153">
            <v>0</v>
          </cell>
          <cell r="K153">
            <v>629250</v>
          </cell>
          <cell r="L153">
            <v>1029000</v>
          </cell>
          <cell r="M153">
            <v>0</v>
          </cell>
          <cell r="N153">
            <v>397000</v>
          </cell>
          <cell r="O153">
            <v>0</v>
          </cell>
          <cell r="P153">
            <v>2055250</v>
          </cell>
        </row>
        <row r="154">
          <cell r="A154">
            <v>41</v>
          </cell>
          <cell r="B154" t="str">
            <v>幕張いもっこ保育園</v>
          </cell>
          <cell r="C154">
            <v>0</v>
          </cell>
          <cell r="D154">
            <v>1258500</v>
          </cell>
          <cell r="E154">
            <v>2058000</v>
          </cell>
          <cell r="F154">
            <v>233500</v>
          </cell>
          <cell r="G154">
            <v>561000</v>
          </cell>
          <cell r="H154">
            <v>0</v>
          </cell>
          <cell r="I154">
            <v>4111000</v>
          </cell>
          <cell r="J154">
            <v>0</v>
          </cell>
          <cell r="K154">
            <v>629250</v>
          </cell>
          <cell r="L154">
            <v>1029000</v>
          </cell>
          <cell r="M154">
            <v>116750</v>
          </cell>
          <cell r="N154">
            <v>280500</v>
          </cell>
          <cell r="O154">
            <v>0</v>
          </cell>
          <cell r="P154">
            <v>2055500</v>
          </cell>
        </row>
        <row r="155">
          <cell r="A155">
            <v>42</v>
          </cell>
          <cell r="B155" t="str">
            <v>稲毛すきっぷ保育園</v>
          </cell>
          <cell r="C155">
            <v>0</v>
          </cell>
          <cell r="D155">
            <v>1258500</v>
          </cell>
          <cell r="E155">
            <v>2058000</v>
          </cell>
          <cell r="F155">
            <v>233500</v>
          </cell>
          <cell r="G155">
            <v>0</v>
          </cell>
          <cell r="H155">
            <v>0</v>
          </cell>
          <cell r="I155">
            <v>3550000</v>
          </cell>
          <cell r="J155">
            <v>0</v>
          </cell>
          <cell r="K155">
            <v>629250</v>
          </cell>
          <cell r="L155">
            <v>1029000</v>
          </cell>
          <cell r="M155">
            <v>116750</v>
          </cell>
          <cell r="N155">
            <v>0</v>
          </cell>
          <cell r="O155">
            <v>0</v>
          </cell>
          <cell r="P155">
            <v>1775000</v>
          </cell>
        </row>
        <row r="156">
          <cell r="A156">
            <v>43</v>
          </cell>
          <cell r="B156" t="str">
            <v>千葉聖心保育園</v>
          </cell>
          <cell r="C156">
            <v>467500</v>
          </cell>
          <cell r="D156">
            <v>1258500</v>
          </cell>
          <cell r="E156">
            <v>2058000</v>
          </cell>
          <cell r="F156">
            <v>0</v>
          </cell>
          <cell r="G156">
            <v>0</v>
          </cell>
          <cell r="H156">
            <v>0</v>
          </cell>
          <cell r="I156">
            <v>3784000</v>
          </cell>
          <cell r="J156">
            <v>233750</v>
          </cell>
          <cell r="K156">
            <v>629250</v>
          </cell>
          <cell r="L156">
            <v>1029000</v>
          </cell>
          <cell r="M156">
            <v>0</v>
          </cell>
          <cell r="N156">
            <v>0</v>
          </cell>
          <cell r="O156">
            <v>0</v>
          </cell>
          <cell r="P156">
            <v>1892000</v>
          </cell>
        </row>
        <row r="157">
          <cell r="A157">
            <v>44</v>
          </cell>
          <cell r="B157" t="str">
            <v>真生保育園</v>
          </cell>
          <cell r="C157">
            <v>0</v>
          </cell>
          <cell r="D157">
            <v>1258500</v>
          </cell>
          <cell r="E157">
            <v>2058000</v>
          </cell>
          <cell r="F157">
            <v>233500</v>
          </cell>
          <cell r="G157">
            <v>794000</v>
          </cell>
          <cell r="H157">
            <v>0</v>
          </cell>
          <cell r="I157">
            <v>4344000</v>
          </cell>
          <cell r="J157">
            <v>0</v>
          </cell>
          <cell r="K157">
            <v>629250</v>
          </cell>
          <cell r="L157">
            <v>1029000</v>
          </cell>
          <cell r="M157">
            <v>116750</v>
          </cell>
          <cell r="N157">
            <v>397000</v>
          </cell>
          <cell r="O157">
            <v>0</v>
          </cell>
          <cell r="P157">
            <v>2172000</v>
          </cell>
        </row>
        <row r="158">
          <cell r="A158">
            <v>45</v>
          </cell>
          <cell r="B158" t="str">
            <v>アップルナースリー検見川浜保育園</v>
          </cell>
          <cell r="C158">
            <v>0</v>
          </cell>
          <cell r="D158">
            <v>1258500</v>
          </cell>
          <cell r="E158">
            <v>2058000</v>
          </cell>
          <cell r="F158">
            <v>233500</v>
          </cell>
          <cell r="G158">
            <v>794000</v>
          </cell>
          <cell r="H158">
            <v>0</v>
          </cell>
          <cell r="I158">
            <v>4344000</v>
          </cell>
          <cell r="J158">
            <v>0</v>
          </cell>
          <cell r="K158">
            <v>629250</v>
          </cell>
          <cell r="L158">
            <v>1029000</v>
          </cell>
          <cell r="M158">
            <v>116750</v>
          </cell>
          <cell r="N158">
            <v>397000</v>
          </cell>
          <cell r="O158">
            <v>0</v>
          </cell>
          <cell r="P158">
            <v>2172000</v>
          </cell>
        </row>
        <row r="159">
          <cell r="A159">
            <v>46</v>
          </cell>
        </row>
        <row r="160">
          <cell r="A160">
            <v>47</v>
          </cell>
        </row>
        <row r="161">
          <cell r="A161">
            <v>48</v>
          </cell>
        </row>
        <row r="162">
          <cell r="A162">
            <v>49</v>
          </cell>
        </row>
        <row r="163">
          <cell r="A163">
            <v>50</v>
          </cell>
        </row>
        <row r="164">
          <cell r="B164" t="str">
            <v>この行は使わないこと</v>
          </cell>
        </row>
        <row r="165">
          <cell r="B165" t="str">
            <v>計</v>
          </cell>
          <cell r="C165">
            <v>2337500</v>
          </cell>
          <cell r="D165">
            <v>56632500</v>
          </cell>
          <cell r="E165">
            <v>92610000</v>
          </cell>
          <cell r="F165">
            <v>7238500</v>
          </cell>
          <cell r="G165">
            <v>32664500</v>
          </cell>
          <cell r="H165">
            <v>30576000</v>
          </cell>
          <cell r="I165">
            <v>222059000</v>
          </cell>
          <cell r="J165">
            <v>1168750</v>
          </cell>
          <cell r="K165">
            <v>28316250</v>
          </cell>
          <cell r="L165">
            <v>46305000</v>
          </cell>
          <cell r="M165">
            <v>3619250</v>
          </cell>
          <cell r="N165">
            <v>16332250</v>
          </cell>
          <cell r="O165">
            <v>15288000</v>
          </cell>
          <cell r="P165">
            <v>111029500</v>
          </cell>
        </row>
        <row r="166">
          <cell r="B166">
            <v>23</v>
          </cell>
          <cell r="C166" t="str">
            <v>民間保育園保育士等配置基準改善事業補助金差額請求分一覧</v>
          </cell>
        </row>
        <row r="167">
          <cell r="B167" t="str">
            <v xml:space="preserve">保育園名 </v>
          </cell>
          <cell r="C167" t="str">
            <v>第１・２・３四半期既交付額</v>
          </cell>
          <cell r="D167" t="str">
            <v>　　　　　　　　　　　　　　　差額請求</v>
          </cell>
          <cell r="E167" t="str">
            <v>　　　　　　　　　　　　　　　差額請求</v>
          </cell>
          <cell r="F167" t="str">
            <v>　　　　　　　　　　　　　　　差額請求</v>
          </cell>
          <cell r="G167" t="str">
            <v>　　　　　　　　　　　　　　　差額請求</v>
          </cell>
          <cell r="J167" t="str">
            <v>　　　　　　　　　　　　　　　差額請求</v>
          </cell>
        </row>
        <row r="168">
          <cell r="C168" t="str">
            <v>乳児保育</v>
          </cell>
          <cell r="D168" t="str">
            <v>予備保育士</v>
          </cell>
          <cell r="E168" t="str">
            <v>３未保育士</v>
          </cell>
          <cell r="F168" t="str">
            <v>産休明け</v>
          </cell>
          <cell r="G168" t="str">
            <v>調理員等</v>
          </cell>
          <cell r="H168" t="str">
            <v>障害児</v>
          </cell>
          <cell r="I168" t="str">
            <v>合計</v>
          </cell>
          <cell r="J168" t="str">
            <v>乳児保育</v>
          </cell>
          <cell r="K168" t="str">
            <v>予備保育士</v>
          </cell>
          <cell r="L168" t="str">
            <v>３未保育士</v>
          </cell>
          <cell r="M168" t="str">
            <v>産休明け</v>
          </cell>
          <cell r="N168" t="str">
            <v>調理員等</v>
          </cell>
          <cell r="O168" t="str">
            <v>障害児</v>
          </cell>
          <cell r="P168" t="str">
            <v>合計</v>
          </cell>
        </row>
        <row r="169">
          <cell r="A169">
            <v>1</v>
          </cell>
          <cell r="B169" t="str">
            <v>院内保育園</v>
          </cell>
          <cell r="C169">
            <v>0</v>
          </cell>
          <cell r="D169">
            <v>1887750</v>
          </cell>
          <cell r="E169">
            <v>3087000</v>
          </cell>
          <cell r="F169">
            <v>0</v>
          </cell>
          <cell r="G169">
            <v>1126500</v>
          </cell>
          <cell r="H169">
            <v>0</v>
          </cell>
          <cell r="I169">
            <v>6101250</v>
          </cell>
          <cell r="J169">
            <v>935000</v>
          </cell>
          <cell r="K169">
            <v>684250</v>
          </cell>
          <cell r="L169">
            <v>72000</v>
          </cell>
          <cell r="M169">
            <v>0</v>
          </cell>
          <cell r="N169">
            <v>461500</v>
          </cell>
          <cell r="O169">
            <v>0</v>
          </cell>
          <cell r="P169">
            <v>2152750</v>
          </cell>
        </row>
        <row r="170">
          <cell r="A170">
            <v>2</v>
          </cell>
          <cell r="B170" t="str">
            <v>旭ケ丘保育園</v>
          </cell>
          <cell r="C170">
            <v>0</v>
          </cell>
          <cell r="D170">
            <v>1887750</v>
          </cell>
          <cell r="E170">
            <v>3087000</v>
          </cell>
          <cell r="F170">
            <v>350250</v>
          </cell>
          <cell r="G170">
            <v>1191000</v>
          </cell>
          <cell r="H170">
            <v>1764000</v>
          </cell>
          <cell r="I170">
            <v>8280000</v>
          </cell>
          <cell r="J170">
            <v>0</v>
          </cell>
          <cell r="K170">
            <v>684250</v>
          </cell>
          <cell r="L170">
            <v>1125000</v>
          </cell>
          <cell r="M170">
            <v>116750</v>
          </cell>
          <cell r="N170">
            <v>397000</v>
          </cell>
          <cell r="O170">
            <v>588000</v>
          </cell>
          <cell r="P170">
            <v>2911000</v>
          </cell>
        </row>
        <row r="171">
          <cell r="A171">
            <v>3</v>
          </cell>
          <cell r="B171" t="str">
            <v>稲毛保育園</v>
          </cell>
          <cell r="C171">
            <v>0</v>
          </cell>
          <cell r="D171">
            <v>1887750</v>
          </cell>
          <cell r="E171">
            <v>3087000</v>
          </cell>
          <cell r="F171">
            <v>0</v>
          </cell>
          <cell r="G171">
            <v>1191000</v>
          </cell>
          <cell r="H171">
            <v>1764000</v>
          </cell>
          <cell r="I171">
            <v>7929750</v>
          </cell>
          <cell r="J171">
            <v>0</v>
          </cell>
          <cell r="K171">
            <v>469250</v>
          </cell>
          <cell r="L171">
            <v>423000</v>
          </cell>
          <cell r="M171">
            <v>0</v>
          </cell>
          <cell r="N171">
            <v>397000</v>
          </cell>
          <cell r="O171">
            <v>588000</v>
          </cell>
          <cell r="P171">
            <v>1877250</v>
          </cell>
        </row>
        <row r="172">
          <cell r="A172">
            <v>4</v>
          </cell>
          <cell r="B172" t="str">
            <v>みどり学園附属保育園</v>
          </cell>
          <cell r="C172">
            <v>0</v>
          </cell>
          <cell r="D172">
            <v>1887750</v>
          </cell>
          <cell r="E172">
            <v>3087000</v>
          </cell>
          <cell r="F172">
            <v>0</v>
          </cell>
          <cell r="G172">
            <v>1191000</v>
          </cell>
          <cell r="H172">
            <v>0</v>
          </cell>
          <cell r="I172">
            <v>6165750</v>
          </cell>
          <cell r="J172">
            <v>0</v>
          </cell>
          <cell r="K172">
            <v>684250</v>
          </cell>
          <cell r="L172">
            <v>1125000</v>
          </cell>
          <cell r="M172">
            <v>467000</v>
          </cell>
          <cell r="N172">
            <v>397000</v>
          </cell>
          <cell r="O172">
            <v>0</v>
          </cell>
          <cell r="P172">
            <v>2673250</v>
          </cell>
        </row>
        <row r="173">
          <cell r="A173">
            <v>5</v>
          </cell>
          <cell r="B173" t="str">
            <v>ちどり保育園</v>
          </cell>
          <cell r="C173">
            <v>0</v>
          </cell>
          <cell r="D173">
            <v>1887750</v>
          </cell>
          <cell r="E173">
            <v>3087000</v>
          </cell>
          <cell r="F173">
            <v>350250</v>
          </cell>
          <cell r="G173">
            <v>1188000</v>
          </cell>
          <cell r="H173">
            <v>0</v>
          </cell>
          <cell r="I173">
            <v>6513000</v>
          </cell>
          <cell r="J173">
            <v>1870000</v>
          </cell>
          <cell r="K173">
            <v>684250</v>
          </cell>
          <cell r="L173">
            <v>1125000</v>
          </cell>
          <cell r="M173">
            <v>116750</v>
          </cell>
          <cell r="N173">
            <v>400000</v>
          </cell>
          <cell r="O173">
            <v>2352000</v>
          </cell>
          <cell r="P173">
            <v>6548000</v>
          </cell>
        </row>
        <row r="174">
          <cell r="A174">
            <v>6</v>
          </cell>
          <cell r="B174" t="str">
            <v>今井保育園</v>
          </cell>
          <cell r="C174">
            <v>701250</v>
          </cell>
          <cell r="D174">
            <v>1887750</v>
          </cell>
          <cell r="E174">
            <v>3087000</v>
          </cell>
          <cell r="F174">
            <v>350250</v>
          </cell>
          <cell r="G174">
            <v>1191000</v>
          </cell>
          <cell r="H174">
            <v>1764000</v>
          </cell>
          <cell r="I174">
            <v>8981250</v>
          </cell>
          <cell r="J174">
            <v>233750</v>
          </cell>
          <cell r="K174">
            <v>684250</v>
          </cell>
          <cell r="L174">
            <v>1125000</v>
          </cell>
          <cell r="M174">
            <v>116750</v>
          </cell>
          <cell r="N174">
            <v>397000</v>
          </cell>
          <cell r="O174">
            <v>588000</v>
          </cell>
          <cell r="P174">
            <v>3144750</v>
          </cell>
        </row>
        <row r="175">
          <cell r="A175">
            <v>7</v>
          </cell>
          <cell r="B175" t="str">
            <v>若竹保育園</v>
          </cell>
          <cell r="C175">
            <v>0</v>
          </cell>
          <cell r="D175">
            <v>1887750</v>
          </cell>
          <cell r="E175">
            <v>3087000</v>
          </cell>
          <cell r="F175">
            <v>350250</v>
          </cell>
          <cell r="G175">
            <v>1191000</v>
          </cell>
          <cell r="H175">
            <v>1764000</v>
          </cell>
          <cell r="I175">
            <v>8280000</v>
          </cell>
          <cell r="J175">
            <v>935000</v>
          </cell>
          <cell r="K175">
            <v>684250</v>
          </cell>
          <cell r="L175">
            <v>1125000</v>
          </cell>
          <cell r="M175">
            <v>116750</v>
          </cell>
          <cell r="N175">
            <v>397000</v>
          </cell>
          <cell r="O175">
            <v>588000</v>
          </cell>
          <cell r="P175">
            <v>3846000</v>
          </cell>
        </row>
        <row r="176">
          <cell r="A176">
            <v>8</v>
          </cell>
          <cell r="B176" t="str">
            <v>千葉寺保育園</v>
          </cell>
          <cell r="C176">
            <v>0</v>
          </cell>
          <cell r="D176">
            <v>1887750</v>
          </cell>
          <cell r="E176">
            <v>3087000</v>
          </cell>
          <cell r="F176">
            <v>0</v>
          </cell>
          <cell r="G176">
            <v>1191000</v>
          </cell>
          <cell r="H176">
            <v>1764000</v>
          </cell>
          <cell r="I176">
            <v>7929750</v>
          </cell>
          <cell r="J176">
            <v>935000</v>
          </cell>
          <cell r="K176">
            <v>684250</v>
          </cell>
          <cell r="L176">
            <v>1125000</v>
          </cell>
          <cell r="M176">
            <v>467000</v>
          </cell>
          <cell r="N176">
            <v>397000</v>
          </cell>
          <cell r="O176">
            <v>588000</v>
          </cell>
          <cell r="P176">
            <v>4196250</v>
          </cell>
        </row>
        <row r="177">
          <cell r="A177">
            <v>9</v>
          </cell>
          <cell r="B177" t="str">
            <v>慈光保育園</v>
          </cell>
          <cell r="C177">
            <v>0</v>
          </cell>
          <cell r="D177">
            <v>1887750</v>
          </cell>
          <cell r="E177">
            <v>3087000</v>
          </cell>
          <cell r="F177">
            <v>350250</v>
          </cell>
          <cell r="G177">
            <v>1191000</v>
          </cell>
          <cell r="H177">
            <v>1764000</v>
          </cell>
          <cell r="I177">
            <v>8280000</v>
          </cell>
          <cell r="J177">
            <v>0</v>
          </cell>
          <cell r="K177">
            <v>684250</v>
          </cell>
          <cell r="L177">
            <v>1125000</v>
          </cell>
          <cell r="M177">
            <v>116750</v>
          </cell>
          <cell r="N177">
            <v>-297000</v>
          </cell>
          <cell r="O177">
            <v>588000</v>
          </cell>
          <cell r="P177">
            <v>2217000</v>
          </cell>
        </row>
        <row r="178">
          <cell r="A178">
            <v>10</v>
          </cell>
          <cell r="B178" t="str">
            <v>若梅保育園</v>
          </cell>
          <cell r="C178">
            <v>0</v>
          </cell>
          <cell r="D178">
            <v>1887750</v>
          </cell>
          <cell r="E178">
            <v>3087000</v>
          </cell>
          <cell r="F178">
            <v>350250</v>
          </cell>
          <cell r="G178">
            <v>1191000</v>
          </cell>
          <cell r="H178">
            <v>1764000</v>
          </cell>
          <cell r="I178">
            <v>8280000</v>
          </cell>
          <cell r="J178">
            <v>0</v>
          </cell>
          <cell r="K178">
            <v>684250</v>
          </cell>
          <cell r="L178">
            <v>1125000</v>
          </cell>
          <cell r="M178">
            <v>116750</v>
          </cell>
          <cell r="N178">
            <v>397000</v>
          </cell>
          <cell r="O178">
            <v>588000</v>
          </cell>
          <cell r="P178">
            <v>2911000</v>
          </cell>
        </row>
        <row r="179">
          <cell r="A179">
            <v>11</v>
          </cell>
          <cell r="B179" t="str">
            <v>チューリップ保育園</v>
          </cell>
          <cell r="C179">
            <v>0</v>
          </cell>
          <cell r="D179">
            <v>1887750</v>
          </cell>
          <cell r="E179">
            <v>3087000</v>
          </cell>
          <cell r="F179">
            <v>0</v>
          </cell>
          <cell r="G179">
            <v>807750</v>
          </cell>
          <cell r="H179">
            <v>1764000</v>
          </cell>
          <cell r="I179">
            <v>7546500</v>
          </cell>
          <cell r="J179">
            <v>935000</v>
          </cell>
          <cell r="K179">
            <v>684250</v>
          </cell>
          <cell r="L179">
            <v>1125000</v>
          </cell>
          <cell r="M179">
            <v>467000</v>
          </cell>
          <cell r="N179">
            <v>147250</v>
          </cell>
          <cell r="O179">
            <v>588000</v>
          </cell>
          <cell r="P179">
            <v>3946500</v>
          </cell>
        </row>
        <row r="180">
          <cell r="A180">
            <v>12</v>
          </cell>
          <cell r="B180" t="str">
            <v>幕張海浜保育園</v>
          </cell>
          <cell r="C180">
            <v>0</v>
          </cell>
          <cell r="D180">
            <v>1887750</v>
          </cell>
          <cell r="E180">
            <v>3087000</v>
          </cell>
          <cell r="F180">
            <v>350250</v>
          </cell>
          <cell r="G180">
            <v>1191000</v>
          </cell>
          <cell r="H180">
            <v>0</v>
          </cell>
          <cell r="I180">
            <v>6516000</v>
          </cell>
          <cell r="J180">
            <v>0</v>
          </cell>
          <cell r="K180">
            <v>684250</v>
          </cell>
          <cell r="L180">
            <v>1125000</v>
          </cell>
          <cell r="M180">
            <v>116750</v>
          </cell>
          <cell r="N180">
            <v>397000</v>
          </cell>
          <cell r="O180">
            <v>2352000</v>
          </cell>
          <cell r="P180">
            <v>4675000</v>
          </cell>
        </row>
        <row r="181">
          <cell r="A181">
            <v>13</v>
          </cell>
          <cell r="B181" t="str">
            <v>みつわ台保育園</v>
          </cell>
          <cell r="C181">
            <v>0</v>
          </cell>
          <cell r="D181">
            <v>1887750</v>
          </cell>
          <cell r="E181">
            <v>3087000</v>
          </cell>
          <cell r="F181">
            <v>350250</v>
          </cell>
          <cell r="G181">
            <v>1191000</v>
          </cell>
          <cell r="H181">
            <v>5292000</v>
          </cell>
          <cell r="I181">
            <v>11808000</v>
          </cell>
          <cell r="J181">
            <v>0</v>
          </cell>
          <cell r="K181">
            <v>684250</v>
          </cell>
          <cell r="L181">
            <v>1125000</v>
          </cell>
          <cell r="M181">
            <v>116750</v>
          </cell>
          <cell r="N181">
            <v>397000</v>
          </cell>
          <cell r="O181">
            <v>-588000</v>
          </cell>
          <cell r="P181">
            <v>1735000</v>
          </cell>
        </row>
        <row r="182">
          <cell r="A182">
            <v>14</v>
          </cell>
          <cell r="B182" t="str">
            <v>まどか保育園</v>
          </cell>
          <cell r="C182">
            <v>0</v>
          </cell>
          <cell r="D182">
            <v>1887750</v>
          </cell>
          <cell r="E182">
            <v>3087000</v>
          </cell>
          <cell r="F182">
            <v>350250</v>
          </cell>
          <cell r="G182">
            <v>1191000</v>
          </cell>
          <cell r="H182">
            <v>0</v>
          </cell>
          <cell r="I182">
            <v>6516000</v>
          </cell>
          <cell r="J182">
            <v>935000</v>
          </cell>
          <cell r="K182">
            <v>684250</v>
          </cell>
          <cell r="L182">
            <v>1125000</v>
          </cell>
          <cell r="M182">
            <v>116750</v>
          </cell>
          <cell r="N182">
            <v>265000</v>
          </cell>
          <cell r="O182">
            <v>0</v>
          </cell>
          <cell r="P182">
            <v>3126000</v>
          </cell>
        </row>
        <row r="183">
          <cell r="A183">
            <v>15</v>
          </cell>
          <cell r="B183" t="str">
            <v>わかくさ保育園</v>
          </cell>
          <cell r="C183">
            <v>0</v>
          </cell>
          <cell r="D183">
            <v>1887750</v>
          </cell>
          <cell r="E183">
            <v>3087000</v>
          </cell>
          <cell r="F183">
            <v>350250</v>
          </cell>
          <cell r="G183">
            <v>1191000</v>
          </cell>
          <cell r="H183">
            <v>0</v>
          </cell>
          <cell r="I183">
            <v>6516000</v>
          </cell>
          <cell r="J183">
            <v>0</v>
          </cell>
          <cell r="K183">
            <v>684250</v>
          </cell>
          <cell r="L183">
            <v>423000</v>
          </cell>
          <cell r="M183">
            <v>116750</v>
          </cell>
          <cell r="N183">
            <v>-43000</v>
          </cell>
          <cell r="O183">
            <v>0</v>
          </cell>
          <cell r="P183">
            <v>1181000</v>
          </cell>
        </row>
        <row r="184">
          <cell r="A184">
            <v>16</v>
          </cell>
          <cell r="B184" t="str">
            <v>たいよう保育園</v>
          </cell>
          <cell r="C184">
            <v>0</v>
          </cell>
          <cell r="D184">
            <v>1887750</v>
          </cell>
          <cell r="E184">
            <v>3087000</v>
          </cell>
          <cell r="F184">
            <v>350250</v>
          </cell>
          <cell r="G184">
            <v>1191000</v>
          </cell>
          <cell r="H184">
            <v>0</v>
          </cell>
          <cell r="I184">
            <v>6516000</v>
          </cell>
          <cell r="J184">
            <v>935000</v>
          </cell>
          <cell r="K184">
            <v>684250</v>
          </cell>
          <cell r="L184">
            <v>1125000</v>
          </cell>
          <cell r="M184">
            <v>116750</v>
          </cell>
          <cell r="N184">
            <v>397000</v>
          </cell>
          <cell r="O184">
            <v>0</v>
          </cell>
          <cell r="P184">
            <v>3258000</v>
          </cell>
        </row>
        <row r="185">
          <cell r="A185">
            <v>17</v>
          </cell>
          <cell r="B185" t="str">
            <v>松ケ丘保育園</v>
          </cell>
          <cell r="C185">
            <v>0</v>
          </cell>
          <cell r="D185">
            <v>1887750</v>
          </cell>
          <cell r="E185">
            <v>3087000</v>
          </cell>
          <cell r="F185">
            <v>350250</v>
          </cell>
          <cell r="G185">
            <v>966000</v>
          </cell>
          <cell r="H185">
            <v>1764000</v>
          </cell>
          <cell r="I185">
            <v>8055000</v>
          </cell>
          <cell r="J185">
            <v>0</v>
          </cell>
          <cell r="K185">
            <v>684250</v>
          </cell>
          <cell r="L185">
            <v>1125000</v>
          </cell>
          <cell r="M185">
            <v>116750</v>
          </cell>
          <cell r="N185">
            <v>77000</v>
          </cell>
          <cell r="O185">
            <v>588000</v>
          </cell>
          <cell r="P185">
            <v>2591000</v>
          </cell>
        </row>
        <row r="186">
          <cell r="A186">
            <v>18</v>
          </cell>
          <cell r="B186" t="str">
            <v>作草部保育園</v>
          </cell>
          <cell r="C186">
            <v>0</v>
          </cell>
          <cell r="D186">
            <v>1887750</v>
          </cell>
          <cell r="E186">
            <v>3087000</v>
          </cell>
          <cell r="F186">
            <v>350250</v>
          </cell>
          <cell r="G186">
            <v>1191000</v>
          </cell>
          <cell r="H186">
            <v>1764000</v>
          </cell>
          <cell r="I186">
            <v>8280000</v>
          </cell>
          <cell r="J186">
            <v>0</v>
          </cell>
          <cell r="K186">
            <v>684250</v>
          </cell>
          <cell r="L186">
            <v>1125000</v>
          </cell>
          <cell r="M186">
            <v>116750</v>
          </cell>
          <cell r="N186">
            <v>397000</v>
          </cell>
          <cell r="O186">
            <v>-1764000</v>
          </cell>
          <cell r="P186">
            <v>559000</v>
          </cell>
        </row>
        <row r="187">
          <cell r="A187">
            <v>19</v>
          </cell>
          <cell r="B187" t="str">
            <v>すずらん保育園</v>
          </cell>
          <cell r="C187">
            <v>0</v>
          </cell>
          <cell r="D187">
            <v>1887750</v>
          </cell>
          <cell r="E187">
            <v>3087000</v>
          </cell>
          <cell r="F187">
            <v>350250</v>
          </cell>
          <cell r="G187">
            <v>1191000</v>
          </cell>
          <cell r="H187">
            <v>1764000</v>
          </cell>
          <cell r="I187">
            <v>8280000</v>
          </cell>
          <cell r="J187">
            <v>0</v>
          </cell>
          <cell r="K187">
            <v>684250</v>
          </cell>
          <cell r="L187">
            <v>1125000</v>
          </cell>
          <cell r="M187">
            <v>116750</v>
          </cell>
          <cell r="N187">
            <v>397000</v>
          </cell>
          <cell r="O187">
            <v>588000</v>
          </cell>
          <cell r="P187">
            <v>2911000</v>
          </cell>
        </row>
        <row r="188">
          <cell r="A188">
            <v>20</v>
          </cell>
          <cell r="B188" t="str">
            <v>なぎさ保育園</v>
          </cell>
          <cell r="C188">
            <v>0</v>
          </cell>
          <cell r="D188">
            <v>1887750</v>
          </cell>
          <cell r="E188">
            <v>3087000</v>
          </cell>
          <cell r="F188">
            <v>350250</v>
          </cell>
          <cell r="G188">
            <v>1191000</v>
          </cell>
          <cell r="H188">
            <v>0</v>
          </cell>
          <cell r="I188">
            <v>6516000</v>
          </cell>
          <cell r="J188">
            <v>0</v>
          </cell>
          <cell r="K188">
            <v>684250</v>
          </cell>
          <cell r="L188">
            <v>1125000</v>
          </cell>
          <cell r="M188">
            <v>116750</v>
          </cell>
          <cell r="N188">
            <v>397000</v>
          </cell>
          <cell r="O188">
            <v>0</v>
          </cell>
          <cell r="P188">
            <v>2323000</v>
          </cell>
        </row>
        <row r="189">
          <cell r="A189">
            <v>21</v>
          </cell>
          <cell r="B189" t="str">
            <v>南小中台保育園</v>
          </cell>
          <cell r="C189">
            <v>0</v>
          </cell>
          <cell r="D189">
            <v>1887750</v>
          </cell>
          <cell r="E189">
            <v>3087000</v>
          </cell>
          <cell r="F189">
            <v>350250</v>
          </cell>
          <cell r="G189">
            <v>1191000</v>
          </cell>
          <cell r="H189">
            <v>1764000</v>
          </cell>
          <cell r="I189">
            <v>8280000</v>
          </cell>
          <cell r="J189">
            <v>0</v>
          </cell>
          <cell r="K189">
            <v>684250</v>
          </cell>
          <cell r="L189">
            <v>774000</v>
          </cell>
          <cell r="M189">
            <v>116750</v>
          </cell>
          <cell r="N189">
            <v>397000</v>
          </cell>
          <cell r="O189">
            <v>588000</v>
          </cell>
          <cell r="P189">
            <v>2560000</v>
          </cell>
        </row>
        <row r="190">
          <cell r="A190">
            <v>22</v>
          </cell>
          <cell r="B190" t="str">
            <v>もみじ保育園</v>
          </cell>
          <cell r="C190">
            <v>0</v>
          </cell>
          <cell r="D190">
            <v>1887750</v>
          </cell>
          <cell r="E190">
            <v>3087000</v>
          </cell>
          <cell r="F190">
            <v>0</v>
          </cell>
          <cell r="G190">
            <v>1191000</v>
          </cell>
          <cell r="H190">
            <v>1764000</v>
          </cell>
          <cell r="I190">
            <v>7929750</v>
          </cell>
          <cell r="J190">
            <v>935000</v>
          </cell>
          <cell r="K190">
            <v>684250</v>
          </cell>
          <cell r="L190">
            <v>1125000</v>
          </cell>
          <cell r="M190">
            <v>467000</v>
          </cell>
          <cell r="N190">
            <v>397000</v>
          </cell>
          <cell r="O190">
            <v>588000</v>
          </cell>
          <cell r="P190">
            <v>4196250</v>
          </cell>
        </row>
        <row r="191">
          <cell r="A191">
            <v>23</v>
          </cell>
          <cell r="B191" t="str">
            <v>おゆみ野保育園</v>
          </cell>
          <cell r="C191">
            <v>0</v>
          </cell>
          <cell r="D191">
            <v>1887750</v>
          </cell>
          <cell r="E191">
            <v>3087000</v>
          </cell>
          <cell r="F191">
            <v>350250</v>
          </cell>
          <cell r="G191">
            <v>1191000</v>
          </cell>
          <cell r="H191">
            <v>1764000</v>
          </cell>
          <cell r="I191">
            <v>8280000</v>
          </cell>
          <cell r="J191">
            <v>0</v>
          </cell>
          <cell r="K191">
            <v>684250</v>
          </cell>
          <cell r="L191">
            <v>1125000</v>
          </cell>
          <cell r="M191">
            <v>116750</v>
          </cell>
          <cell r="N191">
            <v>397000</v>
          </cell>
          <cell r="O191">
            <v>588000</v>
          </cell>
          <cell r="P191">
            <v>2911000</v>
          </cell>
        </row>
        <row r="192">
          <cell r="A192">
            <v>24</v>
          </cell>
          <cell r="B192" t="str">
            <v>ナーセリー鏡戸</v>
          </cell>
          <cell r="C192">
            <v>701250</v>
          </cell>
          <cell r="D192">
            <v>1887750</v>
          </cell>
          <cell r="E192">
            <v>3087000</v>
          </cell>
          <cell r="F192">
            <v>350250</v>
          </cell>
          <cell r="G192">
            <v>1191000</v>
          </cell>
          <cell r="H192">
            <v>0</v>
          </cell>
          <cell r="I192">
            <v>7217250</v>
          </cell>
          <cell r="J192">
            <v>-701250</v>
          </cell>
          <cell r="K192">
            <v>684250</v>
          </cell>
          <cell r="L192">
            <v>1125000</v>
          </cell>
          <cell r="M192">
            <v>116750</v>
          </cell>
          <cell r="N192">
            <v>397000</v>
          </cell>
          <cell r="O192">
            <v>0</v>
          </cell>
          <cell r="P192">
            <v>1621750</v>
          </cell>
        </row>
        <row r="193">
          <cell r="A193">
            <v>25</v>
          </cell>
          <cell r="B193" t="str">
            <v>打瀬保育園</v>
          </cell>
          <cell r="C193">
            <v>0</v>
          </cell>
          <cell r="D193">
            <v>1887750</v>
          </cell>
          <cell r="E193">
            <v>3087000</v>
          </cell>
          <cell r="F193">
            <v>350250</v>
          </cell>
          <cell r="G193">
            <v>1191000</v>
          </cell>
          <cell r="H193">
            <v>0</v>
          </cell>
          <cell r="I193">
            <v>6516000</v>
          </cell>
          <cell r="J193">
            <v>0</v>
          </cell>
          <cell r="K193">
            <v>684250</v>
          </cell>
          <cell r="L193">
            <v>1125000</v>
          </cell>
          <cell r="M193">
            <v>116750</v>
          </cell>
          <cell r="N193">
            <v>397000</v>
          </cell>
          <cell r="O193">
            <v>0</v>
          </cell>
          <cell r="P193">
            <v>2323000</v>
          </cell>
        </row>
        <row r="194">
          <cell r="A194">
            <v>26</v>
          </cell>
          <cell r="B194" t="str">
            <v>ふたば保育園</v>
          </cell>
          <cell r="C194">
            <v>0</v>
          </cell>
          <cell r="D194">
            <v>1887750</v>
          </cell>
          <cell r="E194">
            <v>3087000</v>
          </cell>
          <cell r="F194">
            <v>350250</v>
          </cell>
          <cell r="G194">
            <v>1191000</v>
          </cell>
          <cell r="H194">
            <v>3528000</v>
          </cell>
          <cell r="I194">
            <v>10044000</v>
          </cell>
          <cell r="J194">
            <v>0</v>
          </cell>
          <cell r="K194">
            <v>684250</v>
          </cell>
          <cell r="L194">
            <v>1125000</v>
          </cell>
          <cell r="M194">
            <v>116750</v>
          </cell>
          <cell r="N194">
            <v>397000</v>
          </cell>
          <cell r="O194">
            <v>1176000</v>
          </cell>
          <cell r="P194">
            <v>3499000</v>
          </cell>
        </row>
        <row r="195">
          <cell r="A195">
            <v>27</v>
          </cell>
          <cell r="B195" t="str">
            <v>明和輝保育園</v>
          </cell>
          <cell r="C195">
            <v>701250</v>
          </cell>
          <cell r="D195">
            <v>1887750</v>
          </cell>
          <cell r="E195">
            <v>3087000</v>
          </cell>
          <cell r="F195">
            <v>0</v>
          </cell>
          <cell r="G195">
            <v>1191000</v>
          </cell>
          <cell r="H195">
            <v>1764000</v>
          </cell>
          <cell r="I195">
            <v>8631000</v>
          </cell>
          <cell r="J195">
            <v>-701250</v>
          </cell>
          <cell r="K195">
            <v>684250</v>
          </cell>
          <cell r="L195">
            <v>1125000</v>
          </cell>
          <cell r="M195">
            <v>467000</v>
          </cell>
          <cell r="N195">
            <v>397000</v>
          </cell>
          <cell r="O195">
            <v>588000</v>
          </cell>
          <cell r="P195">
            <v>2560000</v>
          </cell>
        </row>
        <row r="196">
          <cell r="A196">
            <v>28</v>
          </cell>
          <cell r="B196" t="str">
            <v>山王保育園</v>
          </cell>
          <cell r="C196">
            <v>0</v>
          </cell>
          <cell r="D196">
            <v>1887750</v>
          </cell>
          <cell r="E196">
            <v>3087000</v>
          </cell>
          <cell r="F196">
            <v>350250</v>
          </cell>
          <cell r="G196">
            <v>1191000</v>
          </cell>
          <cell r="H196">
            <v>0</v>
          </cell>
          <cell r="I196">
            <v>6516000</v>
          </cell>
          <cell r="J196">
            <v>0</v>
          </cell>
          <cell r="K196">
            <v>684250</v>
          </cell>
          <cell r="L196">
            <v>1125000</v>
          </cell>
          <cell r="M196">
            <v>116750</v>
          </cell>
          <cell r="N196">
            <v>397000</v>
          </cell>
          <cell r="O196">
            <v>2352000</v>
          </cell>
          <cell r="P196">
            <v>4675000</v>
          </cell>
        </row>
        <row r="197">
          <cell r="A197">
            <v>29</v>
          </cell>
          <cell r="B197" t="str">
            <v>チャイルド・ガーデン保育園</v>
          </cell>
          <cell r="C197">
            <v>0</v>
          </cell>
          <cell r="D197">
            <v>1887750</v>
          </cell>
          <cell r="E197">
            <v>3087000</v>
          </cell>
          <cell r="F197">
            <v>0</v>
          </cell>
          <cell r="G197">
            <v>1191000</v>
          </cell>
          <cell r="H197">
            <v>0</v>
          </cell>
          <cell r="I197">
            <v>6165750</v>
          </cell>
          <cell r="J197">
            <v>0</v>
          </cell>
          <cell r="K197">
            <v>684250</v>
          </cell>
          <cell r="L197">
            <v>774000</v>
          </cell>
          <cell r="M197">
            <v>467000</v>
          </cell>
          <cell r="N197">
            <v>397000</v>
          </cell>
          <cell r="O197">
            <v>392000</v>
          </cell>
          <cell r="P197">
            <v>2714250</v>
          </cell>
        </row>
        <row r="198">
          <cell r="A198">
            <v>30</v>
          </cell>
          <cell r="B198" t="str">
            <v>明徳土気保育園</v>
          </cell>
          <cell r="C198">
            <v>0</v>
          </cell>
          <cell r="D198">
            <v>1887750</v>
          </cell>
          <cell r="E198">
            <v>3087000</v>
          </cell>
          <cell r="F198">
            <v>350250</v>
          </cell>
          <cell r="G198">
            <v>1191000</v>
          </cell>
          <cell r="H198">
            <v>3528000</v>
          </cell>
          <cell r="I198">
            <v>10044000</v>
          </cell>
          <cell r="J198">
            <v>0</v>
          </cell>
          <cell r="K198">
            <v>684250</v>
          </cell>
          <cell r="L198">
            <v>1125000</v>
          </cell>
          <cell r="M198">
            <v>116750</v>
          </cell>
          <cell r="N198">
            <v>397000</v>
          </cell>
          <cell r="O198">
            <v>1176000</v>
          </cell>
          <cell r="P198">
            <v>3499000</v>
          </cell>
        </row>
        <row r="199">
          <cell r="A199">
            <v>31</v>
          </cell>
          <cell r="B199" t="str">
            <v>グレース保育園</v>
          </cell>
          <cell r="C199">
            <v>0</v>
          </cell>
          <cell r="D199">
            <v>1887750</v>
          </cell>
          <cell r="E199">
            <v>3087000</v>
          </cell>
          <cell r="F199">
            <v>0</v>
          </cell>
          <cell r="G199">
            <v>1191000</v>
          </cell>
          <cell r="H199">
            <v>1764000</v>
          </cell>
          <cell r="I199">
            <v>7929750</v>
          </cell>
          <cell r="J199">
            <v>0</v>
          </cell>
          <cell r="K199">
            <v>684250</v>
          </cell>
          <cell r="L199">
            <v>1125000</v>
          </cell>
          <cell r="M199">
            <v>467000</v>
          </cell>
          <cell r="N199">
            <v>-138000</v>
          </cell>
          <cell r="O199">
            <v>2940000</v>
          </cell>
          <cell r="P199">
            <v>5078250</v>
          </cell>
        </row>
        <row r="200">
          <cell r="A200">
            <v>32</v>
          </cell>
          <cell r="B200" t="str">
            <v>みらい保育園</v>
          </cell>
          <cell r="C200">
            <v>0</v>
          </cell>
          <cell r="D200">
            <v>1887750</v>
          </cell>
          <cell r="E200">
            <v>3087000</v>
          </cell>
          <cell r="F200">
            <v>0</v>
          </cell>
          <cell r="G200">
            <v>1191000</v>
          </cell>
          <cell r="H200">
            <v>1764000</v>
          </cell>
          <cell r="I200">
            <v>7929750</v>
          </cell>
          <cell r="J200">
            <v>0</v>
          </cell>
          <cell r="K200">
            <v>684250</v>
          </cell>
          <cell r="L200">
            <v>1125000</v>
          </cell>
          <cell r="M200">
            <v>467000</v>
          </cell>
          <cell r="N200">
            <v>397000</v>
          </cell>
          <cell r="O200">
            <v>-1764000</v>
          </cell>
          <cell r="P200">
            <v>909250</v>
          </cell>
        </row>
        <row r="201">
          <cell r="A201">
            <v>33</v>
          </cell>
          <cell r="B201" t="str">
            <v>かまとり保育園</v>
          </cell>
          <cell r="C201">
            <v>0</v>
          </cell>
          <cell r="D201">
            <v>1887750</v>
          </cell>
          <cell r="E201">
            <v>3087000</v>
          </cell>
          <cell r="F201">
            <v>0</v>
          </cell>
          <cell r="G201">
            <v>1191000</v>
          </cell>
          <cell r="H201">
            <v>1764000</v>
          </cell>
          <cell r="I201">
            <v>7929750</v>
          </cell>
          <cell r="J201">
            <v>0</v>
          </cell>
          <cell r="K201">
            <v>684250</v>
          </cell>
          <cell r="L201">
            <v>1125000</v>
          </cell>
          <cell r="M201">
            <v>467000</v>
          </cell>
          <cell r="N201">
            <v>397000</v>
          </cell>
          <cell r="O201">
            <v>588000</v>
          </cell>
          <cell r="P201">
            <v>3261250</v>
          </cell>
        </row>
        <row r="202">
          <cell r="A202">
            <v>34</v>
          </cell>
          <cell r="B202" t="str">
            <v>植草弁天保育園</v>
          </cell>
          <cell r="C202">
            <v>701250</v>
          </cell>
          <cell r="D202">
            <v>1887750</v>
          </cell>
          <cell r="E202">
            <v>3087000</v>
          </cell>
          <cell r="F202">
            <v>350250</v>
          </cell>
          <cell r="G202">
            <v>1191000</v>
          </cell>
          <cell r="H202">
            <v>0</v>
          </cell>
          <cell r="I202">
            <v>7217250</v>
          </cell>
          <cell r="J202">
            <v>233750</v>
          </cell>
          <cell r="K202">
            <v>255250</v>
          </cell>
          <cell r="L202">
            <v>-1332000</v>
          </cell>
          <cell r="M202">
            <v>-350250</v>
          </cell>
          <cell r="N202">
            <v>397000</v>
          </cell>
          <cell r="O202">
            <v>0</v>
          </cell>
          <cell r="P202">
            <v>-796250</v>
          </cell>
        </row>
        <row r="203">
          <cell r="A203">
            <v>35</v>
          </cell>
          <cell r="B203" t="str">
            <v>ひなたぼっこ保育園</v>
          </cell>
          <cell r="C203">
            <v>0</v>
          </cell>
          <cell r="D203">
            <v>1887750</v>
          </cell>
          <cell r="E203">
            <v>3087000</v>
          </cell>
          <cell r="F203">
            <v>350250</v>
          </cell>
          <cell r="G203">
            <v>1191000</v>
          </cell>
          <cell r="H203">
            <v>0</v>
          </cell>
          <cell r="I203">
            <v>6516000</v>
          </cell>
          <cell r="J203">
            <v>0</v>
          </cell>
          <cell r="K203">
            <v>684250</v>
          </cell>
          <cell r="L203">
            <v>1125000</v>
          </cell>
          <cell r="M203">
            <v>-39250</v>
          </cell>
          <cell r="N203">
            <v>397000</v>
          </cell>
          <cell r="O203">
            <v>0</v>
          </cell>
          <cell r="P203">
            <v>2167000</v>
          </cell>
        </row>
        <row r="204">
          <cell r="A204">
            <v>36</v>
          </cell>
          <cell r="B204" t="str">
            <v>はまかぜ保育園</v>
          </cell>
          <cell r="C204">
            <v>0</v>
          </cell>
          <cell r="D204">
            <v>1887750</v>
          </cell>
          <cell r="E204">
            <v>3087000</v>
          </cell>
          <cell r="F204">
            <v>350250</v>
          </cell>
          <cell r="G204">
            <v>1191000</v>
          </cell>
          <cell r="H204">
            <v>0</v>
          </cell>
          <cell r="I204">
            <v>6516000</v>
          </cell>
          <cell r="J204">
            <v>935000</v>
          </cell>
          <cell r="K204">
            <v>684250</v>
          </cell>
          <cell r="L204">
            <v>1125000</v>
          </cell>
          <cell r="M204">
            <v>-195250</v>
          </cell>
          <cell r="N204">
            <v>397000</v>
          </cell>
          <cell r="O204">
            <v>0</v>
          </cell>
          <cell r="P204">
            <v>2946000</v>
          </cell>
        </row>
        <row r="205">
          <cell r="A205">
            <v>37</v>
          </cell>
          <cell r="B205" t="str">
            <v>いなほ保育園</v>
          </cell>
          <cell r="C205">
            <v>0</v>
          </cell>
          <cell r="D205">
            <v>1887750</v>
          </cell>
          <cell r="E205">
            <v>3087000</v>
          </cell>
          <cell r="F205">
            <v>350250</v>
          </cell>
          <cell r="G205">
            <v>1191000</v>
          </cell>
          <cell r="H205">
            <v>0</v>
          </cell>
          <cell r="I205">
            <v>6516000</v>
          </cell>
          <cell r="J205">
            <v>0</v>
          </cell>
          <cell r="K205">
            <v>684250</v>
          </cell>
          <cell r="L205">
            <v>1125000</v>
          </cell>
          <cell r="M205">
            <v>-39250</v>
          </cell>
          <cell r="N205">
            <v>-382000</v>
          </cell>
          <cell r="O205">
            <v>0</v>
          </cell>
          <cell r="P205">
            <v>1388000</v>
          </cell>
        </row>
        <row r="206">
          <cell r="A206">
            <v>38</v>
          </cell>
          <cell r="B206" t="str">
            <v>キッズマーム保育園</v>
          </cell>
          <cell r="C206">
            <v>0</v>
          </cell>
          <cell r="D206">
            <v>1887750</v>
          </cell>
          <cell r="E206">
            <v>3087000</v>
          </cell>
          <cell r="F206">
            <v>0</v>
          </cell>
          <cell r="G206">
            <v>1191000</v>
          </cell>
          <cell r="H206">
            <v>1764000</v>
          </cell>
          <cell r="I206">
            <v>7929750</v>
          </cell>
          <cell r="J206">
            <v>0</v>
          </cell>
          <cell r="K206">
            <v>684250</v>
          </cell>
          <cell r="L206">
            <v>1125000</v>
          </cell>
          <cell r="M206">
            <v>0</v>
          </cell>
          <cell r="N206">
            <v>397000</v>
          </cell>
          <cell r="O206">
            <v>0</v>
          </cell>
          <cell r="P206">
            <v>2206250</v>
          </cell>
        </row>
        <row r="207">
          <cell r="A207">
            <v>39</v>
          </cell>
          <cell r="B207" t="str">
            <v>アスク海浜幕張保育園</v>
          </cell>
          <cell r="C207">
            <v>0</v>
          </cell>
          <cell r="D207">
            <v>1887750</v>
          </cell>
          <cell r="E207">
            <v>3087000</v>
          </cell>
          <cell r="F207">
            <v>350250</v>
          </cell>
          <cell r="G207">
            <v>0</v>
          </cell>
          <cell r="H207">
            <v>0</v>
          </cell>
          <cell r="I207">
            <v>5325000</v>
          </cell>
          <cell r="J207">
            <v>935000</v>
          </cell>
          <cell r="K207">
            <v>684250</v>
          </cell>
          <cell r="L207">
            <v>72000</v>
          </cell>
          <cell r="M207">
            <v>-350250</v>
          </cell>
          <cell r="N207">
            <v>0</v>
          </cell>
          <cell r="O207">
            <v>0</v>
          </cell>
          <cell r="P207">
            <v>1341000</v>
          </cell>
        </row>
        <row r="208">
          <cell r="A208">
            <v>40</v>
          </cell>
          <cell r="B208" t="str">
            <v>明徳浜野駅保育園</v>
          </cell>
          <cell r="C208">
            <v>0</v>
          </cell>
          <cell r="D208">
            <v>1887750</v>
          </cell>
          <cell r="E208">
            <v>3087000</v>
          </cell>
          <cell r="F208">
            <v>0</v>
          </cell>
          <cell r="G208">
            <v>1191000</v>
          </cell>
          <cell r="H208">
            <v>0</v>
          </cell>
          <cell r="I208">
            <v>6165750</v>
          </cell>
          <cell r="J208">
            <v>0</v>
          </cell>
          <cell r="K208">
            <v>-1887750</v>
          </cell>
          <cell r="L208">
            <v>-3087000</v>
          </cell>
          <cell r="M208">
            <v>0</v>
          </cell>
          <cell r="N208">
            <v>-1191000</v>
          </cell>
          <cell r="O208">
            <v>0</v>
          </cell>
          <cell r="P208">
            <v>-6165750</v>
          </cell>
        </row>
        <row r="209">
          <cell r="A209">
            <v>41</v>
          </cell>
          <cell r="B209" t="str">
            <v>幕張いもっこ保育園</v>
          </cell>
          <cell r="C209">
            <v>0</v>
          </cell>
          <cell r="D209">
            <v>1887750</v>
          </cell>
          <cell r="E209">
            <v>3087000</v>
          </cell>
          <cell r="F209">
            <v>350250</v>
          </cell>
          <cell r="G209">
            <v>841500</v>
          </cell>
          <cell r="H209">
            <v>0</v>
          </cell>
          <cell r="I209">
            <v>6166500</v>
          </cell>
          <cell r="J209">
            <v>0</v>
          </cell>
          <cell r="K209">
            <v>-1887750</v>
          </cell>
          <cell r="L209">
            <v>-3087000</v>
          </cell>
          <cell r="M209">
            <v>-350250</v>
          </cell>
          <cell r="N209">
            <v>-841500</v>
          </cell>
          <cell r="O209">
            <v>0</v>
          </cell>
          <cell r="P209">
            <v>-6166500</v>
          </cell>
        </row>
        <row r="210">
          <cell r="A210">
            <v>42</v>
          </cell>
          <cell r="B210" t="str">
            <v>稲毛すきっぷ保育園</v>
          </cell>
          <cell r="C210">
            <v>0</v>
          </cell>
          <cell r="D210">
            <v>1887750</v>
          </cell>
          <cell r="E210">
            <v>3087000</v>
          </cell>
          <cell r="F210">
            <v>350250</v>
          </cell>
          <cell r="G210">
            <v>0</v>
          </cell>
          <cell r="H210">
            <v>0</v>
          </cell>
          <cell r="I210">
            <v>5325000</v>
          </cell>
          <cell r="J210">
            <v>0</v>
          </cell>
          <cell r="K210">
            <v>-1887750</v>
          </cell>
          <cell r="L210">
            <v>-3087000</v>
          </cell>
          <cell r="M210">
            <v>-350250</v>
          </cell>
          <cell r="N210">
            <v>0</v>
          </cell>
          <cell r="O210">
            <v>0</v>
          </cell>
          <cell r="P210">
            <v>-5325000</v>
          </cell>
        </row>
        <row r="211">
          <cell r="A211">
            <v>43</v>
          </cell>
          <cell r="B211" t="str">
            <v>千葉聖心保育園</v>
          </cell>
          <cell r="C211">
            <v>701250</v>
          </cell>
          <cell r="D211">
            <v>1887750</v>
          </cell>
          <cell r="E211">
            <v>3087000</v>
          </cell>
          <cell r="F211">
            <v>0</v>
          </cell>
          <cell r="G211">
            <v>0</v>
          </cell>
          <cell r="H211">
            <v>0</v>
          </cell>
          <cell r="I211">
            <v>5676000</v>
          </cell>
          <cell r="J211">
            <v>-701250</v>
          </cell>
          <cell r="K211">
            <v>-1887750</v>
          </cell>
          <cell r="L211">
            <v>-3087000</v>
          </cell>
          <cell r="M211">
            <v>0</v>
          </cell>
          <cell r="N211">
            <v>0</v>
          </cell>
          <cell r="O211">
            <v>0</v>
          </cell>
          <cell r="P211">
            <v>-5676000</v>
          </cell>
        </row>
        <row r="212">
          <cell r="A212">
            <v>44</v>
          </cell>
          <cell r="B212" t="str">
            <v>真生保育園</v>
          </cell>
          <cell r="C212">
            <v>0</v>
          </cell>
          <cell r="D212">
            <v>1887750</v>
          </cell>
          <cell r="E212">
            <v>3087000</v>
          </cell>
          <cell r="F212">
            <v>350250</v>
          </cell>
          <cell r="G212">
            <v>1191000</v>
          </cell>
          <cell r="H212">
            <v>0</v>
          </cell>
          <cell r="I212">
            <v>6516000</v>
          </cell>
          <cell r="J212">
            <v>0</v>
          </cell>
          <cell r="K212">
            <v>-1887750</v>
          </cell>
          <cell r="L212">
            <v>-3087000</v>
          </cell>
          <cell r="M212">
            <v>-350250</v>
          </cell>
          <cell r="N212">
            <v>-1191000</v>
          </cell>
          <cell r="O212">
            <v>0</v>
          </cell>
          <cell r="P212">
            <v>-6516000</v>
          </cell>
        </row>
        <row r="213">
          <cell r="A213">
            <v>45</v>
          </cell>
          <cell r="B213" t="str">
            <v>アップルナースリー検見川浜保育園</v>
          </cell>
          <cell r="C213">
            <v>0</v>
          </cell>
          <cell r="D213">
            <v>1887750</v>
          </cell>
          <cell r="E213">
            <v>3087000</v>
          </cell>
          <cell r="F213">
            <v>350250</v>
          </cell>
          <cell r="G213">
            <v>1191000</v>
          </cell>
          <cell r="H213">
            <v>0</v>
          </cell>
          <cell r="I213">
            <v>6516000</v>
          </cell>
          <cell r="J213">
            <v>0</v>
          </cell>
          <cell r="K213">
            <v>-1887750</v>
          </cell>
          <cell r="L213">
            <v>-3087000</v>
          </cell>
          <cell r="M213">
            <v>-350250</v>
          </cell>
          <cell r="N213">
            <v>-1191000</v>
          </cell>
          <cell r="O213">
            <v>0</v>
          </cell>
          <cell r="P213">
            <v>-6516000</v>
          </cell>
        </row>
        <row r="214">
          <cell r="A214">
            <v>46</v>
          </cell>
        </row>
        <row r="215">
          <cell r="A215">
            <v>47</v>
          </cell>
        </row>
        <row r="216">
          <cell r="A216">
            <v>48</v>
          </cell>
        </row>
        <row r="217">
          <cell r="A217">
            <v>49</v>
          </cell>
        </row>
        <row r="218">
          <cell r="A218">
            <v>50</v>
          </cell>
        </row>
        <row r="219">
          <cell r="B219" t="str">
            <v>この行は使わないこと</v>
          </cell>
        </row>
        <row r="220">
          <cell r="B220" t="str">
            <v>計</v>
          </cell>
          <cell r="C220">
            <v>3506250</v>
          </cell>
          <cell r="D220">
            <v>84948750</v>
          </cell>
          <cell r="E220">
            <v>138915000</v>
          </cell>
          <cell r="F220">
            <v>10857750</v>
          </cell>
          <cell r="G220">
            <v>48996750</v>
          </cell>
          <cell r="H220">
            <v>45864000</v>
          </cell>
          <cell r="I220">
            <v>333088500</v>
          </cell>
          <cell r="J220">
            <v>8648750</v>
          </cell>
          <cell r="K220">
            <v>14715250</v>
          </cell>
          <cell r="L220">
            <v>18684000</v>
          </cell>
          <cell r="M220">
            <v>4396250</v>
          </cell>
          <cell r="N220">
            <v>7589250</v>
          </cell>
          <cell r="O220">
            <v>17444000</v>
          </cell>
          <cell r="P220">
            <v>71477500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LOOK"/>
      <sheetName val="Sheet2"/>
      <sheetName val="編集"/>
      <sheetName val="H28.4.1"/>
      <sheetName val="H27.4.1（訂正）"/>
      <sheetName val="H27.4.1（番号訂正）"/>
      <sheetName val="H27.4.1"/>
      <sheetName val="机上用"/>
    </sheetNames>
    <sheetDataSet>
      <sheetData sheetId="0"/>
      <sheetData sheetId="1"/>
      <sheetData sheetId="2">
        <row r="160">
          <cell r="F160" t="str">
            <v>01_中央区</v>
          </cell>
        </row>
        <row r="161">
          <cell r="F161" t="str">
            <v>02_花見川区</v>
          </cell>
        </row>
        <row r="162">
          <cell r="F162" t="str">
            <v>03_稲毛区</v>
          </cell>
        </row>
        <row r="163">
          <cell r="F163" t="str">
            <v>04_若葉区</v>
          </cell>
        </row>
        <row r="164">
          <cell r="F164" t="str">
            <v>05_緑区</v>
          </cell>
        </row>
        <row r="165">
          <cell r="F165" t="str">
            <v>06_美浜区</v>
          </cell>
        </row>
      </sheetData>
      <sheetData sheetId="3"/>
      <sheetData sheetId="4"/>
      <sheetData sheetId="5"/>
      <sheetData sheetId="6"/>
      <sheetData sheetId="7"/>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mailto:unei-josei@city.chiba.lg.jp" TargetMode="External"/><Relationship Id="rId1" Type="http://schemas.openxmlformats.org/officeDocument/2006/relationships/hyperlink" Target="mailto:unei-josei@city.chiba.lg.jp" TargetMode="External"/><Relationship Id="rId4"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2.xml"/><Relationship Id="rId1" Type="http://schemas.openxmlformats.org/officeDocument/2006/relationships/printerSettings" Target="../printerSettings/printerSettings33.bin"/><Relationship Id="rId4" Type="http://schemas.openxmlformats.org/officeDocument/2006/relationships/comments" Target="../comments4.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drawing" Target="../drawings/drawing33.xml"/></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unei-josei@city.chiba.lg.jp" TargetMode="External"/><Relationship Id="rId1" Type="http://schemas.openxmlformats.org/officeDocument/2006/relationships/hyperlink" Target="mailto:unei-josei@city.chiba.lg.jp" TargetMode="External"/><Relationship Id="rId4"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mailto:unei-josei@city.chiba.lg.jp" TargetMode="External"/><Relationship Id="rId1" Type="http://schemas.openxmlformats.org/officeDocument/2006/relationships/hyperlink" Target="mailto:unei-josei@city.chiba.lg.jp" TargetMode="External"/><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mailto:unei-josei@city.chiba.lg.jp" TargetMode="External"/><Relationship Id="rId1" Type="http://schemas.openxmlformats.org/officeDocument/2006/relationships/hyperlink" Target="mailto:unei-josei@city.chiba.lg.jp" TargetMode="External"/><Relationship Id="rId4"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mailto:unei-josei@city.chiba.lg.jp" TargetMode="External"/><Relationship Id="rId1" Type="http://schemas.openxmlformats.org/officeDocument/2006/relationships/hyperlink" Target="mailto:unei-josei@city.chiba.lg.jp" TargetMode="External"/><Relationship Id="rId4"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DE6A1-C57D-418C-842E-C00FB0A95993}">
  <sheetPr codeName="Sheet22">
    <tabColor theme="1"/>
  </sheetPr>
  <dimension ref="A1:AT78"/>
  <sheetViews>
    <sheetView topLeftCell="R1" zoomScale="70" zoomScaleNormal="70" workbookViewId="0">
      <selection activeCell="AD21" sqref="AD21"/>
    </sheetView>
  </sheetViews>
  <sheetFormatPr defaultColWidth="9" defaultRowHeight="18"/>
  <cols>
    <col min="1" max="11" width="9" style="355" customWidth="1"/>
    <col min="12" max="26" width="9" style="355"/>
    <col min="27" max="27" width="11.33203125" style="355" customWidth="1"/>
    <col min="28" max="36" width="9" style="355"/>
    <col min="37" max="44" width="9" style="333"/>
    <col min="45" max="16384" width="9" style="271"/>
  </cols>
  <sheetData>
    <row r="1" spans="1:44">
      <c r="A1" s="355" t="s">
        <v>1005</v>
      </c>
      <c r="B1" s="570">
        <v>45354</v>
      </c>
      <c r="C1" s="355" t="s">
        <v>1006</v>
      </c>
      <c r="D1" s="355">
        <f>+F1+H1</f>
        <v>219</v>
      </c>
      <c r="E1" s="355" t="s">
        <v>1039</v>
      </c>
      <c r="F1" s="355">
        <f>J1+L1+N1+P1+R1+T1+V1+X1+Z1</f>
        <v>219</v>
      </c>
      <c r="I1" s="355" t="s">
        <v>1040</v>
      </c>
      <c r="J1" s="355">
        <f>A3+G3+M3+S3+Y3+AE3</f>
        <v>175</v>
      </c>
      <c r="K1" s="355" t="s">
        <v>1041</v>
      </c>
      <c r="L1" s="355">
        <f>B3+H3+N3+T3+Z3+AF3</f>
        <v>10</v>
      </c>
      <c r="M1" s="355" t="s">
        <v>1042</v>
      </c>
      <c r="N1" s="355">
        <f>C3+I3+O3+U3+AA3+AG3</f>
        <v>32</v>
      </c>
      <c r="O1" s="355" t="s">
        <v>1043</v>
      </c>
      <c r="P1" s="355">
        <f>D3+J3+P3+V3+AB3+AH3</f>
        <v>1</v>
      </c>
      <c r="Q1" s="355" t="s">
        <v>1044</v>
      </c>
      <c r="R1" s="355">
        <f>E3+K3+Q3+W3+AC3+AI3</f>
        <v>1</v>
      </c>
    </row>
    <row r="3" spans="1:44">
      <c r="A3" s="355">
        <f t="shared" ref="A3:AI3" si="0">COUNTA(A6:A46)</f>
        <v>39</v>
      </c>
      <c r="B3" s="355">
        <f t="shared" si="0"/>
        <v>2</v>
      </c>
      <c r="C3" s="355">
        <f t="shared" si="0"/>
        <v>8</v>
      </c>
      <c r="D3" s="355">
        <f t="shared" si="0"/>
        <v>0</v>
      </c>
      <c r="E3" s="355">
        <f t="shared" si="0"/>
        <v>0</v>
      </c>
      <c r="F3" s="355">
        <f t="shared" si="0"/>
        <v>0</v>
      </c>
      <c r="G3" s="355">
        <f t="shared" si="0"/>
        <v>29</v>
      </c>
      <c r="H3" s="355">
        <f t="shared" si="0"/>
        <v>0</v>
      </c>
      <c r="I3" s="355">
        <f t="shared" si="0"/>
        <v>5</v>
      </c>
      <c r="J3" s="355">
        <f t="shared" si="0"/>
        <v>0</v>
      </c>
      <c r="K3" s="355">
        <f t="shared" si="0"/>
        <v>0</v>
      </c>
      <c r="L3" s="355">
        <f t="shared" si="0"/>
        <v>0</v>
      </c>
      <c r="M3" s="355">
        <f t="shared" si="0"/>
        <v>28</v>
      </c>
      <c r="N3" s="355">
        <f t="shared" si="0"/>
        <v>1</v>
      </c>
      <c r="O3" s="355">
        <f t="shared" si="0"/>
        <v>4</v>
      </c>
      <c r="P3" s="355">
        <f t="shared" si="0"/>
        <v>0</v>
      </c>
      <c r="Q3" s="355">
        <f t="shared" si="0"/>
        <v>0</v>
      </c>
      <c r="R3" s="355">
        <f t="shared" si="0"/>
        <v>0</v>
      </c>
      <c r="S3" s="355">
        <f t="shared" si="0"/>
        <v>20</v>
      </c>
      <c r="T3" s="355">
        <f t="shared" si="0"/>
        <v>0</v>
      </c>
      <c r="U3" s="355">
        <f t="shared" si="0"/>
        <v>3</v>
      </c>
      <c r="V3" s="355">
        <f t="shared" si="0"/>
        <v>0</v>
      </c>
      <c r="W3" s="355">
        <f t="shared" si="0"/>
        <v>0</v>
      </c>
      <c r="X3" s="355">
        <f t="shared" si="0"/>
        <v>0</v>
      </c>
      <c r="Y3" s="355">
        <f t="shared" si="0"/>
        <v>32</v>
      </c>
      <c r="Z3" s="355">
        <f t="shared" si="0"/>
        <v>4</v>
      </c>
      <c r="AA3" s="355">
        <f t="shared" si="0"/>
        <v>5</v>
      </c>
      <c r="AB3" s="355">
        <f t="shared" si="0"/>
        <v>1</v>
      </c>
      <c r="AC3" s="355">
        <f t="shared" si="0"/>
        <v>1</v>
      </c>
      <c r="AD3" s="355">
        <f t="shared" si="0"/>
        <v>0</v>
      </c>
      <c r="AE3" s="355">
        <f t="shared" si="0"/>
        <v>27</v>
      </c>
      <c r="AF3" s="355">
        <f t="shared" si="0"/>
        <v>3</v>
      </c>
      <c r="AG3" s="355">
        <f t="shared" si="0"/>
        <v>7</v>
      </c>
      <c r="AH3" s="355">
        <f t="shared" si="0"/>
        <v>0</v>
      </c>
      <c r="AI3" s="355">
        <f t="shared" si="0"/>
        <v>0</v>
      </c>
    </row>
    <row r="4" spans="1:44">
      <c r="A4" s="615" t="s">
        <v>438</v>
      </c>
      <c r="B4" s="615"/>
      <c r="C4" s="615"/>
      <c r="D4" s="615"/>
      <c r="E4" s="615"/>
      <c r="G4" s="616" t="s">
        <v>439</v>
      </c>
      <c r="H4" s="616"/>
      <c r="I4" s="616"/>
      <c r="J4" s="616"/>
      <c r="K4" s="616"/>
      <c r="M4" s="617" t="s">
        <v>440</v>
      </c>
      <c r="N4" s="617"/>
      <c r="O4" s="617"/>
      <c r="P4" s="617"/>
      <c r="Q4" s="617"/>
      <c r="S4" s="618" t="s">
        <v>441</v>
      </c>
      <c r="T4" s="618"/>
      <c r="U4" s="618"/>
      <c r="V4" s="618"/>
      <c r="W4" s="618"/>
      <c r="Y4" s="619" t="s">
        <v>442</v>
      </c>
      <c r="Z4" s="619"/>
      <c r="AA4" s="619"/>
      <c r="AB4" s="619"/>
      <c r="AC4" s="619"/>
      <c r="AE4" s="614" t="s">
        <v>443</v>
      </c>
      <c r="AF4" s="614"/>
      <c r="AG4" s="614"/>
      <c r="AH4" s="614"/>
      <c r="AI4" s="614"/>
    </row>
    <row r="5" spans="1:44" s="272" customFormat="1" ht="54">
      <c r="A5" s="571" t="s">
        <v>2303</v>
      </c>
      <c r="B5" s="571" t="s">
        <v>2304</v>
      </c>
      <c r="C5" s="571" t="s">
        <v>444</v>
      </c>
      <c r="D5" s="571" t="s">
        <v>2305</v>
      </c>
      <c r="E5" s="571" t="s">
        <v>2306</v>
      </c>
      <c r="F5" s="356"/>
      <c r="G5" s="571" t="s">
        <v>2303</v>
      </c>
      <c r="H5" s="571" t="s">
        <v>2304</v>
      </c>
      <c r="I5" s="571" t="s">
        <v>444</v>
      </c>
      <c r="J5" s="571" t="s">
        <v>2305</v>
      </c>
      <c r="K5" s="571" t="s">
        <v>2306</v>
      </c>
      <c r="L5" s="356"/>
      <c r="M5" s="571" t="s">
        <v>2303</v>
      </c>
      <c r="N5" s="571" t="s">
        <v>2304</v>
      </c>
      <c r="O5" s="571" t="s">
        <v>444</v>
      </c>
      <c r="P5" s="571" t="s">
        <v>2305</v>
      </c>
      <c r="Q5" s="571" t="s">
        <v>2306</v>
      </c>
      <c r="R5" s="356"/>
      <c r="S5" s="571" t="s">
        <v>2303</v>
      </c>
      <c r="T5" s="571" t="s">
        <v>2304</v>
      </c>
      <c r="U5" s="571" t="s">
        <v>444</v>
      </c>
      <c r="V5" s="571" t="s">
        <v>2305</v>
      </c>
      <c r="W5" s="571" t="s">
        <v>2306</v>
      </c>
      <c r="X5" s="356"/>
      <c r="Y5" s="571" t="s">
        <v>2303</v>
      </c>
      <c r="Z5" s="571" t="s">
        <v>2304</v>
      </c>
      <c r="AA5" s="571" t="s">
        <v>444</v>
      </c>
      <c r="AB5" s="571" t="s">
        <v>2305</v>
      </c>
      <c r="AC5" s="571" t="s">
        <v>2306</v>
      </c>
      <c r="AD5" s="356"/>
      <c r="AE5" s="571" t="s">
        <v>2303</v>
      </c>
      <c r="AF5" s="571" t="s">
        <v>2304</v>
      </c>
      <c r="AG5" s="571" t="s">
        <v>444</v>
      </c>
      <c r="AH5" s="571" t="s">
        <v>2305</v>
      </c>
      <c r="AI5" s="571" t="s">
        <v>2306</v>
      </c>
      <c r="AJ5" s="356"/>
      <c r="AK5" s="334"/>
      <c r="AL5" s="334"/>
      <c r="AM5" s="334"/>
      <c r="AN5" s="334"/>
      <c r="AO5" s="334"/>
      <c r="AP5" s="334"/>
      <c r="AQ5" s="334"/>
      <c r="AR5" s="334"/>
    </row>
    <row r="6" spans="1:44">
      <c r="A6" s="327" t="s">
        <v>445</v>
      </c>
      <c r="B6" s="327" t="s">
        <v>447</v>
      </c>
      <c r="C6" s="327" t="s">
        <v>446</v>
      </c>
      <c r="D6" s="327"/>
      <c r="E6" s="327"/>
      <c r="G6" s="327" t="s">
        <v>448</v>
      </c>
      <c r="H6" s="327"/>
      <c r="I6" s="327" t="s">
        <v>449</v>
      </c>
      <c r="J6" s="327"/>
      <c r="K6" s="327"/>
      <c r="M6" s="327" t="s">
        <v>450</v>
      </c>
      <c r="N6" s="327" t="s">
        <v>452</v>
      </c>
      <c r="O6" s="327" t="s">
        <v>451</v>
      </c>
      <c r="P6" s="327"/>
      <c r="Q6" s="327"/>
      <c r="S6" s="327" t="s">
        <v>453</v>
      </c>
      <c r="T6" s="327"/>
      <c r="U6" s="327" t="s">
        <v>454</v>
      </c>
      <c r="V6" s="327"/>
      <c r="W6" s="327"/>
      <c r="Y6" s="327" t="s">
        <v>455</v>
      </c>
      <c r="Z6" s="327" t="s">
        <v>457</v>
      </c>
      <c r="AA6" s="327" t="s">
        <v>456</v>
      </c>
      <c r="AB6" s="327" t="s">
        <v>458</v>
      </c>
      <c r="AC6" s="327" t="s">
        <v>459</v>
      </c>
      <c r="AE6" s="327" t="s">
        <v>460</v>
      </c>
      <c r="AF6" s="327" t="s">
        <v>462</v>
      </c>
      <c r="AG6" s="327" t="s">
        <v>461</v>
      </c>
      <c r="AH6" s="327"/>
      <c r="AI6" s="327"/>
    </row>
    <row r="7" spans="1:44">
      <c r="A7" s="327" t="s">
        <v>463</v>
      </c>
      <c r="B7" s="327" t="s">
        <v>465</v>
      </c>
      <c r="C7" s="327" t="s">
        <v>464</v>
      </c>
      <c r="D7" s="327"/>
      <c r="E7" s="327"/>
      <c r="G7" s="327" t="s">
        <v>466</v>
      </c>
      <c r="H7" s="327"/>
      <c r="I7" s="327" t="s">
        <v>467</v>
      </c>
      <c r="J7" s="327"/>
      <c r="K7" s="327"/>
      <c r="M7" s="327" t="s">
        <v>468</v>
      </c>
      <c r="N7" s="327"/>
      <c r="O7" s="327" t="s">
        <v>469</v>
      </c>
      <c r="P7" s="327"/>
      <c r="Q7" s="327"/>
      <c r="S7" s="327" t="s">
        <v>470</v>
      </c>
      <c r="T7" s="327"/>
      <c r="U7" s="327" t="s">
        <v>1691</v>
      </c>
      <c r="V7" s="327"/>
      <c r="W7" s="327"/>
      <c r="Y7" s="327" t="s">
        <v>471</v>
      </c>
      <c r="Z7" s="327" t="s">
        <v>473</v>
      </c>
      <c r="AA7" s="327" t="s">
        <v>472</v>
      </c>
      <c r="AB7" s="327"/>
      <c r="AC7" s="327"/>
      <c r="AE7" s="327" t="s">
        <v>474</v>
      </c>
      <c r="AF7" s="327" t="s">
        <v>476</v>
      </c>
      <c r="AG7" s="327" t="s">
        <v>475</v>
      </c>
      <c r="AH7" s="327"/>
      <c r="AI7" s="327"/>
    </row>
    <row r="8" spans="1:44">
      <c r="A8" s="327" t="s">
        <v>477</v>
      </c>
      <c r="B8" s="327"/>
      <c r="C8" s="327" t="s">
        <v>478</v>
      </c>
      <c r="D8" s="327"/>
      <c r="E8" s="327"/>
      <c r="G8" s="327" t="s">
        <v>479</v>
      </c>
      <c r="H8" s="327"/>
      <c r="I8" s="327" t="s">
        <v>480</v>
      </c>
      <c r="J8" s="327"/>
      <c r="K8" s="327"/>
      <c r="M8" s="327" t="s">
        <v>481</v>
      </c>
      <c r="N8" s="327"/>
      <c r="O8" s="327" t="s">
        <v>482</v>
      </c>
      <c r="P8" s="327"/>
      <c r="Q8" s="327"/>
      <c r="S8" s="327" t="s">
        <v>483</v>
      </c>
      <c r="T8" s="327"/>
      <c r="U8" s="327" t="s">
        <v>1692</v>
      </c>
      <c r="V8" s="327"/>
      <c r="W8" s="327"/>
      <c r="Y8" s="327" t="s">
        <v>484</v>
      </c>
      <c r="Z8" s="327" t="s">
        <v>485</v>
      </c>
      <c r="AA8" s="327" t="s">
        <v>2307</v>
      </c>
      <c r="AB8" s="327"/>
      <c r="AC8" s="327"/>
      <c r="AE8" s="327" t="s">
        <v>486</v>
      </c>
      <c r="AF8" s="327" t="s">
        <v>488</v>
      </c>
      <c r="AG8" s="327" t="s">
        <v>487</v>
      </c>
      <c r="AH8" s="327"/>
      <c r="AI8" s="327"/>
    </row>
    <row r="9" spans="1:44">
      <c r="A9" s="327" t="s">
        <v>489</v>
      </c>
      <c r="B9" s="327"/>
      <c r="C9" s="327" t="s">
        <v>490</v>
      </c>
      <c r="D9" s="327"/>
      <c r="E9" s="327"/>
      <c r="G9" s="327" t="s">
        <v>491</v>
      </c>
      <c r="H9" s="327"/>
      <c r="I9" s="327" t="s">
        <v>492</v>
      </c>
      <c r="J9" s="327"/>
      <c r="K9" s="327"/>
      <c r="M9" s="327" t="s">
        <v>493</v>
      </c>
      <c r="N9" s="327"/>
      <c r="O9" s="327" t="s">
        <v>494</v>
      </c>
      <c r="P9" s="327"/>
      <c r="Q9" s="327"/>
      <c r="S9" s="327" t="s">
        <v>495</v>
      </c>
      <c r="T9" s="327"/>
      <c r="U9" s="327"/>
      <c r="V9" s="327"/>
      <c r="W9" s="327"/>
      <c r="Y9" s="327" t="s">
        <v>504</v>
      </c>
      <c r="Z9" s="327" t="s">
        <v>2002</v>
      </c>
      <c r="AA9" s="327"/>
      <c r="AB9" s="327"/>
      <c r="AC9" s="327"/>
      <c r="AE9" s="327" t="s">
        <v>497</v>
      </c>
      <c r="AF9" s="327"/>
      <c r="AG9" s="327" t="s">
        <v>498</v>
      </c>
      <c r="AH9" s="327"/>
      <c r="AI9" s="327"/>
    </row>
    <row r="10" spans="1:44">
      <c r="A10" s="327" t="s">
        <v>499</v>
      </c>
      <c r="B10" s="327"/>
      <c r="C10" s="327" t="s">
        <v>500</v>
      </c>
      <c r="D10" s="327"/>
      <c r="E10" s="327"/>
      <c r="G10" s="327" t="s">
        <v>501</v>
      </c>
      <c r="H10" s="327"/>
      <c r="I10" s="327" t="s">
        <v>2308</v>
      </c>
      <c r="J10" s="327"/>
      <c r="K10" s="327"/>
      <c r="M10" s="327" t="s">
        <v>502</v>
      </c>
      <c r="N10" s="327"/>
      <c r="O10" s="327"/>
      <c r="P10" s="327"/>
      <c r="Q10" s="327"/>
      <c r="S10" s="327" t="s">
        <v>503</v>
      </c>
      <c r="T10" s="327"/>
      <c r="U10" s="327"/>
      <c r="V10" s="327"/>
      <c r="W10" s="327"/>
      <c r="Y10" s="327" t="s">
        <v>512</v>
      </c>
      <c r="Z10" s="327"/>
      <c r="AA10" s="572" t="s">
        <v>2309</v>
      </c>
      <c r="AB10" s="327"/>
      <c r="AC10" s="327"/>
      <c r="AE10" s="327" t="s">
        <v>505</v>
      </c>
      <c r="AF10" s="327"/>
      <c r="AG10" s="327" t="s">
        <v>506</v>
      </c>
      <c r="AH10" s="327"/>
      <c r="AI10" s="327"/>
    </row>
    <row r="11" spans="1:44">
      <c r="A11" s="327" t="s">
        <v>507</v>
      </c>
      <c r="B11" s="327"/>
      <c r="C11" s="327" t="s">
        <v>508</v>
      </c>
      <c r="D11" s="327"/>
      <c r="E11" s="327"/>
      <c r="G11" s="327" t="s">
        <v>509</v>
      </c>
      <c r="H11" s="327"/>
      <c r="I11" s="327"/>
      <c r="J11" s="327"/>
      <c r="K11" s="327"/>
      <c r="M11" s="327" t="s">
        <v>2375</v>
      </c>
      <c r="N11" s="327"/>
      <c r="O11" s="327"/>
      <c r="P11" s="327"/>
      <c r="Q11" s="327"/>
      <c r="S11" s="327" t="s">
        <v>511</v>
      </c>
      <c r="T11" s="327"/>
      <c r="U11" s="327"/>
      <c r="V11" s="327"/>
      <c r="W11" s="327"/>
      <c r="Y11" s="327" t="s">
        <v>520</v>
      </c>
      <c r="Z11" s="327"/>
      <c r="AA11" s="572" t="s">
        <v>2310</v>
      </c>
      <c r="AB11" s="327"/>
      <c r="AC11" s="327"/>
      <c r="AE11" s="327" t="s">
        <v>513</v>
      </c>
      <c r="AF11" s="327"/>
      <c r="AG11" s="327" t="s">
        <v>514</v>
      </c>
      <c r="AH11" s="327"/>
      <c r="AI11" s="327"/>
    </row>
    <row r="12" spans="1:44">
      <c r="A12" s="327" t="s">
        <v>515</v>
      </c>
      <c r="B12" s="327"/>
      <c r="C12" s="327" t="s">
        <v>516</v>
      </c>
      <c r="D12" s="327"/>
      <c r="E12" s="327"/>
      <c r="G12" s="327" t="s">
        <v>517</v>
      </c>
      <c r="H12" s="327"/>
      <c r="I12" s="327"/>
      <c r="J12" s="327"/>
      <c r="K12" s="327"/>
      <c r="M12" s="327" t="s">
        <v>518</v>
      </c>
      <c r="N12" s="327"/>
      <c r="O12" s="327"/>
      <c r="P12" s="327"/>
      <c r="Q12" s="327"/>
      <c r="S12" s="327" t="s">
        <v>519</v>
      </c>
      <c r="T12" s="327"/>
      <c r="U12" s="327"/>
      <c r="V12" s="327"/>
      <c r="W12" s="327"/>
      <c r="Y12" s="327" t="s">
        <v>1918</v>
      </c>
      <c r="Z12" s="327"/>
      <c r="AA12" s="327"/>
      <c r="AB12" s="327"/>
      <c r="AC12" s="327"/>
      <c r="AE12" s="327" t="s">
        <v>521</v>
      </c>
      <c r="AF12" s="327"/>
      <c r="AG12" s="327" t="s">
        <v>522</v>
      </c>
      <c r="AH12" s="327"/>
      <c r="AI12" s="327"/>
    </row>
    <row r="13" spans="1:44">
      <c r="A13" s="327" t="s">
        <v>523</v>
      </c>
      <c r="B13" s="327"/>
      <c r="C13" s="327" t="s">
        <v>2001</v>
      </c>
      <c r="D13" s="327"/>
      <c r="E13" s="327"/>
      <c r="G13" s="327" t="s">
        <v>524</v>
      </c>
      <c r="H13" s="327"/>
      <c r="I13" s="327"/>
      <c r="J13" s="327"/>
      <c r="K13" s="327"/>
      <c r="M13" s="327" t="s">
        <v>525</v>
      </c>
      <c r="N13" s="327"/>
      <c r="O13" s="327"/>
      <c r="P13" s="327"/>
      <c r="Q13" s="327"/>
      <c r="S13" s="327" t="s">
        <v>526</v>
      </c>
      <c r="T13" s="327"/>
      <c r="U13" s="327"/>
      <c r="V13" s="327"/>
      <c r="W13" s="327"/>
      <c r="Y13" s="327" t="s">
        <v>529</v>
      </c>
      <c r="Z13" s="327"/>
      <c r="AA13" s="327"/>
      <c r="AB13" s="327"/>
      <c r="AC13" s="327"/>
      <c r="AE13" s="327" t="s">
        <v>1838</v>
      </c>
      <c r="AF13" s="327"/>
      <c r="AG13" s="327"/>
      <c r="AH13" s="327"/>
      <c r="AI13" s="327"/>
    </row>
    <row r="14" spans="1:44">
      <c r="A14" s="327" t="s">
        <v>1622</v>
      </c>
      <c r="B14" s="327"/>
      <c r="C14" s="327"/>
      <c r="D14" s="327"/>
      <c r="E14" s="327"/>
      <c r="G14" s="327" t="s">
        <v>527</v>
      </c>
      <c r="H14" s="327"/>
      <c r="I14" s="327"/>
      <c r="J14" s="327"/>
      <c r="K14" s="327"/>
      <c r="M14" s="327" t="s">
        <v>1826</v>
      </c>
      <c r="N14" s="327"/>
      <c r="O14" s="327"/>
      <c r="P14" s="327"/>
      <c r="Q14" s="327"/>
      <c r="S14" s="327" t="s">
        <v>528</v>
      </c>
      <c r="T14" s="327"/>
      <c r="U14" s="327"/>
      <c r="V14" s="327"/>
      <c r="W14" s="327"/>
      <c r="Y14" s="327" t="s">
        <v>1460</v>
      </c>
      <c r="Z14" s="327"/>
      <c r="AA14" s="327"/>
      <c r="AB14" s="327"/>
      <c r="AC14" s="327"/>
      <c r="AE14" s="327" t="s">
        <v>1825</v>
      </c>
      <c r="AF14" s="327"/>
      <c r="AG14" s="327"/>
      <c r="AH14" s="327"/>
      <c r="AI14" s="327"/>
    </row>
    <row r="15" spans="1:44">
      <c r="A15" s="327" t="s">
        <v>530</v>
      </c>
      <c r="B15" s="327"/>
      <c r="C15" s="327"/>
      <c r="D15" s="327"/>
      <c r="E15" s="327"/>
      <c r="G15" s="327" t="s">
        <v>1782</v>
      </c>
      <c r="H15" s="327"/>
      <c r="I15" s="327"/>
      <c r="J15" s="327"/>
      <c r="K15" s="327"/>
      <c r="M15" s="327" t="s">
        <v>531</v>
      </c>
      <c r="N15" s="327"/>
      <c r="O15" s="327"/>
      <c r="P15" s="327"/>
      <c r="Q15" s="327"/>
      <c r="S15" s="327" t="s">
        <v>532</v>
      </c>
      <c r="T15" s="327"/>
      <c r="U15" s="327"/>
      <c r="V15" s="327"/>
      <c r="W15" s="327"/>
      <c r="Y15" s="327" t="s">
        <v>538</v>
      </c>
      <c r="Z15" s="327"/>
      <c r="AA15" s="327"/>
      <c r="AB15" s="327"/>
      <c r="AC15" s="327"/>
      <c r="AE15" s="327" t="s">
        <v>533</v>
      </c>
      <c r="AF15" s="327"/>
      <c r="AG15" s="327"/>
      <c r="AH15" s="327"/>
      <c r="AI15" s="327"/>
    </row>
    <row r="16" spans="1:44">
      <c r="A16" s="327" t="s">
        <v>534</v>
      </c>
      <c r="B16" s="327"/>
      <c r="C16" s="327"/>
      <c r="D16" s="327"/>
      <c r="E16" s="327"/>
      <c r="G16" s="327" t="s">
        <v>535</v>
      </c>
      <c r="H16" s="327"/>
      <c r="I16" s="327"/>
      <c r="J16" s="327"/>
      <c r="K16" s="327"/>
      <c r="M16" s="327" t="s">
        <v>536</v>
      </c>
      <c r="N16" s="327"/>
      <c r="O16" s="327"/>
      <c r="P16" s="327"/>
      <c r="Q16" s="327"/>
      <c r="S16" s="327" t="s">
        <v>537</v>
      </c>
      <c r="T16" s="327"/>
      <c r="U16" s="327"/>
      <c r="V16" s="327"/>
      <c r="W16" s="327"/>
      <c r="Y16" s="327" t="s">
        <v>542</v>
      </c>
      <c r="Z16" s="327"/>
      <c r="AA16" s="327"/>
      <c r="AB16" s="327"/>
      <c r="AC16" s="327"/>
      <c r="AE16" s="327" t="s">
        <v>539</v>
      </c>
      <c r="AF16" s="327"/>
      <c r="AG16" s="327"/>
      <c r="AH16" s="327"/>
      <c r="AI16" s="327"/>
    </row>
    <row r="17" spans="1:35">
      <c r="A17" s="327" t="s">
        <v>1623</v>
      </c>
      <c r="B17" s="327"/>
      <c r="C17" s="327"/>
      <c r="D17" s="327"/>
      <c r="E17" s="327"/>
      <c r="G17" s="327" t="s">
        <v>540</v>
      </c>
      <c r="H17" s="327"/>
      <c r="I17" s="327"/>
      <c r="J17" s="327"/>
      <c r="K17" s="327"/>
      <c r="M17" s="327" t="s">
        <v>1839</v>
      </c>
      <c r="N17" s="327"/>
      <c r="O17" s="327"/>
      <c r="P17" s="327"/>
      <c r="Q17" s="327"/>
      <c r="S17" s="327" t="s">
        <v>541</v>
      </c>
      <c r="T17" s="327"/>
      <c r="U17" s="327"/>
      <c r="V17" s="327"/>
      <c r="W17" s="327"/>
      <c r="Y17" s="327" t="s">
        <v>548</v>
      </c>
      <c r="Z17" s="327"/>
      <c r="AA17" s="327"/>
      <c r="AB17" s="327"/>
      <c r="AC17" s="327"/>
      <c r="AE17" s="327" t="s">
        <v>543</v>
      </c>
      <c r="AF17" s="327"/>
      <c r="AG17" s="327"/>
      <c r="AH17" s="327"/>
      <c r="AI17" s="327"/>
    </row>
    <row r="18" spans="1:35">
      <c r="A18" s="327" t="s">
        <v>544</v>
      </c>
      <c r="B18" s="327"/>
      <c r="C18" s="327"/>
      <c r="D18" s="327"/>
      <c r="E18" s="327"/>
      <c r="G18" s="327" t="s">
        <v>545</v>
      </c>
      <c r="H18" s="327"/>
      <c r="I18" s="327"/>
      <c r="J18" s="327"/>
      <c r="K18" s="327"/>
      <c r="M18" s="327" t="s">
        <v>546</v>
      </c>
      <c r="N18" s="327"/>
      <c r="O18" s="327"/>
      <c r="P18" s="327"/>
      <c r="Q18" s="327"/>
      <c r="S18" s="327" t="s">
        <v>547</v>
      </c>
      <c r="T18" s="327"/>
      <c r="U18" s="327"/>
      <c r="V18" s="327"/>
      <c r="W18" s="327"/>
      <c r="Y18" s="327" t="s">
        <v>554</v>
      </c>
      <c r="Z18" s="327"/>
      <c r="AA18" s="327"/>
      <c r="AB18" s="327"/>
      <c r="AC18" s="327"/>
      <c r="AE18" s="327" t="s">
        <v>549</v>
      </c>
      <c r="AF18" s="327"/>
      <c r="AG18" s="327"/>
      <c r="AH18" s="327"/>
      <c r="AI18" s="327"/>
    </row>
    <row r="19" spans="1:35">
      <c r="A19" s="327" t="s">
        <v>550</v>
      </c>
      <c r="B19" s="327"/>
      <c r="C19" s="327"/>
      <c r="D19" s="327"/>
      <c r="E19" s="327"/>
      <c r="G19" s="327" t="s">
        <v>551</v>
      </c>
      <c r="H19" s="327"/>
      <c r="I19" s="327"/>
      <c r="J19" s="327"/>
      <c r="K19" s="327"/>
      <c r="M19" s="327" t="s">
        <v>552</v>
      </c>
      <c r="N19" s="327"/>
      <c r="O19" s="327"/>
      <c r="P19" s="327"/>
      <c r="Q19" s="327"/>
      <c r="S19" s="327" t="s">
        <v>553</v>
      </c>
      <c r="T19" s="327"/>
      <c r="U19" s="327"/>
      <c r="V19" s="327"/>
      <c r="W19" s="327"/>
      <c r="Y19" s="327" t="s">
        <v>560</v>
      </c>
      <c r="Z19" s="327"/>
      <c r="AA19" s="327"/>
      <c r="AB19" s="327"/>
      <c r="AC19" s="327"/>
      <c r="AE19" s="327" t="s">
        <v>1973</v>
      </c>
      <c r="AF19" s="327"/>
      <c r="AG19" s="327"/>
      <c r="AH19" s="327"/>
      <c r="AI19" s="327"/>
    </row>
    <row r="20" spans="1:35">
      <c r="A20" s="327" t="s">
        <v>556</v>
      </c>
      <c r="B20" s="327"/>
      <c r="C20" s="327"/>
      <c r="D20" s="327"/>
      <c r="E20" s="327"/>
      <c r="G20" s="327" t="s">
        <v>557</v>
      </c>
      <c r="H20" s="327"/>
      <c r="I20" s="327"/>
      <c r="J20" s="327"/>
      <c r="K20" s="327"/>
      <c r="M20" s="327" t="s">
        <v>558</v>
      </c>
      <c r="N20" s="327"/>
      <c r="O20" s="327"/>
      <c r="P20" s="327"/>
      <c r="Q20" s="327"/>
      <c r="S20" s="327" t="s">
        <v>559</v>
      </c>
      <c r="T20" s="327"/>
      <c r="U20" s="327"/>
      <c r="V20" s="327"/>
      <c r="W20" s="327"/>
      <c r="Y20" s="327" t="s">
        <v>566</v>
      </c>
      <c r="Z20" s="327"/>
      <c r="AA20" s="327"/>
      <c r="AB20" s="327"/>
      <c r="AC20" s="327"/>
      <c r="AE20" s="327" t="s">
        <v>561</v>
      </c>
      <c r="AF20" s="327"/>
      <c r="AG20" s="327"/>
      <c r="AH20" s="327"/>
      <c r="AI20" s="327"/>
    </row>
    <row r="21" spans="1:35">
      <c r="A21" s="327" t="s">
        <v>562</v>
      </c>
      <c r="B21" s="327"/>
      <c r="C21" s="327"/>
      <c r="D21" s="327"/>
      <c r="E21" s="327"/>
      <c r="G21" s="327" t="s">
        <v>563</v>
      </c>
      <c r="H21" s="327"/>
      <c r="I21" s="327"/>
      <c r="J21" s="327"/>
      <c r="K21" s="327"/>
      <c r="M21" s="327" t="s">
        <v>564</v>
      </c>
      <c r="N21" s="327"/>
      <c r="O21" s="327"/>
      <c r="P21" s="327"/>
      <c r="Q21" s="327"/>
      <c r="S21" s="327" t="s">
        <v>565</v>
      </c>
      <c r="T21" s="327"/>
      <c r="U21" s="327"/>
      <c r="V21" s="327"/>
      <c r="W21" s="327"/>
      <c r="Y21" s="327" t="s">
        <v>570</v>
      </c>
      <c r="Z21" s="327"/>
      <c r="AA21" s="327"/>
      <c r="AB21" s="327"/>
      <c r="AC21" s="327"/>
      <c r="AE21" s="327" t="s">
        <v>1617</v>
      </c>
      <c r="AF21" s="327"/>
      <c r="AG21" s="327"/>
      <c r="AH21" s="327"/>
      <c r="AI21" s="327"/>
    </row>
    <row r="22" spans="1:35">
      <c r="A22" s="327" t="s">
        <v>1972</v>
      </c>
      <c r="B22" s="327"/>
      <c r="C22" s="327"/>
      <c r="D22" s="327"/>
      <c r="E22" s="327"/>
      <c r="G22" s="327" t="s">
        <v>567</v>
      </c>
      <c r="H22" s="327"/>
      <c r="I22" s="327"/>
      <c r="J22" s="327"/>
      <c r="K22" s="327"/>
      <c r="M22" s="327" t="s">
        <v>568</v>
      </c>
      <c r="N22" s="327"/>
      <c r="O22" s="327"/>
      <c r="P22" s="327"/>
      <c r="Q22" s="327"/>
      <c r="S22" s="327" t="s">
        <v>569</v>
      </c>
      <c r="T22" s="327"/>
      <c r="U22" s="327"/>
      <c r="V22" s="327"/>
      <c r="W22" s="327"/>
      <c r="Y22" s="327" t="s">
        <v>575</v>
      </c>
      <c r="Z22" s="327"/>
      <c r="AA22" s="327"/>
      <c r="AB22" s="327"/>
      <c r="AC22" s="327"/>
      <c r="AE22" s="327" t="s">
        <v>1618</v>
      </c>
      <c r="AF22" s="327"/>
      <c r="AG22" s="327"/>
      <c r="AH22" s="327"/>
      <c r="AI22" s="327"/>
    </row>
    <row r="23" spans="1:35">
      <c r="A23" s="327" t="s">
        <v>571</v>
      </c>
      <c r="B23" s="327"/>
      <c r="C23" s="327"/>
      <c r="D23" s="327"/>
      <c r="E23" s="327"/>
      <c r="G23" s="327" t="s">
        <v>572</v>
      </c>
      <c r="H23" s="327"/>
      <c r="I23" s="327"/>
      <c r="J23" s="327"/>
      <c r="K23" s="327"/>
      <c r="M23" s="327" t="s">
        <v>573</v>
      </c>
      <c r="N23" s="327"/>
      <c r="O23" s="327"/>
      <c r="P23" s="327"/>
      <c r="Q23" s="327"/>
      <c r="S23" s="327" t="s">
        <v>574</v>
      </c>
      <c r="T23" s="327"/>
      <c r="U23" s="327"/>
      <c r="V23" s="327"/>
      <c r="W23" s="327"/>
      <c r="Y23" s="327" t="s">
        <v>1783</v>
      </c>
      <c r="Z23" s="327"/>
      <c r="AA23" s="327"/>
      <c r="AB23" s="327"/>
      <c r="AC23" s="327"/>
      <c r="AE23" s="327" t="s">
        <v>1619</v>
      </c>
      <c r="AF23" s="327"/>
      <c r="AG23" s="327"/>
      <c r="AH23" s="327"/>
      <c r="AI23" s="327"/>
    </row>
    <row r="24" spans="1:35">
      <c r="A24" s="327" t="s">
        <v>576</v>
      </c>
      <c r="B24" s="327"/>
      <c r="C24" s="327"/>
      <c r="D24" s="327"/>
      <c r="E24" s="327"/>
      <c r="G24" s="327" t="s">
        <v>577</v>
      </c>
      <c r="H24" s="327"/>
      <c r="I24" s="327"/>
      <c r="J24" s="327"/>
      <c r="K24" s="327"/>
      <c r="M24" s="327" t="s">
        <v>578</v>
      </c>
      <c r="N24" s="327"/>
      <c r="O24" s="327"/>
      <c r="P24" s="327"/>
      <c r="Q24" s="327"/>
      <c r="S24" s="327" t="s">
        <v>579</v>
      </c>
      <c r="T24" s="327"/>
      <c r="U24" s="327"/>
      <c r="V24" s="327"/>
      <c r="W24" s="327"/>
      <c r="Y24" s="327" t="s">
        <v>583</v>
      </c>
      <c r="Z24" s="327"/>
      <c r="AA24" s="327"/>
      <c r="AB24" s="327"/>
      <c r="AC24" s="327"/>
      <c r="AE24" s="327" t="s">
        <v>1620</v>
      </c>
      <c r="AF24" s="327"/>
      <c r="AG24" s="327"/>
      <c r="AH24" s="327"/>
      <c r="AI24" s="327"/>
    </row>
    <row r="25" spans="1:35">
      <c r="A25" s="327" t="s">
        <v>580</v>
      </c>
      <c r="B25" s="327"/>
      <c r="C25" s="327"/>
      <c r="D25" s="327"/>
      <c r="E25" s="327"/>
      <c r="G25" s="327" t="s">
        <v>581</v>
      </c>
      <c r="H25" s="327"/>
      <c r="I25" s="327"/>
      <c r="J25" s="327"/>
      <c r="K25" s="327"/>
      <c r="M25" s="327" t="s">
        <v>582</v>
      </c>
      <c r="N25" s="327"/>
      <c r="O25" s="327"/>
      <c r="P25" s="327"/>
      <c r="Q25" s="327"/>
      <c r="S25" s="327" t="s">
        <v>1910</v>
      </c>
      <c r="T25" s="327"/>
      <c r="U25" s="327"/>
      <c r="V25" s="327"/>
      <c r="W25" s="327"/>
      <c r="Y25" s="327" t="s">
        <v>587</v>
      </c>
      <c r="Z25" s="327"/>
      <c r="AA25" s="327"/>
      <c r="AB25" s="327"/>
      <c r="AC25" s="327"/>
      <c r="AE25" s="327" t="s">
        <v>1621</v>
      </c>
      <c r="AF25" s="327"/>
      <c r="AG25" s="327"/>
      <c r="AH25" s="327"/>
      <c r="AI25" s="327"/>
    </row>
    <row r="26" spans="1:35">
      <c r="A26" s="327" t="s">
        <v>584</v>
      </c>
      <c r="B26" s="327"/>
      <c r="C26" s="327"/>
      <c r="D26" s="327"/>
      <c r="E26" s="327"/>
      <c r="G26" s="327" t="s">
        <v>585</v>
      </c>
      <c r="H26" s="327"/>
      <c r="I26" s="327"/>
      <c r="J26" s="327"/>
      <c r="K26" s="327"/>
      <c r="M26" s="327" t="s">
        <v>586</v>
      </c>
      <c r="N26" s="327"/>
      <c r="O26" s="327"/>
      <c r="P26" s="327"/>
      <c r="Q26" s="327"/>
      <c r="Y26" s="327" t="s">
        <v>591</v>
      </c>
      <c r="Z26" s="327"/>
      <c r="AA26" s="327"/>
      <c r="AB26" s="327"/>
      <c r="AC26" s="327"/>
      <c r="AE26" s="327" t="s">
        <v>1840</v>
      </c>
      <c r="AF26" s="327"/>
      <c r="AG26" s="327"/>
      <c r="AH26" s="327"/>
      <c r="AI26" s="327"/>
    </row>
    <row r="27" spans="1:35">
      <c r="A27" s="327" t="s">
        <v>588</v>
      </c>
      <c r="B27" s="327"/>
      <c r="C27" s="327"/>
      <c r="D27" s="327"/>
      <c r="E27" s="327"/>
      <c r="G27" s="327" t="s">
        <v>589</v>
      </c>
      <c r="H27" s="327"/>
      <c r="I27" s="327"/>
      <c r="J27" s="327"/>
      <c r="K27" s="327"/>
      <c r="M27" s="327" t="s">
        <v>590</v>
      </c>
      <c r="N27" s="327"/>
      <c r="O27" s="327"/>
      <c r="P27" s="327"/>
      <c r="Q27" s="327"/>
      <c r="Y27" s="327" t="s">
        <v>594</v>
      </c>
      <c r="Z27" s="327"/>
      <c r="AA27" s="327"/>
      <c r="AB27" s="327"/>
      <c r="AC27" s="327"/>
      <c r="AE27" s="327" t="s">
        <v>2311</v>
      </c>
      <c r="AF27" s="327"/>
      <c r="AG27" s="327"/>
      <c r="AH27" s="327"/>
      <c r="AI27" s="327"/>
    </row>
    <row r="28" spans="1:35">
      <c r="A28" s="327" t="s">
        <v>592</v>
      </c>
      <c r="B28" s="327"/>
      <c r="C28" s="327"/>
      <c r="D28" s="327"/>
      <c r="E28" s="327"/>
      <c r="G28" s="327" t="s">
        <v>1974</v>
      </c>
      <c r="H28" s="327"/>
      <c r="I28" s="327"/>
      <c r="J28" s="327"/>
      <c r="K28" s="327"/>
      <c r="M28" s="327" t="s">
        <v>593</v>
      </c>
      <c r="N28" s="327"/>
      <c r="O28" s="327"/>
      <c r="P28" s="327"/>
      <c r="Q28" s="327"/>
      <c r="Y28" s="327" t="s">
        <v>598</v>
      </c>
      <c r="Z28" s="327"/>
      <c r="AA28" s="327"/>
      <c r="AB28" s="327"/>
      <c r="AC28" s="327"/>
      <c r="AE28" s="327" t="s">
        <v>2312</v>
      </c>
      <c r="AF28" s="327"/>
      <c r="AG28" s="327"/>
      <c r="AH28" s="327"/>
      <c r="AI28" s="327"/>
    </row>
    <row r="29" spans="1:35">
      <c r="A29" s="327" t="s">
        <v>595</v>
      </c>
      <c r="B29" s="327"/>
      <c r="C29" s="327"/>
      <c r="D29" s="327"/>
      <c r="E29" s="327"/>
      <c r="G29" s="327" t="s">
        <v>596</v>
      </c>
      <c r="H29" s="327"/>
      <c r="I29" s="327"/>
      <c r="J29" s="327"/>
      <c r="K29" s="327"/>
      <c r="M29" s="327" t="s">
        <v>597</v>
      </c>
      <c r="N29" s="327"/>
      <c r="O29" s="327"/>
      <c r="P29" s="327"/>
      <c r="Q29" s="327"/>
      <c r="Y29" s="327" t="s">
        <v>1784</v>
      </c>
      <c r="Z29" s="327"/>
      <c r="AA29" s="327"/>
      <c r="AB29" s="327"/>
      <c r="AC29" s="327"/>
      <c r="AE29" s="327" t="s">
        <v>1841</v>
      </c>
      <c r="AF29" s="327"/>
      <c r="AG29" s="327"/>
      <c r="AH29" s="327"/>
      <c r="AI29" s="327"/>
    </row>
    <row r="30" spans="1:35">
      <c r="A30" s="327" t="s">
        <v>599</v>
      </c>
      <c r="B30" s="327"/>
      <c r="C30" s="327"/>
      <c r="D30" s="327"/>
      <c r="E30" s="327"/>
      <c r="G30" s="327" t="s">
        <v>600</v>
      </c>
      <c r="H30" s="327"/>
      <c r="I30" s="327"/>
      <c r="J30" s="327"/>
      <c r="K30" s="327"/>
      <c r="M30" s="327" t="s">
        <v>601</v>
      </c>
      <c r="N30" s="327"/>
      <c r="O30" s="327"/>
      <c r="P30" s="327"/>
      <c r="Q30" s="327"/>
      <c r="Y30" s="327" t="s">
        <v>606</v>
      </c>
      <c r="Z30" s="327"/>
      <c r="AA30" s="327"/>
      <c r="AB30" s="327"/>
      <c r="AC30" s="327"/>
      <c r="AE30" s="327" t="s">
        <v>1983</v>
      </c>
      <c r="AF30" s="327"/>
      <c r="AG30" s="327"/>
      <c r="AH30" s="327"/>
      <c r="AI30" s="327"/>
    </row>
    <row r="31" spans="1:35">
      <c r="A31" s="327" t="s">
        <v>602</v>
      </c>
      <c r="B31" s="327"/>
      <c r="C31" s="327"/>
      <c r="D31" s="327"/>
      <c r="E31" s="327"/>
      <c r="G31" s="327" t="s">
        <v>603</v>
      </c>
      <c r="H31" s="327"/>
      <c r="I31" s="327"/>
      <c r="J31" s="327"/>
      <c r="K31" s="327"/>
      <c r="M31" s="327" t="s">
        <v>604</v>
      </c>
      <c r="N31" s="327"/>
      <c r="O31" s="327"/>
      <c r="P31" s="327"/>
      <c r="Q31" s="327"/>
      <c r="Y31" s="327" t="s">
        <v>608</v>
      </c>
      <c r="Z31" s="327"/>
      <c r="AA31" s="327"/>
      <c r="AB31" s="327"/>
      <c r="AC31" s="327"/>
      <c r="AE31" s="327" t="s">
        <v>1911</v>
      </c>
      <c r="AF31" s="327"/>
      <c r="AG31" s="327"/>
      <c r="AH31" s="327"/>
      <c r="AI31" s="327"/>
    </row>
    <row r="32" spans="1:35">
      <c r="A32" s="327" t="s">
        <v>605</v>
      </c>
      <c r="B32" s="327"/>
      <c r="C32" s="327"/>
      <c r="D32" s="327"/>
      <c r="E32" s="327"/>
      <c r="G32" s="327" t="s">
        <v>2313</v>
      </c>
      <c r="H32" s="327"/>
      <c r="I32" s="327"/>
      <c r="J32" s="327"/>
      <c r="K32" s="327"/>
      <c r="M32" s="327" t="s">
        <v>1615</v>
      </c>
      <c r="N32" s="327"/>
      <c r="O32" s="327"/>
      <c r="P32" s="327"/>
      <c r="Q32" s="327"/>
      <c r="Y32" s="327" t="s">
        <v>610</v>
      </c>
      <c r="Z32" s="327"/>
      <c r="AA32" s="327"/>
      <c r="AB32" s="327"/>
      <c r="AC32" s="327"/>
      <c r="AE32" s="572" t="s">
        <v>2343</v>
      </c>
      <c r="AF32" s="327"/>
      <c r="AG32" s="327"/>
      <c r="AH32" s="327"/>
      <c r="AI32" s="327"/>
    </row>
    <row r="33" spans="1:46">
      <c r="A33" s="327" t="s">
        <v>607</v>
      </c>
      <c r="B33" s="327"/>
      <c r="C33" s="327"/>
      <c r="D33" s="327"/>
      <c r="E33" s="327"/>
      <c r="G33" s="327" t="s">
        <v>2314</v>
      </c>
      <c r="H33" s="327"/>
      <c r="I33" s="327"/>
      <c r="J33" s="327"/>
      <c r="K33" s="327"/>
      <c r="M33" s="327" t="s">
        <v>1914</v>
      </c>
      <c r="N33" s="327"/>
      <c r="O33" s="327"/>
      <c r="P33" s="327"/>
      <c r="Q33" s="327"/>
      <c r="Y33" s="327" t="s">
        <v>1616</v>
      </c>
      <c r="Z33" s="327"/>
      <c r="AA33" s="327"/>
      <c r="AB33" s="327"/>
      <c r="AC33" s="327"/>
    </row>
    <row r="34" spans="1:46">
      <c r="A34" s="327" t="s">
        <v>609</v>
      </c>
      <c r="B34" s="327"/>
      <c r="C34" s="327"/>
      <c r="D34" s="327"/>
      <c r="E34" s="327"/>
      <c r="G34" s="327" t="s">
        <v>1915</v>
      </c>
      <c r="H34" s="327"/>
      <c r="I34" s="327"/>
      <c r="J34" s="327"/>
      <c r="K34" s="327"/>
      <c r="Y34" s="327" t="s">
        <v>2315</v>
      </c>
      <c r="Z34" s="327"/>
      <c r="AA34" s="327"/>
      <c r="AB34" s="327"/>
      <c r="AC34" s="327"/>
    </row>
    <row r="35" spans="1:46">
      <c r="A35" s="327" t="s">
        <v>611</v>
      </c>
      <c r="B35" s="327"/>
      <c r="C35" s="327"/>
      <c r="D35" s="327"/>
      <c r="E35" s="327"/>
      <c r="Y35" s="327" t="s">
        <v>1916</v>
      </c>
      <c r="Z35" s="327"/>
      <c r="AA35" s="327"/>
      <c r="AB35" s="327"/>
      <c r="AC35" s="327"/>
    </row>
    <row r="36" spans="1:46">
      <c r="A36" s="327" t="s">
        <v>612</v>
      </c>
      <c r="B36" s="327"/>
      <c r="C36" s="327"/>
      <c r="D36" s="327"/>
      <c r="E36" s="327"/>
      <c r="Y36" s="572" t="s">
        <v>2316</v>
      </c>
      <c r="Z36" s="327"/>
      <c r="AA36" s="327"/>
      <c r="AB36" s="327"/>
      <c r="AC36" s="327"/>
    </row>
    <row r="37" spans="1:46">
      <c r="A37" s="327" t="s">
        <v>613</v>
      </c>
      <c r="B37" s="327"/>
      <c r="C37" s="327"/>
      <c r="D37" s="327"/>
      <c r="E37" s="327"/>
      <c r="Y37" s="572" t="s">
        <v>2317</v>
      </c>
      <c r="Z37" s="327"/>
      <c r="AA37" s="327"/>
      <c r="AB37" s="327"/>
      <c r="AC37" s="327"/>
    </row>
    <row r="38" spans="1:46">
      <c r="A38" s="327" t="s">
        <v>1624</v>
      </c>
      <c r="B38" s="327"/>
      <c r="C38" s="327"/>
      <c r="D38" s="327"/>
      <c r="E38" s="327"/>
    </row>
    <row r="39" spans="1:46">
      <c r="A39" s="327" t="s">
        <v>1639</v>
      </c>
      <c r="B39" s="327"/>
      <c r="C39" s="327"/>
      <c r="D39" s="327"/>
      <c r="E39" s="327"/>
    </row>
    <row r="40" spans="1:46">
      <c r="A40" s="327" t="s">
        <v>1614</v>
      </c>
      <c r="B40" s="327"/>
      <c r="C40" s="327"/>
      <c r="D40" s="327"/>
      <c r="E40" s="327"/>
    </row>
    <row r="41" spans="1:46">
      <c r="A41" s="327" t="s">
        <v>1917</v>
      </c>
      <c r="B41" s="327"/>
      <c r="C41" s="327"/>
      <c r="D41" s="327"/>
      <c r="E41" s="327"/>
      <c r="I41" s="525"/>
      <c r="J41" s="525"/>
      <c r="K41" s="525"/>
      <c r="L41" s="525"/>
      <c r="M41" s="525"/>
      <c r="N41" s="525"/>
      <c r="O41" s="525"/>
      <c r="P41" s="525"/>
      <c r="Q41" s="525"/>
      <c r="R41" s="525"/>
      <c r="S41" s="525"/>
      <c r="T41" s="525"/>
      <c r="U41" s="525"/>
      <c r="V41" s="525"/>
      <c r="W41" s="525"/>
      <c r="X41" s="525"/>
      <c r="Y41" s="525"/>
      <c r="Z41" s="525"/>
      <c r="AA41" s="525"/>
      <c r="AB41" s="525"/>
      <c r="AC41" s="525"/>
      <c r="AD41" s="525"/>
      <c r="AE41" s="525"/>
      <c r="AF41" s="525"/>
      <c r="AG41" s="525"/>
      <c r="AH41" s="525"/>
      <c r="AI41" s="525"/>
    </row>
    <row r="42" spans="1:46">
      <c r="A42" s="572" t="s">
        <v>2318</v>
      </c>
      <c r="B42" s="327"/>
      <c r="C42" s="327"/>
      <c r="D42" s="327"/>
      <c r="E42" s="327"/>
    </row>
    <row r="43" spans="1:46">
      <c r="A43" s="572" t="s">
        <v>2319</v>
      </c>
      <c r="B43" s="327"/>
      <c r="C43" s="327"/>
      <c r="D43" s="327"/>
      <c r="E43" s="327"/>
    </row>
    <row r="44" spans="1:46">
      <c r="A44" s="572" t="s">
        <v>2320</v>
      </c>
      <c r="B44" s="327"/>
      <c r="C44" s="327"/>
      <c r="D44" s="327"/>
      <c r="E44" s="327"/>
    </row>
    <row r="46" spans="1:46">
      <c r="A46" s="357"/>
      <c r="B46" s="357"/>
      <c r="C46" s="357"/>
      <c r="D46" s="357"/>
      <c r="E46" s="357"/>
      <c r="F46" s="357"/>
      <c r="G46" s="357"/>
      <c r="H46" s="357"/>
      <c r="I46" s="357"/>
      <c r="J46" s="357"/>
      <c r="K46" s="357"/>
      <c r="L46" s="357"/>
      <c r="M46" s="357"/>
      <c r="N46" s="357"/>
      <c r="O46" s="357"/>
      <c r="P46" s="357"/>
      <c r="Q46" s="357"/>
      <c r="R46" s="357"/>
      <c r="S46" s="357"/>
      <c r="T46" s="357"/>
      <c r="U46" s="357"/>
      <c r="V46" s="357"/>
      <c r="W46" s="357"/>
      <c r="X46" s="357"/>
      <c r="Y46" s="357"/>
      <c r="Z46" s="357"/>
      <c r="AA46" s="357"/>
      <c r="AB46" s="357"/>
      <c r="AC46" s="357"/>
      <c r="AD46" s="357"/>
      <c r="AE46" s="357"/>
      <c r="AF46" s="357"/>
      <c r="AG46" s="357"/>
      <c r="AH46" s="357"/>
      <c r="AI46" s="357"/>
      <c r="AJ46" s="357"/>
      <c r="AK46" s="335"/>
      <c r="AL46" s="335"/>
      <c r="AM46" s="335"/>
      <c r="AN46" s="335"/>
      <c r="AO46" s="335"/>
      <c r="AP46" s="335"/>
      <c r="AQ46" s="335"/>
      <c r="AR46" s="335"/>
      <c r="AS46" s="274"/>
      <c r="AT46" s="274"/>
    </row>
    <row r="73" spans="6:13">
      <c r="F73" s="355" t="s">
        <v>1051</v>
      </c>
      <c r="G73" s="355" t="s">
        <v>1045</v>
      </c>
      <c r="H73" s="355" t="s">
        <v>1052</v>
      </c>
      <c r="I73" s="355" t="s">
        <v>1053</v>
      </c>
      <c r="L73" s="355" t="s">
        <v>1048</v>
      </c>
      <c r="M73" s="355" t="s">
        <v>1049</v>
      </c>
    </row>
    <row r="74" spans="6:13">
      <c r="F74" s="355" t="s">
        <v>1051</v>
      </c>
      <c r="G74" s="355" t="s">
        <v>1046</v>
      </c>
      <c r="H74" s="355" t="s">
        <v>1054</v>
      </c>
      <c r="I74" s="355" t="s">
        <v>1055</v>
      </c>
    </row>
    <row r="75" spans="6:13">
      <c r="F75" s="355" t="s">
        <v>1051</v>
      </c>
      <c r="G75" s="355" t="s">
        <v>1047</v>
      </c>
      <c r="H75" s="355" t="s">
        <v>1056</v>
      </c>
      <c r="I75" s="355" t="s">
        <v>1057</v>
      </c>
    </row>
    <row r="76" spans="6:13">
      <c r="F76" s="355" t="s">
        <v>1051</v>
      </c>
      <c r="G76" s="355" t="s">
        <v>1050</v>
      </c>
      <c r="H76" s="355" t="s">
        <v>1058</v>
      </c>
      <c r="I76" s="355" t="s">
        <v>1059</v>
      </c>
    </row>
    <row r="77" spans="6:13">
      <c r="F77" s="355" t="s">
        <v>1051</v>
      </c>
      <c r="G77" s="355" t="s">
        <v>1048</v>
      </c>
      <c r="H77" s="355" t="s">
        <v>1060</v>
      </c>
      <c r="I77" s="355" t="s">
        <v>1061</v>
      </c>
    </row>
    <row r="78" spans="6:13">
      <c r="F78" s="355" t="s">
        <v>1051</v>
      </c>
      <c r="G78" s="355" t="s">
        <v>1049</v>
      </c>
      <c r="H78" s="355" t="s">
        <v>1062</v>
      </c>
      <c r="I78" s="355" t="s">
        <v>1063</v>
      </c>
    </row>
  </sheetData>
  <sheetProtection selectLockedCells="1" selectUnlockedCells="1"/>
  <mergeCells count="6">
    <mergeCell ref="AE4:AI4"/>
    <mergeCell ref="A4:E4"/>
    <mergeCell ref="G4:K4"/>
    <mergeCell ref="M4:Q4"/>
    <mergeCell ref="S4:W4"/>
    <mergeCell ref="Y4:AC4"/>
  </mergeCells>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65D11-BF02-4242-AC42-3E3A784E4AD7}">
  <dimension ref="A1:K33"/>
  <sheetViews>
    <sheetView view="pageBreakPreview" zoomScale="85" zoomScaleNormal="85" zoomScaleSheetLayoutView="85" workbookViewId="0">
      <selection activeCell="A17" sqref="A17"/>
    </sheetView>
  </sheetViews>
  <sheetFormatPr defaultRowHeight="16.5"/>
  <cols>
    <col min="1" max="1" width="5.08203125" style="164" customWidth="1"/>
    <col min="2" max="3" width="9" style="164"/>
    <col min="4" max="4" width="5.08203125" style="164" customWidth="1"/>
    <col min="5" max="10" width="9" style="164"/>
    <col min="11" max="11" width="8.25" style="164" customWidth="1"/>
    <col min="12" max="256" width="9" style="164"/>
    <col min="257" max="257" width="5.08203125" style="164" customWidth="1"/>
    <col min="258" max="259" width="9" style="164"/>
    <col min="260" max="260" width="5.08203125" style="164" customWidth="1"/>
    <col min="261" max="266" width="9" style="164"/>
    <col min="267" max="267" width="8.25" style="164" customWidth="1"/>
    <col min="268" max="512" width="9" style="164"/>
    <col min="513" max="513" width="5.08203125" style="164" customWidth="1"/>
    <col min="514" max="515" width="9" style="164"/>
    <col min="516" max="516" width="5.08203125" style="164" customWidth="1"/>
    <col min="517" max="522" width="9" style="164"/>
    <col min="523" max="523" width="8.25" style="164" customWidth="1"/>
    <col min="524" max="768" width="9" style="164"/>
    <col min="769" max="769" width="5.08203125" style="164" customWidth="1"/>
    <col min="770" max="771" width="9" style="164"/>
    <col min="772" max="772" width="5.08203125" style="164" customWidth="1"/>
    <col min="773" max="778" width="9" style="164"/>
    <col min="779" max="779" width="8.25" style="164" customWidth="1"/>
    <col min="780" max="1024" width="9" style="164"/>
    <col min="1025" max="1025" width="5.08203125" style="164" customWidth="1"/>
    <col min="1026" max="1027" width="9" style="164"/>
    <col min="1028" max="1028" width="5.08203125" style="164" customWidth="1"/>
    <col min="1029" max="1034" width="9" style="164"/>
    <col min="1035" max="1035" width="8.25" style="164" customWidth="1"/>
    <col min="1036" max="1280" width="9" style="164"/>
    <col min="1281" max="1281" width="5.08203125" style="164" customWidth="1"/>
    <col min="1282" max="1283" width="9" style="164"/>
    <col min="1284" max="1284" width="5.08203125" style="164" customWidth="1"/>
    <col min="1285" max="1290" width="9" style="164"/>
    <col min="1291" max="1291" width="8.25" style="164" customWidth="1"/>
    <col min="1292" max="1536" width="9" style="164"/>
    <col min="1537" max="1537" width="5.08203125" style="164" customWidth="1"/>
    <col min="1538" max="1539" width="9" style="164"/>
    <col min="1540" max="1540" width="5.08203125" style="164" customWidth="1"/>
    <col min="1541" max="1546" width="9" style="164"/>
    <col min="1547" max="1547" width="8.25" style="164" customWidth="1"/>
    <col min="1548" max="1792" width="9" style="164"/>
    <col min="1793" max="1793" width="5.08203125" style="164" customWidth="1"/>
    <col min="1794" max="1795" width="9" style="164"/>
    <col min="1796" max="1796" width="5.08203125" style="164" customWidth="1"/>
    <col min="1797" max="1802" width="9" style="164"/>
    <col min="1803" max="1803" width="8.25" style="164" customWidth="1"/>
    <col min="1804" max="2048" width="9" style="164"/>
    <col min="2049" max="2049" width="5.08203125" style="164" customWidth="1"/>
    <col min="2050" max="2051" width="9" style="164"/>
    <col min="2052" max="2052" width="5.08203125" style="164" customWidth="1"/>
    <col min="2053" max="2058" width="9" style="164"/>
    <col min="2059" max="2059" width="8.25" style="164" customWidth="1"/>
    <col min="2060" max="2304" width="9" style="164"/>
    <col min="2305" max="2305" width="5.08203125" style="164" customWidth="1"/>
    <col min="2306" max="2307" width="9" style="164"/>
    <col min="2308" max="2308" width="5.08203125" style="164" customWidth="1"/>
    <col min="2309" max="2314" width="9" style="164"/>
    <col min="2315" max="2315" width="8.25" style="164" customWidth="1"/>
    <col min="2316" max="2560" width="9" style="164"/>
    <col min="2561" max="2561" width="5.08203125" style="164" customWidth="1"/>
    <col min="2562" max="2563" width="9" style="164"/>
    <col min="2564" max="2564" width="5.08203125" style="164" customWidth="1"/>
    <col min="2565" max="2570" width="9" style="164"/>
    <col min="2571" max="2571" width="8.25" style="164" customWidth="1"/>
    <col min="2572" max="2816" width="9" style="164"/>
    <col min="2817" max="2817" width="5.08203125" style="164" customWidth="1"/>
    <col min="2818" max="2819" width="9" style="164"/>
    <col min="2820" max="2820" width="5.08203125" style="164" customWidth="1"/>
    <col min="2821" max="2826" width="9" style="164"/>
    <col min="2827" max="2827" width="8.25" style="164" customWidth="1"/>
    <col min="2828" max="3072" width="9" style="164"/>
    <col min="3073" max="3073" width="5.08203125" style="164" customWidth="1"/>
    <col min="3074" max="3075" width="9" style="164"/>
    <col min="3076" max="3076" width="5.08203125" style="164" customWidth="1"/>
    <col min="3077" max="3082" width="9" style="164"/>
    <col min="3083" max="3083" width="8.25" style="164" customWidth="1"/>
    <col min="3084" max="3328" width="9" style="164"/>
    <col min="3329" max="3329" width="5.08203125" style="164" customWidth="1"/>
    <col min="3330" max="3331" width="9" style="164"/>
    <col min="3332" max="3332" width="5.08203125" style="164" customWidth="1"/>
    <col min="3333" max="3338" width="9" style="164"/>
    <col min="3339" max="3339" width="8.25" style="164" customWidth="1"/>
    <col min="3340" max="3584" width="9" style="164"/>
    <col min="3585" max="3585" width="5.08203125" style="164" customWidth="1"/>
    <col min="3586" max="3587" width="9" style="164"/>
    <col min="3588" max="3588" width="5.08203125" style="164" customWidth="1"/>
    <col min="3589" max="3594" width="9" style="164"/>
    <col min="3595" max="3595" width="8.25" style="164" customWidth="1"/>
    <col min="3596" max="3840" width="9" style="164"/>
    <col min="3841" max="3841" width="5.08203125" style="164" customWidth="1"/>
    <col min="3842" max="3843" width="9" style="164"/>
    <col min="3844" max="3844" width="5.08203125" style="164" customWidth="1"/>
    <col min="3845" max="3850" width="9" style="164"/>
    <col min="3851" max="3851" width="8.25" style="164" customWidth="1"/>
    <col min="3852" max="4096" width="9" style="164"/>
    <col min="4097" max="4097" width="5.08203125" style="164" customWidth="1"/>
    <col min="4098" max="4099" width="9" style="164"/>
    <col min="4100" max="4100" width="5.08203125" style="164" customWidth="1"/>
    <col min="4101" max="4106" width="9" style="164"/>
    <col min="4107" max="4107" width="8.25" style="164" customWidth="1"/>
    <col min="4108" max="4352" width="9" style="164"/>
    <col min="4353" max="4353" width="5.08203125" style="164" customWidth="1"/>
    <col min="4354" max="4355" width="9" style="164"/>
    <col min="4356" max="4356" width="5.08203125" style="164" customWidth="1"/>
    <col min="4357" max="4362" width="9" style="164"/>
    <col min="4363" max="4363" width="8.25" style="164" customWidth="1"/>
    <col min="4364" max="4608" width="9" style="164"/>
    <col min="4609" max="4609" width="5.08203125" style="164" customWidth="1"/>
    <col min="4610" max="4611" width="9" style="164"/>
    <col min="4612" max="4612" width="5.08203125" style="164" customWidth="1"/>
    <col min="4613" max="4618" width="9" style="164"/>
    <col min="4619" max="4619" width="8.25" style="164" customWidth="1"/>
    <col min="4620" max="4864" width="9" style="164"/>
    <col min="4865" max="4865" width="5.08203125" style="164" customWidth="1"/>
    <col min="4866" max="4867" width="9" style="164"/>
    <col min="4868" max="4868" width="5.08203125" style="164" customWidth="1"/>
    <col min="4869" max="4874" width="9" style="164"/>
    <col min="4875" max="4875" width="8.25" style="164" customWidth="1"/>
    <col min="4876" max="5120" width="9" style="164"/>
    <col min="5121" max="5121" width="5.08203125" style="164" customWidth="1"/>
    <col min="5122" max="5123" width="9" style="164"/>
    <col min="5124" max="5124" width="5.08203125" style="164" customWidth="1"/>
    <col min="5125" max="5130" width="9" style="164"/>
    <col min="5131" max="5131" width="8.25" style="164" customWidth="1"/>
    <col min="5132" max="5376" width="9" style="164"/>
    <col min="5377" max="5377" width="5.08203125" style="164" customWidth="1"/>
    <col min="5378" max="5379" width="9" style="164"/>
    <col min="5380" max="5380" width="5.08203125" style="164" customWidth="1"/>
    <col min="5381" max="5386" width="9" style="164"/>
    <col min="5387" max="5387" width="8.25" style="164" customWidth="1"/>
    <col min="5388" max="5632" width="9" style="164"/>
    <col min="5633" max="5633" width="5.08203125" style="164" customWidth="1"/>
    <col min="5634" max="5635" width="9" style="164"/>
    <col min="5636" max="5636" width="5.08203125" style="164" customWidth="1"/>
    <col min="5637" max="5642" width="9" style="164"/>
    <col min="5643" max="5643" width="8.25" style="164" customWidth="1"/>
    <col min="5644" max="5888" width="9" style="164"/>
    <col min="5889" max="5889" width="5.08203125" style="164" customWidth="1"/>
    <col min="5890" max="5891" width="9" style="164"/>
    <col min="5892" max="5892" width="5.08203125" style="164" customWidth="1"/>
    <col min="5893" max="5898" width="9" style="164"/>
    <col min="5899" max="5899" width="8.25" style="164" customWidth="1"/>
    <col min="5900" max="6144" width="9" style="164"/>
    <col min="6145" max="6145" width="5.08203125" style="164" customWidth="1"/>
    <col min="6146" max="6147" width="9" style="164"/>
    <col min="6148" max="6148" width="5.08203125" style="164" customWidth="1"/>
    <col min="6149" max="6154" width="9" style="164"/>
    <col min="6155" max="6155" width="8.25" style="164" customWidth="1"/>
    <col min="6156" max="6400" width="9" style="164"/>
    <col min="6401" max="6401" width="5.08203125" style="164" customWidth="1"/>
    <col min="6402" max="6403" width="9" style="164"/>
    <col min="6404" max="6404" width="5.08203125" style="164" customWidth="1"/>
    <col min="6405" max="6410" width="9" style="164"/>
    <col min="6411" max="6411" width="8.25" style="164" customWidth="1"/>
    <col min="6412" max="6656" width="9" style="164"/>
    <col min="6657" max="6657" width="5.08203125" style="164" customWidth="1"/>
    <col min="6658" max="6659" width="9" style="164"/>
    <col min="6660" max="6660" width="5.08203125" style="164" customWidth="1"/>
    <col min="6661" max="6666" width="9" style="164"/>
    <col min="6667" max="6667" width="8.25" style="164" customWidth="1"/>
    <col min="6668" max="6912" width="9" style="164"/>
    <col min="6913" max="6913" width="5.08203125" style="164" customWidth="1"/>
    <col min="6914" max="6915" width="9" style="164"/>
    <col min="6916" max="6916" width="5.08203125" style="164" customWidth="1"/>
    <col min="6917" max="6922" width="9" style="164"/>
    <col min="6923" max="6923" width="8.25" style="164" customWidth="1"/>
    <col min="6924" max="7168" width="9" style="164"/>
    <col min="7169" max="7169" width="5.08203125" style="164" customWidth="1"/>
    <col min="7170" max="7171" width="9" style="164"/>
    <col min="7172" max="7172" width="5.08203125" style="164" customWidth="1"/>
    <col min="7173" max="7178" width="9" style="164"/>
    <col min="7179" max="7179" width="8.25" style="164" customWidth="1"/>
    <col min="7180" max="7424" width="9" style="164"/>
    <col min="7425" max="7425" width="5.08203125" style="164" customWidth="1"/>
    <col min="7426" max="7427" width="9" style="164"/>
    <col min="7428" max="7428" width="5.08203125" style="164" customWidth="1"/>
    <col min="7429" max="7434" width="9" style="164"/>
    <col min="7435" max="7435" width="8.25" style="164" customWidth="1"/>
    <col min="7436" max="7680" width="9" style="164"/>
    <col min="7681" max="7681" width="5.08203125" style="164" customWidth="1"/>
    <col min="7682" max="7683" width="9" style="164"/>
    <col min="7684" max="7684" width="5.08203125" style="164" customWidth="1"/>
    <col min="7685" max="7690" width="9" style="164"/>
    <col min="7691" max="7691" width="8.25" style="164" customWidth="1"/>
    <col min="7692" max="7936" width="9" style="164"/>
    <col min="7937" max="7937" width="5.08203125" style="164" customWidth="1"/>
    <col min="7938" max="7939" width="9" style="164"/>
    <col min="7940" max="7940" width="5.08203125" style="164" customWidth="1"/>
    <col min="7941" max="7946" width="9" style="164"/>
    <col min="7947" max="7947" width="8.25" style="164" customWidth="1"/>
    <col min="7948" max="8192" width="9" style="164"/>
    <col min="8193" max="8193" width="5.08203125" style="164" customWidth="1"/>
    <col min="8194" max="8195" width="9" style="164"/>
    <col min="8196" max="8196" width="5.08203125" style="164" customWidth="1"/>
    <col min="8197" max="8202" width="9" style="164"/>
    <col min="8203" max="8203" width="8.25" style="164" customWidth="1"/>
    <col min="8204" max="8448" width="9" style="164"/>
    <col min="8449" max="8449" width="5.08203125" style="164" customWidth="1"/>
    <col min="8450" max="8451" width="9" style="164"/>
    <col min="8452" max="8452" width="5.08203125" style="164" customWidth="1"/>
    <col min="8453" max="8458" width="9" style="164"/>
    <col min="8459" max="8459" width="8.25" style="164" customWidth="1"/>
    <col min="8460" max="8704" width="9" style="164"/>
    <col min="8705" max="8705" width="5.08203125" style="164" customWidth="1"/>
    <col min="8706" max="8707" width="9" style="164"/>
    <col min="8708" max="8708" width="5.08203125" style="164" customWidth="1"/>
    <col min="8709" max="8714" width="9" style="164"/>
    <col min="8715" max="8715" width="8.25" style="164" customWidth="1"/>
    <col min="8716" max="8960" width="9" style="164"/>
    <col min="8961" max="8961" width="5.08203125" style="164" customWidth="1"/>
    <col min="8962" max="8963" width="9" style="164"/>
    <col min="8964" max="8964" width="5.08203125" style="164" customWidth="1"/>
    <col min="8965" max="8970" width="9" style="164"/>
    <col min="8971" max="8971" width="8.25" style="164" customWidth="1"/>
    <col min="8972" max="9216" width="9" style="164"/>
    <col min="9217" max="9217" width="5.08203125" style="164" customWidth="1"/>
    <col min="9218" max="9219" width="9" style="164"/>
    <col min="9220" max="9220" width="5.08203125" style="164" customWidth="1"/>
    <col min="9221" max="9226" width="9" style="164"/>
    <col min="9227" max="9227" width="8.25" style="164" customWidth="1"/>
    <col min="9228" max="9472" width="9" style="164"/>
    <col min="9473" max="9473" width="5.08203125" style="164" customWidth="1"/>
    <col min="9474" max="9475" width="9" style="164"/>
    <col min="9476" max="9476" width="5.08203125" style="164" customWidth="1"/>
    <col min="9477" max="9482" width="9" style="164"/>
    <col min="9483" max="9483" width="8.25" style="164" customWidth="1"/>
    <col min="9484" max="9728" width="9" style="164"/>
    <col min="9729" max="9729" width="5.08203125" style="164" customWidth="1"/>
    <col min="9730" max="9731" width="9" style="164"/>
    <col min="9732" max="9732" width="5.08203125" style="164" customWidth="1"/>
    <col min="9733" max="9738" width="9" style="164"/>
    <col min="9739" max="9739" width="8.25" style="164" customWidth="1"/>
    <col min="9740" max="9984" width="9" style="164"/>
    <col min="9985" max="9985" width="5.08203125" style="164" customWidth="1"/>
    <col min="9986" max="9987" width="9" style="164"/>
    <col min="9988" max="9988" width="5.08203125" style="164" customWidth="1"/>
    <col min="9989" max="9994" width="9" style="164"/>
    <col min="9995" max="9995" width="8.25" style="164" customWidth="1"/>
    <col min="9996" max="10240" width="9" style="164"/>
    <col min="10241" max="10241" width="5.08203125" style="164" customWidth="1"/>
    <col min="10242" max="10243" width="9" style="164"/>
    <col min="10244" max="10244" width="5.08203125" style="164" customWidth="1"/>
    <col min="10245" max="10250" width="9" style="164"/>
    <col min="10251" max="10251" width="8.25" style="164" customWidth="1"/>
    <col min="10252" max="10496" width="9" style="164"/>
    <col min="10497" max="10497" width="5.08203125" style="164" customWidth="1"/>
    <col min="10498" max="10499" width="9" style="164"/>
    <col min="10500" max="10500" width="5.08203125" style="164" customWidth="1"/>
    <col min="10501" max="10506" width="9" style="164"/>
    <col min="10507" max="10507" width="8.25" style="164" customWidth="1"/>
    <col min="10508" max="10752" width="9" style="164"/>
    <col min="10753" max="10753" width="5.08203125" style="164" customWidth="1"/>
    <col min="10754" max="10755" width="9" style="164"/>
    <col min="10756" max="10756" width="5.08203125" style="164" customWidth="1"/>
    <col min="10757" max="10762" width="9" style="164"/>
    <col min="10763" max="10763" width="8.25" style="164" customWidth="1"/>
    <col min="10764" max="11008" width="9" style="164"/>
    <col min="11009" max="11009" width="5.08203125" style="164" customWidth="1"/>
    <col min="11010" max="11011" width="9" style="164"/>
    <col min="11012" max="11012" width="5.08203125" style="164" customWidth="1"/>
    <col min="11013" max="11018" width="9" style="164"/>
    <col min="11019" max="11019" width="8.25" style="164" customWidth="1"/>
    <col min="11020" max="11264" width="9" style="164"/>
    <col min="11265" max="11265" width="5.08203125" style="164" customWidth="1"/>
    <col min="11266" max="11267" width="9" style="164"/>
    <col min="11268" max="11268" width="5.08203125" style="164" customWidth="1"/>
    <col min="11269" max="11274" width="9" style="164"/>
    <col min="11275" max="11275" width="8.25" style="164" customWidth="1"/>
    <col min="11276" max="11520" width="9" style="164"/>
    <col min="11521" max="11521" width="5.08203125" style="164" customWidth="1"/>
    <col min="11522" max="11523" width="9" style="164"/>
    <col min="11524" max="11524" width="5.08203125" style="164" customWidth="1"/>
    <col min="11525" max="11530" width="9" style="164"/>
    <col min="11531" max="11531" width="8.25" style="164" customWidth="1"/>
    <col min="11532" max="11776" width="9" style="164"/>
    <col min="11777" max="11777" width="5.08203125" style="164" customWidth="1"/>
    <col min="11778" max="11779" width="9" style="164"/>
    <col min="11780" max="11780" width="5.08203125" style="164" customWidth="1"/>
    <col min="11781" max="11786" width="9" style="164"/>
    <col min="11787" max="11787" width="8.25" style="164" customWidth="1"/>
    <col min="11788" max="12032" width="9" style="164"/>
    <col min="12033" max="12033" width="5.08203125" style="164" customWidth="1"/>
    <col min="12034" max="12035" width="9" style="164"/>
    <col min="12036" max="12036" width="5.08203125" style="164" customWidth="1"/>
    <col min="12037" max="12042" width="9" style="164"/>
    <col min="12043" max="12043" width="8.25" style="164" customWidth="1"/>
    <col min="12044" max="12288" width="9" style="164"/>
    <col min="12289" max="12289" width="5.08203125" style="164" customWidth="1"/>
    <col min="12290" max="12291" width="9" style="164"/>
    <col min="12292" max="12292" width="5.08203125" style="164" customWidth="1"/>
    <col min="12293" max="12298" width="9" style="164"/>
    <col min="12299" max="12299" width="8.25" style="164" customWidth="1"/>
    <col min="12300" max="12544" width="9" style="164"/>
    <col min="12545" max="12545" width="5.08203125" style="164" customWidth="1"/>
    <col min="12546" max="12547" width="9" style="164"/>
    <col min="12548" max="12548" width="5.08203125" style="164" customWidth="1"/>
    <col min="12549" max="12554" width="9" style="164"/>
    <col min="12555" max="12555" width="8.25" style="164" customWidth="1"/>
    <col min="12556" max="12800" width="9" style="164"/>
    <col min="12801" max="12801" width="5.08203125" style="164" customWidth="1"/>
    <col min="12802" max="12803" width="9" style="164"/>
    <col min="12804" max="12804" width="5.08203125" style="164" customWidth="1"/>
    <col min="12805" max="12810" width="9" style="164"/>
    <col min="12811" max="12811" width="8.25" style="164" customWidth="1"/>
    <col min="12812" max="13056" width="9" style="164"/>
    <col min="13057" max="13057" width="5.08203125" style="164" customWidth="1"/>
    <col min="13058" max="13059" width="9" style="164"/>
    <col min="13060" max="13060" width="5.08203125" style="164" customWidth="1"/>
    <col min="13061" max="13066" width="9" style="164"/>
    <col min="13067" max="13067" width="8.25" style="164" customWidth="1"/>
    <col min="13068" max="13312" width="9" style="164"/>
    <col min="13313" max="13313" width="5.08203125" style="164" customWidth="1"/>
    <col min="13314" max="13315" width="9" style="164"/>
    <col min="13316" max="13316" width="5.08203125" style="164" customWidth="1"/>
    <col min="13317" max="13322" width="9" style="164"/>
    <col min="13323" max="13323" width="8.25" style="164" customWidth="1"/>
    <col min="13324" max="13568" width="9" style="164"/>
    <col min="13569" max="13569" width="5.08203125" style="164" customWidth="1"/>
    <col min="13570" max="13571" width="9" style="164"/>
    <col min="13572" max="13572" width="5.08203125" style="164" customWidth="1"/>
    <col min="13573" max="13578" width="9" style="164"/>
    <col min="13579" max="13579" width="8.25" style="164" customWidth="1"/>
    <col min="13580" max="13824" width="9" style="164"/>
    <col min="13825" max="13825" width="5.08203125" style="164" customWidth="1"/>
    <col min="13826" max="13827" width="9" style="164"/>
    <col min="13828" max="13828" width="5.08203125" style="164" customWidth="1"/>
    <col min="13829" max="13834" width="9" style="164"/>
    <col min="13835" max="13835" width="8.25" style="164" customWidth="1"/>
    <col min="13836" max="14080" width="9" style="164"/>
    <col min="14081" max="14081" width="5.08203125" style="164" customWidth="1"/>
    <col min="14082" max="14083" width="9" style="164"/>
    <col min="14084" max="14084" width="5.08203125" style="164" customWidth="1"/>
    <col min="14085" max="14090" width="9" style="164"/>
    <col min="14091" max="14091" width="8.25" style="164" customWidth="1"/>
    <col min="14092" max="14336" width="9" style="164"/>
    <col min="14337" max="14337" width="5.08203125" style="164" customWidth="1"/>
    <col min="14338" max="14339" width="9" style="164"/>
    <col min="14340" max="14340" width="5.08203125" style="164" customWidth="1"/>
    <col min="14341" max="14346" width="9" style="164"/>
    <col min="14347" max="14347" width="8.25" style="164" customWidth="1"/>
    <col min="14348" max="14592" width="9" style="164"/>
    <col min="14593" max="14593" width="5.08203125" style="164" customWidth="1"/>
    <col min="14594" max="14595" width="9" style="164"/>
    <col min="14596" max="14596" width="5.08203125" style="164" customWidth="1"/>
    <col min="14597" max="14602" width="9" style="164"/>
    <col min="14603" max="14603" width="8.25" style="164" customWidth="1"/>
    <col min="14604" max="14848" width="9" style="164"/>
    <col min="14849" max="14849" width="5.08203125" style="164" customWidth="1"/>
    <col min="14850" max="14851" width="9" style="164"/>
    <col min="14852" max="14852" width="5.08203125" style="164" customWidth="1"/>
    <col min="14853" max="14858" width="9" style="164"/>
    <col min="14859" max="14859" width="8.25" style="164" customWidth="1"/>
    <col min="14860" max="15104" width="9" style="164"/>
    <col min="15105" max="15105" width="5.08203125" style="164" customWidth="1"/>
    <col min="15106" max="15107" width="9" style="164"/>
    <col min="15108" max="15108" width="5.08203125" style="164" customWidth="1"/>
    <col min="15109" max="15114" width="9" style="164"/>
    <col min="15115" max="15115" width="8.25" style="164" customWidth="1"/>
    <col min="15116" max="15360" width="9" style="164"/>
    <col min="15361" max="15361" width="5.08203125" style="164" customWidth="1"/>
    <col min="15362" max="15363" width="9" style="164"/>
    <col min="15364" max="15364" width="5.08203125" style="164" customWidth="1"/>
    <col min="15365" max="15370" width="9" style="164"/>
    <col min="15371" max="15371" width="8.25" style="164" customWidth="1"/>
    <col min="15372" max="15616" width="9" style="164"/>
    <col min="15617" max="15617" width="5.08203125" style="164" customWidth="1"/>
    <col min="15618" max="15619" width="9" style="164"/>
    <col min="15620" max="15620" width="5.08203125" style="164" customWidth="1"/>
    <col min="15621" max="15626" width="9" style="164"/>
    <col min="15627" max="15627" width="8.25" style="164" customWidth="1"/>
    <col min="15628" max="15872" width="9" style="164"/>
    <col min="15873" max="15873" width="5.08203125" style="164" customWidth="1"/>
    <col min="15874" max="15875" width="9" style="164"/>
    <col min="15876" max="15876" width="5.08203125" style="164" customWidth="1"/>
    <col min="15877" max="15882" width="9" style="164"/>
    <col min="15883" max="15883" width="8.25" style="164" customWidth="1"/>
    <col min="15884" max="16128" width="9" style="164"/>
    <col min="16129" max="16129" width="5.08203125" style="164" customWidth="1"/>
    <col min="16130" max="16131" width="9" style="164"/>
    <col min="16132" max="16132" width="5.08203125" style="164" customWidth="1"/>
    <col min="16133" max="16138" width="9" style="164"/>
    <col min="16139" max="16139" width="8.25" style="164" customWidth="1"/>
    <col min="16140" max="16384" width="9" style="164"/>
  </cols>
  <sheetData>
    <row r="1" spans="1:11" ht="20.149999999999999" customHeight="1">
      <c r="A1" s="464"/>
      <c r="B1" s="464"/>
      <c r="C1" s="464"/>
      <c r="D1" s="464"/>
      <c r="E1" s="464"/>
      <c r="F1" s="464"/>
      <c r="G1" s="464"/>
      <c r="H1" s="464"/>
      <c r="I1" s="701"/>
      <c r="J1" s="701"/>
      <c r="K1" s="701"/>
    </row>
    <row r="2" spans="1:11" ht="5.15" customHeight="1">
      <c r="A2" s="464"/>
      <c r="B2" s="464"/>
      <c r="C2" s="464"/>
      <c r="D2" s="464"/>
      <c r="E2" s="464"/>
      <c r="F2" s="464"/>
      <c r="G2" s="464"/>
      <c r="H2" s="464"/>
      <c r="I2" s="465"/>
      <c r="J2" s="465"/>
      <c r="K2" s="465"/>
    </row>
    <row r="3" spans="1:11" ht="39.75" customHeight="1">
      <c r="A3" s="702" t="s">
        <v>1848</v>
      </c>
      <c r="B3" s="702"/>
      <c r="C3" s="702"/>
      <c r="D3" s="702"/>
      <c r="E3" s="702"/>
      <c r="F3" s="702"/>
      <c r="G3" s="702"/>
      <c r="H3" s="702"/>
      <c r="I3" s="702"/>
      <c r="J3" s="702"/>
      <c r="K3" s="702"/>
    </row>
    <row r="4" spans="1:11" ht="20.149999999999999" customHeight="1">
      <c r="A4" s="166"/>
      <c r="B4" s="166"/>
      <c r="C4" s="166"/>
      <c r="D4" s="166"/>
      <c r="E4" s="166"/>
      <c r="F4" s="166"/>
      <c r="G4" s="166"/>
      <c r="H4" s="466"/>
      <c r="I4" s="703" t="s">
        <v>2119</v>
      </c>
      <c r="J4" s="703"/>
      <c r="K4" s="703"/>
    </row>
    <row r="5" spans="1:11" ht="5.25" customHeight="1">
      <c r="A5" s="704"/>
      <c r="B5" s="704"/>
      <c r="C5" s="704"/>
      <c r="D5" s="704"/>
      <c r="E5" s="704"/>
      <c r="F5" s="704"/>
      <c r="G5" s="704"/>
      <c r="H5" s="704"/>
      <c r="I5" s="704"/>
      <c r="J5" s="704"/>
      <c r="K5" s="704"/>
    </row>
    <row r="6" spans="1:11" ht="33.75" customHeight="1">
      <c r="A6" s="692" t="s">
        <v>410</v>
      </c>
      <c r="B6" s="692"/>
      <c r="C6" s="692"/>
      <c r="D6" s="692"/>
      <c r="E6" s="692"/>
      <c r="F6" s="692"/>
      <c r="G6" s="166"/>
      <c r="H6" s="166"/>
      <c r="I6" s="166"/>
      <c r="J6" s="166"/>
      <c r="K6" s="166"/>
    </row>
    <row r="7" spans="1:11" ht="5.15" customHeight="1">
      <c r="A7" s="166"/>
      <c r="B7" s="166"/>
      <c r="C7" s="166"/>
      <c r="D7" s="166"/>
      <c r="E7" s="166"/>
      <c r="F7" s="166"/>
      <c r="G7" s="166"/>
      <c r="H7" s="166"/>
      <c r="I7" s="166"/>
      <c r="J7" s="166"/>
      <c r="K7" s="166"/>
    </row>
    <row r="8" spans="1:11" ht="18" customHeight="1">
      <c r="A8" s="705"/>
      <c r="B8" s="706"/>
      <c r="C8" s="709" t="s">
        <v>1849</v>
      </c>
      <c r="D8" s="709"/>
      <c r="E8" s="709"/>
      <c r="F8" s="709"/>
      <c r="G8" s="709"/>
      <c r="H8" s="709"/>
      <c r="I8" s="709"/>
      <c r="J8" s="709"/>
      <c r="K8" s="709"/>
    </row>
    <row r="9" spans="1:11" ht="18" customHeight="1">
      <c r="A9" s="707"/>
      <c r="B9" s="708"/>
      <c r="C9" s="709"/>
      <c r="D9" s="709"/>
      <c r="E9" s="709"/>
      <c r="F9" s="709"/>
      <c r="G9" s="709"/>
      <c r="H9" s="709"/>
      <c r="I9" s="709"/>
      <c r="J9" s="709"/>
      <c r="K9" s="709"/>
    </row>
    <row r="10" spans="1:11" ht="26.25" customHeight="1">
      <c r="A10" s="694" t="s">
        <v>1850</v>
      </c>
      <c r="B10" s="694"/>
      <c r="C10" s="694"/>
      <c r="D10" s="694"/>
      <c r="E10" s="694"/>
      <c r="F10" s="694"/>
      <c r="G10" s="694"/>
      <c r="H10" s="694"/>
      <c r="I10" s="694"/>
      <c r="J10" s="694"/>
      <c r="K10" s="166"/>
    </row>
    <row r="11" spans="1:11" ht="12.75" customHeight="1">
      <c r="A11" s="166"/>
      <c r="B11" s="166"/>
      <c r="C11" s="166"/>
      <c r="D11" s="166"/>
      <c r="E11" s="166"/>
      <c r="F11" s="166"/>
      <c r="G11" s="166"/>
      <c r="H11" s="166"/>
      <c r="I11" s="166"/>
      <c r="J11" s="166"/>
      <c r="K11" s="166"/>
    </row>
    <row r="12" spans="1:11" ht="5.15" customHeight="1">
      <c r="A12" s="166"/>
      <c r="B12" s="166"/>
      <c r="C12" s="166"/>
      <c r="D12" s="166"/>
      <c r="E12" s="166"/>
      <c r="F12" s="166"/>
      <c r="G12" s="166"/>
      <c r="H12" s="166"/>
      <c r="I12" s="166"/>
      <c r="J12" s="166"/>
      <c r="K12" s="166"/>
    </row>
    <row r="13" spans="1:11" ht="20.149999999999999" customHeight="1">
      <c r="A13" s="166"/>
      <c r="B13" s="166"/>
      <c r="C13" s="166"/>
      <c r="D13" s="166"/>
      <c r="E13" s="166"/>
      <c r="F13" s="166"/>
      <c r="G13" s="166"/>
      <c r="H13" s="166"/>
      <c r="I13" s="166"/>
      <c r="J13" s="166"/>
      <c r="K13" s="166"/>
    </row>
    <row r="14" spans="1:11" ht="33.75" customHeight="1">
      <c r="A14" s="692" t="s">
        <v>1851</v>
      </c>
      <c r="B14" s="692"/>
      <c r="C14" s="692"/>
      <c r="D14" s="692"/>
      <c r="E14" s="692"/>
      <c r="F14" s="692"/>
      <c r="G14" s="166"/>
      <c r="H14" s="166"/>
      <c r="I14" s="166"/>
      <c r="J14" s="166"/>
      <c r="K14" s="166"/>
    </row>
    <row r="15" spans="1:11" ht="23.25" customHeight="1">
      <c r="A15" s="699" t="s">
        <v>411</v>
      </c>
      <c r="B15" s="699"/>
      <c r="C15" s="699"/>
      <c r="D15" s="699"/>
      <c r="E15" s="699"/>
      <c r="F15" s="699"/>
      <c r="G15" s="699"/>
      <c r="H15" s="699"/>
      <c r="I15" s="699"/>
      <c r="J15" s="699"/>
      <c r="K15" s="166"/>
    </row>
    <row r="16" spans="1:11" ht="20.149999999999999" customHeight="1">
      <c r="A16" s="696" t="s">
        <v>2124</v>
      </c>
      <c r="B16" s="696"/>
      <c r="C16" s="696"/>
      <c r="D16" s="696"/>
      <c r="E16" s="696"/>
      <c r="F16" s="696"/>
      <c r="G16" s="463" t="s">
        <v>412</v>
      </c>
      <c r="H16" s="710" t="s">
        <v>416</v>
      </c>
      <c r="I16" s="698"/>
      <c r="J16" s="698"/>
      <c r="K16" s="698"/>
    </row>
    <row r="17" spans="1:11" ht="8.25" customHeight="1">
      <c r="A17" s="166"/>
      <c r="B17" s="166"/>
      <c r="C17" s="166"/>
      <c r="D17" s="166"/>
      <c r="E17" s="166"/>
      <c r="F17" s="166"/>
      <c r="G17" s="166"/>
      <c r="H17" s="166"/>
      <c r="I17" s="166"/>
      <c r="J17" s="166"/>
      <c r="K17" s="166"/>
    </row>
    <row r="18" spans="1:11" ht="19.5" customHeight="1">
      <c r="A18" s="699" t="s">
        <v>1852</v>
      </c>
      <c r="B18" s="699"/>
      <c r="C18" s="699"/>
      <c r="D18" s="699"/>
      <c r="E18" s="699"/>
      <c r="F18" s="699"/>
      <c r="G18" s="699"/>
      <c r="H18" s="699"/>
      <c r="I18" s="699"/>
      <c r="J18" s="699"/>
      <c r="K18" s="699"/>
    </row>
    <row r="19" spans="1:11" ht="9" customHeight="1">
      <c r="A19" s="166"/>
      <c r="B19" s="166"/>
      <c r="C19" s="166"/>
      <c r="D19" s="166"/>
      <c r="E19" s="166"/>
      <c r="F19" s="166"/>
      <c r="G19" s="166"/>
      <c r="H19" s="166"/>
      <c r="I19" s="166"/>
      <c r="J19" s="166"/>
      <c r="K19" s="166"/>
    </row>
    <row r="20" spans="1:11" ht="20.149999999999999" customHeight="1">
      <c r="A20" s="699" t="s">
        <v>1853</v>
      </c>
      <c r="B20" s="699"/>
      <c r="C20" s="699"/>
      <c r="D20" s="699"/>
      <c r="E20" s="699"/>
      <c r="F20" s="699"/>
      <c r="G20" s="699"/>
      <c r="H20" s="699"/>
      <c r="I20" s="699"/>
      <c r="J20" s="699"/>
      <c r="K20" s="699"/>
    </row>
    <row r="21" spans="1:11" ht="54" customHeight="1">
      <c r="A21" s="711" t="s">
        <v>1854</v>
      </c>
      <c r="B21" s="711"/>
      <c r="C21" s="711"/>
      <c r="D21" s="711"/>
      <c r="E21" s="711"/>
      <c r="F21" s="711"/>
      <c r="G21" s="711"/>
      <c r="H21" s="711"/>
      <c r="I21" s="711"/>
      <c r="J21" s="711"/>
      <c r="K21" s="711"/>
    </row>
    <row r="22" spans="1:11" ht="28.5" customHeight="1">
      <c r="A22" s="693" t="s">
        <v>1855</v>
      </c>
      <c r="B22" s="693"/>
      <c r="C22" s="693"/>
      <c r="D22" s="693"/>
      <c r="E22" s="693"/>
      <c r="F22" s="693"/>
      <c r="G22" s="693"/>
      <c r="H22" s="693"/>
      <c r="I22" s="693"/>
      <c r="J22" s="693"/>
      <c r="K22" s="693"/>
    </row>
    <row r="23" spans="1:11" ht="20.149999999999999" customHeight="1">
      <c r="A23" s="693"/>
      <c r="B23" s="693"/>
      <c r="C23" s="693"/>
      <c r="D23" s="693"/>
      <c r="E23" s="693"/>
      <c r="F23" s="693"/>
      <c r="G23" s="693"/>
      <c r="H23" s="693"/>
      <c r="I23" s="693"/>
      <c r="J23" s="693"/>
      <c r="K23" s="693"/>
    </row>
    <row r="24" spans="1:11" ht="21.75" customHeight="1">
      <c r="A24" s="166"/>
      <c r="B24" s="166"/>
      <c r="C24" s="699" t="s">
        <v>413</v>
      </c>
      <c r="D24" s="699"/>
      <c r="E24" s="699"/>
      <c r="F24" s="699"/>
      <c r="G24" s="699"/>
      <c r="H24" s="699"/>
      <c r="I24" s="699"/>
      <c r="J24" s="699"/>
      <c r="K24" s="699"/>
    </row>
    <row r="25" spans="1:11" ht="21.75" customHeight="1">
      <c r="A25" s="166"/>
      <c r="B25" s="166"/>
      <c r="C25" s="699" t="s">
        <v>415</v>
      </c>
      <c r="D25" s="699"/>
      <c r="E25" s="699"/>
      <c r="F25" s="699"/>
      <c r="G25" s="699"/>
      <c r="H25" s="699"/>
      <c r="I25" s="699"/>
      <c r="J25" s="699"/>
      <c r="K25" s="699"/>
    </row>
    <row r="26" spans="1:11" ht="21.75" customHeight="1">
      <c r="A26" s="166"/>
      <c r="B26" s="166"/>
      <c r="C26" s="166" t="s">
        <v>2120</v>
      </c>
      <c r="D26" s="166"/>
      <c r="E26" s="166"/>
      <c r="F26" s="166"/>
      <c r="G26" s="166"/>
      <c r="H26" s="165"/>
      <c r="I26" s="165"/>
      <c r="J26" s="165"/>
      <c r="K26" s="166"/>
    </row>
    <row r="27" spans="1:11" ht="21.75" customHeight="1">
      <c r="A27" s="166"/>
      <c r="B27" s="166"/>
      <c r="C27" s="699" t="s">
        <v>414</v>
      </c>
      <c r="D27" s="699"/>
      <c r="E27" s="699"/>
      <c r="F27" s="699"/>
      <c r="G27" s="699"/>
      <c r="H27" s="699"/>
      <c r="I27" s="699"/>
      <c r="J27" s="699"/>
      <c r="K27" s="699"/>
    </row>
    <row r="28" spans="1:11" ht="21.75" customHeight="1">
      <c r="A28" s="166"/>
      <c r="B28" s="166"/>
      <c r="C28" s="167" t="s">
        <v>417</v>
      </c>
      <c r="D28" s="700" t="s">
        <v>416</v>
      </c>
      <c r="E28" s="700"/>
      <c r="F28" s="700"/>
      <c r="G28" s="700"/>
      <c r="H28" s="700"/>
      <c r="I28" s="700"/>
      <c r="J28" s="700"/>
      <c r="K28" s="700"/>
    </row>
    <row r="29" spans="1:11" ht="21.75" customHeight="1"/>
    <row r="30" spans="1:11" ht="20.149999999999999" customHeight="1"/>
    <row r="31" spans="1:11" ht="20.149999999999999" customHeight="1"/>
    <row r="32" spans="1:11" ht="20.149999999999999" customHeight="1"/>
    <row r="33" ht="20.149999999999999" customHeight="1"/>
  </sheetData>
  <mergeCells count="20">
    <mergeCell ref="A18:K18"/>
    <mergeCell ref="I1:K1"/>
    <mergeCell ref="A3:K3"/>
    <mergeCell ref="I4:K4"/>
    <mergeCell ref="A5:K5"/>
    <mergeCell ref="A6:F6"/>
    <mergeCell ref="A8:B9"/>
    <mergeCell ref="C8:K9"/>
    <mergeCell ref="A10:J10"/>
    <mergeCell ref="A14:F14"/>
    <mergeCell ref="A15:J15"/>
    <mergeCell ref="A16:F16"/>
    <mergeCell ref="H16:K16"/>
    <mergeCell ref="D28:K28"/>
    <mergeCell ref="A20:K20"/>
    <mergeCell ref="A21:K21"/>
    <mergeCell ref="A22:K23"/>
    <mergeCell ref="C24:K24"/>
    <mergeCell ref="C25:K25"/>
    <mergeCell ref="C27:K27"/>
  </mergeCells>
  <phoneticPr fontId="1"/>
  <hyperlinks>
    <hyperlink ref="H16" r:id="rId1" xr:uid="{9177CD85-66E0-4DA0-9370-C01A1DDFC87B}"/>
    <hyperlink ref="D28" r:id="rId2" xr:uid="{B3B2D856-045E-4FAA-B72F-374622CF7A2B}"/>
  </hyperlinks>
  <printOptions horizontalCentered="1"/>
  <pageMargins left="0.59055118110236227" right="0.59055118110236227" top="0.98425196850393704" bottom="0.98425196850393704" header="0.51181102362204722" footer="0.51181102362204722"/>
  <pageSetup paperSize="9" scale="91" orientation="portrait" r:id="rId3"/>
  <headerFooter alignWithMargins="0"/>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83B44-F82C-4B2E-8AB6-695C11129D2F}">
  <sheetPr codeName="Sheet5">
    <tabColor rgb="FF00B050"/>
  </sheetPr>
  <dimension ref="A1:AJ113"/>
  <sheetViews>
    <sheetView view="pageBreakPreview" zoomScale="90" zoomScaleNormal="100" zoomScaleSheetLayoutView="90" workbookViewId="0">
      <selection activeCell="D3" sqref="D3:I3"/>
    </sheetView>
  </sheetViews>
  <sheetFormatPr defaultColWidth="9" defaultRowHeight="18"/>
  <cols>
    <col min="1" max="1" width="3.08203125" customWidth="1"/>
    <col min="2" max="2" width="3.58203125" customWidth="1"/>
    <col min="3" max="3" width="10.08203125" customWidth="1"/>
    <col min="4" max="4" width="9" customWidth="1"/>
    <col min="5" max="5" width="10.25" customWidth="1"/>
    <col min="6" max="17" width="6.83203125" customWidth="1"/>
    <col min="18" max="18" width="6.83203125" hidden="1" customWidth="1"/>
    <col min="19" max="36" width="9" hidden="1" customWidth="1"/>
    <col min="37" max="38" width="9" customWidth="1"/>
  </cols>
  <sheetData>
    <row r="1" spans="1:36" ht="22.5" customHeight="1">
      <c r="B1" s="198" t="s">
        <v>0</v>
      </c>
      <c r="AF1" t="s">
        <v>1</v>
      </c>
    </row>
    <row r="2" spans="1:36" ht="53.25" customHeight="1"/>
    <row r="3" spans="1:36" ht="15" customHeight="1">
      <c r="C3" s="149" t="s">
        <v>436</v>
      </c>
      <c r="D3" s="739"/>
      <c r="E3" s="739"/>
      <c r="F3" s="739"/>
      <c r="G3" s="739"/>
      <c r="H3" s="739"/>
      <c r="I3" s="739"/>
      <c r="M3" s="740" t="s">
        <v>1554</v>
      </c>
      <c r="N3" s="740"/>
      <c r="O3" s="740"/>
    </row>
    <row r="4" spans="1:36" ht="15" customHeight="1">
      <c r="C4" s="149" t="s">
        <v>437</v>
      </c>
      <c r="D4" s="739" t="s">
        <v>2303</v>
      </c>
      <c r="E4" s="739"/>
      <c r="F4" s="739"/>
      <c r="G4" s="739"/>
      <c r="H4" s="739"/>
      <c r="I4" s="739"/>
      <c r="M4" s="730"/>
      <c r="N4" s="730"/>
      <c r="O4" s="730"/>
    </row>
    <row r="5" spans="1:36" ht="15" customHeight="1">
      <c r="C5" s="149" t="s">
        <v>4</v>
      </c>
      <c r="D5" s="727"/>
      <c r="E5" s="727"/>
      <c r="F5" s="727"/>
      <c r="G5" s="727"/>
      <c r="H5" s="727"/>
      <c r="I5" s="727"/>
      <c r="J5" t="e">
        <f>"（分園"&amp;S10&amp;")"</f>
        <v>#N/A</v>
      </c>
      <c r="M5" s="726" t="e">
        <f>IF(EXACT(VLOOKUP(D5,補助金用基本データ!$C$5:$T$180,5,FALSE),ASC(M4))=TRUE,"OK","パスワードが違います")</f>
        <v>#N/A</v>
      </c>
      <c r="N5" s="726"/>
      <c r="O5" s="726"/>
      <c r="Q5" s="586" t="e">
        <f>IF(M5="OK",VLOOKUP(D5,補助金用基本データ!$C$5:$T$180,2,FALSE),"")</f>
        <v>#N/A</v>
      </c>
      <c r="S5" t="str">
        <f>LEFT(D5,4)</f>
        <v/>
      </c>
      <c r="AF5" s="726" t="s">
        <v>2</v>
      </c>
      <c r="AG5" s="726"/>
      <c r="AH5" s="1" t="s">
        <v>3</v>
      </c>
      <c r="AI5" s="147">
        <f>VLOOKUP(F8,AG7:AH46,2)</f>
        <v>2024</v>
      </c>
      <c r="AJ5" s="148"/>
    </row>
    <row r="6" spans="1:36" ht="15" customHeight="1">
      <c r="C6" s="275"/>
      <c r="D6" s="734"/>
      <c r="E6" s="734"/>
      <c r="F6" s="734"/>
      <c r="G6" s="734"/>
      <c r="H6" s="734"/>
      <c r="I6" s="734"/>
      <c r="J6" s="276"/>
      <c r="M6" s="150"/>
      <c r="N6" s="150"/>
      <c r="O6" s="150"/>
      <c r="AF6" s="55"/>
      <c r="AG6" s="55"/>
      <c r="AH6" s="1"/>
      <c r="AI6" s="148"/>
      <c r="AJ6" s="148"/>
    </row>
    <row r="7" spans="1:36" ht="15" customHeight="1">
      <c r="AF7" s="1" t="s">
        <v>5</v>
      </c>
      <c r="AG7" s="1">
        <v>2</v>
      </c>
      <c r="AH7" s="1">
        <f>AH47+1</f>
        <v>2020</v>
      </c>
    </row>
    <row r="8" spans="1:36" ht="15" customHeight="1">
      <c r="E8" s="149" t="s">
        <v>5</v>
      </c>
      <c r="F8" s="524">
        <v>6</v>
      </c>
      <c r="G8" t="s">
        <v>9</v>
      </c>
      <c r="J8" s="149" t="s">
        <v>7</v>
      </c>
      <c r="K8" t="s">
        <v>8</v>
      </c>
      <c r="L8" s="731"/>
      <c r="M8" s="731"/>
      <c r="N8" s="731"/>
      <c r="O8" s="731"/>
      <c r="P8" s="731"/>
      <c r="Q8" s="732"/>
      <c r="R8" s="245"/>
      <c r="AF8" s="1"/>
      <c r="AG8" s="1">
        <f>AG7+1</f>
        <v>3</v>
      </c>
      <c r="AH8" s="1">
        <f>AH7+1</f>
        <v>2021</v>
      </c>
    </row>
    <row r="9" spans="1:36" ht="15" customHeight="1">
      <c r="E9" s="149" t="s">
        <v>6</v>
      </c>
      <c r="F9" s="585" t="e">
        <f>VLOOKUP($Q$5,個別データ!$C$5:$GQ$180,4)</f>
        <v>#N/A</v>
      </c>
      <c r="G9" t="s">
        <v>1383</v>
      </c>
      <c r="K9" t="s">
        <v>10</v>
      </c>
      <c r="L9" s="731"/>
      <c r="M9" s="731"/>
      <c r="N9" s="731"/>
      <c r="O9" s="731"/>
      <c r="P9" s="731"/>
      <c r="Q9" s="732"/>
      <c r="R9" s="245"/>
      <c r="AF9" s="1"/>
      <c r="AG9" s="1">
        <f>AG8+1</f>
        <v>4</v>
      </c>
      <c r="AH9" s="1">
        <f>AH8+1</f>
        <v>2022</v>
      </c>
    </row>
    <row r="10" spans="1:36" ht="15" customHeight="1">
      <c r="D10" s="149"/>
      <c r="F10" s="195" t="e">
        <f>VLOOKUP($Q$5,個別データ!$C$5:$GQ$180,8)</f>
        <v>#N/A</v>
      </c>
      <c r="G10" t="s">
        <v>1384</v>
      </c>
      <c r="Q10" s="245"/>
      <c r="R10" s="245"/>
      <c r="S10" t="e">
        <f>VLOOKUP($Q$5,個別データ!$C$5:$GQ$180,3)</f>
        <v>#N/A</v>
      </c>
      <c r="AF10" s="1"/>
      <c r="AG10" s="1">
        <f t="shared" ref="AG10:AG32" si="0">AG9+1</f>
        <v>5</v>
      </c>
      <c r="AH10" s="1">
        <f t="shared" ref="AH10:AH32" si="1">AH9+1</f>
        <v>2023</v>
      </c>
    </row>
    <row r="11" spans="1:36" ht="15" hidden="1" customHeight="1">
      <c r="A11" s="267"/>
      <c r="B11" s="267"/>
      <c r="D11" s="149"/>
      <c r="E11" s="149" t="s">
        <v>11</v>
      </c>
      <c r="F11" s="197" t="e">
        <f>VLOOKUP($Q$5,個別データ!$C$5:$GQ$180,4)</f>
        <v>#N/A</v>
      </c>
      <c r="G11" t="s">
        <v>386</v>
      </c>
      <c r="AF11" s="1"/>
      <c r="AG11" s="1">
        <f t="shared" si="0"/>
        <v>6</v>
      </c>
      <c r="AH11" s="1">
        <f t="shared" si="1"/>
        <v>2024</v>
      </c>
    </row>
    <row r="12" spans="1:36" ht="15" hidden="1" customHeight="1">
      <c r="S12" s="150"/>
      <c r="T12" s="149"/>
      <c r="AF12" s="1"/>
      <c r="AG12" s="1">
        <f t="shared" si="0"/>
        <v>7</v>
      </c>
      <c r="AH12" s="1">
        <f t="shared" si="1"/>
        <v>2025</v>
      </c>
    </row>
    <row r="13" spans="1:36" ht="15" hidden="1" customHeight="1">
      <c r="S13" s="150"/>
      <c r="T13" s="149"/>
      <c r="AF13" s="1"/>
      <c r="AG13" s="1">
        <f t="shared" si="0"/>
        <v>8</v>
      </c>
      <c r="AH13" s="1">
        <f t="shared" si="1"/>
        <v>2026</v>
      </c>
    </row>
    <row r="14" spans="1:36" ht="15" hidden="1" customHeight="1">
      <c r="S14" s="150"/>
      <c r="T14" s="149"/>
      <c r="AF14" s="1"/>
      <c r="AG14" s="1">
        <f t="shared" si="0"/>
        <v>9</v>
      </c>
      <c r="AH14" s="1">
        <f t="shared" si="1"/>
        <v>2027</v>
      </c>
    </row>
    <row r="15" spans="1:36" ht="15" hidden="1" customHeight="1">
      <c r="A15" t="s">
        <v>1353</v>
      </c>
      <c r="S15" s="150"/>
      <c r="T15" s="149"/>
      <c r="AF15" s="1"/>
      <c r="AG15" s="1">
        <f t="shared" si="0"/>
        <v>10</v>
      </c>
      <c r="AH15" s="1">
        <f t="shared" si="1"/>
        <v>2028</v>
      </c>
    </row>
    <row r="16" spans="1:36" ht="15" hidden="1" customHeight="1">
      <c r="B16" s="180" t="s">
        <v>2302</v>
      </c>
      <c r="C16" s="158"/>
      <c r="D16" s="158"/>
      <c r="E16" s="158"/>
      <c r="F16" s="158"/>
      <c r="G16" s="158"/>
      <c r="H16" s="158"/>
      <c r="I16" s="158"/>
      <c r="J16" s="158"/>
      <c r="K16" s="158"/>
      <c r="L16" s="158"/>
      <c r="M16" s="158"/>
      <c r="N16" s="159"/>
      <c r="S16" s="150"/>
      <c r="T16" s="243" t="s">
        <v>1600</v>
      </c>
      <c r="AF16" s="1"/>
      <c r="AG16" s="1">
        <f t="shared" si="0"/>
        <v>11</v>
      </c>
      <c r="AH16" s="1">
        <f t="shared" si="1"/>
        <v>2029</v>
      </c>
    </row>
    <row r="17" spans="1:34" ht="15" hidden="1" customHeight="1">
      <c r="B17" s="155" t="s">
        <v>1352</v>
      </c>
      <c r="N17" s="193"/>
      <c r="S17" s="150"/>
      <c r="T17" s="243" t="s">
        <v>1607</v>
      </c>
      <c r="AF17" s="1"/>
      <c r="AG17" s="1">
        <f t="shared" si="0"/>
        <v>12</v>
      </c>
      <c r="AH17" s="1">
        <f t="shared" si="1"/>
        <v>2030</v>
      </c>
    </row>
    <row r="18" spans="1:34" ht="15" hidden="1" customHeight="1">
      <c r="B18" s="157" t="s">
        <v>1355</v>
      </c>
      <c r="C18" s="160"/>
      <c r="D18" s="160"/>
      <c r="E18" s="160"/>
      <c r="F18" s="160"/>
      <c r="G18" s="160"/>
      <c r="H18" s="160"/>
      <c r="I18" s="160"/>
      <c r="J18" s="160"/>
      <c r="K18" s="160"/>
      <c r="L18" s="160"/>
      <c r="M18" s="160"/>
      <c r="N18" s="161"/>
      <c r="S18" s="150"/>
      <c r="T18" s="149"/>
      <c r="AF18" s="1"/>
      <c r="AG18" s="1">
        <f t="shared" si="0"/>
        <v>13</v>
      </c>
      <c r="AH18" s="1">
        <f t="shared" si="1"/>
        <v>2031</v>
      </c>
    </row>
    <row r="19" spans="1:34" ht="15" hidden="1" customHeight="1" thickBot="1">
      <c r="R19" s="246"/>
      <c r="S19" s="150">
        <f>IF(L20=T16,1,IF(L20=T17,2,""))</f>
        <v>1</v>
      </c>
      <c r="T19" s="149"/>
      <c r="AF19" s="1"/>
      <c r="AG19" s="1">
        <f t="shared" si="0"/>
        <v>14</v>
      </c>
      <c r="AH19" s="1">
        <f t="shared" si="1"/>
        <v>2032</v>
      </c>
    </row>
    <row r="20" spans="1:34" ht="15" hidden="1" customHeight="1" thickBot="1">
      <c r="B20" t="s">
        <v>1380</v>
      </c>
      <c r="L20" s="741" t="s">
        <v>1600</v>
      </c>
      <c r="M20" s="742"/>
      <c r="N20" s="742"/>
      <c r="O20" s="742"/>
      <c r="P20" s="742"/>
      <c r="Q20" s="743"/>
      <c r="R20" s="246"/>
      <c r="S20" s="150"/>
      <c r="T20" s="149"/>
      <c r="AF20" s="1"/>
      <c r="AG20" s="1">
        <f t="shared" si="0"/>
        <v>15</v>
      </c>
      <c r="AH20" s="1">
        <f t="shared" si="1"/>
        <v>2033</v>
      </c>
    </row>
    <row r="21" spans="1:34" ht="15" customHeight="1">
      <c r="L21" s="243"/>
      <c r="M21" s="243"/>
      <c r="N21" s="243"/>
      <c r="O21" s="243"/>
      <c r="P21" s="243"/>
      <c r="Q21" s="243"/>
      <c r="R21" s="246"/>
      <c r="S21" s="150"/>
      <c r="T21" s="149"/>
      <c r="AF21" s="1"/>
      <c r="AG21" s="1">
        <f t="shared" si="0"/>
        <v>16</v>
      </c>
      <c r="AH21" s="1">
        <f t="shared" si="1"/>
        <v>2034</v>
      </c>
    </row>
    <row r="22" spans="1:34" ht="15" customHeight="1">
      <c r="F22" s="194">
        <v>4</v>
      </c>
      <c r="G22" s="194">
        <v>5</v>
      </c>
      <c r="H22" s="194">
        <v>6</v>
      </c>
      <c r="I22" s="194">
        <v>7</v>
      </c>
      <c r="J22" s="194">
        <v>8</v>
      </c>
      <c r="K22" s="194">
        <v>9</v>
      </c>
      <c r="L22" s="194">
        <v>10</v>
      </c>
      <c r="M22" s="194">
        <v>11</v>
      </c>
      <c r="N22" s="194">
        <v>12</v>
      </c>
      <c r="O22" s="194">
        <v>1</v>
      </c>
      <c r="P22" s="194">
        <v>2</v>
      </c>
      <c r="Q22" s="194">
        <v>3</v>
      </c>
      <c r="R22" s="247"/>
      <c r="S22" s="150"/>
      <c r="T22" s="150" t="s">
        <v>12</v>
      </c>
      <c r="U22" s="150" t="s">
        <v>13</v>
      </c>
      <c r="V22" s="150" t="s">
        <v>1022</v>
      </c>
      <c r="W22" t="s">
        <v>18</v>
      </c>
      <c r="X22" s="150"/>
      <c r="Y22" s="150"/>
      <c r="Z22" s="150"/>
      <c r="AA22" s="150"/>
      <c r="AB22" s="150"/>
      <c r="AC22" s="150"/>
      <c r="AD22" s="150"/>
      <c r="AE22" s="150"/>
      <c r="AF22" s="1"/>
      <c r="AG22" s="1">
        <f t="shared" si="0"/>
        <v>17</v>
      </c>
      <c r="AH22" s="1">
        <f t="shared" si="1"/>
        <v>2035</v>
      </c>
    </row>
    <row r="23" spans="1:34" ht="15" customHeight="1">
      <c r="A23" s="152" t="s">
        <v>16</v>
      </c>
      <c r="B23" s="153"/>
      <c r="C23" s="153"/>
      <c r="D23" s="153"/>
      <c r="E23" s="154"/>
      <c r="F23" s="447" t="s">
        <v>2000</v>
      </c>
      <c r="G23" s="448" t="str">
        <f>F23</f>
        <v>有</v>
      </c>
      <c r="H23" s="448" t="str">
        <f t="shared" ref="H23:Q23" si="2">G23</f>
        <v>有</v>
      </c>
      <c r="I23" s="448" t="str">
        <f t="shared" si="2"/>
        <v>有</v>
      </c>
      <c r="J23" s="448" t="str">
        <f t="shared" si="2"/>
        <v>有</v>
      </c>
      <c r="K23" s="448" t="str">
        <f t="shared" si="2"/>
        <v>有</v>
      </c>
      <c r="L23" s="448" t="str">
        <f t="shared" si="2"/>
        <v>有</v>
      </c>
      <c r="M23" s="448" t="str">
        <f t="shared" si="2"/>
        <v>有</v>
      </c>
      <c r="N23" s="448" t="str">
        <f t="shared" si="2"/>
        <v>有</v>
      </c>
      <c r="O23" s="448" t="str">
        <f t="shared" si="2"/>
        <v>有</v>
      </c>
      <c r="P23" s="448" t="str">
        <f t="shared" si="2"/>
        <v>有</v>
      </c>
      <c r="Q23" s="448" t="str">
        <f t="shared" si="2"/>
        <v>有</v>
      </c>
      <c r="R23" s="248"/>
      <c r="S23" s="150">
        <f>個別データ!AN1</f>
        <v>38</v>
      </c>
      <c r="T23" s="150" t="s">
        <v>14</v>
      </c>
      <c r="U23" t="s">
        <v>15</v>
      </c>
      <c r="V23" t="s">
        <v>1023</v>
      </c>
      <c r="W23" t="s">
        <v>20</v>
      </c>
      <c r="AF23" s="1"/>
      <c r="AG23" s="1">
        <f t="shared" si="0"/>
        <v>18</v>
      </c>
      <c r="AH23" s="1">
        <f t="shared" si="1"/>
        <v>2036</v>
      </c>
    </row>
    <row r="24" spans="1:34" ht="15" customHeight="1">
      <c r="A24" s="155" t="s">
        <v>17</v>
      </c>
      <c r="E24" s="193"/>
      <c r="F24" s="156"/>
      <c r="G24" s="156"/>
      <c r="H24" s="156"/>
      <c r="I24" s="156"/>
      <c r="J24" s="156"/>
      <c r="K24" s="156"/>
      <c r="L24" s="156"/>
      <c r="M24" s="156"/>
      <c r="N24" s="156"/>
      <c r="O24" s="156"/>
      <c r="P24" s="156"/>
      <c r="Q24" s="156"/>
      <c r="R24" s="150"/>
      <c r="S24" s="150"/>
      <c r="T24" s="151" t="s">
        <v>293</v>
      </c>
      <c r="U24" s="151" t="s">
        <v>381</v>
      </c>
      <c r="V24" t="s">
        <v>1024</v>
      </c>
      <c r="W24" t="s">
        <v>381</v>
      </c>
      <c r="AF24" s="1"/>
      <c r="AG24" s="1">
        <f t="shared" si="0"/>
        <v>19</v>
      </c>
      <c r="AH24" s="1">
        <f t="shared" si="1"/>
        <v>2037</v>
      </c>
    </row>
    <row r="25" spans="1:34" ht="15" customHeight="1">
      <c r="A25" s="155"/>
      <c r="B25" s="152" t="s">
        <v>19</v>
      </c>
      <c r="C25" s="153"/>
      <c r="D25" s="153"/>
      <c r="E25" s="154"/>
      <c r="F25" s="196" t="e">
        <f>IF(OR(F26=$U$22,F26=$U$23),$T$22,$T$23)</f>
        <v>#N/A</v>
      </c>
      <c r="G25" s="196" t="e">
        <f t="shared" ref="G25:Q25" si="3">IF(OR(G26=$U$22,G26=$U$23),$T$22,$T$23)</f>
        <v>#N/A</v>
      </c>
      <c r="H25" s="196" t="e">
        <f t="shared" si="3"/>
        <v>#N/A</v>
      </c>
      <c r="I25" s="196" t="e">
        <f t="shared" si="3"/>
        <v>#N/A</v>
      </c>
      <c r="J25" s="196" t="e">
        <f t="shared" si="3"/>
        <v>#N/A</v>
      </c>
      <c r="K25" s="196" t="e">
        <f t="shared" si="3"/>
        <v>#N/A</v>
      </c>
      <c r="L25" s="196" t="e">
        <f t="shared" si="3"/>
        <v>#N/A</v>
      </c>
      <c r="M25" s="196" t="e">
        <f t="shared" si="3"/>
        <v>#N/A</v>
      </c>
      <c r="N25" s="196" t="e">
        <f t="shared" si="3"/>
        <v>#N/A</v>
      </c>
      <c r="O25" s="196" t="e">
        <f t="shared" si="3"/>
        <v>#N/A</v>
      </c>
      <c r="P25" s="196" t="e">
        <f t="shared" si="3"/>
        <v>#N/A</v>
      </c>
      <c r="Q25" s="196" t="e">
        <f t="shared" si="3"/>
        <v>#N/A</v>
      </c>
      <c r="R25" s="248"/>
      <c r="AF25" s="1"/>
      <c r="AG25" s="1">
        <f t="shared" si="0"/>
        <v>20</v>
      </c>
      <c r="AH25" s="1">
        <f t="shared" si="1"/>
        <v>2038</v>
      </c>
    </row>
    <row r="26" spans="1:34" ht="15" customHeight="1">
      <c r="A26" s="155"/>
      <c r="B26" s="152" t="s">
        <v>21</v>
      </c>
      <c r="C26" s="153"/>
      <c r="D26" s="153"/>
      <c r="E26" s="154"/>
      <c r="F26" s="196" t="e">
        <f>VLOOKUP($Q$5,個別データ!$C$5:$GQ$180,S26)</f>
        <v>#N/A</v>
      </c>
      <c r="G26" s="196" t="e">
        <f>VLOOKUP($Q$5,個別データ!$C$5:$GQ$180,T26)</f>
        <v>#N/A</v>
      </c>
      <c r="H26" s="196" t="e">
        <f>VLOOKUP($Q$5,個別データ!$C$5:$GQ$180,U26)</f>
        <v>#N/A</v>
      </c>
      <c r="I26" s="196" t="e">
        <f>VLOOKUP($Q$5,個別データ!$C$5:$GQ$180,V26)</f>
        <v>#N/A</v>
      </c>
      <c r="J26" s="196" t="e">
        <f>VLOOKUP($Q$5,個別データ!$C$5:$GQ$180,W26)</f>
        <v>#N/A</v>
      </c>
      <c r="K26" s="196" t="e">
        <f>VLOOKUP($Q$5,個別データ!$C$5:$GQ$180,X26)</f>
        <v>#N/A</v>
      </c>
      <c r="L26" s="196" t="e">
        <f>VLOOKUP($Q$5,個別データ!$C$5:$GQ$180,Y26)</f>
        <v>#N/A</v>
      </c>
      <c r="M26" s="196" t="e">
        <f>VLOOKUP($Q$5,個別データ!$C$5:$GQ$180,Z26)</f>
        <v>#N/A</v>
      </c>
      <c r="N26" s="196" t="e">
        <f>VLOOKUP($Q$5,個別データ!$C$5:$GQ$180,AA26)</f>
        <v>#N/A</v>
      </c>
      <c r="O26" s="196" t="e">
        <f>VLOOKUP($Q$5,個別データ!$C$5:$GQ$180,AB26)</f>
        <v>#N/A</v>
      </c>
      <c r="P26" s="196" t="e">
        <f>VLOOKUP($Q$5,個別データ!$C$5:$GQ$180,AC26)</f>
        <v>#N/A</v>
      </c>
      <c r="Q26" s="196" t="e">
        <f>VLOOKUP($Q$5,個別データ!$C$5:$GQ$180,AD26)</f>
        <v>#N/A</v>
      </c>
      <c r="R26" s="248"/>
      <c r="S26">
        <f>個別データ!AO1</f>
        <v>39</v>
      </c>
      <c r="T26">
        <f>S26+1</f>
        <v>40</v>
      </c>
      <c r="U26">
        <f t="shared" ref="U26:AD27" si="4">T26+1</f>
        <v>41</v>
      </c>
      <c r="V26">
        <f t="shared" si="4"/>
        <v>42</v>
      </c>
      <c r="W26">
        <f t="shared" si="4"/>
        <v>43</v>
      </c>
      <c r="X26">
        <f t="shared" si="4"/>
        <v>44</v>
      </c>
      <c r="Y26">
        <f t="shared" si="4"/>
        <v>45</v>
      </c>
      <c r="Z26">
        <f t="shared" si="4"/>
        <v>46</v>
      </c>
      <c r="AA26">
        <f t="shared" si="4"/>
        <v>47</v>
      </c>
      <c r="AB26">
        <f t="shared" si="4"/>
        <v>48</v>
      </c>
      <c r="AC26">
        <f t="shared" si="4"/>
        <v>49</v>
      </c>
      <c r="AD26">
        <f t="shared" si="4"/>
        <v>50</v>
      </c>
      <c r="AF26" s="1"/>
      <c r="AG26" s="1">
        <f t="shared" si="0"/>
        <v>21</v>
      </c>
      <c r="AH26" s="1">
        <f t="shared" si="1"/>
        <v>2039</v>
      </c>
    </row>
    <row r="27" spans="1:34" ht="15" customHeight="1">
      <c r="A27" s="157"/>
      <c r="B27" s="152" t="s">
        <v>22</v>
      </c>
      <c r="C27" s="153"/>
      <c r="D27" s="153"/>
      <c r="E27" s="154"/>
      <c r="F27" s="196" t="e">
        <f>VLOOKUP($Q$5,個別データ!$C$5:$GQ$180,S27)</f>
        <v>#N/A</v>
      </c>
      <c r="G27" s="196" t="e">
        <f>VLOOKUP($Q$5,個別データ!$C$5:$GQ$180,T27)</f>
        <v>#N/A</v>
      </c>
      <c r="H27" s="196" t="e">
        <f>VLOOKUP($Q$5,個別データ!$C$5:$GQ$180,U27)</f>
        <v>#N/A</v>
      </c>
      <c r="I27" s="196" t="e">
        <f>VLOOKUP($Q$5,個別データ!$C$5:$GQ$180,V27)</f>
        <v>#N/A</v>
      </c>
      <c r="J27" s="196" t="e">
        <f>VLOOKUP($Q$5,個別データ!$C$5:$GQ$180,W27)</f>
        <v>#N/A</v>
      </c>
      <c r="K27" s="196" t="e">
        <f>VLOOKUP($Q$5,個別データ!$C$5:$GQ$180,X27)</f>
        <v>#N/A</v>
      </c>
      <c r="L27" s="196" t="e">
        <f>VLOOKUP($Q$5,個別データ!$C$5:$GQ$180,Y27)</f>
        <v>#N/A</v>
      </c>
      <c r="M27" s="196" t="e">
        <f>VLOOKUP($Q$5,個別データ!$C$5:$GQ$180,Z27)</f>
        <v>#N/A</v>
      </c>
      <c r="N27" s="196" t="e">
        <f>VLOOKUP($Q$5,個別データ!$C$5:$GQ$180,AA27)</f>
        <v>#N/A</v>
      </c>
      <c r="O27" s="196" t="e">
        <f>VLOOKUP($Q$5,個別データ!$C$5:$GQ$180,AB27)</f>
        <v>#N/A</v>
      </c>
      <c r="P27" s="196" t="e">
        <f>VLOOKUP($Q$5,個別データ!$C$5:$GQ$180,AC27)</f>
        <v>#N/A</v>
      </c>
      <c r="Q27" s="196" t="e">
        <f>VLOOKUP($Q$5,個別データ!$C$5:$GQ$180,AD27)</f>
        <v>#N/A</v>
      </c>
      <c r="R27" s="248"/>
      <c r="S27">
        <f>個別データ!BA1</f>
        <v>51</v>
      </c>
      <c r="T27">
        <f>S27+1</f>
        <v>52</v>
      </c>
      <c r="U27">
        <f t="shared" si="4"/>
        <v>53</v>
      </c>
      <c r="V27">
        <f t="shared" si="4"/>
        <v>54</v>
      </c>
      <c r="W27">
        <f t="shared" si="4"/>
        <v>55</v>
      </c>
      <c r="X27">
        <f t="shared" si="4"/>
        <v>56</v>
      </c>
      <c r="Y27">
        <f t="shared" si="4"/>
        <v>57</v>
      </c>
      <c r="Z27">
        <f t="shared" si="4"/>
        <v>58</v>
      </c>
      <c r="AA27">
        <f t="shared" si="4"/>
        <v>59</v>
      </c>
      <c r="AB27">
        <f t="shared" si="4"/>
        <v>60</v>
      </c>
      <c r="AC27">
        <f t="shared" si="4"/>
        <v>61</v>
      </c>
      <c r="AD27">
        <f t="shared" si="4"/>
        <v>62</v>
      </c>
      <c r="AF27" s="1"/>
      <c r="AG27" s="1">
        <f t="shared" si="0"/>
        <v>22</v>
      </c>
      <c r="AH27" s="1">
        <f t="shared" si="1"/>
        <v>2040</v>
      </c>
    </row>
    <row r="28" spans="1:34" ht="15" customHeight="1">
      <c r="A28" s="180" t="s">
        <v>23</v>
      </c>
      <c r="B28" s="158"/>
      <c r="C28" s="158"/>
      <c r="D28" s="158"/>
      <c r="E28" s="159"/>
      <c r="F28" s="156"/>
      <c r="G28" s="156"/>
      <c r="H28" s="156"/>
      <c r="I28" s="156"/>
      <c r="J28" s="156"/>
      <c r="K28" s="156"/>
      <c r="L28" s="156"/>
      <c r="M28" s="156"/>
      <c r="N28" s="156"/>
      <c r="O28" s="156"/>
      <c r="P28" s="156"/>
      <c r="Q28" s="156"/>
      <c r="R28" s="249"/>
      <c r="AF28" s="1"/>
      <c r="AG28" s="1">
        <f t="shared" si="0"/>
        <v>23</v>
      </c>
      <c r="AH28" s="1">
        <f t="shared" si="1"/>
        <v>2041</v>
      </c>
    </row>
    <row r="29" spans="1:34" ht="15" customHeight="1">
      <c r="A29" s="155"/>
      <c r="B29" s="180" t="s">
        <v>24</v>
      </c>
      <c r="C29" s="158"/>
      <c r="D29" s="158"/>
      <c r="E29" s="159"/>
      <c r="F29" s="278" t="e">
        <f>SUM(F30:F31)</f>
        <v>#N/A</v>
      </c>
      <c r="G29" s="278" t="e">
        <f t="shared" ref="G29:Q29" si="5">SUM(G30:G31)</f>
        <v>#N/A</v>
      </c>
      <c r="H29" s="278" t="e">
        <f t="shared" si="5"/>
        <v>#N/A</v>
      </c>
      <c r="I29" s="278" t="e">
        <f t="shared" si="5"/>
        <v>#N/A</v>
      </c>
      <c r="J29" s="278" t="e">
        <f t="shared" si="5"/>
        <v>#N/A</v>
      </c>
      <c r="K29" s="278" t="e">
        <f t="shared" si="5"/>
        <v>#N/A</v>
      </c>
      <c r="L29" s="278" t="e">
        <f t="shared" si="5"/>
        <v>#N/A</v>
      </c>
      <c r="M29" s="278" t="e">
        <f t="shared" si="5"/>
        <v>#N/A</v>
      </c>
      <c r="N29" s="278" t="e">
        <f t="shared" si="5"/>
        <v>#N/A</v>
      </c>
      <c r="O29" s="278" t="e">
        <f t="shared" si="5"/>
        <v>#N/A</v>
      </c>
      <c r="P29" s="278" t="e">
        <f t="shared" si="5"/>
        <v>#N/A</v>
      </c>
      <c r="Q29" s="278" t="e">
        <f t="shared" si="5"/>
        <v>#N/A</v>
      </c>
      <c r="R29" s="250"/>
      <c r="AF29" s="1"/>
      <c r="AG29" s="1">
        <f t="shared" si="0"/>
        <v>24</v>
      </c>
      <c r="AH29" s="1">
        <f t="shared" si="1"/>
        <v>2042</v>
      </c>
    </row>
    <row r="30" spans="1:34" ht="15" customHeight="1">
      <c r="A30" s="155"/>
      <c r="B30" s="155"/>
      <c r="C30" s="152" t="s">
        <v>25</v>
      </c>
      <c r="D30" s="153"/>
      <c r="E30" s="154"/>
      <c r="F30" s="566" t="e">
        <f>VLOOKUP($Q$5,個別データ!$C$5:$GQ$180,S30)</f>
        <v>#N/A</v>
      </c>
      <c r="G30" s="566" t="e">
        <f>VLOOKUP($Q$5,個別データ!$C$5:$GQ$180,T30)</f>
        <v>#N/A</v>
      </c>
      <c r="H30" s="566" t="e">
        <f>VLOOKUP($Q$5,個別データ!$C$5:$GQ$180,U30)</f>
        <v>#N/A</v>
      </c>
      <c r="I30" s="566" t="e">
        <f>VLOOKUP($Q$5,個別データ!$C$5:$GQ$180,V30)</f>
        <v>#N/A</v>
      </c>
      <c r="J30" s="566" t="e">
        <f>VLOOKUP($Q$5,個別データ!$C$5:$GQ$180,W30)</f>
        <v>#N/A</v>
      </c>
      <c r="K30" s="566" t="e">
        <f>VLOOKUP($Q$5,個別データ!$C$5:$GQ$180,X30)</f>
        <v>#N/A</v>
      </c>
      <c r="L30" s="566" t="e">
        <f>VLOOKUP($Q$5,個別データ!$C$5:$GQ$180,Y30)</f>
        <v>#N/A</v>
      </c>
      <c r="M30" s="566" t="e">
        <f>VLOOKUP($Q$5,個別データ!$C$5:$GQ$180,Z30)</f>
        <v>#N/A</v>
      </c>
      <c r="N30" s="566" t="e">
        <f>VLOOKUP($Q$5,個別データ!$C$5:$GQ$180,AA30)</f>
        <v>#N/A</v>
      </c>
      <c r="O30" s="566" t="e">
        <f>VLOOKUP($Q$5,個別データ!$C$5:$GQ$180,AB30)</f>
        <v>#N/A</v>
      </c>
      <c r="P30" s="566" t="e">
        <f>VLOOKUP($Q$5,個別データ!$C$5:$GQ$180,AC30)</f>
        <v>#N/A</v>
      </c>
      <c r="Q30" s="566" t="e">
        <f>VLOOKUP($Q$5,個別データ!$C$5:$GQ$180,AD30)</f>
        <v>#N/A</v>
      </c>
      <c r="R30" s="251"/>
      <c r="S30">
        <f>個別データ!BM1</f>
        <v>63</v>
      </c>
      <c r="T30">
        <f>S30+1</f>
        <v>64</v>
      </c>
      <c r="U30">
        <f t="shared" ref="U30:AD30" si="6">T30+1</f>
        <v>65</v>
      </c>
      <c r="V30">
        <f t="shared" si="6"/>
        <v>66</v>
      </c>
      <c r="W30">
        <f t="shared" si="6"/>
        <v>67</v>
      </c>
      <c r="X30">
        <f t="shared" si="6"/>
        <v>68</v>
      </c>
      <c r="Y30">
        <f t="shared" si="6"/>
        <v>69</v>
      </c>
      <c r="Z30">
        <f t="shared" si="6"/>
        <v>70</v>
      </c>
      <c r="AA30">
        <f t="shared" si="6"/>
        <v>71</v>
      </c>
      <c r="AB30">
        <f t="shared" si="6"/>
        <v>72</v>
      </c>
      <c r="AC30">
        <f t="shared" si="6"/>
        <v>73</v>
      </c>
      <c r="AD30">
        <f t="shared" si="6"/>
        <v>74</v>
      </c>
      <c r="AF30" s="1"/>
      <c r="AG30" s="1">
        <f t="shared" si="0"/>
        <v>25</v>
      </c>
      <c r="AH30" s="1">
        <f t="shared" si="1"/>
        <v>2043</v>
      </c>
    </row>
    <row r="31" spans="1:34" ht="15" customHeight="1">
      <c r="A31" s="155"/>
      <c r="B31" s="157"/>
      <c r="C31" s="152" t="s">
        <v>26</v>
      </c>
      <c r="D31" s="153"/>
      <c r="E31" s="154"/>
      <c r="F31" s="566" t="e">
        <f>VLOOKUP($Q$5,個別データ!$C$5:$GQ$180,S31)</f>
        <v>#N/A</v>
      </c>
      <c r="G31" s="566" t="e">
        <f>VLOOKUP($Q$5,個別データ!$C$5:$GQ$180,T31)</f>
        <v>#N/A</v>
      </c>
      <c r="H31" s="566" t="e">
        <f>VLOOKUP($Q$5,個別データ!$C$5:$GQ$180,U31)</f>
        <v>#N/A</v>
      </c>
      <c r="I31" s="566" t="e">
        <f>VLOOKUP($Q$5,個別データ!$C$5:$GQ$180,V31)</f>
        <v>#N/A</v>
      </c>
      <c r="J31" s="566" t="e">
        <f>VLOOKUP($Q$5,個別データ!$C$5:$GQ$180,W31)</f>
        <v>#N/A</v>
      </c>
      <c r="K31" s="566" t="e">
        <f>VLOOKUP($Q$5,個別データ!$C$5:$GQ$180,X31)</f>
        <v>#N/A</v>
      </c>
      <c r="L31" s="566" t="e">
        <f>VLOOKUP($Q$5,個別データ!$C$5:$GQ$180,Y31)</f>
        <v>#N/A</v>
      </c>
      <c r="M31" s="566" t="e">
        <f>VLOOKUP($Q$5,個別データ!$C$5:$GQ$180,Z31)</f>
        <v>#N/A</v>
      </c>
      <c r="N31" s="566" t="e">
        <f>VLOOKUP($Q$5,個別データ!$C$5:$GQ$180,AA31)</f>
        <v>#N/A</v>
      </c>
      <c r="O31" s="566" t="e">
        <f>VLOOKUP($Q$5,個別データ!$C$5:$GQ$180,AB31)</f>
        <v>#N/A</v>
      </c>
      <c r="P31" s="566" t="e">
        <f>VLOOKUP($Q$5,個別データ!$C$5:$GQ$180,AC31)</f>
        <v>#N/A</v>
      </c>
      <c r="Q31" s="566" t="e">
        <f>VLOOKUP($Q$5,個別データ!$C$5:$GQ$180,AD31)</f>
        <v>#N/A</v>
      </c>
      <c r="R31" s="251"/>
      <c r="S31">
        <f>個別データ!BY1</f>
        <v>75</v>
      </c>
      <c r="T31">
        <f t="shared" ref="T31:AD31" si="7">S31+1</f>
        <v>76</v>
      </c>
      <c r="U31">
        <f t="shared" si="7"/>
        <v>77</v>
      </c>
      <c r="V31">
        <f t="shared" si="7"/>
        <v>78</v>
      </c>
      <c r="W31">
        <f t="shared" si="7"/>
        <v>79</v>
      </c>
      <c r="X31">
        <f t="shared" si="7"/>
        <v>80</v>
      </c>
      <c r="Y31">
        <f t="shared" si="7"/>
        <v>81</v>
      </c>
      <c r="Z31">
        <f t="shared" si="7"/>
        <v>82</v>
      </c>
      <c r="AA31">
        <f t="shared" si="7"/>
        <v>83</v>
      </c>
      <c r="AB31">
        <f t="shared" si="7"/>
        <v>84</v>
      </c>
      <c r="AC31">
        <f t="shared" si="7"/>
        <v>85</v>
      </c>
      <c r="AD31">
        <f t="shared" si="7"/>
        <v>86</v>
      </c>
      <c r="AF31" s="1"/>
      <c r="AG31" s="1">
        <f t="shared" si="0"/>
        <v>26</v>
      </c>
      <c r="AH31" s="1">
        <f t="shared" si="1"/>
        <v>2044</v>
      </c>
    </row>
    <row r="32" spans="1:34" ht="15" customHeight="1">
      <c r="A32" s="152" t="s">
        <v>27</v>
      </c>
      <c r="B32" s="160"/>
      <c r="C32" s="160"/>
      <c r="D32" s="160"/>
      <c r="E32" s="161"/>
      <c r="F32" s="566" t="e">
        <f>VLOOKUP($Q$5,個別データ!$C$5:$GQ$180,S32)</f>
        <v>#N/A</v>
      </c>
      <c r="G32" s="566" t="e">
        <f>VLOOKUP($Q$5,個別データ!$C$5:$GQ$180,T32)</f>
        <v>#N/A</v>
      </c>
      <c r="H32" s="566" t="e">
        <f>VLOOKUP($Q$5,個別データ!$C$5:$GQ$180,U32)</f>
        <v>#N/A</v>
      </c>
      <c r="I32" s="566" t="e">
        <f>VLOOKUP($Q$5,個別データ!$C$5:$GQ$180,V32)</f>
        <v>#N/A</v>
      </c>
      <c r="J32" s="566" t="e">
        <f>VLOOKUP($Q$5,個別データ!$C$5:$GQ$180,W32)</f>
        <v>#N/A</v>
      </c>
      <c r="K32" s="566" t="e">
        <f>VLOOKUP($Q$5,個別データ!$C$5:$GQ$180,X32)</f>
        <v>#N/A</v>
      </c>
      <c r="L32" s="566" t="e">
        <f>VLOOKUP($Q$5,個別データ!$C$5:$GQ$180,Y32)</f>
        <v>#N/A</v>
      </c>
      <c r="M32" s="566" t="e">
        <f>VLOOKUP($Q$5,個別データ!$C$5:$GQ$180,Z32)</f>
        <v>#N/A</v>
      </c>
      <c r="N32" s="566" t="e">
        <f>VLOOKUP($Q$5,個別データ!$C$5:$GQ$180,AA32)</f>
        <v>#N/A</v>
      </c>
      <c r="O32" s="566" t="e">
        <f>VLOOKUP($Q$5,個別データ!$C$5:$GQ$180,AB32)</f>
        <v>#N/A</v>
      </c>
      <c r="P32" s="566" t="e">
        <f>VLOOKUP($Q$5,個別データ!$C$5:$GQ$180,AC32)</f>
        <v>#N/A</v>
      </c>
      <c r="Q32" s="566" t="e">
        <f>VLOOKUP($Q$5,個別データ!$C$5:$GQ$180,AD32)</f>
        <v>#N/A</v>
      </c>
      <c r="R32" s="251"/>
      <c r="S32">
        <f>個別データ!CK1</f>
        <v>87</v>
      </c>
      <c r="T32">
        <f t="shared" ref="T32:AD32" si="8">S32+1</f>
        <v>88</v>
      </c>
      <c r="U32">
        <f t="shared" si="8"/>
        <v>89</v>
      </c>
      <c r="V32">
        <f t="shared" si="8"/>
        <v>90</v>
      </c>
      <c r="W32">
        <f t="shared" si="8"/>
        <v>91</v>
      </c>
      <c r="X32">
        <f t="shared" si="8"/>
        <v>92</v>
      </c>
      <c r="Y32">
        <f t="shared" si="8"/>
        <v>93</v>
      </c>
      <c r="Z32">
        <f t="shared" si="8"/>
        <v>94</v>
      </c>
      <c r="AA32">
        <f t="shared" si="8"/>
        <v>95</v>
      </c>
      <c r="AB32">
        <f t="shared" si="8"/>
        <v>96</v>
      </c>
      <c r="AC32">
        <f t="shared" si="8"/>
        <v>97</v>
      </c>
      <c r="AD32">
        <f t="shared" si="8"/>
        <v>98</v>
      </c>
      <c r="AF32" s="1"/>
      <c r="AG32" s="1">
        <f t="shared" si="0"/>
        <v>27</v>
      </c>
      <c r="AH32" s="1">
        <f t="shared" si="1"/>
        <v>2045</v>
      </c>
    </row>
    <row r="33" spans="1:34" ht="15" customHeight="1">
      <c r="A33" s="152" t="s">
        <v>28</v>
      </c>
      <c r="B33" s="153"/>
      <c r="C33" s="153"/>
      <c r="D33" s="153"/>
      <c r="E33" s="154"/>
      <c r="F33" s="566" t="e">
        <f>VLOOKUP($Q$5,個別データ!$C$5:$GQ$180,$S$33)</f>
        <v>#N/A</v>
      </c>
      <c r="G33" s="566" t="e">
        <f>VLOOKUP($Q$5,個別データ!$C$5:$GQ$180,$S$33)</f>
        <v>#N/A</v>
      </c>
      <c r="H33" s="566" t="e">
        <f>VLOOKUP($Q$5,個別データ!$C$5:$GQ$180,$S$33)</f>
        <v>#N/A</v>
      </c>
      <c r="I33" s="566" t="e">
        <f>VLOOKUP($Q$5,個別データ!$C$5:$GQ$180,$S$33)</f>
        <v>#N/A</v>
      </c>
      <c r="J33" s="566" t="e">
        <f>VLOOKUP($Q$5,個別データ!$C$5:$GQ$180,$S$33)</f>
        <v>#N/A</v>
      </c>
      <c r="K33" s="566" t="e">
        <f>VLOOKUP($Q$5,個別データ!$C$5:$GQ$180,$S$33)</f>
        <v>#N/A</v>
      </c>
      <c r="L33" s="566" t="e">
        <f>VLOOKUP($Q$5,個別データ!$C$5:$GQ$180,$S$33)</f>
        <v>#N/A</v>
      </c>
      <c r="M33" s="566" t="e">
        <f>VLOOKUP($Q$5,個別データ!$C$5:$GQ$180,$S$33)</f>
        <v>#N/A</v>
      </c>
      <c r="N33" s="566" t="e">
        <f>VLOOKUP($Q$5,個別データ!$C$5:$GQ$180,$S$33)</f>
        <v>#N/A</v>
      </c>
      <c r="O33" s="566" t="e">
        <f>VLOOKUP($Q$5,個別データ!$C$5:$GQ$180,$S$33)</f>
        <v>#N/A</v>
      </c>
      <c r="P33" s="566" t="e">
        <f>VLOOKUP($Q$5,個別データ!$C$5:$GQ$180,$S$33)</f>
        <v>#N/A</v>
      </c>
      <c r="Q33" s="566" t="e">
        <f>VLOOKUP($Q$5,個別データ!$C$5:$GQ$180,$S$33)</f>
        <v>#N/A</v>
      </c>
      <c r="R33" s="248"/>
      <c r="S33">
        <f>個別データ!CW1</f>
        <v>99</v>
      </c>
      <c r="AF33" s="1"/>
      <c r="AG33" s="1">
        <f t="shared" ref="AG33:AH39" si="9">AG32+1</f>
        <v>28</v>
      </c>
      <c r="AH33" s="1">
        <f t="shared" ref="AH33:AH36" si="10">AH32+1</f>
        <v>2046</v>
      </c>
    </row>
    <row r="34" spans="1:34" ht="15" customHeight="1">
      <c r="A34" s="152" t="s">
        <v>1772</v>
      </c>
      <c r="B34" s="153"/>
      <c r="C34" s="153"/>
      <c r="D34" s="153"/>
      <c r="E34" s="154"/>
      <c r="F34" s="566" t="e">
        <f>VLOOKUP($Q$5,個別データ!$C$5:$GQ$180,$S$34)</f>
        <v>#N/A</v>
      </c>
      <c r="G34" s="566" t="e">
        <f>VLOOKUP($Q$5,個別データ!$C$5:$GQ$180,$S$34)</f>
        <v>#N/A</v>
      </c>
      <c r="H34" s="566" t="e">
        <f>VLOOKUP($Q$5,個別データ!$C$5:$GQ$180,$S$34)</f>
        <v>#N/A</v>
      </c>
      <c r="I34" s="566" t="e">
        <f>VLOOKUP($Q$5,個別データ!$C$5:$GQ$180,$S$34)</f>
        <v>#N/A</v>
      </c>
      <c r="J34" s="566" t="e">
        <f>VLOOKUP($Q$5,個別データ!$C$5:$GQ$180,$S$34)</f>
        <v>#N/A</v>
      </c>
      <c r="K34" s="566" t="e">
        <f>VLOOKUP($Q$5,個別データ!$C$5:$GQ$180,$S$34)</f>
        <v>#N/A</v>
      </c>
      <c r="L34" s="566" t="e">
        <f>VLOOKUP($Q$5,個別データ!$C$5:$GQ$180,$S$34)</f>
        <v>#N/A</v>
      </c>
      <c r="M34" s="566" t="e">
        <f>VLOOKUP($Q$5,個別データ!$C$5:$GQ$180,$S$34)</f>
        <v>#N/A</v>
      </c>
      <c r="N34" s="566" t="e">
        <f>VLOOKUP($Q$5,個別データ!$C$5:$GQ$180,$S$34)</f>
        <v>#N/A</v>
      </c>
      <c r="O34" s="566" t="e">
        <f>VLOOKUP($Q$5,個別データ!$C$5:$GQ$180,$S$34)</f>
        <v>#N/A</v>
      </c>
      <c r="P34" s="566" t="e">
        <f>VLOOKUP($Q$5,個別データ!$C$5:$GQ$180,$S$34)</f>
        <v>#N/A</v>
      </c>
      <c r="Q34" s="566" t="e">
        <f>VLOOKUP($Q$5,個別データ!$C$5:$GQ$180,$S$34)</f>
        <v>#N/A</v>
      </c>
      <c r="R34" s="252"/>
      <c r="S34">
        <f>個別データ!CX1</f>
        <v>100</v>
      </c>
      <c r="AF34" s="1"/>
      <c r="AG34" s="1">
        <f t="shared" si="9"/>
        <v>29</v>
      </c>
      <c r="AH34" s="1">
        <f t="shared" si="10"/>
        <v>2047</v>
      </c>
    </row>
    <row r="35" spans="1:34" ht="15" customHeight="1">
      <c r="A35" s="180" t="s">
        <v>29</v>
      </c>
      <c r="B35" s="158"/>
      <c r="C35" s="158"/>
      <c r="D35" s="158"/>
      <c r="E35" s="159"/>
      <c r="F35" s="566" t="e">
        <f>VLOOKUP($Q$5,個別データ!$C$5:$GQ$180,S35)</f>
        <v>#N/A</v>
      </c>
      <c r="G35" s="566" t="e">
        <f>VLOOKUP($Q$5,個別データ!$C$5:$GQ$180,T35)</f>
        <v>#N/A</v>
      </c>
      <c r="H35" s="566" t="e">
        <f>VLOOKUP($Q$5,個別データ!$C$5:$GQ$180,U35)</f>
        <v>#N/A</v>
      </c>
      <c r="I35" s="566" t="e">
        <f>VLOOKUP($Q$5,個別データ!$C$5:$GQ$180,V35)</f>
        <v>#N/A</v>
      </c>
      <c r="J35" s="566" t="e">
        <f>VLOOKUP($Q$5,個別データ!$C$5:$GQ$180,W35)</f>
        <v>#N/A</v>
      </c>
      <c r="K35" s="566" t="e">
        <f>VLOOKUP($Q$5,個別データ!$C$5:$GQ$180,X35)</f>
        <v>#N/A</v>
      </c>
      <c r="L35" s="566" t="e">
        <f>VLOOKUP($Q$5,個別データ!$C$5:$GQ$180,Y35)</f>
        <v>#N/A</v>
      </c>
      <c r="M35" s="566" t="e">
        <f>VLOOKUP($Q$5,個別データ!$C$5:$GQ$180,Z35)</f>
        <v>#N/A</v>
      </c>
      <c r="N35" s="566" t="e">
        <f>VLOOKUP($Q$5,個別データ!$C$5:$GQ$180,AA35)</f>
        <v>#N/A</v>
      </c>
      <c r="O35" s="566" t="e">
        <f>VLOOKUP($Q$5,個別データ!$C$5:$GQ$180,AB35)</f>
        <v>#N/A</v>
      </c>
      <c r="P35" s="566" t="e">
        <f>VLOOKUP($Q$5,個別データ!$C$5:$GQ$180,AC35)</f>
        <v>#N/A</v>
      </c>
      <c r="Q35" s="566" t="e">
        <f>VLOOKUP($Q$5,個別データ!$C$5:$GQ$180,AD35)</f>
        <v>#N/A</v>
      </c>
      <c r="R35" s="248"/>
      <c r="S35">
        <f>個別データ!CY1</f>
        <v>101</v>
      </c>
      <c r="T35">
        <f t="shared" ref="T35:AD38" si="11">S35+1</f>
        <v>102</v>
      </c>
      <c r="U35">
        <f t="shared" si="11"/>
        <v>103</v>
      </c>
      <c r="V35">
        <f t="shared" si="11"/>
        <v>104</v>
      </c>
      <c r="W35">
        <f t="shared" si="11"/>
        <v>105</v>
      </c>
      <c r="X35">
        <f t="shared" si="11"/>
        <v>106</v>
      </c>
      <c r="Y35">
        <f t="shared" si="11"/>
        <v>107</v>
      </c>
      <c r="Z35">
        <f t="shared" si="11"/>
        <v>108</v>
      </c>
      <c r="AA35">
        <f t="shared" si="11"/>
        <v>109</v>
      </c>
      <c r="AB35">
        <f t="shared" si="11"/>
        <v>110</v>
      </c>
      <c r="AC35">
        <f t="shared" si="11"/>
        <v>111</v>
      </c>
      <c r="AD35">
        <f t="shared" si="11"/>
        <v>112</v>
      </c>
      <c r="AF35" s="1"/>
      <c r="AG35" s="1">
        <f t="shared" si="9"/>
        <v>30</v>
      </c>
      <c r="AH35" s="1">
        <f t="shared" si="10"/>
        <v>2048</v>
      </c>
    </row>
    <row r="36" spans="1:34" ht="15" customHeight="1">
      <c r="A36" s="180" t="s">
        <v>30</v>
      </c>
      <c r="B36" s="158"/>
      <c r="C36" s="158"/>
      <c r="D36" s="158"/>
      <c r="E36" s="159"/>
      <c r="F36" s="196" t="e">
        <f>IF(OR(F37=$W$22,F37=$W$23),$T$22,$T$23)</f>
        <v>#N/A</v>
      </c>
      <c r="G36" s="196" t="e">
        <f t="shared" ref="G36:Q36" si="12">IF(OR(G37=$W$22,G37=$W$23),$T$22,$T$23)</f>
        <v>#N/A</v>
      </c>
      <c r="H36" s="196" t="e">
        <f t="shared" si="12"/>
        <v>#N/A</v>
      </c>
      <c r="I36" s="196" t="e">
        <f t="shared" si="12"/>
        <v>#N/A</v>
      </c>
      <c r="J36" s="196" t="e">
        <f t="shared" si="12"/>
        <v>#N/A</v>
      </c>
      <c r="K36" s="196" t="e">
        <f t="shared" si="12"/>
        <v>#N/A</v>
      </c>
      <c r="L36" s="196" t="e">
        <f t="shared" si="12"/>
        <v>#N/A</v>
      </c>
      <c r="M36" s="196" t="e">
        <f t="shared" si="12"/>
        <v>#N/A</v>
      </c>
      <c r="N36" s="196" t="e">
        <f t="shared" si="12"/>
        <v>#N/A</v>
      </c>
      <c r="O36" s="196" t="e">
        <f t="shared" si="12"/>
        <v>#N/A</v>
      </c>
      <c r="P36" s="196" t="e">
        <f t="shared" si="12"/>
        <v>#N/A</v>
      </c>
      <c r="Q36" s="196" t="e">
        <f t="shared" si="12"/>
        <v>#N/A</v>
      </c>
      <c r="R36" s="248"/>
      <c r="AF36" s="1"/>
      <c r="AG36" s="1">
        <f t="shared" si="9"/>
        <v>31</v>
      </c>
      <c r="AH36" s="1">
        <f t="shared" si="10"/>
        <v>2049</v>
      </c>
    </row>
    <row r="37" spans="1:34" ht="15" customHeight="1">
      <c r="A37" s="735"/>
      <c r="B37" s="152" t="s">
        <v>1939</v>
      </c>
      <c r="C37" s="153"/>
      <c r="D37" s="153"/>
      <c r="E37" s="154"/>
      <c r="F37" s="569" t="e">
        <f>VLOOKUP($Q$5,個別データ!$C$5:$GQ$180,S37)</f>
        <v>#N/A</v>
      </c>
      <c r="G37" s="569" t="e">
        <f>VLOOKUP($Q$5,個別データ!$C$5:$GQ$180,T37)</f>
        <v>#N/A</v>
      </c>
      <c r="H37" s="569" t="e">
        <f>VLOOKUP($Q$5,個別データ!$C$5:$GQ$180,U37)</f>
        <v>#N/A</v>
      </c>
      <c r="I37" s="569" t="e">
        <f>VLOOKUP($Q$5,個別データ!$C$5:$GQ$180,V37)</f>
        <v>#N/A</v>
      </c>
      <c r="J37" s="569" t="e">
        <f>VLOOKUP($Q$5,個別データ!$C$5:$GQ$180,W37)</f>
        <v>#N/A</v>
      </c>
      <c r="K37" s="569" t="e">
        <f>VLOOKUP($Q$5,個別データ!$C$5:$GQ$180,X37)</f>
        <v>#N/A</v>
      </c>
      <c r="L37" s="569" t="e">
        <f>VLOOKUP($Q$5,個別データ!$C$5:$GQ$180,Y37)</f>
        <v>#N/A</v>
      </c>
      <c r="M37" s="569" t="e">
        <f>VLOOKUP($Q$5,個別データ!$C$5:$GQ$180,Z37)</f>
        <v>#N/A</v>
      </c>
      <c r="N37" s="569" t="e">
        <f>VLOOKUP($Q$5,個別データ!$C$5:$GQ$180,AA37)</f>
        <v>#N/A</v>
      </c>
      <c r="O37" s="569" t="e">
        <f>VLOOKUP($Q$5,個別データ!$C$5:$GQ$180,AB37)</f>
        <v>#N/A</v>
      </c>
      <c r="P37" s="569" t="e">
        <f>VLOOKUP($Q$5,個別データ!$C$5:$GQ$180,AC37)</f>
        <v>#N/A</v>
      </c>
      <c r="Q37" s="569" t="e">
        <f>VLOOKUP($Q$5,個別データ!$C$5:$GQ$180,AD37)</f>
        <v>#N/A</v>
      </c>
      <c r="R37" s="253"/>
      <c r="S37">
        <f>個別データ!DK1</f>
        <v>113</v>
      </c>
      <c r="T37">
        <f t="shared" ref="T37" si="13">S37+1</f>
        <v>114</v>
      </c>
      <c r="U37">
        <f t="shared" ref="U37" si="14">T37+1</f>
        <v>115</v>
      </c>
      <c r="V37">
        <f t="shared" ref="V37" si="15">U37+1</f>
        <v>116</v>
      </c>
      <c r="W37">
        <f t="shared" ref="W37" si="16">V37+1</f>
        <v>117</v>
      </c>
      <c r="X37">
        <f t="shared" ref="X37" si="17">W37+1</f>
        <v>118</v>
      </c>
      <c r="Y37">
        <f t="shared" ref="Y37" si="18">X37+1</f>
        <v>119</v>
      </c>
      <c r="Z37">
        <f t="shared" ref="Z37" si="19">Y37+1</f>
        <v>120</v>
      </c>
      <c r="AA37">
        <f t="shared" ref="AA37" si="20">Z37+1</f>
        <v>121</v>
      </c>
      <c r="AB37">
        <f t="shared" ref="AB37" si="21">AA37+1</f>
        <v>122</v>
      </c>
      <c r="AC37">
        <f t="shared" ref="AC37" si="22">AB37+1</f>
        <v>123</v>
      </c>
      <c r="AD37">
        <f t="shared" ref="AD37" si="23">AC37+1</f>
        <v>124</v>
      </c>
      <c r="AF37" s="1"/>
      <c r="AG37" s="1">
        <f>AG35+1</f>
        <v>31</v>
      </c>
      <c r="AH37" s="1">
        <f>AH35+1</f>
        <v>2049</v>
      </c>
    </row>
    <row r="38" spans="1:34" ht="15" customHeight="1">
      <c r="A38" s="736"/>
      <c r="B38" s="152" t="s">
        <v>1940</v>
      </c>
      <c r="C38" s="153"/>
      <c r="D38" s="153"/>
      <c r="E38" s="154"/>
      <c r="F38" s="569" t="e">
        <f>VLOOKUP($Q$5,個別データ!$C$5:$GQ$180,S38)</f>
        <v>#N/A</v>
      </c>
      <c r="G38" s="569" t="e">
        <f>VLOOKUP($Q$5,個別データ!$C$5:$GQ$180,T38)</f>
        <v>#N/A</v>
      </c>
      <c r="H38" s="569" t="e">
        <f>VLOOKUP($Q$5,個別データ!$C$5:$GQ$180,U38)</f>
        <v>#N/A</v>
      </c>
      <c r="I38" s="569" t="e">
        <f>VLOOKUP($Q$5,個別データ!$C$5:$GQ$180,V38)</f>
        <v>#N/A</v>
      </c>
      <c r="J38" s="569" t="e">
        <f>VLOOKUP($Q$5,個別データ!$C$5:$GQ$180,W38)</f>
        <v>#N/A</v>
      </c>
      <c r="K38" s="569" t="e">
        <f>VLOOKUP($Q$5,個別データ!$C$5:$GQ$180,X38)</f>
        <v>#N/A</v>
      </c>
      <c r="L38" s="569" t="e">
        <f>VLOOKUP($Q$5,個別データ!$C$5:$GQ$180,Y38)</f>
        <v>#N/A</v>
      </c>
      <c r="M38" s="569" t="e">
        <f>VLOOKUP($Q$5,個別データ!$C$5:$GQ$180,Z38)</f>
        <v>#N/A</v>
      </c>
      <c r="N38" s="569" t="e">
        <f>VLOOKUP($Q$5,個別データ!$C$5:$GQ$180,AA38)</f>
        <v>#N/A</v>
      </c>
      <c r="O38" s="569" t="e">
        <f>VLOOKUP($Q$5,個別データ!$C$5:$GQ$180,AB38)</f>
        <v>#N/A</v>
      </c>
      <c r="P38" s="569" t="e">
        <f>VLOOKUP($Q$5,個別データ!$C$5:$GQ$180,AC38)</f>
        <v>#N/A</v>
      </c>
      <c r="Q38" s="569" t="e">
        <f>VLOOKUP($Q$5,個別データ!$C$5:$GQ$180,AD38)</f>
        <v>#N/A</v>
      </c>
      <c r="R38" s="253"/>
      <c r="S38">
        <f>個別データ!DW1</f>
        <v>125</v>
      </c>
      <c r="T38">
        <f t="shared" si="11"/>
        <v>126</v>
      </c>
      <c r="U38">
        <f t="shared" si="11"/>
        <v>127</v>
      </c>
      <c r="V38">
        <f t="shared" si="11"/>
        <v>128</v>
      </c>
      <c r="W38">
        <f t="shared" si="11"/>
        <v>129</v>
      </c>
      <c r="X38">
        <f t="shared" si="11"/>
        <v>130</v>
      </c>
      <c r="Y38">
        <f t="shared" si="11"/>
        <v>131</v>
      </c>
      <c r="Z38">
        <f t="shared" si="11"/>
        <v>132</v>
      </c>
      <c r="AA38">
        <f t="shared" si="11"/>
        <v>133</v>
      </c>
      <c r="AB38">
        <f t="shared" si="11"/>
        <v>134</v>
      </c>
      <c r="AC38">
        <f t="shared" si="11"/>
        <v>135</v>
      </c>
      <c r="AD38">
        <f t="shared" si="11"/>
        <v>136</v>
      </c>
      <c r="AF38" s="1"/>
      <c r="AG38" s="1">
        <f>AG36+1</f>
        <v>32</v>
      </c>
      <c r="AH38" s="1">
        <f>AH36+1</f>
        <v>2050</v>
      </c>
    </row>
    <row r="39" spans="1:34" ht="15" customHeight="1">
      <c r="A39" s="152" t="s">
        <v>31</v>
      </c>
      <c r="B39" s="153"/>
      <c r="C39" s="153"/>
      <c r="D39" s="153"/>
      <c r="E39" s="154"/>
      <c r="F39" s="196" t="e">
        <f>VLOOKUP($Q$5,個別データ!$C$5:$GQ$180,S39)</f>
        <v>#N/A</v>
      </c>
      <c r="G39" s="196" t="e">
        <f>VLOOKUP($Q$5,個別データ!$C$5:$GQ$180,T39)</f>
        <v>#N/A</v>
      </c>
      <c r="H39" s="196" t="e">
        <f>VLOOKUP($Q$5,個別データ!$C$5:$GQ$180,U39)</f>
        <v>#N/A</v>
      </c>
      <c r="I39" s="196" t="e">
        <f>VLOOKUP($Q$5,個別データ!$C$5:$GQ$180,V39)</f>
        <v>#N/A</v>
      </c>
      <c r="J39" s="196" t="e">
        <f>VLOOKUP($Q$5,個別データ!$C$5:$GQ$180,W39)</f>
        <v>#N/A</v>
      </c>
      <c r="K39" s="196" t="e">
        <f>VLOOKUP($Q$5,個別データ!$C$5:$GQ$180,X39)</f>
        <v>#N/A</v>
      </c>
      <c r="L39" s="196" t="e">
        <f>VLOOKUP($Q$5,個別データ!$C$5:$GQ$180,Y39)</f>
        <v>#N/A</v>
      </c>
      <c r="M39" s="196" t="e">
        <f>VLOOKUP($Q$5,個別データ!$C$5:$GQ$180,Z39)</f>
        <v>#N/A</v>
      </c>
      <c r="N39" s="196" t="e">
        <f>VLOOKUP($Q$5,個別データ!$C$5:$GQ$180,AA39)</f>
        <v>#N/A</v>
      </c>
      <c r="O39" s="196" t="e">
        <f>VLOOKUP($Q$5,個別データ!$C$5:$GQ$180,AB39)</f>
        <v>#N/A</v>
      </c>
      <c r="P39" s="196" t="e">
        <f>VLOOKUP($Q$5,個別データ!$C$5:$GQ$180,AC39)</f>
        <v>#N/A</v>
      </c>
      <c r="Q39" s="196" t="e">
        <f>VLOOKUP($Q$5,個別データ!$C$5:$GQ$180,AD39)</f>
        <v>#N/A</v>
      </c>
      <c r="R39" s="248"/>
      <c r="S39">
        <f>個別データ!EI1</f>
        <v>137</v>
      </c>
      <c r="T39">
        <f>+S39+1</f>
        <v>138</v>
      </c>
      <c r="U39">
        <f t="shared" ref="U39" si="24">+T39+1</f>
        <v>139</v>
      </c>
      <c r="V39">
        <f t="shared" ref="V39" si="25">+U39+1</f>
        <v>140</v>
      </c>
      <c r="W39">
        <f t="shared" ref="W39" si="26">+V39+1</f>
        <v>141</v>
      </c>
      <c r="X39">
        <f t="shared" ref="X39" si="27">+W39+1</f>
        <v>142</v>
      </c>
      <c r="Y39">
        <f t="shared" ref="Y39" si="28">+X39+1</f>
        <v>143</v>
      </c>
      <c r="Z39">
        <f t="shared" ref="Z39" si="29">+Y39+1</f>
        <v>144</v>
      </c>
      <c r="AA39">
        <f t="shared" ref="AA39" si="30">+Z39+1</f>
        <v>145</v>
      </c>
      <c r="AB39">
        <f t="shared" ref="AB39" si="31">+AA39+1</f>
        <v>146</v>
      </c>
      <c r="AC39">
        <f t="shared" ref="AC39" si="32">+AB39+1</f>
        <v>147</v>
      </c>
      <c r="AD39">
        <f t="shared" ref="AD39" si="33">+AC39+1</f>
        <v>148</v>
      </c>
      <c r="AF39" s="1"/>
      <c r="AG39" s="1">
        <f t="shared" si="9"/>
        <v>33</v>
      </c>
      <c r="AH39" s="1">
        <f t="shared" si="9"/>
        <v>2051</v>
      </c>
    </row>
    <row r="40" spans="1:34" ht="15" customHeight="1">
      <c r="A40" s="152" t="s">
        <v>2511</v>
      </c>
      <c r="E40" s="193"/>
      <c r="F40" s="601" t="e">
        <f>VLOOKUP($Q$5,個別データ!$C$5:$GQ$180,S40)</f>
        <v>#N/A</v>
      </c>
      <c r="G40" s="601" t="e">
        <f>VLOOKUP($Q$5,個別データ!$C$5:$GQ$180,T40)</f>
        <v>#N/A</v>
      </c>
      <c r="H40" s="601" t="e">
        <f>VLOOKUP($Q$5,個別データ!$C$5:$GQ$180,U40)</f>
        <v>#N/A</v>
      </c>
      <c r="I40" s="601" t="e">
        <f>VLOOKUP($Q$5,個別データ!$C$5:$GQ$180,V40)</f>
        <v>#N/A</v>
      </c>
      <c r="J40" s="601" t="e">
        <f>VLOOKUP($Q$5,個別データ!$C$5:$GQ$180,W40)</f>
        <v>#N/A</v>
      </c>
      <c r="K40" s="601" t="e">
        <f>VLOOKUP($Q$5,個別データ!$C$5:$GQ$180,X40)</f>
        <v>#N/A</v>
      </c>
      <c r="L40" s="601" t="e">
        <f>VLOOKUP($Q$5,個別データ!$C$5:$GQ$180,Y40)</f>
        <v>#N/A</v>
      </c>
      <c r="M40" s="601" t="e">
        <f>VLOOKUP($Q$5,個別データ!$C$5:$GQ$180,Z40)</f>
        <v>#N/A</v>
      </c>
      <c r="N40" s="601" t="e">
        <f>VLOOKUP($Q$5,個別データ!$C$5:$GQ$180,AA40)</f>
        <v>#N/A</v>
      </c>
      <c r="O40" s="601" t="e">
        <f>VLOOKUP($Q$5,個別データ!$C$5:$GQ$180,AB40)</f>
        <v>#N/A</v>
      </c>
      <c r="P40" s="601" t="e">
        <f>VLOOKUP($Q$5,個別データ!$C$5:$GQ$180,AC40)</f>
        <v>#N/A</v>
      </c>
      <c r="Q40" s="601" t="e">
        <f>VLOOKUP($Q$5,個別データ!$C$5:$GQ$180,AD40)</f>
        <v>#N/A</v>
      </c>
      <c r="R40" s="248"/>
      <c r="S40">
        <f>個別データ!EV1</f>
        <v>150</v>
      </c>
      <c r="T40">
        <f>個別データ!EW1</f>
        <v>151</v>
      </c>
      <c r="U40">
        <f>個別データ!EX1</f>
        <v>152</v>
      </c>
      <c r="V40">
        <f>個別データ!EY1</f>
        <v>153</v>
      </c>
      <c r="W40">
        <f>個別データ!EZ1</f>
        <v>154</v>
      </c>
      <c r="X40">
        <f>個別データ!FA1</f>
        <v>155</v>
      </c>
      <c r="Y40">
        <f>個別データ!FB1</f>
        <v>156</v>
      </c>
      <c r="Z40">
        <f>個別データ!FC1</f>
        <v>157</v>
      </c>
      <c r="AA40">
        <f>個別データ!FD1</f>
        <v>158</v>
      </c>
      <c r="AB40">
        <f>個別データ!FE1</f>
        <v>159</v>
      </c>
      <c r="AC40">
        <f>個別データ!FF1</f>
        <v>160</v>
      </c>
      <c r="AD40">
        <f>個別データ!FG1</f>
        <v>161</v>
      </c>
      <c r="AF40" s="1"/>
      <c r="AG40" s="1"/>
      <c r="AH40" s="1"/>
    </row>
    <row r="41" spans="1:34" ht="15" customHeight="1">
      <c r="A41" s="180" t="s">
        <v>1025</v>
      </c>
      <c r="B41" s="158"/>
      <c r="C41" s="158"/>
      <c r="D41" s="158"/>
      <c r="E41" s="159"/>
      <c r="F41" s="567" t="e">
        <f>IF(OR(F42=$T$45,F42=$T$46,F42=$T$47),"有","無")</f>
        <v>#N/A</v>
      </c>
      <c r="G41" s="567" t="e">
        <f t="shared" ref="G41:Q41" si="34">IF(OR(G42=$T$45,G42=$T$46,G42=$T$47),"有","無")</f>
        <v>#N/A</v>
      </c>
      <c r="H41" s="567" t="e">
        <f t="shared" si="34"/>
        <v>#N/A</v>
      </c>
      <c r="I41" s="567" t="e">
        <f t="shared" si="34"/>
        <v>#N/A</v>
      </c>
      <c r="J41" s="567" t="e">
        <f t="shared" si="34"/>
        <v>#N/A</v>
      </c>
      <c r="K41" s="567" t="e">
        <f t="shared" si="34"/>
        <v>#N/A</v>
      </c>
      <c r="L41" s="567" t="e">
        <f t="shared" si="34"/>
        <v>#N/A</v>
      </c>
      <c r="M41" s="567" t="e">
        <f t="shared" si="34"/>
        <v>#N/A</v>
      </c>
      <c r="N41" s="567" t="e">
        <f t="shared" si="34"/>
        <v>#N/A</v>
      </c>
      <c r="O41" s="567" t="e">
        <f t="shared" si="34"/>
        <v>#N/A</v>
      </c>
      <c r="P41" s="567" t="e">
        <f t="shared" si="34"/>
        <v>#N/A</v>
      </c>
      <c r="Q41" s="567" t="e">
        <f t="shared" si="34"/>
        <v>#N/A</v>
      </c>
      <c r="R41" s="253"/>
      <c r="AF41" s="1"/>
      <c r="AG41" s="1">
        <f>AG39+1</f>
        <v>34</v>
      </c>
      <c r="AH41" s="1">
        <f>AH39+1</f>
        <v>2052</v>
      </c>
    </row>
    <row r="42" spans="1:34" ht="15" customHeight="1">
      <c r="A42" s="157"/>
      <c r="B42" s="152" t="s">
        <v>1026</v>
      </c>
      <c r="C42" s="153"/>
      <c r="D42" s="153"/>
      <c r="E42" s="154"/>
      <c r="F42" s="568" t="e">
        <f>VLOOKUP($Q$5,個別データ!$C$5:$GQ$180,S42)</f>
        <v>#N/A</v>
      </c>
      <c r="G42" s="568" t="e">
        <f>VLOOKUP($Q$5,個別データ!$C$5:$GQ$180,T42)</f>
        <v>#N/A</v>
      </c>
      <c r="H42" s="568" t="e">
        <f>VLOOKUP($Q$5,個別データ!$C$5:$GQ$180,U42)</f>
        <v>#N/A</v>
      </c>
      <c r="I42" s="568" t="e">
        <f>VLOOKUP($Q$5,個別データ!$C$5:$GQ$180,V42)</f>
        <v>#N/A</v>
      </c>
      <c r="J42" s="568" t="e">
        <f>VLOOKUP($Q$5,個別データ!$C$5:$GQ$180,W42)</f>
        <v>#N/A</v>
      </c>
      <c r="K42" s="568" t="e">
        <f>VLOOKUP($Q$5,個別データ!$C$5:$GQ$180,X42)</f>
        <v>#N/A</v>
      </c>
      <c r="L42" s="568" t="e">
        <f>VLOOKUP($Q$5,個別データ!$C$5:$GQ$180,Y42)</f>
        <v>#N/A</v>
      </c>
      <c r="M42" s="568" t="e">
        <f>VLOOKUP($Q$5,個別データ!$C$5:$GQ$180,Z42)</f>
        <v>#N/A</v>
      </c>
      <c r="N42" s="568" t="e">
        <f>VLOOKUP($Q$5,個別データ!$C$5:$GQ$180,AA42)</f>
        <v>#N/A</v>
      </c>
      <c r="O42" s="568" t="e">
        <f>VLOOKUP($Q$5,個別データ!$C$5:$GQ$180,AB42)</f>
        <v>#N/A</v>
      </c>
      <c r="P42" s="568" t="e">
        <f>VLOOKUP($Q$5,個別データ!$C$5:$GQ$180,AC42)</f>
        <v>#N/A</v>
      </c>
      <c r="Q42" s="568" t="e">
        <f>VLOOKUP($Q$5,個別データ!$C$5:$GQ$180,AD42)</f>
        <v>#N/A</v>
      </c>
      <c r="R42" s="253"/>
      <c r="S42">
        <f>個別データ!FR1</f>
        <v>172</v>
      </c>
      <c r="T42">
        <f>+S42+1</f>
        <v>173</v>
      </c>
      <c r="U42">
        <f t="shared" ref="U42" si="35">+T42+1</f>
        <v>174</v>
      </c>
      <c r="V42">
        <f t="shared" ref="V42" si="36">+U42+1</f>
        <v>175</v>
      </c>
      <c r="W42">
        <f t="shared" ref="W42" si="37">+V42+1</f>
        <v>176</v>
      </c>
      <c r="X42">
        <f t="shared" ref="X42" si="38">+W42+1</f>
        <v>177</v>
      </c>
      <c r="Y42">
        <f t="shared" ref="Y42" si="39">+X42+1</f>
        <v>178</v>
      </c>
      <c r="Z42">
        <f t="shared" ref="Z42" si="40">+Y42+1</f>
        <v>179</v>
      </c>
      <c r="AA42">
        <f t="shared" ref="AA42" si="41">+Z42+1</f>
        <v>180</v>
      </c>
      <c r="AB42">
        <f t="shared" ref="AB42" si="42">+AA42+1</f>
        <v>181</v>
      </c>
      <c r="AC42">
        <f t="shared" ref="AC42" si="43">+AB42+1</f>
        <v>182</v>
      </c>
      <c r="AD42">
        <f t="shared" ref="AD42" si="44">+AC42+1</f>
        <v>183</v>
      </c>
      <c r="AF42" s="1"/>
      <c r="AG42" s="1">
        <f t="shared" ref="AG42:AH42" si="45">AG41+1</f>
        <v>35</v>
      </c>
      <c r="AH42" s="1">
        <f t="shared" si="45"/>
        <v>2053</v>
      </c>
    </row>
    <row r="43" spans="1:34" ht="15" hidden="1" customHeight="1">
      <c r="A43" s="157"/>
      <c r="B43" s="157"/>
      <c r="C43" s="157" t="s">
        <v>1084</v>
      </c>
      <c r="D43" s="160"/>
      <c r="E43" s="161"/>
      <c r="F43" s="496" t="e">
        <f>IF(F42="配置",個別データ!$GD$3,0)</f>
        <v>#N/A</v>
      </c>
      <c r="G43" s="496" t="e">
        <f>IF(G42="配置",個別データ!$GD$3,0)</f>
        <v>#N/A</v>
      </c>
      <c r="H43" s="496" t="e">
        <f>IF(H42="配置",個別データ!$GD$3,0)</f>
        <v>#N/A</v>
      </c>
      <c r="I43" s="496" t="e">
        <f>IF(I42="配置",個別データ!$GD$3,0)</f>
        <v>#N/A</v>
      </c>
      <c r="J43" s="496" t="e">
        <f>IF(J42="配置",個別データ!$GD$3,0)</f>
        <v>#N/A</v>
      </c>
      <c r="K43" s="496" t="e">
        <f>IF(K42="配置",個別データ!$GD$3,0)</f>
        <v>#N/A</v>
      </c>
      <c r="L43" s="496" t="e">
        <f>IF(L42="配置",個別データ!$GD$3,0)</f>
        <v>#N/A</v>
      </c>
      <c r="M43" s="496" t="e">
        <f>IF(M42="配置",個別データ!$GD$3,0)</f>
        <v>#N/A</v>
      </c>
      <c r="N43" s="496" t="e">
        <f>IF(N42="配置",個別データ!$GD$3,0)</f>
        <v>#N/A</v>
      </c>
      <c r="O43" s="496" t="e">
        <f>IF(O42="配置",個別データ!$GD$3,0)</f>
        <v>#N/A</v>
      </c>
      <c r="P43" s="496" t="e">
        <f>IF(P42="配置",個別データ!$GD$3,0)</f>
        <v>#N/A</v>
      </c>
      <c r="Q43" s="496" t="e">
        <f>IF(Q42="配置",個別データ!$GD$3,0)</f>
        <v>#N/A</v>
      </c>
      <c r="R43" s="254"/>
      <c r="S43">
        <f>個別データ!GD1</f>
        <v>184</v>
      </c>
      <c r="T43">
        <f>+S43+1</f>
        <v>185</v>
      </c>
      <c r="U43">
        <f t="shared" ref="U43:AD43" si="46">+T43+1</f>
        <v>186</v>
      </c>
      <c r="V43">
        <f t="shared" si="46"/>
        <v>187</v>
      </c>
      <c r="W43">
        <f t="shared" si="46"/>
        <v>188</v>
      </c>
      <c r="X43">
        <f t="shared" si="46"/>
        <v>189</v>
      </c>
      <c r="Y43">
        <f t="shared" si="46"/>
        <v>190</v>
      </c>
      <c r="Z43">
        <f t="shared" si="46"/>
        <v>191</v>
      </c>
      <c r="AA43">
        <f t="shared" si="46"/>
        <v>192</v>
      </c>
      <c r="AB43">
        <f t="shared" si="46"/>
        <v>193</v>
      </c>
      <c r="AC43">
        <f t="shared" si="46"/>
        <v>194</v>
      </c>
      <c r="AD43">
        <f t="shared" si="46"/>
        <v>195</v>
      </c>
      <c r="AF43" s="1"/>
      <c r="AG43" s="1">
        <f t="shared" ref="AG43:AH43" si="47">AG42+1</f>
        <v>36</v>
      </c>
      <c r="AH43" s="1">
        <f t="shared" si="47"/>
        <v>2054</v>
      </c>
    </row>
    <row r="44" spans="1:34" ht="3.5" customHeight="1">
      <c r="AF44" s="1"/>
      <c r="AG44" s="1">
        <f t="shared" ref="AG44:AH44" si="48">AG43+1</f>
        <v>37</v>
      </c>
      <c r="AH44" s="1">
        <f t="shared" si="48"/>
        <v>2055</v>
      </c>
    </row>
    <row r="45" spans="1:34" ht="15" customHeight="1">
      <c r="T45" t="s">
        <v>1081</v>
      </c>
      <c r="U45">
        <v>76960</v>
      </c>
      <c r="AF45" s="1"/>
      <c r="AG45" s="1">
        <f t="shared" ref="AG45:AH45" si="49">AG44+1</f>
        <v>38</v>
      </c>
      <c r="AH45" s="1">
        <f t="shared" si="49"/>
        <v>2056</v>
      </c>
    </row>
    <row r="46" spans="1:34" ht="15" customHeight="1">
      <c r="B46" t="s">
        <v>419</v>
      </c>
      <c r="T46" t="s">
        <v>1082</v>
      </c>
      <c r="U46">
        <v>50000</v>
      </c>
      <c r="AF46" s="1"/>
      <c r="AG46" s="1">
        <f t="shared" ref="AG46:AH46" si="50">AG45+1</f>
        <v>39</v>
      </c>
      <c r="AH46" s="1">
        <f t="shared" si="50"/>
        <v>2057</v>
      </c>
    </row>
    <row r="47" spans="1:34" ht="15" customHeight="1">
      <c r="B47" t="s">
        <v>420</v>
      </c>
      <c r="T47" t="s">
        <v>1083</v>
      </c>
      <c r="U47">
        <v>10000</v>
      </c>
      <c r="AF47" s="1" t="s">
        <v>32</v>
      </c>
      <c r="AG47" s="1">
        <v>31</v>
      </c>
      <c r="AH47" s="1">
        <v>2019</v>
      </c>
    </row>
    <row r="48" spans="1:34" ht="15" customHeight="1"/>
    <row r="49" spans="5:20" ht="15" customHeight="1"/>
    <row r="50" spans="5:20" ht="15" customHeight="1"/>
    <row r="51" spans="5:20" ht="15" customHeight="1"/>
    <row r="52" spans="5:20" ht="15" customHeight="1"/>
    <row r="53" spans="5:20" ht="32.25" customHeight="1"/>
    <row r="54" spans="5:20" ht="33" customHeight="1"/>
    <row r="55" spans="5:20" ht="33" customHeight="1"/>
    <row r="56" spans="5:20" ht="33.75" customHeight="1">
      <c r="F56" s="192"/>
      <c r="G56" s="192"/>
      <c r="H56" s="192"/>
      <c r="I56" s="192"/>
      <c r="J56" s="192"/>
      <c r="K56" s="192"/>
      <c r="L56" s="192"/>
      <c r="M56" s="192"/>
      <c r="N56" s="192"/>
      <c r="O56" s="192"/>
      <c r="P56" s="192"/>
      <c r="Q56" s="192"/>
      <c r="R56" s="192"/>
      <c r="T56" t="s">
        <v>35</v>
      </c>
    </row>
    <row r="57" spans="5:20" ht="33.75" hidden="1" customHeight="1"/>
    <row r="58" spans="5:20" ht="33.75" hidden="1" customHeight="1">
      <c r="N58" t="s">
        <v>1346</v>
      </c>
    </row>
    <row r="59" spans="5:20" ht="31.5" hidden="1" customHeight="1">
      <c r="N59" t="s">
        <v>1347</v>
      </c>
    </row>
    <row r="60" spans="5:20" ht="31.5" hidden="1" customHeight="1">
      <c r="N60" t="s">
        <v>1348</v>
      </c>
    </row>
    <row r="61" spans="5:20" ht="31.5" hidden="1" customHeight="1">
      <c r="E61" s="733" t="s">
        <v>1064</v>
      </c>
      <c r="F61" s="733"/>
      <c r="G61" s="733"/>
      <c r="H61" s="733"/>
      <c r="I61" s="733"/>
      <c r="J61" s="733"/>
      <c r="K61" s="733"/>
      <c r="N61" t="s">
        <v>1349</v>
      </c>
    </row>
    <row r="62" spans="5:20" ht="31.5" hidden="1" customHeight="1">
      <c r="E62" s="733"/>
      <c r="F62" s="733"/>
      <c r="G62" s="733"/>
      <c r="H62" s="733"/>
      <c r="I62" s="733"/>
      <c r="J62" s="733"/>
      <c r="K62" s="733"/>
      <c r="N62" t="s">
        <v>1350</v>
      </c>
    </row>
    <row r="63" spans="5:20" ht="31.5" hidden="1" customHeight="1">
      <c r="E63" s="733"/>
      <c r="F63" s="733"/>
      <c r="G63" s="733"/>
      <c r="H63" s="733"/>
      <c r="I63" s="733"/>
      <c r="J63" s="733"/>
      <c r="K63" s="733"/>
      <c r="N63" t="s">
        <v>1351</v>
      </c>
    </row>
    <row r="64" spans="5:20" ht="31.5" hidden="1" customHeight="1">
      <c r="E64" s="733" t="s">
        <v>1066</v>
      </c>
      <c r="F64" s="733"/>
      <c r="G64" s="733"/>
      <c r="H64" s="733"/>
      <c r="I64" s="733"/>
      <c r="J64" s="733"/>
      <c r="K64" s="733"/>
    </row>
    <row r="65" spans="1:18" ht="33.75" hidden="1" customHeight="1">
      <c r="E65" s="733"/>
      <c r="F65" s="733"/>
      <c r="G65" s="733"/>
      <c r="H65" s="733"/>
      <c r="I65" s="733"/>
      <c r="J65" s="733"/>
      <c r="K65" s="733"/>
    </row>
    <row r="66" spans="1:18" ht="33.75" hidden="1" customHeight="1">
      <c r="E66" s="733"/>
      <c r="F66" s="733"/>
      <c r="G66" s="733"/>
      <c r="H66" s="733"/>
      <c r="I66" s="733"/>
      <c r="J66" s="733"/>
      <c r="K66" s="733"/>
    </row>
    <row r="67" spans="1:18" hidden="1"/>
    <row r="68" spans="1:18" hidden="1"/>
    <row r="69" spans="1:18" hidden="1"/>
    <row r="70" spans="1:18" hidden="1"/>
    <row r="71" spans="1:18" hidden="1"/>
    <row r="72" spans="1:18" hidden="1"/>
    <row r="73" spans="1:18" hidden="1"/>
    <row r="74" spans="1:18" hidden="1"/>
    <row r="75" spans="1:18" hidden="1"/>
    <row r="76" spans="1:18" ht="39" hidden="1" customHeight="1"/>
    <row r="77" spans="1:18" hidden="1"/>
    <row r="78" spans="1:18" hidden="1"/>
    <row r="79" spans="1:18" hidden="1">
      <c r="A79" s="728" t="s">
        <v>33</v>
      </c>
      <c r="B79" s="729"/>
      <c r="C79" s="729"/>
      <c r="D79" s="179"/>
      <c r="E79" s="179"/>
      <c r="F79" s="162"/>
      <c r="J79" s="162"/>
      <c r="K79" s="162"/>
      <c r="L79" s="162"/>
      <c r="M79" s="162"/>
      <c r="N79" s="162"/>
      <c r="O79" s="162"/>
      <c r="P79" s="162"/>
      <c r="Q79" s="162"/>
    </row>
    <row r="80" spans="1:18" hidden="1">
      <c r="A80" s="155"/>
      <c r="B80" s="724" t="s">
        <v>34</v>
      </c>
      <c r="C80" s="725"/>
      <c r="D80" s="178"/>
      <c r="E80" s="178"/>
      <c r="F80" s="163"/>
      <c r="G80" s="163"/>
      <c r="H80" s="163"/>
      <c r="I80" s="163"/>
      <c r="J80" s="163"/>
      <c r="K80" s="163"/>
      <c r="L80" s="163"/>
      <c r="M80" s="163"/>
      <c r="N80" s="163"/>
      <c r="O80" s="163"/>
      <c r="P80" s="163"/>
      <c r="Q80" s="163"/>
      <c r="R80" s="244"/>
    </row>
    <row r="81" spans="1:30" hidden="1">
      <c r="A81" s="155"/>
      <c r="B81" s="724" t="s">
        <v>36</v>
      </c>
      <c r="C81" s="725"/>
      <c r="D81" s="178"/>
      <c r="E81" s="178"/>
      <c r="F81" s="163"/>
      <c r="G81" s="163"/>
      <c r="H81" s="163"/>
      <c r="I81" s="163"/>
      <c r="J81" s="163"/>
      <c r="K81" s="163"/>
      <c r="L81" s="163"/>
      <c r="M81" s="163"/>
      <c r="N81" s="163"/>
      <c r="O81" s="163"/>
      <c r="P81" s="163"/>
      <c r="Q81" s="163"/>
      <c r="R81" s="244"/>
    </row>
    <row r="82" spans="1:30" hidden="1">
      <c r="A82" s="155"/>
      <c r="B82" s="725" t="s">
        <v>37</v>
      </c>
      <c r="C82" s="725"/>
      <c r="D82" s="178"/>
      <c r="E82" s="178"/>
      <c r="F82" s="163"/>
      <c r="G82" s="163"/>
      <c r="H82" s="163"/>
      <c r="I82" s="163"/>
      <c r="J82" s="163"/>
      <c r="K82" s="163"/>
      <c r="L82" s="163"/>
      <c r="M82" s="163"/>
      <c r="N82" s="163"/>
      <c r="O82" s="163"/>
      <c r="P82" s="163"/>
      <c r="Q82" s="163"/>
      <c r="R82" s="244"/>
    </row>
    <row r="83" spans="1:30" ht="20" hidden="1">
      <c r="A83" s="155"/>
      <c r="B83" s="725" t="s">
        <v>38</v>
      </c>
      <c r="C83" s="725"/>
      <c r="D83" s="178"/>
      <c r="E83" s="178"/>
      <c r="F83" s="163"/>
      <c r="G83" s="163"/>
      <c r="H83" s="163"/>
      <c r="I83" s="163"/>
      <c r="J83" s="163"/>
      <c r="K83" s="163"/>
      <c r="L83" s="163"/>
      <c r="M83" s="163"/>
      <c r="N83" s="163"/>
      <c r="O83" s="163"/>
      <c r="P83" s="163"/>
      <c r="Q83" s="163"/>
      <c r="R83" s="244"/>
      <c r="T83" s="138" t="s">
        <v>364</v>
      </c>
      <c r="U83" s="138"/>
      <c r="V83" s="138"/>
      <c r="W83" s="138"/>
      <c r="X83" s="138"/>
      <c r="Y83" s="138"/>
      <c r="Z83" s="138"/>
      <c r="AA83" s="138"/>
      <c r="AB83" s="138"/>
      <c r="AC83" s="138"/>
      <c r="AD83" s="138"/>
    </row>
    <row r="84" spans="1:30" ht="20" hidden="1">
      <c r="A84" s="157"/>
      <c r="B84" s="725" t="s">
        <v>39</v>
      </c>
      <c r="C84" s="725"/>
      <c r="D84" s="178"/>
      <c r="E84" s="178"/>
      <c r="F84" s="163"/>
      <c r="G84" s="163"/>
      <c r="H84" s="163"/>
      <c r="I84" s="163"/>
      <c r="J84" s="163"/>
      <c r="K84" s="163"/>
      <c r="L84" s="163"/>
      <c r="M84" s="163"/>
      <c r="N84" s="163"/>
      <c r="O84" s="163"/>
      <c r="P84" s="163"/>
      <c r="Q84" s="163"/>
      <c r="R84" s="244"/>
      <c r="T84" s="138" t="s">
        <v>401</v>
      </c>
      <c r="U84" s="138"/>
      <c r="V84" s="138"/>
      <c r="W84" s="138"/>
      <c r="X84" s="138"/>
      <c r="Y84" s="138"/>
      <c r="Z84" s="138"/>
      <c r="AA84" s="138"/>
      <c r="AB84" s="138"/>
      <c r="AC84" s="138"/>
      <c r="AD84" s="138"/>
    </row>
    <row r="85" spans="1:30" ht="19.5" hidden="1" customHeight="1">
      <c r="T85" s="737" t="s">
        <v>402</v>
      </c>
      <c r="U85" s="737"/>
      <c r="V85" s="737"/>
      <c r="W85" s="737"/>
      <c r="X85" s="737"/>
      <c r="Y85" s="737"/>
      <c r="Z85" s="737"/>
      <c r="AA85" s="737"/>
      <c r="AB85" s="737"/>
      <c r="AC85" s="737"/>
      <c r="AD85" s="737"/>
    </row>
    <row r="86" spans="1:30" ht="20" hidden="1">
      <c r="A86" s="728" t="s">
        <v>40</v>
      </c>
      <c r="B86" s="729"/>
      <c r="C86" s="729"/>
      <c r="D86" s="179"/>
      <c r="E86" s="179"/>
      <c r="F86" s="162"/>
      <c r="G86" s="162"/>
      <c r="H86" s="162"/>
      <c r="I86" s="162"/>
      <c r="J86" s="162"/>
      <c r="K86" s="162"/>
      <c r="L86" s="162"/>
      <c r="M86" s="162"/>
      <c r="N86" s="162"/>
      <c r="O86" s="162"/>
      <c r="P86" s="162"/>
      <c r="Q86" s="162"/>
      <c r="T86" s="138" t="s">
        <v>403</v>
      </c>
      <c r="U86" s="138"/>
      <c r="V86" s="138"/>
      <c r="W86" s="138"/>
      <c r="X86" s="138"/>
      <c r="Y86" s="138"/>
      <c r="Z86" s="138"/>
      <c r="AA86" s="138"/>
      <c r="AB86" s="138"/>
      <c r="AC86" s="138"/>
      <c r="AD86" s="138"/>
    </row>
    <row r="87" spans="1:30" ht="20" hidden="1">
      <c r="A87" s="155"/>
      <c r="B87" s="724" t="s">
        <v>41</v>
      </c>
      <c r="C87" s="725"/>
      <c r="D87" s="178"/>
      <c r="E87" s="178"/>
      <c r="F87" s="163"/>
      <c r="G87" s="163"/>
      <c r="H87" s="163"/>
      <c r="I87" s="163"/>
      <c r="J87" s="163"/>
      <c r="K87" s="163"/>
      <c r="L87" s="163"/>
      <c r="M87" s="163"/>
      <c r="N87" s="163"/>
      <c r="O87" s="163"/>
      <c r="P87" s="163"/>
      <c r="Q87" s="163"/>
      <c r="R87" s="244"/>
      <c r="T87" s="738" t="s">
        <v>404</v>
      </c>
      <c r="U87" s="738"/>
      <c r="V87" s="738" t="s">
        <v>339</v>
      </c>
      <c r="W87" s="738"/>
      <c r="X87" s="738"/>
      <c r="Y87" s="738"/>
      <c r="Z87" s="738"/>
      <c r="AA87" s="738"/>
      <c r="AB87" s="738"/>
      <c r="AC87" s="738"/>
      <c r="AD87" s="738"/>
    </row>
    <row r="88" spans="1:30" ht="20" hidden="1">
      <c r="A88" s="155"/>
      <c r="B88" s="725" t="s">
        <v>42</v>
      </c>
      <c r="C88" s="725"/>
      <c r="D88" s="178"/>
      <c r="E88" s="178"/>
      <c r="F88" s="163"/>
      <c r="G88" s="163"/>
      <c r="H88" s="163"/>
      <c r="I88" s="163"/>
      <c r="J88" s="163"/>
      <c r="K88" s="163"/>
      <c r="L88" s="163"/>
      <c r="M88" s="163"/>
      <c r="N88" s="163"/>
      <c r="O88" s="163"/>
      <c r="P88" s="163"/>
      <c r="Q88" s="163"/>
      <c r="R88" s="244"/>
      <c r="T88" s="738" t="s">
        <v>384</v>
      </c>
      <c r="U88" s="738"/>
      <c r="V88" s="738" t="s">
        <v>1029</v>
      </c>
      <c r="W88" s="738"/>
      <c r="X88" s="738"/>
      <c r="Y88" s="738"/>
      <c r="Z88" s="738"/>
      <c r="AA88" s="738"/>
      <c r="AB88" s="738"/>
      <c r="AC88" s="738"/>
      <c r="AD88" s="738"/>
    </row>
    <row r="89" spans="1:30" ht="20" hidden="1">
      <c r="A89" s="155"/>
      <c r="B89" s="725" t="s">
        <v>43</v>
      </c>
      <c r="C89" s="725"/>
      <c r="D89" s="178"/>
      <c r="E89" s="178"/>
      <c r="F89" s="163"/>
      <c r="G89" s="163"/>
      <c r="H89" s="163"/>
      <c r="I89" s="163"/>
      <c r="J89" s="163"/>
      <c r="K89" s="163"/>
      <c r="L89" s="163"/>
      <c r="M89" s="163"/>
      <c r="N89" s="163"/>
      <c r="O89" s="163"/>
      <c r="P89" s="163"/>
      <c r="Q89" s="163"/>
      <c r="R89" s="244"/>
      <c r="T89" s="738" t="s">
        <v>1028</v>
      </c>
      <c r="U89" s="738"/>
      <c r="V89" s="738" t="s">
        <v>1030</v>
      </c>
      <c r="W89" s="738"/>
      <c r="X89" s="738"/>
      <c r="Y89" s="738"/>
      <c r="Z89" s="738"/>
      <c r="AA89" s="738"/>
      <c r="AB89" s="738"/>
      <c r="AC89" s="738"/>
      <c r="AD89" s="738"/>
    </row>
    <row r="90" spans="1:30" ht="39" hidden="1" customHeight="1">
      <c r="A90" s="157"/>
      <c r="B90" s="725" t="s">
        <v>44</v>
      </c>
      <c r="C90" s="725"/>
      <c r="D90" s="178"/>
      <c r="E90" s="178"/>
      <c r="F90" s="163"/>
      <c r="G90" s="163"/>
      <c r="H90" s="163"/>
      <c r="I90" s="163"/>
      <c r="J90" s="163"/>
      <c r="K90" s="163"/>
      <c r="L90" s="163"/>
      <c r="M90" s="163"/>
      <c r="N90" s="163"/>
      <c r="O90" s="163"/>
      <c r="P90" s="163"/>
      <c r="Q90" s="163"/>
      <c r="R90" s="244"/>
      <c r="T90" s="738" t="s">
        <v>1558</v>
      </c>
      <c r="U90" s="738"/>
      <c r="V90" s="738" t="s">
        <v>1625</v>
      </c>
      <c r="W90" s="738"/>
      <c r="X90" s="738"/>
      <c r="Y90" s="738"/>
      <c r="Z90" s="738"/>
      <c r="AA90" s="738"/>
      <c r="AB90" s="738"/>
      <c r="AC90" s="738"/>
      <c r="AD90" s="738"/>
    </row>
    <row r="91" spans="1:30" ht="39" hidden="1" customHeight="1">
      <c r="T91" s="738" t="s">
        <v>1556</v>
      </c>
      <c r="U91" s="738"/>
      <c r="V91" s="738" t="s">
        <v>1065</v>
      </c>
      <c r="W91" s="738"/>
      <c r="X91" s="738"/>
      <c r="Y91" s="738"/>
      <c r="Z91" s="738"/>
      <c r="AA91" s="738"/>
      <c r="AB91" s="738"/>
      <c r="AC91" s="738"/>
      <c r="AD91" s="738"/>
    </row>
    <row r="92" spans="1:30" ht="81" customHeight="1">
      <c r="T92" s="738" t="s">
        <v>1557</v>
      </c>
      <c r="U92" s="738"/>
      <c r="V92" s="738" t="s">
        <v>1576</v>
      </c>
      <c r="W92" s="738"/>
      <c r="X92" s="738"/>
      <c r="Y92" s="738"/>
      <c r="Z92" s="738"/>
      <c r="AA92" s="738"/>
      <c r="AB92" s="738"/>
      <c r="AC92" s="738"/>
      <c r="AD92" s="738"/>
    </row>
    <row r="93" spans="1:30" ht="19.5" customHeight="1">
      <c r="T93" s="744" t="s">
        <v>1575</v>
      </c>
      <c r="U93" s="744"/>
      <c r="V93" s="738" t="s">
        <v>385</v>
      </c>
      <c r="W93" s="738"/>
      <c r="X93" s="738"/>
      <c r="Y93" s="738"/>
      <c r="Z93" s="738"/>
      <c r="AA93" s="738"/>
      <c r="AB93" s="738"/>
      <c r="AC93" s="738"/>
      <c r="AD93" s="738"/>
    </row>
    <row r="94" spans="1:30" ht="19.5" customHeight="1">
      <c r="T94" s="744" t="s">
        <v>1574</v>
      </c>
      <c r="U94" s="744"/>
      <c r="V94" s="738" t="s">
        <v>1559</v>
      </c>
      <c r="W94" s="738"/>
      <c r="X94" s="738"/>
      <c r="Y94" s="738"/>
      <c r="Z94" s="738"/>
      <c r="AA94" s="738"/>
      <c r="AB94" s="738"/>
      <c r="AC94" s="738"/>
      <c r="AD94" s="738"/>
    </row>
    <row r="95" spans="1:30" ht="19.5" customHeight="1">
      <c r="T95" s="744" t="s">
        <v>1573</v>
      </c>
      <c r="U95" s="744"/>
      <c r="V95" s="738" t="s">
        <v>1560</v>
      </c>
      <c r="W95" s="738"/>
      <c r="X95" s="738"/>
      <c r="Y95" s="738"/>
      <c r="Z95" s="738"/>
      <c r="AA95" s="738"/>
      <c r="AB95" s="738"/>
      <c r="AC95" s="738"/>
      <c r="AD95" s="738"/>
    </row>
    <row r="96" spans="1:30" ht="19.5" customHeight="1">
      <c r="T96" s="744" t="s">
        <v>1031</v>
      </c>
      <c r="U96" s="744"/>
      <c r="V96" s="738" t="s">
        <v>387</v>
      </c>
      <c r="W96" s="738"/>
      <c r="X96" s="738"/>
      <c r="Y96" s="738"/>
      <c r="Z96" s="738"/>
      <c r="AA96" s="738"/>
      <c r="AB96" s="738"/>
      <c r="AC96" s="738"/>
      <c r="AD96" s="738"/>
    </row>
    <row r="97" spans="20:30" ht="19.5" customHeight="1">
      <c r="T97" s="744" t="s">
        <v>1561</v>
      </c>
      <c r="U97" s="744"/>
      <c r="V97" s="738" t="s">
        <v>1577</v>
      </c>
      <c r="W97" s="738"/>
      <c r="X97" s="738"/>
      <c r="Y97" s="738"/>
      <c r="Z97" s="738"/>
      <c r="AA97" s="738"/>
      <c r="AB97" s="738"/>
      <c r="AC97" s="738"/>
      <c r="AD97" s="738"/>
    </row>
    <row r="98" spans="20:30" ht="19.5" hidden="1" customHeight="1">
      <c r="T98" s="744" t="s">
        <v>1605</v>
      </c>
      <c r="U98" s="744"/>
      <c r="V98" s="738" t="s">
        <v>1606</v>
      </c>
      <c r="W98" s="738"/>
      <c r="X98" s="738"/>
      <c r="Y98" s="738"/>
      <c r="Z98" s="738"/>
      <c r="AA98" s="738"/>
      <c r="AB98" s="738"/>
      <c r="AC98" s="738"/>
      <c r="AD98" s="738"/>
    </row>
    <row r="99" spans="20:30" ht="38.25" customHeight="1">
      <c r="T99" s="744" t="s">
        <v>1037</v>
      </c>
      <c r="U99" s="744"/>
      <c r="V99" s="738" t="s">
        <v>389</v>
      </c>
      <c r="W99" s="738"/>
      <c r="X99" s="738"/>
      <c r="Y99" s="738"/>
      <c r="Z99" s="738"/>
      <c r="AA99" s="738"/>
      <c r="AB99" s="738"/>
      <c r="AC99" s="738"/>
      <c r="AD99" s="738"/>
    </row>
    <row r="100" spans="20:30" ht="19.5" customHeight="1">
      <c r="T100" s="744" t="s">
        <v>1038</v>
      </c>
      <c r="U100" s="744"/>
      <c r="V100" s="738" t="s">
        <v>388</v>
      </c>
      <c r="W100" s="738"/>
      <c r="X100" s="738"/>
      <c r="Y100" s="738"/>
      <c r="Z100" s="738"/>
      <c r="AA100" s="738"/>
      <c r="AB100" s="738"/>
      <c r="AC100" s="738"/>
      <c r="AD100" s="738"/>
    </row>
    <row r="101" spans="20:30" ht="19.5" customHeight="1">
      <c r="T101" s="744" t="s">
        <v>1562</v>
      </c>
      <c r="U101" s="744"/>
      <c r="V101" s="738" t="s">
        <v>390</v>
      </c>
      <c r="W101" s="738"/>
      <c r="X101" s="738"/>
      <c r="Y101" s="738"/>
      <c r="Z101" s="738"/>
      <c r="AA101" s="738"/>
      <c r="AB101" s="738"/>
      <c r="AC101" s="738"/>
      <c r="AD101" s="738"/>
    </row>
    <row r="102" spans="20:30" ht="19.5" customHeight="1">
      <c r="T102" s="744" t="s">
        <v>1563</v>
      </c>
      <c r="U102" s="744"/>
      <c r="V102" s="738" t="s">
        <v>391</v>
      </c>
      <c r="W102" s="738"/>
      <c r="X102" s="738"/>
      <c r="Y102" s="738"/>
      <c r="Z102" s="738"/>
      <c r="AA102" s="738"/>
      <c r="AB102" s="738"/>
      <c r="AC102" s="738"/>
      <c r="AD102" s="738"/>
    </row>
    <row r="103" spans="20:30" ht="39" customHeight="1">
      <c r="T103" s="744" t="s">
        <v>1564</v>
      </c>
      <c r="U103" s="744"/>
      <c r="V103" s="738" t="s">
        <v>393</v>
      </c>
      <c r="W103" s="738"/>
      <c r="X103" s="738"/>
      <c r="Y103" s="738"/>
      <c r="Z103" s="738"/>
      <c r="AA103" s="738"/>
      <c r="AB103" s="738"/>
      <c r="AC103" s="738"/>
      <c r="AD103" s="738"/>
    </row>
    <row r="104" spans="20:30" ht="20">
      <c r="T104" s="744" t="s">
        <v>1565</v>
      </c>
      <c r="U104" s="744"/>
      <c r="V104" s="738" t="s">
        <v>392</v>
      </c>
      <c r="W104" s="738"/>
      <c r="X104" s="738"/>
      <c r="Y104" s="738"/>
      <c r="Z104" s="738"/>
      <c r="AA104" s="738"/>
      <c r="AB104" s="738"/>
      <c r="AC104" s="738"/>
      <c r="AD104" s="738"/>
    </row>
    <row r="105" spans="20:30" ht="39" customHeight="1">
      <c r="T105" s="744" t="s">
        <v>1566</v>
      </c>
      <c r="U105" s="744"/>
      <c r="V105" s="738" t="s">
        <v>394</v>
      </c>
      <c r="W105" s="738"/>
      <c r="X105" s="738"/>
      <c r="Y105" s="738"/>
      <c r="Z105" s="738"/>
      <c r="AA105" s="738"/>
      <c r="AB105" s="738"/>
      <c r="AC105" s="738"/>
      <c r="AD105" s="738"/>
    </row>
    <row r="106" spans="20:30" ht="20">
      <c r="T106" s="744" t="s">
        <v>1567</v>
      </c>
      <c r="U106" s="744"/>
      <c r="V106" s="738" t="s">
        <v>395</v>
      </c>
      <c r="W106" s="738"/>
      <c r="X106" s="738"/>
      <c r="Y106" s="738"/>
      <c r="Z106" s="738"/>
      <c r="AA106" s="738"/>
      <c r="AB106" s="738"/>
      <c r="AC106" s="738"/>
      <c r="AD106" s="738"/>
    </row>
    <row r="107" spans="20:30" ht="20">
      <c r="T107" s="744" t="s">
        <v>1568</v>
      </c>
      <c r="U107" s="744"/>
      <c r="V107" s="738" t="s">
        <v>396</v>
      </c>
      <c r="W107" s="738"/>
      <c r="X107" s="738"/>
      <c r="Y107" s="738"/>
      <c r="Z107" s="738"/>
      <c r="AA107" s="738"/>
      <c r="AB107" s="738"/>
      <c r="AC107" s="738"/>
      <c r="AD107" s="738"/>
    </row>
    <row r="108" spans="20:30" ht="20">
      <c r="T108" s="744" t="s">
        <v>1569</v>
      </c>
      <c r="U108" s="744"/>
      <c r="V108" s="738" t="s">
        <v>397</v>
      </c>
      <c r="W108" s="738"/>
      <c r="X108" s="738"/>
      <c r="Y108" s="738"/>
      <c r="Z108" s="738"/>
      <c r="AA108" s="738"/>
      <c r="AB108" s="738"/>
      <c r="AC108" s="738"/>
      <c r="AD108" s="738"/>
    </row>
    <row r="109" spans="20:30" ht="20">
      <c r="T109" s="744" t="s">
        <v>1570</v>
      </c>
      <c r="U109" s="744"/>
      <c r="V109" s="738" t="s">
        <v>398</v>
      </c>
      <c r="W109" s="738"/>
      <c r="X109" s="738"/>
      <c r="Y109" s="738"/>
      <c r="Z109" s="738"/>
      <c r="AA109" s="738"/>
      <c r="AB109" s="738"/>
      <c r="AC109" s="738"/>
      <c r="AD109" s="738"/>
    </row>
    <row r="110" spans="20:30" ht="20">
      <c r="T110" s="744" t="s">
        <v>2345</v>
      </c>
      <c r="U110" s="744"/>
      <c r="V110" s="738" t="s">
        <v>399</v>
      </c>
      <c r="W110" s="738"/>
      <c r="X110" s="738"/>
      <c r="Y110" s="738"/>
      <c r="Z110" s="738"/>
      <c r="AA110" s="738"/>
      <c r="AB110" s="738"/>
      <c r="AC110" s="738"/>
      <c r="AD110" s="738"/>
    </row>
    <row r="111" spans="20:30" ht="20">
      <c r="T111" s="744" t="s">
        <v>1571</v>
      </c>
      <c r="U111" s="744"/>
      <c r="V111" s="738" t="s">
        <v>400</v>
      </c>
      <c r="W111" s="738"/>
      <c r="X111" s="738"/>
      <c r="Y111" s="738"/>
      <c r="Z111" s="738"/>
      <c r="AA111" s="738"/>
      <c r="AB111" s="738"/>
      <c r="AC111" s="738"/>
      <c r="AD111" s="738"/>
    </row>
    <row r="112" spans="20:30" ht="20">
      <c r="T112" s="744" t="s">
        <v>1572</v>
      </c>
      <c r="U112" s="744"/>
      <c r="V112" s="738" t="s">
        <v>1032</v>
      </c>
      <c r="W112" s="738"/>
      <c r="X112" s="738"/>
      <c r="Y112" s="738"/>
      <c r="Z112" s="738"/>
      <c r="AA112" s="738"/>
      <c r="AB112" s="738"/>
      <c r="AC112" s="738"/>
      <c r="AD112" s="738"/>
    </row>
    <row r="113" spans="20:30" ht="20">
      <c r="T113" s="744" t="s">
        <v>2346</v>
      </c>
      <c r="U113" s="744"/>
      <c r="V113" s="738" t="s">
        <v>1033</v>
      </c>
      <c r="W113" s="738"/>
      <c r="X113" s="738"/>
      <c r="Y113" s="738"/>
      <c r="Z113" s="738"/>
      <c r="AA113" s="738"/>
      <c r="AB113" s="738"/>
      <c r="AC113" s="738"/>
      <c r="AD113" s="738"/>
    </row>
  </sheetData>
  <sheetProtection algorithmName="SHA-512" hashValue="2FZrETc30Detyj+euq+LlO57q/My2T2djQQjrI0h+Tau5A4LI0ljlNV/hf8f8dEgw/XMrmGe3VBPNjM5WAJRyg==" saltValue="uc1OVZ2az2JLxAIFruKAxQ==" spinCount="100000" sheet="1" selectLockedCells="1"/>
  <dataConsolidate/>
  <mergeCells count="80">
    <mergeCell ref="T95:U95"/>
    <mergeCell ref="V95:AD95"/>
    <mergeCell ref="T97:U97"/>
    <mergeCell ref="T100:U100"/>
    <mergeCell ref="T101:U101"/>
    <mergeCell ref="T98:U98"/>
    <mergeCell ref="V98:AD98"/>
    <mergeCell ref="T102:U102"/>
    <mergeCell ref="T103:U103"/>
    <mergeCell ref="V96:AD96"/>
    <mergeCell ref="V100:AD100"/>
    <mergeCell ref="V101:AD101"/>
    <mergeCell ref="V102:AD102"/>
    <mergeCell ref="T96:U96"/>
    <mergeCell ref="T99:U99"/>
    <mergeCell ref="V97:AD97"/>
    <mergeCell ref="V99:AD99"/>
    <mergeCell ref="T104:U104"/>
    <mergeCell ref="V104:AD104"/>
    <mergeCell ref="T105:U105"/>
    <mergeCell ref="V105:AD105"/>
    <mergeCell ref="V106:AD106"/>
    <mergeCell ref="T112:U112"/>
    <mergeCell ref="V112:AD112"/>
    <mergeCell ref="T113:U113"/>
    <mergeCell ref="V113:AD113"/>
    <mergeCell ref="V103:AD103"/>
    <mergeCell ref="T110:U110"/>
    <mergeCell ref="V110:AD110"/>
    <mergeCell ref="T111:U111"/>
    <mergeCell ref="V111:AD111"/>
    <mergeCell ref="T106:U106"/>
    <mergeCell ref="V107:AD107"/>
    <mergeCell ref="T107:U107"/>
    <mergeCell ref="T108:U108"/>
    <mergeCell ref="V108:AD108"/>
    <mergeCell ref="T109:U109"/>
    <mergeCell ref="V109:AD109"/>
    <mergeCell ref="T88:U88"/>
    <mergeCell ref="V88:AD88"/>
    <mergeCell ref="T94:U94"/>
    <mergeCell ref="V94:AD94"/>
    <mergeCell ref="T93:U93"/>
    <mergeCell ref="V93:AD93"/>
    <mergeCell ref="T89:U89"/>
    <mergeCell ref="V89:AD89"/>
    <mergeCell ref="T90:U90"/>
    <mergeCell ref="V90:AD90"/>
    <mergeCell ref="T91:U91"/>
    <mergeCell ref="V91:AD91"/>
    <mergeCell ref="T92:U92"/>
    <mergeCell ref="V92:AD92"/>
    <mergeCell ref="B88:C88"/>
    <mergeCell ref="B89:C89"/>
    <mergeCell ref="B90:C90"/>
    <mergeCell ref="B81:C81"/>
    <mergeCell ref="B82:C82"/>
    <mergeCell ref="B83:C83"/>
    <mergeCell ref="B84:C84"/>
    <mergeCell ref="A86:C86"/>
    <mergeCell ref="B87:C87"/>
    <mergeCell ref="T85:AD85"/>
    <mergeCell ref="T87:U87"/>
    <mergeCell ref="V87:AD87"/>
    <mergeCell ref="D3:I3"/>
    <mergeCell ref="D4:I4"/>
    <mergeCell ref="M3:O3"/>
    <mergeCell ref="L20:Q20"/>
    <mergeCell ref="B80:C80"/>
    <mergeCell ref="AF5:AG5"/>
    <mergeCell ref="D5:I5"/>
    <mergeCell ref="A79:C79"/>
    <mergeCell ref="M4:O4"/>
    <mergeCell ref="M5:O5"/>
    <mergeCell ref="L8:Q8"/>
    <mergeCell ref="L9:Q9"/>
    <mergeCell ref="E61:K63"/>
    <mergeCell ref="E64:K66"/>
    <mergeCell ref="D6:I6"/>
    <mergeCell ref="A37:A38"/>
  </mergeCells>
  <phoneticPr fontId="1"/>
  <conditionalFormatting sqref="D6:H6">
    <cfRule type="containsText" dxfId="84" priority="20" operator="containsText" text="ここに認可園名を記載してください。">
      <formula>NOT(ISERROR(SEARCH("ここに認可園名を記載してください。",D6)))</formula>
    </cfRule>
  </conditionalFormatting>
  <conditionalFormatting sqref="D3:I5">
    <cfRule type="containsBlanks" dxfId="83" priority="34">
      <formula>LEN(TRIM(D3))=0</formula>
    </cfRule>
  </conditionalFormatting>
  <conditionalFormatting sqref="D6:I6">
    <cfRule type="cellIs" dxfId="82" priority="17" operator="equal">
      <formula>$D$5</formula>
    </cfRule>
  </conditionalFormatting>
  <conditionalFormatting sqref="F36:Q38">
    <cfRule type="containsText" dxfId="81" priority="8" operator="containsText" text="要入力">
      <formula>NOT(ISERROR(SEARCH("要入力",F36)))</formula>
    </cfRule>
  </conditionalFormatting>
  <conditionalFormatting sqref="F23:R23">
    <cfRule type="containsBlanks" dxfId="80" priority="28">
      <formula>LEN(TRIM(F23))=0</formula>
    </cfRule>
  </conditionalFormatting>
  <conditionalFormatting sqref="F25:R27">
    <cfRule type="containsBlanks" dxfId="79" priority="31">
      <formula>LEN(TRIM(F25))=0</formula>
    </cfRule>
  </conditionalFormatting>
  <conditionalFormatting sqref="F30:R43">
    <cfRule type="containsBlanks" dxfId="78" priority="1">
      <formula>LEN(TRIM(F30))=0</formula>
    </cfRule>
  </conditionalFormatting>
  <conditionalFormatting sqref="F39:R43">
    <cfRule type="containsText" dxfId="77" priority="2" operator="containsText" text="要入力">
      <formula>NOT(ISERROR(SEARCH("要入力",F39)))</formula>
    </cfRule>
  </conditionalFormatting>
  <conditionalFormatting sqref="L8:P9 F8:F11">
    <cfRule type="containsBlanks" dxfId="76" priority="39">
      <formula>LEN(TRIM(F8))=0</formula>
    </cfRule>
  </conditionalFormatting>
  <conditionalFormatting sqref="M4">
    <cfRule type="containsBlanks" dxfId="75" priority="33">
      <formula>LEN(TRIM(M4))=0</formula>
    </cfRule>
  </conditionalFormatting>
  <conditionalFormatting sqref="R34:R38">
    <cfRule type="containsText" dxfId="74" priority="10" operator="containsText" text="要入力">
      <formula>NOT(ISERROR(SEARCH("要入力",R34)))</formula>
    </cfRule>
  </conditionalFormatting>
  <dataValidations count="9">
    <dataValidation type="list" allowBlank="1" showInputMessage="1" showErrorMessage="1" sqref="F80:R84 F87:R90" xr:uid="{136A7458-AC5C-44A9-88B8-AFF87D443206}">
      <formula1>$T$56:$T$57</formula1>
    </dataValidation>
    <dataValidation type="list" allowBlank="1" showInputMessage="1" showErrorMessage="1" sqref="F26:Q26" xr:uid="{C7F2C6E1-B922-472A-B1F4-17D15CBDE076}">
      <formula1>$U$22:$U$24</formula1>
    </dataValidation>
    <dataValidation type="list" allowBlank="1" showInputMessage="1" showErrorMessage="1" sqref="F41:Q41" xr:uid="{27F5AB12-3B35-4D96-B10D-769DF95E025D}">
      <formula1>$T$22:$T$23</formula1>
    </dataValidation>
    <dataValidation type="list" allowBlank="1" showInputMessage="1" showErrorMessage="1" sqref="F27:Q27" xr:uid="{FB8F8B50-0A4A-4532-8040-6FD7B8DEE651}">
      <formula1>$T$22:$T$24</formula1>
    </dataValidation>
    <dataValidation type="list" allowBlank="1" showInputMessage="1" showErrorMessage="1" sqref="D3:I3" xr:uid="{4DF6469E-EF9B-4FA6-98BF-4A83ABA581A5}">
      <formula1>"中央区,花見川区,稲毛区,若葉区,緑区,美浜区"</formula1>
    </dataValidation>
    <dataValidation type="list" allowBlank="1" showInputMessage="1" showErrorMessage="1" sqref="D4:I4" xr:uid="{9AE91C2E-B53B-4502-92E1-01E73D00C046}">
      <formula1>INDIRECT($D3)</formula1>
    </dataValidation>
    <dataValidation type="list" allowBlank="1" showInputMessage="1" showErrorMessage="1" sqref="D5:I5" xr:uid="{BA695FBC-3BF9-49FD-AE56-F846EDF269A3}">
      <formula1>INDIRECT(TEXT($D3&amp;$D4,"@"))</formula1>
    </dataValidation>
    <dataValidation type="whole" operator="greaterThanOrEqual" allowBlank="1" showInputMessage="1" showErrorMessage="1" sqref="R43" xr:uid="{2EEC5067-C9AB-4045-B6A8-930C92086E17}">
      <formula1>0</formula1>
    </dataValidation>
    <dataValidation type="list" allowBlank="1" showInputMessage="1" showErrorMessage="1" sqref="L20:Q20" xr:uid="{65A486F8-0026-4CAC-87C5-AA2C6C0E573F}">
      <formula1>$T$16:$T$17</formula1>
    </dataValidation>
  </dataValidations>
  <pageMargins left="0.70866141732283472" right="0.70866141732283472" top="0.74803149606299213" bottom="0.74803149606299213" header="0.31496062992125984" footer="0.31496062992125984"/>
  <pageSetup paperSize="9" scale="67"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AE25D-3FB3-446C-97B6-51C8D1BAF10A}">
  <sheetPr codeName="Sheet6">
    <tabColor rgb="FF00B050"/>
  </sheetPr>
  <dimension ref="A1:BM164"/>
  <sheetViews>
    <sheetView showZeros="0" view="pageBreakPreview" zoomScale="85" zoomScaleNormal="85" zoomScaleSheetLayoutView="85" workbookViewId="0">
      <pane ySplit="6" topLeftCell="A7" activePane="bottomLeft" state="frozen"/>
      <selection activeCell="B18" sqref="B18"/>
      <selection pane="bottomLeft" activeCell="B7" sqref="B7"/>
    </sheetView>
  </sheetViews>
  <sheetFormatPr defaultColWidth="8" defaultRowHeight="18"/>
  <cols>
    <col min="1" max="1" width="3.33203125" customWidth="1"/>
    <col min="2" max="2" width="8.33203125" customWidth="1"/>
    <col min="3" max="3" width="7" customWidth="1"/>
    <col min="4" max="4" width="5" customWidth="1"/>
    <col min="5" max="5" width="12.83203125" customWidth="1"/>
    <col min="6" max="6" width="3.5" hidden="1" customWidth="1"/>
    <col min="7" max="7" width="3.33203125" customWidth="1"/>
    <col min="8" max="16" width="3.08203125" customWidth="1"/>
    <col min="17" max="17" width="7.5" customWidth="1"/>
    <col min="18" max="18" width="9" customWidth="1"/>
    <col min="19" max="22" width="9.5" customWidth="1"/>
    <col min="23" max="23" width="10.5" customWidth="1"/>
    <col min="24" max="24" width="8.75" customWidth="1"/>
    <col min="25" max="25" width="10.83203125" style="92" bestFit="1" customWidth="1"/>
    <col min="61" max="61" width="9.5" bestFit="1" customWidth="1"/>
    <col min="63" max="63" width="11.33203125" customWidth="1"/>
    <col min="64" max="64" width="74.33203125" bestFit="1" customWidth="1"/>
  </cols>
  <sheetData>
    <row r="1" spans="1:65" s="87" customFormat="1" ht="24.75" customHeight="1">
      <c r="A1" s="746" t="s">
        <v>45</v>
      </c>
      <c r="B1" s="746"/>
      <c r="C1" s="746"/>
      <c r="D1" s="746"/>
      <c r="E1" s="746"/>
      <c r="F1" s="746"/>
      <c r="G1" s="746"/>
      <c r="H1" s="746"/>
      <c r="I1" s="746"/>
      <c r="J1" s="746"/>
      <c r="K1" s="746"/>
      <c r="L1" s="746"/>
      <c r="M1" s="746"/>
      <c r="N1" s="746"/>
      <c r="O1" s="746"/>
      <c r="P1" s="746"/>
      <c r="Q1" s="746"/>
      <c r="R1" s="746"/>
      <c r="S1" s="746"/>
      <c r="T1" s="746"/>
      <c r="U1" s="746"/>
      <c r="V1" s="746"/>
      <c r="W1" s="746"/>
      <c r="X1" s="746"/>
      <c r="Y1" s="86"/>
    </row>
    <row r="2" spans="1:65" ht="18" customHeight="1">
      <c r="A2" s="88" t="str">
        <f>CONCATENATE("（1）R",①基本情報!F8,"年度職員在籍名簿")</f>
        <v>（1）R6年度職員在籍名簿</v>
      </c>
      <c r="B2" s="88"/>
      <c r="C2" s="88"/>
      <c r="D2" s="88"/>
      <c r="E2" s="89"/>
      <c r="F2" s="90"/>
      <c r="G2" s="90"/>
      <c r="H2" s="89"/>
      <c r="I2" s="90"/>
      <c r="J2" s="90"/>
      <c r="K2" s="90"/>
      <c r="L2" s="90"/>
      <c r="M2" s="90"/>
      <c r="N2" s="90"/>
      <c r="O2" s="90"/>
      <c r="P2" s="89"/>
      <c r="Q2" s="89"/>
      <c r="R2" s="89"/>
      <c r="S2" s="91"/>
      <c r="T2" s="91"/>
      <c r="U2" s="91"/>
      <c r="V2" s="91"/>
      <c r="W2" s="91"/>
      <c r="X2" s="91"/>
    </row>
    <row r="3" spans="1:65" ht="18" customHeight="1">
      <c r="A3" s="88"/>
      <c r="C3" s="88"/>
      <c r="D3" s="88"/>
      <c r="E3" s="89"/>
      <c r="F3" s="90"/>
      <c r="G3" s="89"/>
      <c r="H3" s="89"/>
      <c r="I3" s="89"/>
      <c r="J3" s="89"/>
      <c r="K3" s="89"/>
      <c r="L3" s="89"/>
      <c r="M3" s="89"/>
      <c r="N3" s="89"/>
      <c r="O3" s="89"/>
      <c r="P3" s="89"/>
      <c r="Q3" s="89"/>
      <c r="R3" s="89"/>
      <c r="T3" s="93" t="s">
        <v>46</v>
      </c>
      <c r="U3" s="747">
        <f>①基本情報!D5</f>
        <v>0</v>
      </c>
      <c r="V3" s="747"/>
      <c r="W3" s="747"/>
      <c r="X3" s="748"/>
    </row>
    <row r="4" spans="1:65" ht="7.5" customHeight="1" thickBot="1">
      <c r="A4" s="88"/>
      <c r="B4" s="88"/>
      <c r="C4" s="88"/>
      <c r="D4" s="88"/>
      <c r="E4" s="89"/>
      <c r="F4" s="90"/>
      <c r="G4" s="89"/>
      <c r="H4" s="89"/>
      <c r="I4" s="89"/>
      <c r="J4" s="89"/>
      <c r="K4" s="89"/>
      <c r="L4" s="89"/>
      <c r="M4" s="89"/>
      <c r="N4" s="89"/>
      <c r="O4" s="89"/>
      <c r="P4" s="89"/>
      <c r="Q4" s="89"/>
      <c r="R4" s="89"/>
      <c r="S4" s="89"/>
      <c r="T4" s="89"/>
      <c r="U4" s="89"/>
      <c r="V4" s="89"/>
      <c r="W4" s="89"/>
      <c r="X4" s="89"/>
    </row>
    <row r="5" spans="1:65" s="94" customFormat="1" ht="20.25" customHeight="1">
      <c r="A5" s="749"/>
      <c r="B5" s="751" t="s">
        <v>1766</v>
      </c>
      <c r="C5" s="751" t="s">
        <v>1767</v>
      </c>
      <c r="D5" s="751"/>
      <c r="E5" s="751" t="s">
        <v>1768</v>
      </c>
      <c r="F5" s="753"/>
      <c r="G5" s="753" t="s">
        <v>48</v>
      </c>
      <c r="H5" s="755" t="s">
        <v>49</v>
      </c>
      <c r="I5" s="756"/>
      <c r="J5" s="756"/>
      <c r="K5" s="756"/>
      <c r="L5" s="756"/>
      <c r="M5" s="756"/>
      <c r="N5" s="756"/>
      <c r="O5" s="756"/>
      <c r="P5" s="756"/>
      <c r="Q5" s="757"/>
      <c r="R5" s="758" t="s">
        <v>1769</v>
      </c>
      <c r="S5" s="763" t="s">
        <v>50</v>
      </c>
      <c r="T5" s="764"/>
      <c r="U5" s="763" t="s">
        <v>51</v>
      </c>
      <c r="V5" s="764"/>
      <c r="W5" s="751" t="s">
        <v>52</v>
      </c>
      <c r="X5" s="765" t="s">
        <v>1770</v>
      </c>
      <c r="Y5" s="751" t="s">
        <v>47</v>
      </c>
      <c r="BE5" s="767" t="s">
        <v>53</v>
      </c>
      <c r="BF5" s="760" t="s">
        <v>54</v>
      </c>
      <c r="BG5" s="760"/>
      <c r="BH5" s="760"/>
      <c r="BI5" s="95">
        <v>43922</v>
      </c>
    </row>
    <row r="6" spans="1:65" s="94" customFormat="1" ht="67.5" customHeight="1">
      <c r="A6" s="750"/>
      <c r="B6" s="752"/>
      <c r="C6" s="752"/>
      <c r="D6" s="752"/>
      <c r="E6" s="752"/>
      <c r="F6" s="754"/>
      <c r="G6" s="754"/>
      <c r="H6" s="96" t="s">
        <v>55</v>
      </c>
      <c r="I6" s="97" t="s">
        <v>56</v>
      </c>
      <c r="J6" s="97" t="s">
        <v>57</v>
      </c>
      <c r="K6" s="97" t="s">
        <v>58</v>
      </c>
      <c r="L6" s="96" t="s">
        <v>59</v>
      </c>
      <c r="M6" s="96" t="s">
        <v>60</v>
      </c>
      <c r="N6" s="97" t="s">
        <v>61</v>
      </c>
      <c r="O6" s="97" t="s">
        <v>62</v>
      </c>
      <c r="P6" s="98" t="s">
        <v>63</v>
      </c>
      <c r="Q6" s="452" t="s">
        <v>1771</v>
      </c>
      <c r="R6" s="759"/>
      <c r="S6" s="99" t="s">
        <v>64</v>
      </c>
      <c r="T6" s="99" t="s">
        <v>65</v>
      </c>
      <c r="U6" s="99" t="s">
        <v>64</v>
      </c>
      <c r="V6" s="99" t="s">
        <v>65</v>
      </c>
      <c r="W6" s="752"/>
      <c r="X6" s="766"/>
      <c r="Y6" s="752"/>
      <c r="AC6" s="2">
        <f>DATE(①基本情報!$AI$5,4,1)</f>
        <v>45383</v>
      </c>
      <c r="AD6" s="2">
        <f>DATE(①基本情報!$AI$5,5,1)</f>
        <v>45413</v>
      </c>
      <c r="AE6" s="2">
        <f>DATE(①基本情報!$AI$5,6,1)</f>
        <v>45444</v>
      </c>
      <c r="AF6" s="2">
        <f>DATE(①基本情報!$AI$5,7,1)</f>
        <v>45474</v>
      </c>
      <c r="AG6" s="2">
        <f>DATE(①基本情報!$AI$5,8,1)</f>
        <v>45505</v>
      </c>
      <c r="AH6" s="2">
        <f>DATE(①基本情報!$AI$5,9,1)</f>
        <v>45536</v>
      </c>
      <c r="AI6" s="2">
        <f>DATE(①基本情報!$AI$5,10,1)</f>
        <v>45566</v>
      </c>
      <c r="AJ6" s="2">
        <f>DATE(①基本情報!$AI$5,11,1)</f>
        <v>45597</v>
      </c>
      <c r="AK6" s="2">
        <f>DATE(①基本情報!$AI$5,12,1)</f>
        <v>45627</v>
      </c>
      <c r="AL6" s="2">
        <f>DATE(①基本情報!$AI$5+1,1,1)</f>
        <v>45658</v>
      </c>
      <c r="AM6" s="2">
        <f>DATE(①基本情報!$AI$5+1,2,1)</f>
        <v>45689</v>
      </c>
      <c r="AN6" s="2">
        <f>DATE(①基本情報!$AI$5+1,3,1)</f>
        <v>45717</v>
      </c>
      <c r="AP6" s="2">
        <f>DATE(①基本情報!$AI$5,4,1)</f>
        <v>45383</v>
      </c>
      <c r="AQ6" s="2">
        <f>DATE(①基本情報!$AI$5,5,1)</f>
        <v>45413</v>
      </c>
      <c r="AR6" s="2">
        <f>DATE(①基本情報!$AI$5,6,1)</f>
        <v>45444</v>
      </c>
      <c r="AS6" s="2">
        <f>DATE(①基本情報!$AI$5,7,1)</f>
        <v>45474</v>
      </c>
      <c r="AT6" s="2">
        <f>DATE(①基本情報!$AI$5,8,1)</f>
        <v>45505</v>
      </c>
      <c r="AU6" s="2">
        <f>DATE(①基本情報!$AI$5,9,1)</f>
        <v>45536</v>
      </c>
      <c r="AV6" s="2">
        <f>DATE(①基本情報!$AI$5,10,1)</f>
        <v>45566</v>
      </c>
      <c r="AW6" s="2">
        <f>DATE(①基本情報!$AI$5,11,1)</f>
        <v>45597</v>
      </c>
      <c r="AX6" s="2">
        <f>DATE(①基本情報!$AI$5,12,1)</f>
        <v>45627</v>
      </c>
      <c r="AY6" s="2">
        <f>DATE(①基本情報!$AI$5+1,1,1)</f>
        <v>45658</v>
      </c>
      <c r="AZ6" s="2">
        <f>DATE(①基本情報!$AI$5+1,2,1)</f>
        <v>45689</v>
      </c>
      <c r="BA6" s="2">
        <f>DATE(①基本情報!$AI$5+1,3,1)</f>
        <v>45717</v>
      </c>
      <c r="BE6" s="767"/>
      <c r="BF6" s="100" t="s">
        <v>66</v>
      </c>
      <c r="BG6" s="100" t="s">
        <v>67</v>
      </c>
      <c r="BH6" s="100" t="s">
        <v>68</v>
      </c>
      <c r="BI6" s="100" t="s">
        <v>69</v>
      </c>
    </row>
    <row r="7" spans="1:65" s="106" customFormat="1" ht="23.15" customHeight="1">
      <c r="A7" s="3">
        <v>1</v>
      </c>
      <c r="B7" s="15"/>
      <c r="C7" s="5"/>
      <c r="D7" s="6"/>
      <c r="E7" s="4"/>
      <c r="F7" s="7"/>
      <c r="G7" s="8"/>
      <c r="H7" s="9"/>
      <c r="I7" s="9"/>
      <c r="J7" s="9"/>
      <c r="K7" s="9"/>
      <c r="L7" s="9"/>
      <c r="M7" s="9"/>
      <c r="N7" s="9"/>
      <c r="O7" s="9"/>
      <c r="P7" s="9"/>
      <c r="Q7" s="10"/>
      <c r="R7" s="11"/>
      <c r="S7" s="11"/>
      <c r="T7" s="13"/>
      <c r="U7" s="12"/>
      <c r="V7" s="10"/>
      <c r="W7" s="13"/>
      <c r="X7" s="14"/>
      <c r="Y7" s="105" t="str">
        <f>IF(E7="","",CONCATENATE(E7,Z7," (",AA7,")"))</f>
        <v/>
      </c>
      <c r="Z7" s="102">
        <f>IF(COUNTIF($E$7:E7,E7)=1,"",COUNTIF($E$7:E7,E7))</f>
        <v>0</v>
      </c>
      <c r="AA7" s="102" t="str">
        <f t="shared" ref="AA7:AA38" si="0">IFERROR(IF(OR(W7=$S$119,W7=$S$121),W7,INDEX($B$144:$C$149,MATCH(BB7,$B$144:$B$149,0),2)),"")</f>
        <v/>
      </c>
      <c r="AC7" s="102" t="str">
        <f t="shared" ref="AC7:AN16" si="1">IF(OR($W7=$S$129,$W7=$S$133),"",IF($S7="","",IF($U7="",IF($R7="",IF($S7&lt;=AC$6,"○",""),IF(AND($R7&lt;=AC$6,$S7&lt;=AC$6),"●",IF($S7&lt;=AC$6,"○",""))),IF($U7&gt;=AC$6,IF($R7="",IF($S7&lt;=AC$6,"○",""),IF(AND($R7&lt;=AC$6,$S7&lt;=AC$6),"●",IF($S7&lt;=AC$6,"○",""))),""))))</f>
        <v/>
      </c>
      <c r="AD7" s="102" t="str">
        <f t="shared" si="1"/>
        <v/>
      </c>
      <c r="AE7" s="102" t="str">
        <f t="shared" si="1"/>
        <v/>
      </c>
      <c r="AF7" s="102" t="str">
        <f t="shared" si="1"/>
        <v/>
      </c>
      <c r="AG7" s="102" t="str">
        <f t="shared" si="1"/>
        <v/>
      </c>
      <c r="AH7" s="102" t="str">
        <f t="shared" si="1"/>
        <v/>
      </c>
      <c r="AI7" s="102" t="str">
        <f t="shared" si="1"/>
        <v/>
      </c>
      <c r="AJ7" s="102" t="str">
        <f t="shared" si="1"/>
        <v/>
      </c>
      <c r="AK7" s="102" t="str">
        <f t="shared" si="1"/>
        <v/>
      </c>
      <c r="AL7" s="102" t="str">
        <f t="shared" si="1"/>
        <v/>
      </c>
      <c r="AM7" s="102" t="str">
        <f t="shared" si="1"/>
        <v/>
      </c>
      <c r="AN7" s="102" t="str">
        <f t="shared" si="1"/>
        <v/>
      </c>
      <c r="AP7" s="102" t="str">
        <f t="shared" ref="AP7:AP38" si="2">IF(AND($H7="有",AC7="○"),"A",IF(AC7="●","B",IF(AND(AC7="○",OR($L7="有",$M7="有",$N7="有")),"C",IF(AND(AC7="○",$O7="有"),"D",IF(OR(AND(AC7="○",$P7="有"),AND(AC7="○",$W7=$S$128,$O7="")),"E",IF(AND(AC7="○",OR($W7=$S$131,$W7=$S$132,$W7=$S$130,$W7=$S$134)),"F",""))))))</f>
        <v/>
      </c>
      <c r="AQ7" s="102" t="str">
        <f t="shared" ref="AQ7:AQ38" si="3">IF(AND($H7="有",AD7="○"),"A",IF(AD7="●","B",IF(AND(AD7="○",OR($L7="有",$M7="有",$N7="有")),"C",IF(AND(AD7="○",$O7="有"),"D",IF(OR(AND(AD7="○",$P7="有"),AND(AD7="○",$W7=$S$128,$O7="")),"E",IF(AND(AD7="○",OR($W7=$S$131,$W7=$S$132,$W7=$S$130,$W7=$S$134)),"F",""))))))</f>
        <v/>
      </c>
      <c r="AR7" s="102" t="str">
        <f t="shared" ref="AR7:AR38" si="4">IF(AND($H7="有",AE7="○"),"A",IF(AE7="●","B",IF(AND(AE7="○",OR($L7="有",$M7="有",$N7="有")),"C",IF(AND(AE7="○",$O7="有"),"D",IF(OR(AND(AE7="○",$P7="有"),AND(AE7="○",$W7=$S$128,$O7="")),"E",IF(AND(AE7="○",OR($W7=$S$131,$W7=$S$132,$W7=$S$130,$W7=$S$134)),"F",""))))))</f>
        <v/>
      </c>
      <c r="AS7" s="102" t="str">
        <f t="shared" ref="AS7:AS38" si="5">IF(AND($H7="有",AF7="○"),"A",IF(AF7="●","B",IF(AND(AF7="○",OR($L7="有",$M7="有",$N7="有")),"C",IF(AND(AF7="○",$O7="有"),"D",IF(OR(AND(AF7="○",$P7="有"),AND(AF7="○",$W7=$S$128,$O7="")),"E",IF(AND(AF7="○",OR($W7=$S$131,$W7=$S$132,$W7=$S$130,$W7=$S$134)),"F",""))))))</f>
        <v/>
      </c>
      <c r="AT7" s="102" t="str">
        <f t="shared" ref="AT7:AT38" si="6">IF(AND($H7="有",AG7="○"),"A",IF(AG7="●","B",IF(AND(AG7="○",OR($L7="有",$M7="有",$N7="有")),"C",IF(AND(AG7="○",$O7="有"),"D",IF(OR(AND(AG7="○",$P7="有"),AND(AG7="○",$W7=$S$128,$O7="")),"E",IF(AND(AG7="○",OR($W7=$S$131,$W7=$S$132,$W7=$S$130,$W7=$S$134)),"F",""))))))</f>
        <v/>
      </c>
      <c r="AU7" s="102" t="str">
        <f t="shared" ref="AU7:AU38" si="7">IF(AND($H7="有",AH7="○"),"A",IF(AH7="●","B",IF(AND(AH7="○",OR($L7="有",$M7="有",$N7="有")),"C",IF(AND(AH7="○",$O7="有"),"D",IF(OR(AND(AH7="○",$P7="有"),AND(AH7="○",$W7=$S$128,$O7="")),"E",IF(AND(AH7="○",OR($W7=$S$131,$W7=$S$132,$W7=$S$130,$W7=$S$134)),"F",""))))))</f>
        <v/>
      </c>
      <c r="AV7" s="102" t="str">
        <f t="shared" ref="AV7:AV38" si="8">IF(AND($H7="有",AI7="○"),"A",IF(AI7="●","B",IF(AND(AI7="○",OR($L7="有",$M7="有",$N7="有")),"C",IF(AND(AI7="○",$O7="有"),"D",IF(OR(AND(AI7="○",$P7="有"),AND(AI7="○",$W7=$S$128,$O7="")),"E",IF(AND(AI7="○",OR($W7=$S$131,$W7=$S$132,$W7=$S$130,$W7=$S$134)),"F",""))))))</f>
        <v/>
      </c>
      <c r="AW7" s="102" t="str">
        <f t="shared" ref="AW7:AW38" si="9">IF(AND($H7="有",AJ7="○"),"A",IF(AJ7="●","B",IF(AND(AJ7="○",OR($L7="有",$M7="有",$N7="有")),"C",IF(AND(AJ7="○",$O7="有"),"D",IF(OR(AND(AJ7="○",$P7="有"),AND(AJ7="○",$W7=$S$128,$O7="")),"E",IF(AND(AJ7="○",OR($W7=$S$131,$W7=$S$132,$W7=$S$130,$W7=$S$134)),"F",""))))))</f>
        <v/>
      </c>
      <c r="AX7" s="102" t="str">
        <f t="shared" ref="AX7:AX38" si="10">IF(AND($H7="有",AK7="○"),"A",IF(AK7="●","B",IF(AND(AK7="○",OR($L7="有",$M7="有",$N7="有")),"C",IF(AND(AK7="○",$O7="有"),"D",IF(OR(AND(AK7="○",$P7="有"),AND(AK7="○",$W7=$S$128,$O7="")),"E",IF(AND(AK7="○",OR($W7=$S$131,$W7=$S$132,$W7=$S$130,$W7=$S$134)),"F",""))))))</f>
        <v/>
      </c>
      <c r="AY7" s="102" t="str">
        <f t="shared" ref="AY7:AY38" si="11">IF(AND($H7="有",AL7="○"),"A",IF(AL7="●","B",IF(AND(AL7="○",OR($L7="有",$M7="有",$N7="有")),"C",IF(AND(AL7="○",$O7="有"),"D",IF(OR(AND(AL7="○",$P7="有"),AND(AL7="○",$W7=$S$128,$O7="")),"E",IF(AND(AL7="○",OR($W7=$S$131,$W7=$S$132,$W7=$S$130,$W7=$S$134)),"F",""))))))</f>
        <v/>
      </c>
      <c r="AZ7" s="102" t="str">
        <f t="shared" ref="AZ7:AZ38" si="12">IF(AND($H7="有",AM7="○"),"A",IF(AM7="●","B",IF(AND(AM7="○",OR($L7="有",$M7="有",$N7="有")),"C",IF(AND(AM7="○",$O7="有"),"D",IF(OR(AND(AM7="○",$P7="有"),AND(AM7="○",$W7=$S$128,$O7="")),"E",IF(AND(AM7="○",OR($W7=$S$131,$W7=$S$132,$W7=$S$130,$W7=$S$134)),"F",""))))))</f>
        <v/>
      </c>
      <c r="BA7" s="102" t="str">
        <f t="shared" ref="BA7:BA38" si="13">IF(AND($H7="有",AN7="○"),"A",IF(AN7="●","B",IF(AND(AN7="○",OR($L7="有",$M7="有",$N7="有")),"C",IF(AND(AN7="○",$O7="有"),"D",IF(OR(AND(AN7="○",$P7="有"),AND(AN7="○",$W7=$S$128,$O7="")),"E",IF(AND(AN7="○",OR($W7=$S$131,$W7=$S$132,$W7=$S$130,$W7=$S$134)),"F",""))))))</f>
        <v/>
      </c>
      <c r="BB7" s="106" t="str">
        <f>IF(BA7="",IF(AZ7="",IF(AY7="",IF(AX7="",IF(AW7="",IF(AV7="",IF(AU7="",IF(AT7="",IF(AS7="",IF(AR7="",IF(AQ7="",AP7,AQ7),AR7),AS7),AT7),AU7),AV7),AW7),AX7),AY7),AZ7),BA7)</f>
        <v/>
      </c>
      <c r="BE7" s="102" t="str">
        <f t="shared" ref="BE7:BE38" si="14">IF(B7="園長","園長",IF(C7="正","正規職員",IF(AND(C7="パート",D7="常"),"常勤的非常勤",IF(AND(C7="パート",D7="非"),"短時間非常勤",IF(AND(C7="嘱託等",D7="常"),"嘱託常勤",IF(AND(C7="嘱託等",D7="非"),"嘱託非常勤",""))))))</f>
        <v/>
      </c>
      <c r="BF7" s="107" t="str">
        <f t="shared" ref="BF7:BF38" si="15">IF(AND(OR(I7="有",J7="有",K7="有"),R7&lt;&gt;""),"○","")</f>
        <v/>
      </c>
      <c r="BG7" s="107" t="str">
        <f t="shared" ref="BG7:BG38" si="16">IF(AND(BF7="",R7&lt;&gt;""),"○","")</f>
        <v/>
      </c>
      <c r="BH7" s="102" t="str">
        <f>IF(OR(BF7="○",BG7="○"),"○","")</f>
        <v/>
      </c>
      <c r="BI7" s="102" t="str">
        <f t="shared" ref="BI7:BI38" si="17">IF($S7="","",IF($R7&lt;&gt;"",IF($S7&gt;=$BI$5,"○",""),""))</f>
        <v/>
      </c>
      <c r="BM7" s="282">
        <f>AP6</f>
        <v>45383</v>
      </c>
    </row>
    <row r="8" spans="1:65" s="106" customFormat="1" ht="23.15" customHeight="1">
      <c r="A8" s="3">
        <v>2</v>
      </c>
      <c r="B8" s="15"/>
      <c r="C8" s="5"/>
      <c r="D8" s="6"/>
      <c r="E8" s="4"/>
      <c r="F8" s="7"/>
      <c r="G8" s="8"/>
      <c r="H8" s="9"/>
      <c r="I8" s="9"/>
      <c r="J8" s="9"/>
      <c r="K8" s="9"/>
      <c r="L8" s="9"/>
      <c r="M8" s="9"/>
      <c r="N8" s="9"/>
      <c r="O8" s="9"/>
      <c r="P8" s="9"/>
      <c r="Q8" s="10"/>
      <c r="R8" s="11"/>
      <c r="S8" s="11"/>
      <c r="T8" s="13"/>
      <c r="U8" s="12"/>
      <c r="V8" s="10"/>
      <c r="W8" s="13"/>
      <c r="X8" s="16"/>
      <c r="Y8" s="105" t="str">
        <f t="shared" ref="Y8:Y71" si="18">IF(E8="","",CONCATENATE(E8,Z8," (",AA8,")"))</f>
        <v/>
      </c>
      <c r="Z8" s="102">
        <f>IF(COUNTIF($E$7:E8,E8)=1,"",COUNTIF($E$7:E8,E8))</f>
        <v>0</v>
      </c>
      <c r="AA8" s="102" t="str">
        <f t="shared" si="0"/>
        <v/>
      </c>
      <c r="AC8" s="102" t="str">
        <f t="shared" si="1"/>
        <v/>
      </c>
      <c r="AD8" s="102" t="str">
        <f t="shared" si="1"/>
        <v/>
      </c>
      <c r="AE8" s="102" t="str">
        <f t="shared" si="1"/>
        <v/>
      </c>
      <c r="AF8" s="102" t="str">
        <f t="shared" si="1"/>
        <v/>
      </c>
      <c r="AG8" s="102" t="str">
        <f t="shared" si="1"/>
        <v/>
      </c>
      <c r="AH8" s="102" t="str">
        <f t="shared" si="1"/>
        <v/>
      </c>
      <c r="AI8" s="102" t="str">
        <f t="shared" si="1"/>
        <v/>
      </c>
      <c r="AJ8" s="102" t="str">
        <f t="shared" si="1"/>
        <v/>
      </c>
      <c r="AK8" s="102" t="str">
        <f t="shared" si="1"/>
        <v/>
      </c>
      <c r="AL8" s="102" t="str">
        <f t="shared" si="1"/>
        <v/>
      </c>
      <c r="AM8" s="102" t="str">
        <f t="shared" si="1"/>
        <v/>
      </c>
      <c r="AN8" s="102" t="str">
        <f t="shared" si="1"/>
        <v/>
      </c>
      <c r="AP8" s="102" t="str">
        <f t="shared" si="2"/>
        <v/>
      </c>
      <c r="AQ8" s="102" t="str">
        <f t="shared" si="3"/>
        <v/>
      </c>
      <c r="AR8" s="102" t="str">
        <f t="shared" si="4"/>
        <v/>
      </c>
      <c r="AS8" s="102" t="str">
        <f t="shared" si="5"/>
        <v/>
      </c>
      <c r="AT8" s="102" t="str">
        <f t="shared" si="6"/>
        <v/>
      </c>
      <c r="AU8" s="102" t="str">
        <f t="shared" si="7"/>
        <v/>
      </c>
      <c r="AV8" s="102" t="str">
        <f t="shared" si="8"/>
        <v/>
      </c>
      <c r="AW8" s="102" t="str">
        <f t="shared" si="9"/>
        <v/>
      </c>
      <c r="AX8" s="102" t="str">
        <f t="shared" si="10"/>
        <v/>
      </c>
      <c r="AY8" s="102" t="str">
        <f t="shared" si="11"/>
        <v/>
      </c>
      <c r="AZ8" s="102" t="str">
        <f t="shared" si="12"/>
        <v/>
      </c>
      <c r="BA8" s="102" t="str">
        <f t="shared" si="13"/>
        <v/>
      </c>
      <c r="BB8" s="106" t="str">
        <f t="shared" ref="BB8:BB71" si="19">IF(BA8="",IF(AZ8="",IF(AY8="",IF(AX8="",IF(AW8="",IF(AV8="",IF(AU8="",IF(AT8="",IF(AS8="",IF(AR8="",IF(AQ8="",AP8,AQ8),AR8),AS8),AT8),AU8),AV8),AW8),AX8),AY8),AZ8),BA8)</f>
        <v/>
      </c>
      <c r="BE8" s="102" t="str">
        <f t="shared" si="14"/>
        <v/>
      </c>
      <c r="BF8" s="102" t="str">
        <f t="shared" si="15"/>
        <v/>
      </c>
      <c r="BG8" s="102" t="str">
        <f t="shared" si="16"/>
        <v/>
      </c>
      <c r="BH8" s="102" t="str">
        <f t="shared" ref="BH8:BH71" si="20">IF(OR(BF8="○",BG8="○"),"○","")</f>
        <v/>
      </c>
      <c r="BI8" s="102" t="str">
        <f>IF($S8="","",IF($R8&lt;&gt;"",IF($S8&gt;=$BI$5,"○",""),""))</f>
        <v/>
      </c>
      <c r="BM8" s="282">
        <f>AQ6</f>
        <v>45413</v>
      </c>
    </row>
    <row r="9" spans="1:65" s="106" customFormat="1" ht="23.15" customHeight="1">
      <c r="A9" s="3">
        <v>3</v>
      </c>
      <c r="B9" s="15"/>
      <c r="C9" s="5"/>
      <c r="D9" s="6"/>
      <c r="E9" s="4"/>
      <c r="F9" s="7"/>
      <c r="G9" s="8"/>
      <c r="H9" s="9"/>
      <c r="I9" s="9"/>
      <c r="J9" s="9"/>
      <c r="K9" s="9"/>
      <c r="L9" s="9"/>
      <c r="M9" s="9"/>
      <c r="N9" s="9"/>
      <c r="O9" s="9"/>
      <c r="P9" s="9"/>
      <c r="Q9" s="10"/>
      <c r="R9" s="11"/>
      <c r="S9" s="11"/>
      <c r="T9" s="13"/>
      <c r="U9" s="12"/>
      <c r="V9" s="10"/>
      <c r="W9" s="13"/>
      <c r="X9" s="16"/>
      <c r="Y9" s="105" t="str">
        <f t="shared" si="18"/>
        <v/>
      </c>
      <c r="Z9" s="102">
        <f>IF(COUNTIF($E$7:E9,E9)=1,"",COUNTIF($E$7:E9,E9))</f>
        <v>0</v>
      </c>
      <c r="AA9" s="102" t="str">
        <f t="shared" si="0"/>
        <v/>
      </c>
      <c r="AC9" s="102" t="str">
        <f t="shared" si="1"/>
        <v/>
      </c>
      <c r="AD9" s="102" t="str">
        <f t="shared" si="1"/>
        <v/>
      </c>
      <c r="AE9" s="102" t="str">
        <f t="shared" si="1"/>
        <v/>
      </c>
      <c r="AF9" s="102" t="str">
        <f t="shared" si="1"/>
        <v/>
      </c>
      <c r="AG9" s="102" t="str">
        <f t="shared" si="1"/>
        <v/>
      </c>
      <c r="AH9" s="102" t="str">
        <f t="shared" si="1"/>
        <v/>
      </c>
      <c r="AI9" s="102" t="str">
        <f t="shared" si="1"/>
        <v/>
      </c>
      <c r="AJ9" s="102" t="str">
        <f t="shared" si="1"/>
        <v/>
      </c>
      <c r="AK9" s="102" t="str">
        <f t="shared" si="1"/>
        <v/>
      </c>
      <c r="AL9" s="102" t="str">
        <f t="shared" si="1"/>
        <v/>
      </c>
      <c r="AM9" s="102" t="str">
        <f t="shared" si="1"/>
        <v/>
      </c>
      <c r="AN9" s="102" t="str">
        <f t="shared" si="1"/>
        <v/>
      </c>
      <c r="AP9" s="102" t="str">
        <f t="shared" si="2"/>
        <v/>
      </c>
      <c r="AQ9" s="102" t="str">
        <f t="shared" si="3"/>
        <v/>
      </c>
      <c r="AR9" s="102" t="str">
        <f t="shared" si="4"/>
        <v/>
      </c>
      <c r="AS9" s="102" t="str">
        <f t="shared" si="5"/>
        <v/>
      </c>
      <c r="AT9" s="102" t="str">
        <f t="shared" si="6"/>
        <v/>
      </c>
      <c r="AU9" s="102" t="str">
        <f t="shared" si="7"/>
        <v/>
      </c>
      <c r="AV9" s="102" t="str">
        <f t="shared" si="8"/>
        <v/>
      </c>
      <c r="AW9" s="102" t="str">
        <f t="shared" si="9"/>
        <v/>
      </c>
      <c r="AX9" s="102" t="str">
        <f t="shared" si="10"/>
        <v/>
      </c>
      <c r="AY9" s="102" t="str">
        <f t="shared" si="11"/>
        <v/>
      </c>
      <c r="AZ9" s="102" t="str">
        <f t="shared" si="12"/>
        <v/>
      </c>
      <c r="BA9" s="102" t="str">
        <f t="shared" si="13"/>
        <v/>
      </c>
      <c r="BB9" s="106" t="str">
        <f t="shared" si="19"/>
        <v/>
      </c>
      <c r="BE9" s="102" t="str">
        <f t="shared" si="14"/>
        <v/>
      </c>
      <c r="BF9" s="102" t="str">
        <f t="shared" si="15"/>
        <v/>
      </c>
      <c r="BG9" s="102" t="str">
        <f t="shared" si="16"/>
        <v/>
      </c>
      <c r="BH9" s="102" t="str">
        <f t="shared" si="20"/>
        <v/>
      </c>
      <c r="BI9" s="102" t="str">
        <f t="shared" si="17"/>
        <v/>
      </c>
      <c r="BM9" s="282">
        <f>AR6</f>
        <v>45444</v>
      </c>
    </row>
    <row r="10" spans="1:65" s="106" customFormat="1" ht="23.15" customHeight="1">
      <c r="A10" s="3">
        <v>4</v>
      </c>
      <c r="B10" s="15"/>
      <c r="C10" s="5"/>
      <c r="D10" s="6"/>
      <c r="E10" s="4"/>
      <c r="F10" s="7"/>
      <c r="G10" s="8"/>
      <c r="H10" s="9"/>
      <c r="I10" s="9"/>
      <c r="J10" s="9"/>
      <c r="K10" s="9"/>
      <c r="L10" s="9"/>
      <c r="M10" s="9"/>
      <c r="N10" s="9"/>
      <c r="O10" s="9"/>
      <c r="P10" s="9"/>
      <c r="Q10" s="10"/>
      <c r="R10" s="11"/>
      <c r="S10" s="11"/>
      <c r="T10" s="13"/>
      <c r="U10" s="12"/>
      <c r="V10" s="10"/>
      <c r="W10" s="13"/>
      <c r="X10" s="16"/>
      <c r="Y10" s="105" t="str">
        <f t="shared" si="18"/>
        <v/>
      </c>
      <c r="Z10" s="102">
        <f>IF(COUNTIF($E$7:E10,E10)=1,"",COUNTIF($E$7:E10,E10))</f>
        <v>0</v>
      </c>
      <c r="AA10" s="102" t="str">
        <f t="shared" si="0"/>
        <v/>
      </c>
      <c r="AC10" s="102" t="str">
        <f t="shared" si="1"/>
        <v/>
      </c>
      <c r="AD10" s="102" t="str">
        <f t="shared" si="1"/>
        <v/>
      </c>
      <c r="AE10" s="102" t="str">
        <f t="shared" si="1"/>
        <v/>
      </c>
      <c r="AF10" s="102" t="str">
        <f t="shared" si="1"/>
        <v/>
      </c>
      <c r="AG10" s="102" t="str">
        <f t="shared" si="1"/>
        <v/>
      </c>
      <c r="AH10" s="102" t="str">
        <f t="shared" si="1"/>
        <v/>
      </c>
      <c r="AI10" s="102" t="str">
        <f t="shared" si="1"/>
        <v/>
      </c>
      <c r="AJ10" s="102" t="str">
        <f t="shared" si="1"/>
        <v/>
      </c>
      <c r="AK10" s="102" t="str">
        <f t="shared" si="1"/>
        <v/>
      </c>
      <c r="AL10" s="102" t="str">
        <f t="shared" si="1"/>
        <v/>
      </c>
      <c r="AM10" s="102" t="str">
        <f t="shared" si="1"/>
        <v/>
      </c>
      <c r="AN10" s="102" t="str">
        <f t="shared" si="1"/>
        <v/>
      </c>
      <c r="AP10" s="102" t="str">
        <f t="shared" si="2"/>
        <v/>
      </c>
      <c r="AQ10" s="102" t="str">
        <f t="shared" si="3"/>
        <v/>
      </c>
      <c r="AR10" s="102" t="str">
        <f t="shared" si="4"/>
        <v/>
      </c>
      <c r="AS10" s="102" t="str">
        <f t="shared" si="5"/>
        <v/>
      </c>
      <c r="AT10" s="102" t="str">
        <f t="shared" si="6"/>
        <v/>
      </c>
      <c r="AU10" s="102" t="str">
        <f t="shared" si="7"/>
        <v/>
      </c>
      <c r="AV10" s="102" t="str">
        <f t="shared" si="8"/>
        <v/>
      </c>
      <c r="AW10" s="102" t="str">
        <f t="shared" si="9"/>
        <v/>
      </c>
      <c r="AX10" s="102" t="str">
        <f t="shared" si="10"/>
        <v/>
      </c>
      <c r="AY10" s="102" t="str">
        <f t="shared" si="11"/>
        <v/>
      </c>
      <c r="AZ10" s="102" t="str">
        <f t="shared" si="12"/>
        <v/>
      </c>
      <c r="BA10" s="102" t="str">
        <f t="shared" si="13"/>
        <v/>
      </c>
      <c r="BB10" s="106" t="str">
        <f t="shared" si="19"/>
        <v/>
      </c>
      <c r="BE10" s="102" t="str">
        <f t="shared" si="14"/>
        <v/>
      </c>
      <c r="BF10" s="102" t="str">
        <f t="shared" si="15"/>
        <v/>
      </c>
      <c r="BG10" s="102" t="str">
        <f t="shared" si="16"/>
        <v/>
      </c>
      <c r="BH10" s="102" t="str">
        <f t="shared" si="20"/>
        <v/>
      </c>
      <c r="BI10" s="102" t="str">
        <f t="shared" si="17"/>
        <v/>
      </c>
      <c r="BM10" s="282" t="str">
        <f>AQ8</f>
        <v/>
      </c>
    </row>
    <row r="11" spans="1:65" s="106" customFormat="1" ht="23.15" customHeight="1">
      <c r="A11" s="3">
        <v>5</v>
      </c>
      <c r="B11" s="15"/>
      <c r="C11" s="5"/>
      <c r="D11" s="6"/>
      <c r="E11" s="4"/>
      <c r="F11" s="7"/>
      <c r="G11" s="8"/>
      <c r="H11" s="9"/>
      <c r="I11" s="9"/>
      <c r="J11" s="9"/>
      <c r="K11" s="9"/>
      <c r="L11" s="9"/>
      <c r="M11" s="9"/>
      <c r="N11" s="9"/>
      <c r="O11" s="9"/>
      <c r="P11" s="9"/>
      <c r="Q11" s="10"/>
      <c r="R11" s="11"/>
      <c r="S11" s="11"/>
      <c r="T11" s="13"/>
      <c r="U11" s="12"/>
      <c r="V11" s="10"/>
      <c r="W11" s="13"/>
      <c r="X11" s="16"/>
      <c r="Y11" s="105" t="str">
        <f t="shared" si="18"/>
        <v/>
      </c>
      <c r="Z11" s="102">
        <f>IF(COUNTIF($E$7:E11,E11)=1,"",COUNTIF($E$7:E11,E11))</f>
        <v>0</v>
      </c>
      <c r="AA11" s="102" t="str">
        <f t="shared" si="0"/>
        <v/>
      </c>
      <c r="AC11" s="102" t="str">
        <f t="shared" si="1"/>
        <v/>
      </c>
      <c r="AD11" s="102" t="str">
        <f t="shared" si="1"/>
        <v/>
      </c>
      <c r="AE11" s="102" t="str">
        <f t="shared" si="1"/>
        <v/>
      </c>
      <c r="AF11" s="102" t="str">
        <f t="shared" si="1"/>
        <v/>
      </c>
      <c r="AG11" s="102" t="str">
        <f t="shared" si="1"/>
        <v/>
      </c>
      <c r="AH11" s="102" t="str">
        <f t="shared" si="1"/>
        <v/>
      </c>
      <c r="AI11" s="102" t="str">
        <f t="shared" si="1"/>
        <v/>
      </c>
      <c r="AJ11" s="102" t="str">
        <f t="shared" si="1"/>
        <v/>
      </c>
      <c r="AK11" s="102" t="str">
        <f t="shared" si="1"/>
        <v/>
      </c>
      <c r="AL11" s="102" t="str">
        <f t="shared" si="1"/>
        <v/>
      </c>
      <c r="AM11" s="102" t="str">
        <f t="shared" si="1"/>
        <v/>
      </c>
      <c r="AN11" s="102" t="str">
        <f t="shared" si="1"/>
        <v/>
      </c>
      <c r="AP11" s="102" t="str">
        <f t="shared" si="2"/>
        <v/>
      </c>
      <c r="AQ11" s="102" t="str">
        <f t="shared" si="3"/>
        <v/>
      </c>
      <c r="AR11" s="102" t="str">
        <f t="shared" si="4"/>
        <v/>
      </c>
      <c r="AS11" s="102" t="str">
        <f t="shared" si="5"/>
        <v/>
      </c>
      <c r="AT11" s="102" t="str">
        <f t="shared" si="6"/>
        <v/>
      </c>
      <c r="AU11" s="102" t="str">
        <f t="shared" si="7"/>
        <v/>
      </c>
      <c r="AV11" s="102" t="str">
        <f t="shared" si="8"/>
        <v/>
      </c>
      <c r="AW11" s="102" t="str">
        <f t="shared" si="9"/>
        <v/>
      </c>
      <c r="AX11" s="102" t="str">
        <f t="shared" si="10"/>
        <v/>
      </c>
      <c r="AY11" s="102" t="str">
        <f t="shared" si="11"/>
        <v/>
      </c>
      <c r="AZ11" s="102" t="str">
        <f t="shared" si="12"/>
        <v/>
      </c>
      <c r="BA11" s="102" t="str">
        <f t="shared" si="13"/>
        <v/>
      </c>
      <c r="BB11" s="106" t="str">
        <f t="shared" si="19"/>
        <v/>
      </c>
      <c r="BE11" s="102" t="str">
        <f t="shared" si="14"/>
        <v/>
      </c>
      <c r="BF11" s="102" t="str">
        <f t="shared" si="15"/>
        <v/>
      </c>
      <c r="BG11" s="102" t="str">
        <f t="shared" si="16"/>
        <v/>
      </c>
      <c r="BH11" s="102" t="str">
        <f t="shared" si="20"/>
        <v/>
      </c>
      <c r="BI11" s="102" t="str">
        <f>IF($S11="","",IF($R11&lt;&gt;"",IF($S11&gt;=$BI$5,"○",""),""))</f>
        <v/>
      </c>
    </row>
    <row r="12" spans="1:65" s="106" customFormat="1" ht="23.15" customHeight="1">
      <c r="A12" s="3">
        <v>6</v>
      </c>
      <c r="B12" s="15"/>
      <c r="C12" s="5"/>
      <c r="D12" s="6"/>
      <c r="E12" s="4"/>
      <c r="F12" s="7"/>
      <c r="G12" s="8"/>
      <c r="H12" s="9"/>
      <c r="I12" s="9"/>
      <c r="J12" s="9"/>
      <c r="K12" s="9"/>
      <c r="L12" s="9"/>
      <c r="M12" s="9"/>
      <c r="N12" s="9"/>
      <c r="O12" s="9"/>
      <c r="P12" s="9"/>
      <c r="Q12" s="10"/>
      <c r="R12" s="11"/>
      <c r="S12" s="11"/>
      <c r="T12" s="13"/>
      <c r="U12" s="12"/>
      <c r="V12" s="10"/>
      <c r="W12" s="13"/>
      <c r="X12" s="16"/>
      <c r="Y12" s="105" t="str">
        <f t="shared" si="18"/>
        <v/>
      </c>
      <c r="Z12" s="102">
        <f>IF(COUNTIF($E$7:E12,E12)=1,"",COUNTIF($E$7:E12,E12))</f>
        <v>0</v>
      </c>
      <c r="AA12" s="102" t="str">
        <f t="shared" si="0"/>
        <v/>
      </c>
      <c r="AC12" s="102" t="str">
        <f t="shared" si="1"/>
        <v/>
      </c>
      <c r="AD12" s="102" t="str">
        <f t="shared" si="1"/>
        <v/>
      </c>
      <c r="AE12" s="102" t="str">
        <f t="shared" si="1"/>
        <v/>
      </c>
      <c r="AF12" s="102" t="str">
        <f t="shared" si="1"/>
        <v/>
      </c>
      <c r="AG12" s="102" t="str">
        <f t="shared" si="1"/>
        <v/>
      </c>
      <c r="AH12" s="102" t="str">
        <f t="shared" si="1"/>
        <v/>
      </c>
      <c r="AI12" s="102" t="str">
        <f t="shared" si="1"/>
        <v/>
      </c>
      <c r="AJ12" s="102" t="str">
        <f t="shared" si="1"/>
        <v/>
      </c>
      <c r="AK12" s="102" t="str">
        <f t="shared" si="1"/>
        <v/>
      </c>
      <c r="AL12" s="102" t="str">
        <f t="shared" si="1"/>
        <v/>
      </c>
      <c r="AM12" s="102" t="str">
        <f t="shared" si="1"/>
        <v/>
      </c>
      <c r="AN12" s="102" t="str">
        <f t="shared" si="1"/>
        <v/>
      </c>
      <c r="AP12" s="102" t="str">
        <f t="shared" si="2"/>
        <v/>
      </c>
      <c r="AQ12" s="102" t="str">
        <f t="shared" si="3"/>
        <v/>
      </c>
      <c r="AR12" s="102" t="str">
        <f t="shared" si="4"/>
        <v/>
      </c>
      <c r="AS12" s="102" t="str">
        <f t="shared" si="5"/>
        <v/>
      </c>
      <c r="AT12" s="102" t="str">
        <f t="shared" si="6"/>
        <v/>
      </c>
      <c r="AU12" s="102" t="str">
        <f t="shared" si="7"/>
        <v/>
      </c>
      <c r="AV12" s="102" t="str">
        <f t="shared" si="8"/>
        <v/>
      </c>
      <c r="AW12" s="102" t="str">
        <f t="shared" si="9"/>
        <v/>
      </c>
      <c r="AX12" s="102" t="str">
        <f t="shared" si="10"/>
        <v/>
      </c>
      <c r="AY12" s="102" t="str">
        <f t="shared" si="11"/>
        <v/>
      </c>
      <c r="AZ12" s="102" t="str">
        <f t="shared" si="12"/>
        <v/>
      </c>
      <c r="BA12" s="102" t="str">
        <f t="shared" si="13"/>
        <v/>
      </c>
      <c r="BB12" s="106" t="str">
        <f t="shared" si="19"/>
        <v/>
      </c>
      <c r="BE12" s="102" t="str">
        <f t="shared" si="14"/>
        <v/>
      </c>
      <c r="BF12" s="102" t="str">
        <f t="shared" si="15"/>
        <v/>
      </c>
      <c r="BG12" s="102" t="str">
        <f t="shared" si="16"/>
        <v/>
      </c>
      <c r="BH12" s="102" t="str">
        <f t="shared" si="20"/>
        <v/>
      </c>
      <c r="BI12" s="102" t="str">
        <f t="shared" si="17"/>
        <v/>
      </c>
    </row>
    <row r="13" spans="1:65" s="106" customFormat="1" ht="23.15" customHeight="1">
      <c r="A13" s="3">
        <v>7</v>
      </c>
      <c r="B13" s="15"/>
      <c r="C13" s="5"/>
      <c r="D13" s="6"/>
      <c r="E13" s="4"/>
      <c r="F13" s="7"/>
      <c r="G13" s="8"/>
      <c r="H13" s="9"/>
      <c r="I13" s="9"/>
      <c r="J13" s="9"/>
      <c r="K13" s="9"/>
      <c r="L13" s="9"/>
      <c r="M13" s="9"/>
      <c r="N13" s="9"/>
      <c r="O13" s="9"/>
      <c r="P13" s="9"/>
      <c r="Q13" s="10"/>
      <c r="R13" s="11"/>
      <c r="S13" s="11"/>
      <c r="T13" s="13"/>
      <c r="U13" s="12"/>
      <c r="V13" s="10"/>
      <c r="W13" s="13"/>
      <c r="X13" s="16"/>
      <c r="Y13" s="105" t="str">
        <f t="shared" si="18"/>
        <v/>
      </c>
      <c r="Z13" s="102">
        <f>IF(COUNTIF($E$7:E13,E13)=1,"",COUNTIF($E$7:E13,E13))</f>
        <v>0</v>
      </c>
      <c r="AA13" s="102" t="str">
        <f t="shared" si="0"/>
        <v/>
      </c>
      <c r="AC13" s="102" t="str">
        <f t="shared" si="1"/>
        <v/>
      </c>
      <c r="AD13" s="102" t="str">
        <f t="shared" si="1"/>
        <v/>
      </c>
      <c r="AE13" s="102" t="str">
        <f t="shared" si="1"/>
        <v/>
      </c>
      <c r="AF13" s="102" t="str">
        <f t="shared" si="1"/>
        <v/>
      </c>
      <c r="AG13" s="102" t="str">
        <f t="shared" si="1"/>
        <v/>
      </c>
      <c r="AH13" s="102" t="str">
        <f t="shared" si="1"/>
        <v/>
      </c>
      <c r="AI13" s="102" t="str">
        <f t="shared" si="1"/>
        <v/>
      </c>
      <c r="AJ13" s="102" t="str">
        <f t="shared" si="1"/>
        <v/>
      </c>
      <c r="AK13" s="102" t="str">
        <f t="shared" si="1"/>
        <v/>
      </c>
      <c r="AL13" s="102" t="str">
        <f t="shared" si="1"/>
        <v/>
      </c>
      <c r="AM13" s="102" t="str">
        <f t="shared" si="1"/>
        <v/>
      </c>
      <c r="AN13" s="102" t="str">
        <f t="shared" si="1"/>
        <v/>
      </c>
      <c r="AP13" s="102" t="str">
        <f t="shared" si="2"/>
        <v/>
      </c>
      <c r="AQ13" s="102" t="str">
        <f t="shared" si="3"/>
        <v/>
      </c>
      <c r="AR13" s="102" t="str">
        <f t="shared" si="4"/>
        <v/>
      </c>
      <c r="AS13" s="102" t="str">
        <f t="shared" si="5"/>
        <v/>
      </c>
      <c r="AT13" s="102" t="str">
        <f t="shared" si="6"/>
        <v/>
      </c>
      <c r="AU13" s="102" t="str">
        <f t="shared" si="7"/>
        <v/>
      </c>
      <c r="AV13" s="102" t="str">
        <f t="shared" si="8"/>
        <v/>
      </c>
      <c r="AW13" s="102" t="str">
        <f t="shared" si="9"/>
        <v/>
      </c>
      <c r="AX13" s="102" t="str">
        <f t="shared" si="10"/>
        <v/>
      </c>
      <c r="AY13" s="102" t="str">
        <f t="shared" si="11"/>
        <v/>
      </c>
      <c r="AZ13" s="102" t="str">
        <f t="shared" si="12"/>
        <v/>
      </c>
      <c r="BA13" s="102" t="str">
        <f t="shared" si="13"/>
        <v/>
      </c>
      <c r="BB13" s="106" t="str">
        <f t="shared" si="19"/>
        <v/>
      </c>
      <c r="BE13" s="102" t="str">
        <f t="shared" si="14"/>
        <v/>
      </c>
      <c r="BF13" s="102" t="str">
        <f t="shared" si="15"/>
        <v/>
      </c>
      <c r="BG13" s="102" t="str">
        <f t="shared" si="16"/>
        <v/>
      </c>
      <c r="BH13" s="102" t="str">
        <f t="shared" si="20"/>
        <v/>
      </c>
      <c r="BI13" s="102" t="str">
        <f t="shared" si="17"/>
        <v/>
      </c>
    </row>
    <row r="14" spans="1:65" s="106" customFormat="1" ht="23.15" customHeight="1">
      <c r="A14" s="3">
        <v>8</v>
      </c>
      <c r="B14" s="15"/>
      <c r="C14" s="5"/>
      <c r="D14" s="6"/>
      <c r="E14" s="4"/>
      <c r="F14" s="7"/>
      <c r="G14" s="8"/>
      <c r="H14" s="9"/>
      <c r="I14" s="9"/>
      <c r="J14" s="9"/>
      <c r="K14" s="9"/>
      <c r="L14" s="9"/>
      <c r="M14" s="9"/>
      <c r="N14" s="9"/>
      <c r="O14" s="9"/>
      <c r="P14" s="9"/>
      <c r="Q14" s="10"/>
      <c r="R14" s="11"/>
      <c r="S14" s="11"/>
      <c r="T14" s="13"/>
      <c r="U14" s="12"/>
      <c r="V14" s="10"/>
      <c r="W14" s="13"/>
      <c r="X14" s="14"/>
      <c r="Y14" s="105" t="str">
        <f t="shared" si="18"/>
        <v/>
      </c>
      <c r="Z14" s="102">
        <f>IF(COUNTIF($E$7:E14,E14)=1,"",COUNTIF($E$7:E14,E14))</f>
        <v>0</v>
      </c>
      <c r="AA14" s="102" t="str">
        <f t="shared" si="0"/>
        <v/>
      </c>
      <c r="AC14" s="102" t="str">
        <f t="shared" si="1"/>
        <v/>
      </c>
      <c r="AD14" s="102" t="str">
        <f t="shared" si="1"/>
        <v/>
      </c>
      <c r="AE14" s="102" t="str">
        <f t="shared" si="1"/>
        <v/>
      </c>
      <c r="AF14" s="102" t="str">
        <f t="shared" si="1"/>
        <v/>
      </c>
      <c r="AG14" s="102" t="str">
        <f t="shared" si="1"/>
        <v/>
      </c>
      <c r="AH14" s="102" t="str">
        <f t="shared" si="1"/>
        <v/>
      </c>
      <c r="AI14" s="102" t="str">
        <f t="shared" si="1"/>
        <v/>
      </c>
      <c r="AJ14" s="102" t="str">
        <f t="shared" si="1"/>
        <v/>
      </c>
      <c r="AK14" s="102" t="str">
        <f t="shared" si="1"/>
        <v/>
      </c>
      <c r="AL14" s="102" t="str">
        <f t="shared" si="1"/>
        <v/>
      </c>
      <c r="AM14" s="102" t="str">
        <f t="shared" si="1"/>
        <v/>
      </c>
      <c r="AN14" s="102" t="str">
        <f t="shared" si="1"/>
        <v/>
      </c>
      <c r="AP14" s="102" t="str">
        <f t="shared" si="2"/>
        <v/>
      </c>
      <c r="AQ14" s="102" t="str">
        <f t="shared" si="3"/>
        <v/>
      </c>
      <c r="AR14" s="102" t="str">
        <f t="shared" si="4"/>
        <v/>
      </c>
      <c r="AS14" s="102" t="str">
        <f t="shared" si="5"/>
        <v/>
      </c>
      <c r="AT14" s="102" t="str">
        <f t="shared" si="6"/>
        <v/>
      </c>
      <c r="AU14" s="102" t="str">
        <f t="shared" si="7"/>
        <v/>
      </c>
      <c r="AV14" s="102" t="str">
        <f t="shared" si="8"/>
        <v/>
      </c>
      <c r="AW14" s="102" t="str">
        <f t="shared" si="9"/>
        <v/>
      </c>
      <c r="AX14" s="102" t="str">
        <f t="shared" si="10"/>
        <v/>
      </c>
      <c r="AY14" s="102" t="str">
        <f t="shared" si="11"/>
        <v/>
      </c>
      <c r="AZ14" s="102" t="str">
        <f t="shared" si="12"/>
        <v/>
      </c>
      <c r="BA14" s="102" t="str">
        <f t="shared" si="13"/>
        <v/>
      </c>
      <c r="BB14" s="106" t="str">
        <f t="shared" si="19"/>
        <v/>
      </c>
      <c r="BE14" s="102" t="str">
        <f t="shared" si="14"/>
        <v/>
      </c>
      <c r="BF14" s="102" t="str">
        <f t="shared" si="15"/>
        <v/>
      </c>
      <c r="BG14" s="102" t="str">
        <f t="shared" si="16"/>
        <v/>
      </c>
      <c r="BH14" s="102" t="str">
        <f t="shared" si="20"/>
        <v/>
      </c>
      <c r="BI14" s="102" t="str">
        <f t="shared" si="17"/>
        <v/>
      </c>
    </row>
    <row r="15" spans="1:65" s="106" customFormat="1" ht="23.15" customHeight="1">
      <c r="A15" s="3">
        <v>9</v>
      </c>
      <c r="B15" s="15"/>
      <c r="C15" s="5"/>
      <c r="D15" s="6"/>
      <c r="E15" s="4"/>
      <c r="F15" s="7"/>
      <c r="G15" s="8"/>
      <c r="H15" s="9"/>
      <c r="I15" s="9"/>
      <c r="J15" s="9"/>
      <c r="K15" s="9"/>
      <c r="L15" s="9"/>
      <c r="M15" s="9"/>
      <c r="N15" s="9"/>
      <c r="O15" s="9"/>
      <c r="P15" s="9"/>
      <c r="Q15" s="10"/>
      <c r="R15" s="11"/>
      <c r="S15" s="11"/>
      <c r="T15" s="13"/>
      <c r="U15" s="12"/>
      <c r="V15" s="10"/>
      <c r="W15" s="13"/>
      <c r="X15" s="16"/>
      <c r="Y15" s="105" t="str">
        <f t="shared" si="18"/>
        <v/>
      </c>
      <c r="Z15" s="102">
        <f>IF(COUNTIF($E$7:E15,E15)=1,"",COUNTIF($E$7:E15,E15))</f>
        <v>0</v>
      </c>
      <c r="AA15" s="102" t="str">
        <f t="shared" si="0"/>
        <v/>
      </c>
      <c r="AC15" s="102" t="str">
        <f t="shared" si="1"/>
        <v/>
      </c>
      <c r="AD15" s="102" t="str">
        <f t="shared" si="1"/>
        <v/>
      </c>
      <c r="AE15" s="102" t="str">
        <f t="shared" si="1"/>
        <v/>
      </c>
      <c r="AF15" s="102" t="str">
        <f t="shared" si="1"/>
        <v/>
      </c>
      <c r="AG15" s="102" t="str">
        <f t="shared" si="1"/>
        <v/>
      </c>
      <c r="AH15" s="102" t="str">
        <f t="shared" si="1"/>
        <v/>
      </c>
      <c r="AI15" s="102" t="str">
        <f t="shared" si="1"/>
        <v/>
      </c>
      <c r="AJ15" s="102" t="str">
        <f t="shared" si="1"/>
        <v/>
      </c>
      <c r="AK15" s="102" t="str">
        <f t="shared" si="1"/>
        <v/>
      </c>
      <c r="AL15" s="102" t="str">
        <f t="shared" si="1"/>
        <v/>
      </c>
      <c r="AM15" s="102" t="str">
        <f t="shared" si="1"/>
        <v/>
      </c>
      <c r="AN15" s="102" t="str">
        <f t="shared" si="1"/>
        <v/>
      </c>
      <c r="AP15" s="102" t="str">
        <f t="shared" si="2"/>
        <v/>
      </c>
      <c r="AQ15" s="102" t="str">
        <f t="shared" si="3"/>
        <v/>
      </c>
      <c r="AR15" s="102" t="str">
        <f t="shared" si="4"/>
        <v/>
      </c>
      <c r="AS15" s="102" t="str">
        <f t="shared" si="5"/>
        <v/>
      </c>
      <c r="AT15" s="102" t="str">
        <f t="shared" si="6"/>
        <v/>
      </c>
      <c r="AU15" s="102" t="str">
        <f t="shared" si="7"/>
        <v/>
      </c>
      <c r="AV15" s="102" t="str">
        <f t="shared" si="8"/>
        <v/>
      </c>
      <c r="AW15" s="102" t="str">
        <f t="shared" si="9"/>
        <v/>
      </c>
      <c r="AX15" s="102" t="str">
        <f t="shared" si="10"/>
        <v/>
      </c>
      <c r="AY15" s="102" t="str">
        <f t="shared" si="11"/>
        <v/>
      </c>
      <c r="AZ15" s="102" t="str">
        <f t="shared" si="12"/>
        <v/>
      </c>
      <c r="BA15" s="102" t="str">
        <f t="shared" si="13"/>
        <v/>
      </c>
      <c r="BB15" s="106" t="str">
        <f t="shared" si="19"/>
        <v/>
      </c>
      <c r="BE15" s="102" t="str">
        <f t="shared" si="14"/>
        <v/>
      </c>
      <c r="BF15" s="102" t="str">
        <f t="shared" si="15"/>
        <v/>
      </c>
      <c r="BG15" s="102" t="str">
        <f t="shared" si="16"/>
        <v/>
      </c>
      <c r="BH15" s="102" t="str">
        <f t="shared" si="20"/>
        <v/>
      </c>
      <c r="BI15" s="102" t="str">
        <f t="shared" si="17"/>
        <v/>
      </c>
    </row>
    <row r="16" spans="1:65" s="106" customFormat="1" ht="23.15" customHeight="1">
      <c r="A16" s="3">
        <v>10</v>
      </c>
      <c r="B16" s="15"/>
      <c r="C16" s="5"/>
      <c r="D16" s="6"/>
      <c r="E16" s="4"/>
      <c r="F16" s="7"/>
      <c r="G16" s="8"/>
      <c r="H16" s="9"/>
      <c r="I16" s="9"/>
      <c r="J16" s="9"/>
      <c r="K16" s="9"/>
      <c r="L16" s="9"/>
      <c r="M16" s="9"/>
      <c r="N16" s="9"/>
      <c r="O16" s="9"/>
      <c r="P16" s="9"/>
      <c r="Q16" s="10"/>
      <c r="R16" s="11"/>
      <c r="S16" s="11"/>
      <c r="T16" s="13"/>
      <c r="U16" s="12"/>
      <c r="V16" s="10"/>
      <c r="W16" s="13"/>
      <c r="X16" s="16"/>
      <c r="Y16" s="105" t="str">
        <f t="shared" si="18"/>
        <v/>
      </c>
      <c r="Z16" s="102">
        <f>IF(COUNTIF($E$7:E16,E16)=1,"",COUNTIF($E$7:E16,E16))</f>
        <v>0</v>
      </c>
      <c r="AA16" s="102" t="str">
        <f t="shared" si="0"/>
        <v/>
      </c>
      <c r="AC16" s="102" t="str">
        <f t="shared" si="1"/>
        <v/>
      </c>
      <c r="AD16" s="102" t="str">
        <f t="shared" si="1"/>
        <v/>
      </c>
      <c r="AE16" s="102" t="str">
        <f t="shared" si="1"/>
        <v/>
      </c>
      <c r="AF16" s="102" t="str">
        <f t="shared" si="1"/>
        <v/>
      </c>
      <c r="AG16" s="102" t="str">
        <f t="shared" si="1"/>
        <v/>
      </c>
      <c r="AH16" s="102" t="str">
        <f t="shared" si="1"/>
        <v/>
      </c>
      <c r="AI16" s="102" t="str">
        <f t="shared" si="1"/>
        <v/>
      </c>
      <c r="AJ16" s="102" t="str">
        <f t="shared" si="1"/>
        <v/>
      </c>
      <c r="AK16" s="102" t="str">
        <f t="shared" si="1"/>
        <v/>
      </c>
      <c r="AL16" s="102" t="str">
        <f t="shared" si="1"/>
        <v/>
      </c>
      <c r="AM16" s="102" t="str">
        <f t="shared" si="1"/>
        <v/>
      </c>
      <c r="AN16" s="102" t="str">
        <f t="shared" si="1"/>
        <v/>
      </c>
      <c r="AP16" s="102" t="str">
        <f t="shared" si="2"/>
        <v/>
      </c>
      <c r="AQ16" s="102" t="str">
        <f t="shared" si="3"/>
        <v/>
      </c>
      <c r="AR16" s="102" t="str">
        <f t="shared" si="4"/>
        <v/>
      </c>
      <c r="AS16" s="102" t="str">
        <f t="shared" si="5"/>
        <v/>
      </c>
      <c r="AT16" s="102" t="str">
        <f t="shared" si="6"/>
        <v/>
      </c>
      <c r="AU16" s="102" t="str">
        <f t="shared" si="7"/>
        <v/>
      </c>
      <c r="AV16" s="102" t="str">
        <f t="shared" si="8"/>
        <v/>
      </c>
      <c r="AW16" s="102" t="str">
        <f t="shared" si="9"/>
        <v/>
      </c>
      <c r="AX16" s="102" t="str">
        <f t="shared" si="10"/>
        <v/>
      </c>
      <c r="AY16" s="102" t="str">
        <f t="shared" si="11"/>
        <v/>
      </c>
      <c r="AZ16" s="102" t="str">
        <f t="shared" si="12"/>
        <v/>
      </c>
      <c r="BA16" s="102" t="str">
        <f t="shared" si="13"/>
        <v/>
      </c>
      <c r="BB16" s="106" t="str">
        <f t="shared" si="19"/>
        <v/>
      </c>
      <c r="BE16" s="102" t="str">
        <f t="shared" si="14"/>
        <v/>
      </c>
      <c r="BF16" s="102" t="str">
        <f t="shared" si="15"/>
        <v/>
      </c>
      <c r="BG16" s="102" t="str">
        <f t="shared" si="16"/>
        <v/>
      </c>
      <c r="BH16" s="102" t="str">
        <f t="shared" si="20"/>
        <v/>
      </c>
      <c r="BI16" s="102" t="str">
        <f t="shared" si="17"/>
        <v/>
      </c>
    </row>
    <row r="17" spans="1:61" s="106" customFormat="1" ht="23.15" customHeight="1">
      <c r="A17" s="3">
        <v>11</v>
      </c>
      <c r="B17" s="15"/>
      <c r="C17" s="5"/>
      <c r="D17" s="6"/>
      <c r="E17" s="4"/>
      <c r="F17" s="7"/>
      <c r="G17" s="8"/>
      <c r="H17" s="9"/>
      <c r="I17" s="9"/>
      <c r="J17" s="9"/>
      <c r="K17" s="9"/>
      <c r="L17" s="9"/>
      <c r="M17" s="9"/>
      <c r="N17" s="9"/>
      <c r="O17" s="9"/>
      <c r="P17" s="9"/>
      <c r="Q17" s="10"/>
      <c r="R17" s="11"/>
      <c r="S17" s="11"/>
      <c r="T17" s="13"/>
      <c r="U17" s="12"/>
      <c r="V17" s="10"/>
      <c r="W17" s="13"/>
      <c r="X17" s="16"/>
      <c r="Y17" s="105" t="str">
        <f t="shared" si="18"/>
        <v/>
      </c>
      <c r="Z17" s="102">
        <f>IF(COUNTIF($E$7:E17,E17)=1,"",COUNTIF($E$7:E17,E17))</f>
        <v>0</v>
      </c>
      <c r="AA17" s="102" t="str">
        <f>IFERROR(IF(OR(W17=$S$119,W17=$S$121),W17,INDEX($B$144:$C$149,MATCH(BB17,$B$144:$B$149,0),2)),"")</f>
        <v/>
      </c>
      <c r="AC17" s="102" t="str">
        <f t="shared" ref="AC17:AN32" si="21">IF(OR($W17=$S$129,$W17=$S$133),"",IF($S17="","",IF($U17="",IF($R17="",IF($S17&lt;=AC$6,"○",""),IF(AND($R17&lt;=AC$6,$S17&lt;=AC$6),"●",IF($S17&lt;=AC$6,"○",""))),IF($U17&gt;=AC$6,IF($R17="",IF($S17&lt;=AC$6,"○",""),IF(AND($R17&lt;=AC$6,$S17&lt;=AC$6),"●",IF($S17&lt;=AC$6,"○",""))),""))))</f>
        <v/>
      </c>
      <c r="AD17" s="102" t="str">
        <f t="shared" si="21"/>
        <v/>
      </c>
      <c r="AE17" s="102" t="str">
        <f t="shared" si="21"/>
        <v/>
      </c>
      <c r="AF17" s="102" t="str">
        <f t="shared" si="21"/>
        <v/>
      </c>
      <c r="AG17" s="102" t="str">
        <f t="shared" si="21"/>
        <v/>
      </c>
      <c r="AH17" s="102" t="str">
        <f t="shared" si="21"/>
        <v/>
      </c>
      <c r="AI17" s="102" t="str">
        <f t="shared" si="21"/>
        <v/>
      </c>
      <c r="AJ17" s="102" t="str">
        <f t="shared" si="21"/>
        <v/>
      </c>
      <c r="AK17" s="102" t="str">
        <f t="shared" si="21"/>
        <v/>
      </c>
      <c r="AL17" s="102" t="str">
        <f t="shared" si="21"/>
        <v/>
      </c>
      <c r="AM17" s="102" t="str">
        <f t="shared" si="21"/>
        <v/>
      </c>
      <c r="AN17" s="102" t="str">
        <f>IF(OR($W17=$S$129,$W17=$S$133),"",IF($S17="","",IF($U17="",IF($R17="",IF($S17&lt;=AN$6,"○",""),IF(AND($R17&lt;=AN$6,$S17&lt;=AN$6),"●",IF($S17&lt;=AN$6,"○",""))),IF($U17&gt;=AN$6,IF($R17="",IF($S17&lt;=AN$6,"○",""),IF(AND($R17&lt;=AN$6,$S17&lt;=AN$6),"●",IF($S17&lt;=AN$6,"○",""))),""))))</f>
        <v/>
      </c>
      <c r="AP17" s="102" t="str">
        <f t="shared" si="2"/>
        <v/>
      </c>
      <c r="AQ17" s="102" t="str">
        <f t="shared" ref="AQ17:BA17" si="22">IF(AND($H17="有",AD17="○"),"A",IF(AD17="●","B",IF(AND(AD17="○",OR($L17="有",$M17="有",$N17="有")),"C",IF(AND(AD17="○",$O17="有"),"D",IF(OR(AND(AD17="○",$P17="有"),AND(AD17="○",$W17=$S$128,$O17="")),"E",IF(AND(AD17="○",OR($W17=$S$131,$W17=$S$132,$W17=$S$130,$W17=$S$134)),"F",""))))))</f>
        <v/>
      </c>
      <c r="AR17" s="102" t="str">
        <f t="shared" si="22"/>
        <v/>
      </c>
      <c r="AS17" s="102" t="str">
        <f t="shared" si="22"/>
        <v/>
      </c>
      <c r="AT17" s="102" t="str">
        <f t="shared" si="22"/>
        <v/>
      </c>
      <c r="AU17" s="102" t="str">
        <f t="shared" si="22"/>
        <v/>
      </c>
      <c r="AV17" s="102" t="str">
        <f t="shared" si="22"/>
        <v/>
      </c>
      <c r="AW17" s="102" t="str">
        <f t="shared" si="22"/>
        <v/>
      </c>
      <c r="AX17" s="102" t="str">
        <f t="shared" si="22"/>
        <v/>
      </c>
      <c r="AY17" s="102" t="str">
        <f t="shared" si="22"/>
        <v/>
      </c>
      <c r="AZ17" s="102" t="str">
        <f t="shared" si="22"/>
        <v/>
      </c>
      <c r="BA17" s="102" t="str">
        <f t="shared" si="22"/>
        <v/>
      </c>
      <c r="BB17" s="106" t="str">
        <f t="shared" si="19"/>
        <v/>
      </c>
      <c r="BE17" s="102" t="str">
        <f t="shared" si="14"/>
        <v/>
      </c>
      <c r="BF17" s="102" t="str">
        <f t="shared" si="15"/>
        <v/>
      </c>
      <c r="BG17" s="102" t="str">
        <f t="shared" si="16"/>
        <v/>
      </c>
      <c r="BH17" s="102" t="str">
        <f t="shared" si="20"/>
        <v/>
      </c>
      <c r="BI17" s="102" t="str">
        <f t="shared" si="17"/>
        <v/>
      </c>
    </row>
    <row r="18" spans="1:61" s="106" customFormat="1" ht="23.15" customHeight="1">
      <c r="A18" s="3">
        <v>12</v>
      </c>
      <c r="B18" s="15"/>
      <c r="C18" s="5"/>
      <c r="D18" s="6"/>
      <c r="E18" s="4"/>
      <c r="F18" s="7"/>
      <c r="G18" s="8"/>
      <c r="H18" s="9"/>
      <c r="I18" s="9"/>
      <c r="J18" s="9"/>
      <c r="K18" s="9"/>
      <c r="L18" s="9"/>
      <c r="M18" s="9"/>
      <c r="N18" s="9"/>
      <c r="O18" s="9"/>
      <c r="P18" s="9"/>
      <c r="Q18" s="10"/>
      <c r="R18" s="11"/>
      <c r="S18" s="11"/>
      <c r="T18" s="13"/>
      <c r="U18" s="12"/>
      <c r="V18" s="10"/>
      <c r="W18" s="13"/>
      <c r="X18" s="16"/>
      <c r="Y18" s="105" t="str">
        <f t="shared" si="18"/>
        <v/>
      </c>
      <c r="Z18" s="102">
        <f>IF(COUNTIF($E$7:E18,E18)=1,"",COUNTIF($E$7:E18,E18))</f>
        <v>0</v>
      </c>
      <c r="AA18" s="102" t="str">
        <f t="shared" si="0"/>
        <v/>
      </c>
      <c r="AC18" s="102" t="str">
        <f t="shared" si="21"/>
        <v/>
      </c>
      <c r="AD18" s="102" t="str">
        <f t="shared" si="21"/>
        <v/>
      </c>
      <c r="AE18" s="102" t="str">
        <f t="shared" si="21"/>
        <v/>
      </c>
      <c r="AF18" s="102" t="str">
        <f t="shared" si="21"/>
        <v/>
      </c>
      <c r="AG18" s="102" t="str">
        <f t="shared" si="21"/>
        <v/>
      </c>
      <c r="AH18" s="102" t="str">
        <f t="shared" si="21"/>
        <v/>
      </c>
      <c r="AI18" s="102" t="str">
        <f t="shared" si="21"/>
        <v/>
      </c>
      <c r="AJ18" s="102" t="str">
        <f t="shared" si="21"/>
        <v/>
      </c>
      <c r="AK18" s="102" t="str">
        <f t="shared" si="21"/>
        <v/>
      </c>
      <c r="AL18" s="102" t="str">
        <f t="shared" si="21"/>
        <v/>
      </c>
      <c r="AM18" s="102" t="str">
        <f t="shared" si="21"/>
        <v/>
      </c>
      <c r="AN18" s="102" t="str">
        <f t="shared" si="21"/>
        <v/>
      </c>
      <c r="AP18" s="102" t="str">
        <f t="shared" si="2"/>
        <v/>
      </c>
      <c r="AQ18" s="102" t="str">
        <f t="shared" si="3"/>
        <v/>
      </c>
      <c r="AR18" s="102" t="str">
        <f t="shared" si="4"/>
        <v/>
      </c>
      <c r="AS18" s="102" t="str">
        <f t="shared" si="5"/>
        <v/>
      </c>
      <c r="AT18" s="102" t="str">
        <f t="shared" si="6"/>
        <v/>
      </c>
      <c r="AU18" s="102" t="str">
        <f t="shared" si="7"/>
        <v/>
      </c>
      <c r="AV18" s="102" t="str">
        <f t="shared" si="8"/>
        <v/>
      </c>
      <c r="AW18" s="102" t="str">
        <f t="shared" si="9"/>
        <v/>
      </c>
      <c r="AX18" s="102" t="str">
        <f t="shared" si="10"/>
        <v/>
      </c>
      <c r="AY18" s="102" t="str">
        <f t="shared" si="11"/>
        <v/>
      </c>
      <c r="AZ18" s="102" t="str">
        <f t="shared" si="12"/>
        <v/>
      </c>
      <c r="BA18" s="102" t="str">
        <f t="shared" si="13"/>
        <v/>
      </c>
      <c r="BB18" s="106" t="str">
        <f t="shared" si="19"/>
        <v/>
      </c>
      <c r="BE18" s="102" t="str">
        <f t="shared" si="14"/>
        <v/>
      </c>
      <c r="BF18" s="102" t="str">
        <f t="shared" si="15"/>
        <v/>
      </c>
      <c r="BG18" s="102" t="str">
        <f t="shared" si="16"/>
        <v/>
      </c>
      <c r="BH18" s="102" t="str">
        <f t="shared" si="20"/>
        <v/>
      </c>
      <c r="BI18" s="102" t="str">
        <f t="shared" si="17"/>
        <v/>
      </c>
    </row>
    <row r="19" spans="1:61" s="106" customFormat="1" ht="23.15" customHeight="1">
      <c r="A19" s="3">
        <v>13</v>
      </c>
      <c r="B19" s="15"/>
      <c r="C19" s="5"/>
      <c r="D19" s="6"/>
      <c r="E19" s="4"/>
      <c r="F19" s="7"/>
      <c r="G19" s="8"/>
      <c r="H19" s="9"/>
      <c r="I19" s="9"/>
      <c r="J19" s="9"/>
      <c r="K19" s="9"/>
      <c r="L19" s="9"/>
      <c r="M19" s="9"/>
      <c r="N19" s="9"/>
      <c r="O19" s="9"/>
      <c r="P19" s="9"/>
      <c r="Q19" s="10"/>
      <c r="R19" s="11"/>
      <c r="S19" s="11"/>
      <c r="T19" s="13"/>
      <c r="U19" s="12"/>
      <c r="V19" s="10"/>
      <c r="W19" s="13"/>
      <c r="X19" s="16"/>
      <c r="Y19" s="105" t="str">
        <f t="shared" si="18"/>
        <v/>
      </c>
      <c r="Z19" s="102">
        <f>IF(COUNTIF($E$7:E19,E19)=1,"",COUNTIF($E$7:E19,E19))</f>
        <v>0</v>
      </c>
      <c r="AA19" s="102" t="str">
        <f t="shared" si="0"/>
        <v/>
      </c>
      <c r="AC19" s="102" t="str">
        <f t="shared" si="21"/>
        <v/>
      </c>
      <c r="AD19" s="102" t="str">
        <f t="shared" si="21"/>
        <v/>
      </c>
      <c r="AE19" s="102" t="str">
        <f t="shared" si="21"/>
        <v/>
      </c>
      <c r="AF19" s="102" t="str">
        <f t="shared" si="21"/>
        <v/>
      </c>
      <c r="AG19" s="102" t="str">
        <f t="shared" si="21"/>
        <v/>
      </c>
      <c r="AH19" s="102" t="str">
        <f t="shared" si="21"/>
        <v/>
      </c>
      <c r="AI19" s="102" t="str">
        <f t="shared" si="21"/>
        <v/>
      </c>
      <c r="AJ19" s="102" t="str">
        <f t="shared" si="21"/>
        <v/>
      </c>
      <c r="AK19" s="102" t="str">
        <f t="shared" si="21"/>
        <v/>
      </c>
      <c r="AL19" s="102" t="str">
        <f t="shared" si="21"/>
        <v/>
      </c>
      <c r="AM19" s="102" t="str">
        <f t="shared" si="21"/>
        <v/>
      </c>
      <c r="AN19" s="102" t="str">
        <f t="shared" si="21"/>
        <v/>
      </c>
      <c r="AP19" s="102" t="str">
        <f t="shared" si="2"/>
        <v/>
      </c>
      <c r="AQ19" s="102" t="str">
        <f t="shared" si="3"/>
        <v/>
      </c>
      <c r="AR19" s="102" t="str">
        <f t="shared" si="4"/>
        <v/>
      </c>
      <c r="AS19" s="102" t="str">
        <f t="shared" si="5"/>
        <v/>
      </c>
      <c r="AT19" s="102" t="str">
        <f t="shared" si="6"/>
        <v/>
      </c>
      <c r="AU19" s="102" t="str">
        <f t="shared" si="7"/>
        <v/>
      </c>
      <c r="AV19" s="102" t="str">
        <f t="shared" si="8"/>
        <v/>
      </c>
      <c r="AW19" s="102" t="str">
        <f t="shared" si="9"/>
        <v/>
      </c>
      <c r="AX19" s="102" t="str">
        <f t="shared" si="10"/>
        <v/>
      </c>
      <c r="AY19" s="102" t="str">
        <f t="shared" si="11"/>
        <v/>
      </c>
      <c r="AZ19" s="102" t="str">
        <f t="shared" si="12"/>
        <v/>
      </c>
      <c r="BA19" s="102" t="str">
        <f t="shared" si="13"/>
        <v/>
      </c>
      <c r="BB19" s="106" t="str">
        <f t="shared" si="19"/>
        <v/>
      </c>
      <c r="BE19" s="102" t="str">
        <f t="shared" si="14"/>
        <v/>
      </c>
      <c r="BF19" s="102" t="str">
        <f t="shared" si="15"/>
        <v/>
      </c>
      <c r="BG19" s="102" t="str">
        <f t="shared" si="16"/>
        <v/>
      </c>
      <c r="BH19" s="102" t="str">
        <f t="shared" si="20"/>
        <v/>
      </c>
      <c r="BI19" s="102" t="str">
        <f t="shared" si="17"/>
        <v/>
      </c>
    </row>
    <row r="20" spans="1:61" s="106" customFormat="1" ht="23.15" customHeight="1">
      <c r="A20" s="3">
        <v>14</v>
      </c>
      <c r="B20" s="15"/>
      <c r="C20" s="5"/>
      <c r="D20" s="6"/>
      <c r="E20" s="4"/>
      <c r="F20" s="7"/>
      <c r="G20" s="8"/>
      <c r="H20" s="9"/>
      <c r="I20" s="9"/>
      <c r="J20" s="9"/>
      <c r="K20" s="9"/>
      <c r="L20" s="9"/>
      <c r="M20" s="9"/>
      <c r="N20" s="9"/>
      <c r="O20" s="9"/>
      <c r="P20" s="9"/>
      <c r="Q20" s="10"/>
      <c r="R20" s="11"/>
      <c r="S20" s="11"/>
      <c r="T20" s="13"/>
      <c r="U20" s="12"/>
      <c r="V20" s="10"/>
      <c r="W20" s="13"/>
      <c r="X20" s="16"/>
      <c r="Y20" s="105" t="str">
        <f t="shared" si="18"/>
        <v/>
      </c>
      <c r="Z20" s="102">
        <f>IF(COUNTIF($E$7:E20,E20)=1,"",COUNTIF($E$7:E20,E20))</f>
        <v>0</v>
      </c>
      <c r="AA20" s="102" t="str">
        <f t="shared" si="0"/>
        <v/>
      </c>
      <c r="AC20" s="102" t="str">
        <f t="shared" si="21"/>
        <v/>
      </c>
      <c r="AD20" s="102" t="str">
        <f t="shared" si="21"/>
        <v/>
      </c>
      <c r="AE20" s="102" t="str">
        <f t="shared" si="21"/>
        <v/>
      </c>
      <c r="AF20" s="102" t="str">
        <f t="shared" si="21"/>
        <v/>
      </c>
      <c r="AG20" s="102" t="str">
        <f t="shared" si="21"/>
        <v/>
      </c>
      <c r="AH20" s="102" t="str">
        <f t="shared" si="21"/>
        <v/>
      </c>
      <c r="AI20" s="102" t="str">
        <f t="shared" si="21"/>
        <v/>
      </c>
      <c r="AJ20" s="102" t="str">
        <f t="shared" si="21"/>
        <v/>
      </c>
      <c r="AK20" s="102" t="str">
        <f t="shared" si="21"/>
        <v/>
      </c>
      <c r="AL20" s="102" t="str">
        <f t="shared" si="21"/>
        <v/>
      </c>
      <c r="AM20" s="102" t="str">
        <f t="shared" si="21"/>
        <v/>
      </c>
      <c r="AN20" s="102" t="str">
        <f t="shared" si="21"/>
        <v/>
      </c>
      <c r="AP20" s="102" t="str">
        <f t="shared" si="2"/>
        <v/>
      </c>
      <c r="AQ20" s="102" t="str">
        <f t="shared" si="3"/>
        <v/>
      </c>
      <c r="AR20" s="102" t="str">
        <f t="shared" si="4"/>
        <v/>
      </c>
      <c r="AS20" s="102" t="str">
        <f t="shared" si="5"/>
        <v/>
      </c>
      <c r="AT20" s="102" t="str">
        <f t="shared" si="6"/>
        <v/>
      </c>
      <c r="AU20" s="102" t="str">
        <f t="shared" si="7"/>
        <v/>
      </c>
      <c r="AV20" s="102" t="str">
        <f t="shared" si="8"/>
        <v/>
      </c>
      <c r="AW20" s="102" t="str">
        <f t="shared" si="9"/>
        <v/>
      </c>
      <c r="AX20" s="102" t="str">
        <f t="shared" si="10"/>
        <v/>
      </c>
      <c r="AY20" s="102" t="str">
        <f t="shared" si="11"/>
        <v/>
      </c>
      <c r="AZ20" s="102" t="str">
        <f t="shared" si="12"/>
        <v/>
      </c>
      <c r="BA20" s="102" t="str">
        <f t="shared" si="13"/>
        <v/>
      </c>
      <c r="BB20" s="106" t="str">
        <f t="shared" si="19"/>
        <v/>
      </c>
      <c r="BE20" s="102" t="str">
        <f t="shared" si="14"/>
        <v/>
      </c>
      <c r="BF20" s="102" t="str">
        <f t="shared" si="15"/>
        <v/>
      </c>
      <c r="BG20" s="102" t="str">
        <f t="shared" si="16"/>
        <v/>
      </c>
      <c r="BH20" s="102" t="str">
        <f t="shared" si="20"/>
        <v/>
      </c>
      <c r="BI20" s="102" t="str">
        <f t="shared" si="17"/>
        <v/>
      </c>
    </row>
    <row r="21" spans="1:61" s="106" customFormat="1" ht="23.15" customHeight="1">
      <c r="A21" s="3">
        <v>15</v>
      </c>
      <c r="B21" s="15"/>
      <c r="C21" s="5"/>
      <c r="D21" s="6"/>
      <c r="E21" s="4"/>
      <c r="F21" s="7"/>
      <c r="G21" s="8"/>
      <c r="H21" s="9"/>
      <c r="I21" s="9"/>
      <c r="J21" s="9"/>
      <c r="K21" s="9"/>
      <c r="L21" s="9"/>
      <c r="M21" s="9"/>
      <c r="N21" s="9"/>
      <c r="O21" s="9"/>
      <c r="P21" s="9"/>
      <c r="Q21" s="10"/>
      <c r="R21" s="11"/>
      <c r="S21" s="11"/>
      <c r="T21" s="13"/>
      <c r="U21" s="12"/>
      <c r="V21" s="10"/>
      <c r="W21" s="13"/>
      <c r="X21" s="16"/>
      <c r="Y21" s="105" t="str">
        <f t="shared" si="18"/>
        <v/>
      </c>
      <c r="Z21" s="102">
        <f>IF(COUNTIF($E$7:E21,E21)=1,"",COUNTIF($E$7:E21,E21))</f>
        <v>0</v>
      </c>
      <c r="AA21" s="102" t="str">
        <f t="shared" si="0"/>
        <v/>
      </c>
      <c r="AC21" s="102" t="str">
        <f t="shared" si="21"/>
        <v/>
      </c>
      <c r="AD21" s="102" t="str">
        <f t="shared" si="21"/>
        <v/>
      </c>
      <c r="AE21" s="102" t="str">
        <f t="shared" si="21"/>
        <v/>
      </c>
      <c r="AF21" s="102" t="str">
        <f t="shared" si="21"/>
        <v/>
      </c>
      <c r="AG21" s="102" t="str">
        <f t="shared" si="21"/>
        <v/>
      </c>
      <c r="AH21" s="102" t="str">
        <f t="shared" si="21"/>
        <v/>
      </c>
      <c r="AI21" s="102" t="str">
        <f t="shared" si="21"/>
        <v/>
      </c>
      <c r="AJ21" s="102" t="str">
        <f t="shared" si="21"/>
        <v/>
      </c>
      <c r="AK21" s="102" t="str">
        <f t="shared" si="21"/>
        <v/>
      </c>
      <c r="AL21" s="102" t="str">
        <f t="shared" si="21"/>
        <v/>
      </c>
      <c r="AM21" s="102" t="str">
        <f t="shared" si="21"/>
        <v/>
      </c>
      <c r="AN21" s="102" t="str">
        <f t="shared" si="21"/>
        <v/>
      </c>
      <c r="AP21" s="102" t="str">
        <f t="shared" si="2"/>
        <v/>
      </c>
      <c r="AQ21" s="102" t="str">
        <f t="shared" si="3"/>
        <v/>
      </c>
      <c r="AR21" s="102" t="str">
        <f t="shared" si="4"/>
        <v/>
      </c>
      <c r="AS21" s="102" t="str">
        <f t="shared" si="5"/>
        <v/>
      </c>
      <c r="AT21" s="102" t="str">
        <f t="shared" si="6"/>
        <v/>
      </c>
      <c r="AU21" s="102" t="str">
        <f t="shared" si="7"/>
        <v/>
      </c>
      <c r="AV21" s="102" t="str">
        <f t="shared" si="8"/>
        <v/>
      </c>
      <c r="AW21" s="102" t="str">
        <f t="shared" si="9"/>
        <v/>
      </c>
      <c r="AX21" s="102" t="str">
        <f t="shared" si="10"/>
        <v/>
      </c>
      <c r="AY21" s="102" t="str">
        <f t="shared" si="11"/>
        <v/>
      </c>
      <c r="AZ21" s="102" t="str">
        <f t="shared" si="12"/>
        <v/>
      </c>
      <c r="BA21" s="102" t="str">
        <f t="shared" si="13"/>
        <v/>
      </c>
      <c r="BB21" s="106" t="str">
        <f t="shared" si="19"/>
        <v/>
      </c>
      <c r="BE21" s="102" t="str">
        <f t="shared" si="14"/>
        <v/>
      </c>
      <c r="BF21" s="102" t="str">
        <f t="shared" si="15"/>
        <v/>
      </c>
      <c r="BG21" s="102" t="str">
        <f t="shared" si="16"/>
        <v/>
      </c>
      <c r="BH21" s="102" t="str">
        <f t="shared" si="20"/>
        <v/>
      </c>
      <c r="BI21" s="102" t="str">
        <f t="shared" si="17"/>
        <v/>
      </c>
    </row>
    <row r="22" spans="1:61" s="106" customFormat="1" ht="23.15" customHeight="1">
      <c r="A22" s="3">
        <v>16</v>
      </c>
      <c r="B22" s="15"/>
      <c r="C22" s="5"/>
      <c r="D22" s="6"/>
      <c r="E22" s="4"/>
      <c r="F22" s="7"/>
      <c r="G22" s="8"/>
      <c r="H22" s="9"/>
      <c r="I22" s="9"/>
      <c r="J22" s="9"/>
      <c r="K22" s="9"/>
      <c r="L22" s="9"/>
      <c r="M22" s="9"/>
      <c r="N22" s="9"/>
      <c r="O22" s="9"/>
      <c r="P22" s="9"/>
      <c r="Q22" s="10"/>
      <c r="R22" s="11"/>
      <c r="S22" s="11"/>
      <c r="T22" s="13"/>
      <c r="U22" s="12"/>
      <c r="V22" s="10"/>
      <c r="W22" s="13"/>
      <c r="X22" s="14"/>
      <c r="Y22" s="105" t="str">
        <f t="shared" si="18"/>
        <v/>
      </c>
      <c r="Z22" s="102">
        <f>IF(COUNTIF($E$7:E22,E22)=1,"",COUNTIF($E$7:E22,E22))</f>
        <v>0</v>
      </c>
      <c r="AA22" s="102" t="str">
        <f t="shared" si="0"/>
        <v/>
      </c>
      <c r="AC22" s="102" t="str">
        <f t="shared" si="21"/>
        <v/>
      </c>
      <c r="AD22" s="102" t="str">
        <f t="shared" si="21"/>
        <v/>
      </c>
      <c r="AE22" s="102" t="str">
        <f t="shared" si="21"/>
        <v/>
      </c>
      <c r="AF22" s="102" t="str">
        <f t="shared" si="21"/>
        <v/>
      </c>
      <c r="AG22" s="102" t="str">
        <f t="shared" si="21"/>
        <v/>
      </c>
      <c r="AH22" s="102" t="str">
        <f t="shared" si="21"/>
        <v/>
      </c>
      <c r="AI22" s="102" t="str">
        <f t="shared" si="21"/>
        <v/>
      </c>
      <c r="AJ22" s="102" t="str">
        <f t="shared" si="21"/>
        <v/>
      </c>
      <c r="AK22" s="102" t="str">
        <f t="shared" si="21"/>
        <v/>
      </c>
      <c r="AL22" s="102" t="str">
        <f t="shared" si="21"/>
        <v/>
      </c>
      <c r="AM22" s="102" t="str">
        <f t="shared" si="21"/>
        <v/>
      </c>
      <c r="AN22" s="102" t="str">
        <f t="shared" si="21"/>
        <v/>
      </c>
      <c r="AP22" s="102" t="str">
        <f t="shared" si="2"/>
        <v/>
      </c>
      <c r="AQ22" s="102" t="str">
        <f t="shared" si="3"/>
        <v/>
      </c>
      <c r="AR22" s="102" t="str">
        <f t="shared" si="4"/>
        <v/>
      </c>
      <c r="AS22" s="102" t="str">
        <f t="shared" si="5"/>
        <v/>
      </c>
      <c r="AT22" s="102" t="str">
        <f t="shared" si="6"/>
        <v/>
      </c>
      <c r="AU22" s="102" t="str">
        <f t="shared" si="7"/>
        <v/>
      </c>
      <c r="AV22" s="102" t="str">
        <f t="shared" si="8"/>
        <v/>
      </c>
      <c r="AW22" s="102" t="str">
        <f t="shared" si="9"/>
        <v/>
      </c>
      <c r="AX22" s="102" t="str">
        <f t="shared" si="10"/>
        <v/>
      </c>
      <c r="AY22" s="102" t="str">
        <f t="shared" si="11"/>
        <v/>
      </c>
      <c r="AZ22" s="102" t="str">
        <f t="shared" si="12"/>
        <v/>
      </c>
      <c r="BA22" s="102" t="str">
        <f t="shared" si="13"/>
        <v/>
      </c>
      <c r="BB22" s="106" t="str">
        <f t="shared" si="19"/>
        <v/>
      </c>
      <c r="BE22" s="102" t="str">
        <f t="shared" si="14"/>
        <v/>
      </c>
      <c r="BF22" s="102" t="str">
        <f t="shared" si="15"/>
        <v/>
      </c>
      <c r="BG22" s="102" t="str">
        <f t="shared" si="16"/>
        <v/>
      </c>
      <c r="BH22" s="102" t="str">
        <f t="shared" si="20"/>
        <v/>
      </c>
      <c r="BI22" s="102" t="str">
        <f t="shared" si="17"/>
        <v/>
      </c>
    </row>
    <row r="23" spans="1:61" s="106" customFormat="1" ht="23.15" customHeight="1">
      <c r="A23" s="3">
        <v>17</v>
      </c>
      <c r="B23" s="15"/>
      <c r="C23" s="5"/>
      <c r="D23" s="6"/>
      <c r="E23" s="4"/>
      <c r="F23" s="7"/>
      <c r="G23" s="8"/>
      <c r="H23" s="9"/>
      <c r="I23" s="9"/>
      <c r="J23" s="9"/>
      <c r="K23" s="9"/>
      <c r="L23" s="9"/>
      <c r="M23" s="9"/>
      <c r="N23" s="9"/>
      <c r="O23" s="9"/>
      <c r="P23" s="9"/>
      <c r="Q23" s="10"/>
      <c r="R23" s="11"/>
      <c r="S23" s="11"/>
      <c r="T23" s="13"/>
      <c r="U23" s="12"/>
      <c r="V23" s="10"/>
      <c r="W23" s="13"/>
      <c r="X23" s="14"/>
      <c r="Y23" s="105" t="str">
        <f t="shared" si="18"/>
        <v/>
      </c>
      <c r="Z23" s="102">
        <f>IF(COUNTIF($E$7:E23,E23)=1,"",COUNTIF($E$7:E23,E23))</f>
        <v>0</v>
      </c>
      <c r="AA23" s="102" t="str">
        <f t="shared" si="0"/>
        <v/>
      </c>
      <c r="AC23" s="102" t="str">
        <f t="shared" si="21"/>
        <v/>
      </c>
      <c r="AD23" s="102" t="str">
        <f t="shared" si="21"/>
        <v/>
      </c>
      <c r="AE23" s="102" t="str">
        <f t="shared" si="21"/>
        <v/>
      </c>
      <c r="AF23" s="102" t="str">
        <f t="shared" si="21"/>
        <v/>
      </c>
      <c r="AG23" s="102" t="str">
        <f t="shared" si="21"/>
        <v/>
      </c>
      <c r="AH23" s="102" t="str">
        <f t="shared" si="21"/>
        <v/>
      </c>
      <c r="AI23" s="102" t="str">
        <f t="shared" si="21"/>
        <v/>
      </c>
      <c r="AJ23" s="102" t="str">
        <f t="shared" si="21"/>
        <v/>
      </c>
      <c r="AK23" s="102" t="str">
        <f t="shared" si="21"/>
        <v/>
      </c>
      <c r="AL23" s="102" t="str">
        <f t="shared" si="21"/>
        <v/>
      </c>
      <c r="AM23" s="102" t="str">
        <f t="shared" si="21"/>
        <v/>
      </c>
      <c r="AN23" s="102" t="str">
        <f t="shared" si="21"/>
        <v/>
      </c>
      <c r="AP23" s="102" t="str">
        <f t="shared" si="2"/>
        <v/>
      </c>
      <c r="AQ23" s="102" t="str">
        <f t="shared" si="3"/>
        <v/>
      </c>
      <c r="AR23" s="102" t="str">
        <f t="shared" si="4"/>
        <v/>
      </c>
      <c r="AS23" s="102" t="str">
        <f t="shared" si="5"/>
        <v/>
      </c>
      <c r="AT23" s="102" t="str">
        <f t="shared" si="6"/>
        <v/>
      </c>
      <c r="AU23" s="102" t="str">
        <f t="shared" si="7"/>
        <v/>
      </c>
      <c r="AV23" s="102" t="str">
        <f t="shared" si="8"/>
        <v/>
      </c>
      <c r="AW23" s="102" t="str">
        <f t="shared" si="9"/>
        <v/>
      </c>
      <c r="AX23" s="102" t="str">
        <f t="shared" si="10"/>
        <v/>
      </c>
      <c r="AY23" s="102" t="str">
        <f t="shared" si="11"/>
        <v/>
      </c>
      <c r="AZ23" s="102" t="str">
        <f t="shared" si="12"/>
        <v/>
      </c>
      <c r="BA23" s="102" t="str">
        <f t="shared" si="13"/>
        <v/>
      </c>
      <c r="BB23" s="106" t="str">
        <f t="shared" si="19"/>
        <v/>
      </c>
      <c r="BE23" s="102" t="str">
        <f t="shared" si="14"/>
        <v/>
      </c>
      <c r="BF23" s="102" t="str">
        <f t="shared" si="15"/>
        <v/>
      </c>
      <c r="BG23" s="102" t="str">
        <f t="shared" si="16"/>
        <v/>
      </c>
      <c r="BH23" s="102" t="str">
        <f t="shared" si="20"/>
        <v/>
      </c>
      <c r="BI23" s="102" t="str">
        <f t="shared" si="17"/>
        <v/>
      </c>
    </row>
    <row r="24" spans="1:61" s="106" customFormat="1" ht="23.15" customHeight="1">
      <c r="A24" s="3">
        <v>18</v>
      </c>
      <c r="B24" s="15"/>
      <c r="C24" s="5"/>
      <c r="D24" s="6"/>
      <c r="E24" s="4"/>
      <c r="F24" s="7"/>
      <c r="G24" s="8"/>
      <c r="H24" s="9"/>
      <c r="I24" s="9"/>
      <c r="J24" s="9"/>
      <c r="K24" s="9"/>
      <c r="L24" s="9"/>
      <c r="M24" s="9"/>
      <c r="N24" s="9"/>
      <c r="O24" s="9"/>
      <c r="P24" s="9"/>
      <c r="Q24" s="10"/>
      <c r="R24" s="11"/>
      <c r="S24" s="11"/>
      <c r="T24" s="13"/>
      <c r="U24" s="12"/>
      <c r="V24" s="10"/>
      <c r="W24" s="13"/>
      <c r="X24" s="14"/>
      <c r="Y24" s="105" t="str">
        <f t="shared" si="18"/>
        <v/>
      </c>
      <c r="Z24" s="102">
        <f>IF(COUNTIF($E$7:E24,E24)=1,"",COUNTIF($E$7:E24,E24))</f>
        <v>0</v>
      </c>
      <c r="AA24" s="102" t="str">
        <f t="shared" si="0"/>
        <v/>
      </c>
      <c r="AC24" s="102" t="str">
        <f t="shared" si="21"/>
        <v/>
      </c>
      <c r="AD24" s="102" t="str">
        <f t="shared" si="21"/>
        <v/>
      </c>
      <c r="AE24" s="102" t="str">
        <f t="shared" si="21"/>
        <v/>
      </c>
      <c r="AF24" s="102" t="str">
        <f t="shared" si="21"/>
        <v/>
      </c>
      <c r="AG24" s="102" t="str">
        <f t="shared" si="21"/>
        <v/>
      </c>
      <c r="AH24" s="102" t="str">
        <f t="shared" si="21"/>
        <v/>
      </c>
      <c r="AI24" s="102" t="str">
        <f t="shared" si="21"/>
        <v/>
      </c>
      <c r="AJ24" s="102" t="str">
        <f t="shared" si="21"/>
        <v/>
      </c>
      <c r="AK24" s="102" t="str">
        <f t="shared" si="21"/>
        <v/>
      </c>
      <c r="AL24" s="102" t="str">
        <f t="shared" si="21"/>
        <v/>
      </c>
      <c r="AM24" s="102" t="str">
        <f t="shared" si="21"/>
        <v/>
      </c>
      <c r="AN24" s="102" t="str">
        <f t="shared" si="21"/>
        <v/>
      </c>
      <c r="AP24" s="102" t="str">
        <f t="shared" si="2"/>
        <v/>
      </c>
      <c r="AQ24" s="102" t="str">
        <f t="shared" si="3"/>
        <v/>
      </c>
      <c r="AR24" s="102" t="str">
        <f t="shared" si="4"/>
        <v/>
      </c>
      <c r="AS24" s="102" t="str">
        <f t="shared" si="5"/>
        <v/>
      </c>
      <c r="AT24" s="102" t="str">
        <f t="shared" si="6"/>
        <v/>
      </c>
      <c r="AU24" s="102" t="str">
        <f t="shared" si="7"/>
        <v/>
      </c>
      <c r="AV24" s="102" t="str">
        <f t="shared" si="8"/>
        <v/>
      </c>
      <c r="AW24" s="102" t="str">
        <f t="shared" si="9"/>
        <v/>
      </c>
      <c r="AX24" s="102" t="str">
        <f t="shared" si="10"/>
        <v/>
      </c>
      <c r="AY24" s="102" t="str">
        <f t="shared" si="11"/>
        <v/>
      </c>
      <c r="AZ24" s="102" t="str">
        <f t="shared" si="12"/>
        <v/>
      </c>
      <c r="BA24" s="102" t="str">
        <f t="shared" si="13"/>
        <v/>
      </c>
      <c r="BB24" s="106" t="str">
        <f t="shared" si="19"/>
        <v/>
      </c>
      <c r="BE24" s="102" t="str">
        <f t="shared" si="14"/>
        <v/>
      </c>
      <c r="BF24" s="102" t="str">
        <f t="shared" si="15"/>
        <v/>
      </c>
      <c r="BG24" s="102" t="str">
        <f t="shared" si="16"/>
        <v/>
      </c>
      <c r="BH24" s="102" t="str">
        <f t="shared" si="20"/>
        <v/>
      </c>
      <c r="BI24" s="102" t="str">
        <f t="shared" si="17"/>
        <v/>
      </c>
    </row>
    <row r="25" spans="1:61" s="106" customFormat="1" ht="23.15" customHeight="1">
      <c r="A25" s="3">
        <v>19</v>
      </c>
      <c r="B25" s="15"/>
      <c r="C25" s="5"/>
      <c r="D25" s="6"/>
      <c r="E25" s="4"/>
      <c r="F25" s="7"/>
      <c r="G25" s="8"/>
      <c r="H25" s="9"/>
      <c r="I25" s="9"/>
      <c r="J25" s="9"/>
      <c r="K25" s="9"/>
      <c r="L25" s="9"/>
      <c r="M25" s="9"/>
      <c r="N25" s="9"/>
      <c r="O25" s="9"/>
      <c r="P25" s="9"/>
      <c r="Q25" s="10"/>
      <c r="R25" s="11"/>
      <c r="S25" s="11"/>
      <c r="T25" s="13"/>
      <c r="U25" s="12"/>
      <c r="V25" s="10"/>
      <c r="W25" s="13"/>
      <c r="X25" s="14"/>
      <c r="Y25" s="105" t="str">
        <f t="shared" si="18"/>
        <v/>
      </c>
      <c r="Z25" s="102">
        <f>IF(COUNTIF($E$7:E25,E25)=1,"",COUNTIF($E$7:E25,E25))</f>
        <v>0</v>
      </c>
      <c r="AA25" s="102" t="str">
        <f t="shared" si="0"/>
        <v/>
      </c>
      <c r="AC25" s="102" t="str">
        <f t="shared" si="21"/>
        <v/>
      </c>
      <c r="AD25" s="102" t="str">
        <f t="shared" si="21"/>
        <v/>
      </c>
      <c r="AE25" s="102" t="str">
        <f t="shared" si="21"/>
        <v/>
      </c>
      <c r="AF25" s="102" t="str">
        <f t="shared" si="21"/>
        <v/>
      </c>
      <c r="AG25" s="102" t="str">
        <f t="shared" si="21"/>
        <v/>
      </c>
      <c r="AH25" s="102" t="str">
        <f t="shared" si="21"/>
        <v/>
      </c>
      <c r="AI25" s="102" t="str">
        <f t="shared" si="21"/>
        <v/>
      </c>
      <c r="AJ25" s="102" t="str">
        <f t="shared" si="21"/>
        <v/>
      </c>
      <c r="AK25" s="102" t="str">
        <f t="shared" si="21"/>
        <v/>
      </c>
      <c r="AL25" s="102" t="str">
        <f t="shared" si="21"/>
        <v/>
      </c>
      <c r="AM25" s="102" t="str">
        <f t="shared" si="21"/>
        <v/>
      </c>
      <c r="AN25" s="102" t="str">
        <f t="shared" si="21"/>
        <v/>
      </c>
      <c r="AP25" s="102" t="str">
        <f t="shared" si="2"/>
        <v/>
      </c>
      <c r="AQ25" s="102" t="str">
        <f t="shared" si="3"/>
        <v/>
      </c>
      <c r="AR25" s="102" t="str">
        <f t="shared" si="4"/>
        <v/>
      </c>
      <c r="AS25" s="102" t="str">
        <f t="shared" si="5"/>
        <v/>
      </c>
      <c r="AT25" s="102" t="str">
        <f t="shared" si="6"/>
        <v/>
      </c>
      <c r="AU25" s="102" t="str">
        <f t="shared" si="7"/>
        <v/>
      </c>
      <c r="AV25" s="102" t="str">
        <f t="shared" si="8"/>
        <v/>
      </c>
      <c r="AW25" s="102" t="str">
        <f t="shared" si="9"/>
        <v/>
      </c>
      <c r="AX25" s="102" t="str">
        <f t="shared" si="10"/>
        <v/>
      </c>
      <c r="AY25" s="102" t="str">
        <f t="shared" si="11"/>
        <v/>
      </c>
      <c r="AZ25" s="102" t="str">
        <f t="shared" si="12"/>
        <v/>
      </c>
      <c r="BA25" s="102" t="str">
        <f t="shared" si="13"/>
        <v/>
      </c>
      <c r="BB25" s="106" t="str">
        <f t="shared" si="19"/>
        <v/>
      </c>
      <c r="BE25" s="102" t="str">
        <f t="shared" si="14"/>
        <v/>
      </c>
      <c r="BF25" s="102" t="str">
        <f t="shared" si="15"/>
        <v/>
      </c>
      <c r="BG25" s="102" t="str">
        <f t="shared" si="16"/>
        <v/>
      </c>
      <c r="BH25" s="102" t="str">
        <f t="shared" si="20"/>
        <v/>
      </c>
      <c r="BI25" s="102" t="str">
        <f t="shared" si="17"/>
        <v/>
      </c>
    </row>
    <row r="26" spans="1:61" s="106" customFormat="1" ht="23.15" customHeight="1">
      <c r="A26" s="3">
        <v>20</v>
      </c>
      <c r="B26" s="15"/>
      <c r="C26" s="5"/>
      <c r="D26" s="6"/>
      <c r="E26" s="4"/>
      <c r="F26" s="7"/>
      <c r="G26" s="8"/>
      <c r="H26" s="9"/>
      <c r="I26" s="9"/>
      <c r="J26" s="9"/>
      <c r="K26" s="9"/>
      <c r="L26" s="9"/>
      <c r="M26" s="9"/>
      <c r="N26" s="9"/>
      <c r="O26" s="9"/>
      <c r="P26" s="9"/>
      <c r="Q26" s="17"/>
      <c r="R26" s="11"/>
      <c r="S26" s="12"/>
      <c r="T26" s="13"/>
      <c r="U26" s="18"/>
      <c r="V26" s="10"/>
      <c r="W26" s="13"/>
      <c r="X26" s="14"/>
      <c r="Y26" s="105" t="str">
        <f t="shared" si="18"/>
        <v/>
      </c>
      <c r="Z26" s="102">
        <f>IF(COUNTIF($E$7:E26,E26)=1,"",COUNTIF($E$7:E26,E26))</f>
        <v>0</v>
      </c>
      <c r="AA26" s="102" t="str">
        <f t="shared" si="0"/>
        <v/>
      </c>
      <c r="AC26" s="102" t="str">
        <f t="shared" si="21"/>
        <v/>
      </c>
      <c r="AD26" s="102" t="str">
        <f t="shared" si="21"/>
        <v/>
      </c>
      <c r="AE26" s="102" t="str">
        <f t="shared" si="21"/>
        <v/>
      </c>
      <c r="AF26" s="102" t="str">
        <f t="shared" si="21"/>
        <v/>
      </c>
      <c r="AG26" s="102" t="str">
        <f t="shared" si="21"/>
        <v/>
      </c>
      <c r="AH26" s="102" t="str">
        <f t="shared" si="21"/>
        <v/>
      </c>
      <c r="AI26" s="102" t="str">
        <f t="shared" si="21"/>
        <v/>
      </c>
      <c r="AJ26" s="102" t="str">
        <f t="shared" si="21"/>
        <v/>
      </c>
      <c r="AK26" s="102" t="str">
        <f t="shared" si="21"/>
        <v/>
      </c>
      <c r="AL26" s="102" t="str">
        <f t="shared" si="21"/>
        <v/>
      </c>
      <c r="AM26" s="102" t="str">
        <f t="shared" si="21"/>
        <v/>
      </c>
      <c r="AN26" s="102" t="str">
        <f t="shared" si="21"/>
        <v/>
      </c>
      <c r="AP26" s="102" t="str">
        <f t="shared" si="2"/>
        <v/>
      </c>
      <c r="AQ26" s="102" t="str">
        <f t="shared" si="3"/>
        <v/>
      </c>
      <c r="AR26" s="102" t="str">
        <f t="shared" si="4"/>
        <v/>
      </c>
      <c r="AS26" s="102" t="str">
        <f t="shared" si="5"/>
        <v/>
      </c>
      <c r="AT26" s="102" t="str">
        <f t="shared" si="6"/>
        <v/>
      </c>
      <c r="AU26" s="102" t="str">
        <f t="shared" si="7"/>
        <v/>
      </c>
      <c r="AV26" s="102" t="str">
        <f t="shared" si="8"/>
        <v/>
      </c>
      <c r="AW26" s="102" t="str">
        <f t="shared" si="9"/>
        <v/>
      </c>
      <c r="AX26" s="102" t="str">
        <f t="shared" si="10"/>
        <v/>
      </c>
      <c r="AY26" s="102" t="str">
        <f t="shared" si="11"/>
        <v/>
      </c>
      <c r="AZ26" s="102" t="str">
        <f t="shared" si="12"/>
        <v/>
      </c>
      <c r="BA26" s="102" t="str">
        <f t="shared" si="13"/>
        <v/>
      </c>
      <c r="BB26" s="106" t="str">
        <f t="shared" si="19"/>
        <v/>
      </c>
      <c r="BE26" s="102" t="str">
        <f t="shared" si="14"/>
        <v/>
      </c>
      <c r="BF26" s="102" t="str">
        <f t="shared" si="15"/>
        <v/>
      </c>
      <c r="BG26" s="102" t="str">
        <f t="shared" si="16"/>
        <v/>
      </c>
      <c r="BH26" s="102" t="str">
        <f t="shared" si="20"/>
        <v/>
      </c>
      <c r="BI26" s="102" t="str">
        <f t="shared" si="17"/>
        <v/>
      </c>
    </row>
    <row r="27" spans="1:61" s="106" customFormat="1" ht="23.15" customHeight="1">
      <c r="A27" s="3">
        <v>21</v>
      </c>
      <c r="B27" s="15"/>
      <c r="C27" s="5"/>
      <c r="D27" s="6"/>
      <c r="E27" s="4"/>
      <c r="F27" s="7"/>
      <c r="G27" s="8"/>
      <c r="H27" s="9"/>
      <c r="I27" s="9"/>
      <c r="J27" s="9"/>
      <c r="K27" s="9"/>
      <c r="L27" s="9"/>
      <c r="M27" s="9"/>
      <c r="N27" s="9"/>
      <c r="O27" s="9"/>
      <c r="P27" s="9"/>
      <c r="Q27" s="10"/>
      <c r="R27" s="11"/>
      <c r="S27" s="12"/>
      <c r="T27" s="13"/>
      <c r="U27" s="18"/>
      <c r="V27" s="10"/>
      <c r="W27" s="13"/>
      <c r="X27" s="14"/>
      <c r="Y27" s="105" t="str">
        <f t="shared" si="18"/>
        <v/>
      </c>
      <c r="Z27" s="102">
        <f>IF(COUNTIF($E$7:E27,E27)=1,"",COUNTIF($E$7:E27,E27))</f>
        <v>0</v>
      </c>
      <c r="AA27" s="102" t="str">
        <f t="shared" si="0"/>
        <v/>
      </c>
      <c r="AC27" s="102" t="str">
        <f t="shared" si="21"/>
        <v/>
      </c>
      <c r="AD27" s="102" t="str">
        <f t="shared" si="21"/>
        <v/>
      </c>
      <c r="AE27" s="102" t="str">
        <f t="shared" si="21"/>
        <v/>
      </c>
      <c r="AF27" s="102" t="str">
        <f t="shared" si="21"/>
        <v/>
      </c>
      <c r="AG27" s="102" t="str">
        <f t="shared" si="21"/>
        <v/>
      </c>
      <c r="AH27" s="102" t="str">
        <f t="shared" si="21"/>
        <v/>
      </c>
      <c r="AI27" s="102" t="str">
        <f t="shared" si="21"/>
        <v/>
      </c>
      <c r="AJ27" s="102" t="str">
        <f t="shared" si="21"/>
        <v/>
      </c>
      <c r="AK27" s="102" t="str">
        <f t="shared" si="21"/>
        <v/>
      </c>
      <c r="AL27" s="102" t="str">
        <f t="shared" si="21"/>
        <v/>
      </c>
      <c r="AM27" s="102" t="str">
        <f t="shared" si="21"/>
        <v/>
      </c>
      <c r="AN27" s="102" t="str">
        <f t="shared" si="21"/>
        <v/>
      </c>
      <c r="AP27" s="102" t="str">
        <f t="shared" si="2"/>
        <v/>
      </c>
      <c r="AQ27" s="102" t="str">
        <f t="shared" si="3"/>
        <v/>
      </c>
      <c r="AR27" s="102" t="str">
        <f t="shared" si="4"/>
        <v/>
      </c>
      <c r="AS27" s="102" t="str">
        <f t="shared" si="5"/>
        <v/>
      </c>
      <c r="AT27" s="102" t="str">
        <f t="shared" si="6"/>
        <v/>
      </c>
      <c r="AU27" s="102" t="str">
        <f t="shared" si="7"/>
        <v/>
      </c>
      <c r="AV27" s="102" t="str">
        <f t="shared" si="8"/>
        <v/>
      </c>
      <c r="AW27" s="102" t="str">
        <f t="shared" si="9"/>
        <v/>
      </c>
      <c r="AX27" s="102" t="str">
        <f t="shared" si="10"/>
        <v/>
      </c>
      <c r="AY27" s="102" t="str">
        <f t="shared" si="11"/>
        <v/>
      </c>
      <c r="AZ27" s="102" t="str">
        <f t="shared" si="12"/>
        <v/>
      </c>
      <c r="BA27" s="102" t="str">
        <f t="shared" si="13"/>
        <v/>
      </c>
      <c r="BB27" s="106" t="str">
        <f t="shared" si="19"/>
        <v/>
      </c>
      <c r="BE27" s="102" t="str">
        <f t="shared" si="14"/>
        <v/>
      </c>
      <c r="BF27" s="102" t="str">
        <f t="shared" si="15"/>
        <v/>
      </c>
      <c r="BG27" s="102" t="str">
        <f t="shared" si="16"/>
        <v/>
      </c>
      <c r="BH27" s="102" t="str">
        <f t="shared" si="20"/>
        <v/>
      </c>
      <c r="BI27" s="102" t="str">
        <f t="shared" si="17"/>
        <v/>
      </c>
    </row>
    <row r="28" spans="1:61" s="106" customFormat="1" ht="23.15" customHeight="1">
      <c r="A28" s="3">
        <v>22</v>
      </c>
      <c r="B28" s="15"/>
      <c r="C28" s="5"/>
      <c r="D28" s="6"/>
      <c r="E28" s="4"/>
      <c r="F28" s="7"/>
      <c r="G28" s="8"/>
      <c r="H28" s="9"/>
      <c r="I28" s="9"/>
      <c r="J28" s="9"/>
      <c r="K28" s="9"/>
      <c r="L28" s="9"/>
      <c r="M28" s="9"/>
      <c r="N28" s="9"/>
      <c r="O28" s="9"/>
      <c r="P28" s="9"/>
      <c r="Q28" s="10"/>
      <c r="R28" s="11"/>
      <c r="S28" s="12"/>
      <c r="T28" s="13"/>
      <c r="U28" s="18"/>
      <c r="V28" s="10"/>
      <c r="W28" s="13"/>
      <c r="X28" s="14"/>
      <c r="Y28" s="105" t="str">
        <f t="shared" si="18"/>
        <v/>
      </c>
      <c r="Z28" s="102">
        <f>IF(COUNTIF($E$7:E28,E28)=1,"",COUNTIF($E$7:E28,E28))</f>
        <v>0</v>
      </c>
      <c r="AA28" s="102" t="str">
        <f t="shared" si="0"/>
        <v/>
      </c>
      <c r="AC28" s="102" t="str">
        <f t="shared" si="21"/>
        <v/>
      </c>
      <c r="AD28" s="102" t="str">
        <f t="shared" si="21"/>
        <v/>
      </c>
      <c r="AE28" s="102" t="str">
        <f t="shared" si="21"/>
        <v/>
      </c>
      <c r="AF28" s="102" t="str">
        <f t="shared" si="21"/>
        <v/>
      </c>
      <c r="AG28" s="102" t="str">
        <f t="shared" si="21"/>
        <v/>
      </c>
      <c r="AH28" s="102" t="str">
        <f t="shared" si="21"/>
        <v/>
      </c>
      <c r="AI28" s="102" t="str">
        <f t="shared" si="21"/>
        <v/>
      </c>
      <c r="AJ28" s="102" t="str">
        <f t="shared" si="21"/>
        <v/>
      </c>
      <c r="AK28" s="102" t="str">
        <f t="shared" si="21"/>
        <v/>
      </c>
      <c r="AL28" s="102" t="str">
        <f t="shared" si="21"/>
        <v/>
      </c>
      <c r="AM28" s="102" t="str">
        <f t="shared" si="21"/>
        <v/>
      </c>
      <c r="AN28" s="102" t="str">
        <f t="shared" si="21"/>
        <v/>
      </c>
      <c r="AP28" s="102" t="str">
        <f t="shared" si="2"/>
        <v/>
      </c>
      <c r="AQ28" s="102" t="str">
        <f t="shared" si="3"/>
        <v/>
      </c>
      <c r="AR28" s="102" t="str">
        <f t="shared" si="4"/>
        <v/>
      </c>
      <c r="AS28" s="102" t="str">
        <f t="shared" si="5"/>
        <v/>
      </c>
      <c r="AT28" s="102" t="str">
        <f t="shared" si="6"/>
        <v/>
      </c>
      <c r="AU28" s="102" t="str">
        <f t="shared" si="7"/>
        <v/>
      </c>
      <c r="AV28" s="102" t="str">
        <f t="shared" si="8"/>
        <v/>
      </c>
      <c r="AW28" s="102" t="str">
        <f t="shared" si="9"/>
        <v/>
      </c>
      <c r="AX28" s="102" t="str">
        <f t="shared" si="10"/>
        <v/>
      </c>
      <c r="AY28" s="102" t="str">
        <f t="shared" si="11"/>
        <v/>
      </c>
      <c r="AZ28" s="102" t="str">
        <f t="shared" si="12"/>
        <v/>
      </c>
      <c r="BA28" s="102" t="str">
        <f t="shared" si="13"/>
        <v/>
      </c>
      <c r="BB28" s="106" t="str">
        <f t="shared" si="19"/>
        <v/>
      </c>
      <c r="BE28" s="102" t="str">
        <f t="shared" si="14"/>
        <v/>
      </c>
      <c r="BF28" s="102" t="str">
        <f t="shared" si="15"/>
        <v/>
      </c>
      <c r="BG28" s="102" t="str">
        <f t="shared" si="16"/>
        <v/>
      </c>
      <c r="BH28" s="102" t="str">
        <f t="shared" si="20"/>
        <v/>
      </c>
      <c r="BI28" s="102" t="str">
        <f t="shared" si="17"/>
        <v/>
      </c>
    </row>
    <row r="29" spans="1:61" s="106" customFormat="1" ht="23.15" customHeight="1">
      <c r="A29" s="3">
        <v>23</v>
      </c>
      <c r="B29" s="15"/>
      <c r="C29" s="5"/>
      <c r="D29" s="6"/>
      <c r="E29" s="4"/>
      <c r="F29" s="7"/>
      <c r="G29" s="8"/>
      <c r="H29" s="9"/>
      <c r="I29" s="9"/>
      <c r="J29" s="9"/>
      <c r="K29" s="9"/>
      <c r="L29" s="9"/>
      <c r="M29" s="9"/>
      <c r="N29" s="9"/>
      <c r="O29" s="9"/>
      <c r="P29" s="9"/>
      <c r="Q29" s="17"/>
      <c r="R29" s="11"/>
      <c r="S29" s="12"/>
      <c r="T29" s="10"/>
      <c r="U29" s="18"/>
      <c r="V29" s="10"/>
      <c r="W29" s="13"/>
      <c r="X29" s="14"/>
      <c r="Y29" s="105" t="str">
        <f t="shared" si="18"/>
        <v/>
      </c>
      <c r="Z29" s="102">
        <f>IF(COUNTIF($E$7:E29,E29)=1,"",COUNTIF($E$7:E29,E29))</f>
        <v>0</v>
      </c>
      <c r="AA29" s="102" t="str">
        <f t="shared" si="0"/>
        <v/>
      </c>
      <c r="AC29" s="102" t="str">
        <f t="shared" si="21"/>
        <v/>
      </c>
      <c r="AD29" s="102" t="str">
        <f t="shared" si="21"/>
        <v/>
      </c>
      <c r="AE29" s="102" t="str">
        <f t="shared" si="21"/>
        <v/>
      </c>
      <c r="AF29" s="102" t="str">
        <f t="shared" si="21"/>
        <v/>
      </c>
      <c r="AG29" s="102" t="str">
        <f t="shared" si="21"/>
        <v/>
      </c>
      <c r="AH29" s="102" t="str">
        <f t="shared" si="21"/>
        <v/>
      </c>
      <c r="AI29" s="102" t="str">
        <f t="shared" si="21"/>
        <v/>
      </c>
      <c r="AJ29" s="102" t="str">
        <f t="shared" si="21"/>
        <v/>
      </c>
      <c r="AK29" s="102" t="str">
        <f t="shared" si="21"/>
        <v/>
      </c>
      <c r="AL29" s="102" t="str">
        <f t="shared" si="21"/>
        <v/>
      </c>
      <c r="AM29" s="102" t="str">
        <f t="shared" si="21"/>
        <v/>
      </c>
      <c r="AN29" s="102" t="str">
        <f t="shared" si="21"/>
        <v/>
      </c>
      <c r="AP29" s="102" t="str">
        <f t="shared" si="2"/>
        <v/>
      </c>
      <c r="AQ29" s="102" t="str">
        <f t="shared" si="3"/>
        <v/>
      </c>
      <c r="AR29" s="102" t="str">
        <f t="shared" si="4"/>
        <v/>
      </c>
      <c r="AS29" s="102" t="str">
        <f t="shared" si="5"/>
        <v/>
      </c>
      <c r="AT29" s="102" t="str">
        <f t="shared" si="6"/>
        <v/>
      </c>
      <c r="AU29" s="102" t="str">
        <f t="shared" si="7"/>
        <v/>
      </c>
      <c r="AV29" s="102" t="str">
        <f t="shared" si="8"/>
        <v/>
      </c>
      <c r="AW29" s="102" t="str">
        <f t="shared" si="9"/>
        <v/>
      </c>
      <c r="AX29" s="102" t="str">
        <f t="shared" si="10"/>
        <v/>
      </c>
      <c r="AY29" s="102" t="str">
        <f t="shared" si="11"/>
        <v/>
      </c>
      <c r="AZ29" s="102" t="str">
        <f t="shared" si="12"/>
        <v/>
      </c>
      <c r="BA29" s="102" t="str">
        <f t="shared" si="13"/>
        <v/>
      </c>
      <c r="BB29" s="106" t="str">
        <f t="shared" si="19"/>
        <v/>
      </c>
      <c r="BE29" s="102" t="str">
        <f t="shared" si="14"/>
        <v/>
      </c>
      <c r="BF29" s="102" t="str">
        <f t="shared" si="15"/>
        <v/>
      </c>
      <c r="BG29" s="102" t="str">
        <f t="shared" si="16"/>
        <v/>
      </c>
      <c r="BH29" s="102" t="str">
        <f t="shared" si="20"/>
        <v/>
      </c>
      <c r="BI29" s="102" t="str">
        <f t="shared" si="17"/>
        <v/>
      </c>
    </row>
    <row r="30" spans="1:61" s="106" customFormat="1" ht="23.15" customHeight="1">
      <c r="A30" s="3">
        <v>24</v>
      </c>
      <c r="B30" s="15"/>
      <c r="C30" s="5"/>
      <c r="D30" s="6"/>
      <c r="E30" s="4"/>
      <c r="F30" s="7"/>
      <c r="G30" s="8"/>
      <c r="H30" s="9"/>
      <c r="I30" s="9"/>
      <c r="J30" s="9"/>
      <c r="K30" s="9"/>
      <c r="L30" s="9"/>
      <c r="M30" s="9"/>
      <c r="N30" s="9"/>
      <c r="O30" s="9"/>
      <c r="P30" s="9"/>
      <c r="Q30" s="10"/>
      <c r="R30" s="11"/>
      <c r="S30" s="11"/>
      <c r="T30" s="13"/>
      <c r="U30" s="12"/>
      <c r="V30" s="10"/>
      <c r="W30" s="13"/>
      <c r="X30" s="14"/>
      <c r="Y30" s="105" t="str">
        <f t="shared" si="18"/>
        <v/>
      </c>
      <c r="Z30" s="102">
        <f>IF(COUNTIF($E$7:E30,E30)=1,"",COUNTIF($E$7:E30,E30))</f>
        <v>0</v>
      </c>
      <c r="AA30" s="102" t="str">
        <f t="shared" si="0"/>
        <v/>
      </c>
      <c r="AC30" s="102" t="str">
        <f t="shared" si="21"/>
        <v/>
      </c>
      <c r="AD30" s="102" t="str">
        <f t="shared" si="21"/>
        <v/>
      </c>
      <c r="AE30" s="102" t="str">
        <f t="shared" si="21"/>
        <v/>
      </c>
      <c r="AF30" s="102" t="str">
        <f t="shared" si="21"/>
        <v/>
      </c>
      <c r="AG30" s="102" t="str">
        <f t="shared" si="21"/>
        <v/>
      </c>
      <c r="AH30" s="102" t="str">
        <f t="shared" si="21"/>
        <v/>
      </c>
      <c r="AI30" s="102" t="str">
        <f t="shared" si="21"/>
        <v/>
      </c>
      <c r="AJ30" s="102" t="str">
        <f t="shared" si="21"/>
        <v/>
      </c>
      <c r="AK30" s="102" t="str">
        <f t="shared" si="21"/>
        <v/>
      </c>
      <c r="AL30" s="102" t="str">
        <f t="shared" si="21"/>
        <v/>
      </c>
      <c r="AM30" s="102" t="str">
        <f t="shared" si="21"/>
        <v/>
      </c>
      <c r="AN30" s="102" t="str">
        <f t="shared" si="21"/>
        <v/>
      </c>
      <c r="AP30" s="102" t="str">
        <f t="shared" si="2"/>
        <v/>
      </c>
      <c r="AQ30" s="102" t="str">
        <f t="shared" si="3"/>
        <v/>
      </c>
      <c r="AR30" s="102" t="str">
        <f t="shared" si="4"/>
        <v/>
      </c>
      <c r="AS30" s="102" t="str">
        <f t="shared" si="5"/>
        <v/>
      </c>
      <c r="AT30" s="102" t="str">
        <f t="shared" si="6"/>
        <v/>
      </c>
      <c r="AU30" s="102" t="str">
        <f t="shared" si="7"/>
        <v/>
      </c>
      <c r="AV30" s="102" t="str">
        <f t="shared" si="8"/>
        <v/>
      </c>
      <c r="AW30" s="102" t="str">
        <f t="shared" si="9"/>
        <v/>
      </c>
      <c r="AX30" s="102" t="str">
        <f t="shared" si="10"/>
        <v/>
      </c>
      <c r="AY30" s="102" t="str">
        <f t="shared" si="11"/>
        <v/>
      </c>
      <c r="AZ30" s="102" t="str">
        <f t="shared" si="12"/>
        <v/>
      </c>
      <c r="BA30" s="102" t="str">
        <f t="shared" si="13"/>
        <v/>
      </c>
      <c r="BB30" s="106" t="str">
        <f t="shared" si="19"/>
        <v/>
      </c>
      <c r="BE30" s="102" t="str">
        <f t="shared" si="14"/>
        <v/>
      </c>
      <c r="BF30" s="102" t="str">
        <f t="shared" si="15"/>
        <v/>
      </c>
      <c r="BG30" s="102" t="str">
        <f t="shared" si="16"/>
        <v/>
      </c>
      <c r="BH30" s="102" t="str">
        <f t="shared" si="20"/>
        <v/>
      </c>
      <c r="BI30" s="102" t="str">
        <f t="shared" si="17"/>
        <v/>
      </c>
    </row>
    <row r="31" spans="1:61" s="106" customFormat="1" ht="23.15" customHeight="1">
      <c r="A31" s="3">
        <v>25</v>
      </c>
      <c r="B31" s="15"/>
      <c r="C31" s="5"/>
      <c r="D31" s="6"/>
      <c r="E31" s="4"/>
      <c r="F31" s="7"/>
      <c r="G31" s="8"/>
      <c r="H31" s="9"/>
      <c r="I31" s="9"/>
      <c r="J31" s="9"/>
      <c r="K31" s="9"/>
      <c r="L31" s="9"/>
      <c r="M31" s="9"/>
      <c r="N31" s="9"/>
      <c r="O31" s="9"/>
      <c r="P31" s="9"/>
      <c r="Q31" s="10"/>
      <c r="R31" s="11"/>
      <c r="S31" s="11"/>
      <c r="T31" s="13"/>
      <c r="U31" s="12"/>
      <c r="V31" s="10"/>
      <c r="W31" s="13"/>
      <c r="X31" s="14"/>
      <c r="Y31" s="105" t="str">
        <f t="shared" si="18"/>
        <v/>
      </c>
      <c r="Z31" s="102">
        <f>IF(COUNTIF($E$7:E31,E31)=1,"",COUNTIF($E$7:E31,E31))</f>
        <v>0</v>
      </c>
      <c r="AA31" s="102" t="str">
        <f t="shared" si="0"/>
        <v/>
      </c>
      <c r="AC31" s="102" t="str">
        <f t="shared" si="21"/>
        <v/>
      </c>
      <c r="AD31" s="102" t="str">
        <f t="shared" si="21"/>
        <v/>
      </c>
      <c r="AE31" s="102" t="str">
        <f t="shared" si="21"/>
        <v/>
      </c>
      <c r="AF31" s="102" t="str">
        <f t="shared" si="21"/>
        <v/>
      </c>
      <c r="AG31" s="102" t="str">
        <f t="shared" si="21"/>
        <v/>
      </c>
      <c r="AH31" s="102" t="str">
        <f t="shared" si="21"/>
        <v/>
      </c>
      <c r="AI31" s="102" t="str">
        <f t="shared" si="21"/>
        <v/>
      </c>
      <c r="AJ31" s="102" t="str">
        <f t="shared" si="21"/>
        <v/>
      </c>
      <c r="AK31" s="102" t="str">
        <f t="shared" si="21"/>
        <v/>
      </c>
      <c r="AL31" s="102" t="str">
        <f t="shared" si="21"/>
        <v/>
      </c>
      <c r="AM31" s="102" t="str">
        <f t="shared" si="21"/>
        <v/>
      </c>
      <c r="AN31" s="102" t="str">
        <f t="shared" si="21"/>
        <v/>
      </c>
      <c r="AP31" s="102" t="str">
        <f t="shared" si="2"/>
        <v/>
      </c>
      <c r="AQ31" s="102" t="str">
        <f t="shared" si="3"/>
        <v/>
      </c>
      <c r="AR31" s="102" t="str">
        <f t="shared" si="4"/>
        <v/>
      </c>
      <c r="AS31" s="102" t="str">
        <f t="shared" si="5"/>
        <v/>
      </c>
      <c r="AT31" s="102" t="str">
        <f t="shared" si="6"/>
        <v/>
      </c>
      <c r="AU31" s="102" t="str">
        <f t="shared" si="7"/>
        <v/>
      </c>
      <c r="AV31" s="102" t="str">
        <f t="shared" si="8"/>
        <v/>
      </c>
      <c r="AW31" s="102" t="str">
        <f t="shared" si="9"/>
        <v/>
      </c>
      <c r="AX31" s="102" t="str">
        <f t="shared" si="10"/>
        <v/>
      </c>
      <c r="AY31" s="102" t="str">
        <f t="shared" si="11"/>
        <v/>
      </c>
      <c r="AZ31" s="102" t="str">
        <f t="shared" si="12"/>
        <v/>
      </c>
      <c r="BA31" s="102" t="str">
        <f t="shared" si="13"/>
        <v/>
      </c>
      <c r="BB31" s="106" t="str">
        <f t="shared" si="19"/>
        <v/>
      </c>
      <c r="BE31" s="102" t="str">
        <f t="shared" si="14"/>
        <v/>
      </c>
      <c r="BF31" s="102" t="str">
        <f t="shared" si="15"/>
        <v/>
      </c>
      <c r="BG31" s="102" t="str">
        <f t="shared" si="16"/>
        <v/>
      </c>
      <c r="BH31" s="102" t="str">
        <f t="shared" si="20"/>
        <v/>
      </c>
      <c r="BI31" s="102" t="str">
        <f t="shared" si="17"/>
        <v/>
      </c>
    </row>
    <row r="32" spans="1:61" s="106" customFormat="1" ht="23.15" customHeight="1">
      <c r="A32" s="3">
        <v>26</v>
      </c>
      <c r="B32" s="15"/>
      <c r="C32" s="5"/>
      <c r="D32" s="6"/>
      <c r="E32" s="4"/>
      <c r="F32" s="7"/>
      <c r="G32" s="8"/>
      <c r="H32" s="9"/>
      <c r="I32" s="9"/>
      <c r="J32" s="9"/>
      <c r="K32" s="9"/>
      <c r="L32" s="9"/>
      <c r="M32" s="9"/>
      <c r="N32" s="9"/>
      <c r="O32" s="9"/>
      <c r="P32" s="9"/>
      <c r="Q32" s="10"/>
      <c r="R32" s="11"/>
      <c r="S32" s="11"/>
      <c r="T32" s="13"/>
      <c r="U32" s="12"/>
      <c r="V32" s="10"/>
      <c r="W32" s="13"/>
      <c r="X32" s="14"/>
      <c r="Y32" s="105" t="str">
        <f t="shared" si="18"/>
        <v/>
      </c>
      <c r="Z32" s="102">
        <f>IF(COUNTIF($E$7:E32,E32)=1,"",COUNTIF($E$7:E32,E32))</f>
        <v>0</v>
      </c>
      <c r="AA32" s="102" t="str">
        <f t="shared" si="0"/>
        <v/>
      </c>
      <c r="AC32" s="102" t="str">
        <f t="shared" si="21"/>
        <v/>
      </c>
      <c r="AD32" s="102" t="str">
        <f t="shared" si="21"/>
        <v/>
      </c>
      <c r="AE32" s="102" t="str">
        <f t="shared" si="21"/>
        <v/>
      </c>
      <c r="AF32" s="102" t="str">
        <f t="shared" si="21"/>
        <v/>
      </c>
      <c r="AG32" s="102" t="str">
        <f t="shared" si="21"/>
        <v/>
      </c>
      <c r="AH32" s="102" t="str">
        <f t="shared" si="21"/>
        <v/>
      </c>
      <c r="AI32" s="102" t="str">
        <f t="shared" si="21"/>
        <v/>
      </c>
      <c r="AJ32" s="102" t="str">
        <f t="shared" si="21"/>
        <v/>
      </c>
      <c r="AK32" s="102" t="str">
        <f t="shared" si="21"/>
        <v/>
      </c>
      <c r="AL32" s="102" t="str">
        <f t="shared" si="21"/>
        <v/>
      </c>
      <c r="AM32" s="102" t="str">
        <f t="shared" si="21"/>
        <v/>
      </c>
      <c r="AN32" s="102" t="str">
        <f t="shared" si="21"/>
        <v/>
      </c>
      <c r="AP32" s="102" t="str">
        <f t="shared" si="2"/>
        <v/>
      </c>
      <c r="AQ32" s="102" t="str">
        <f t="shared" si="3"/>
        <v/>
      </c>
      <c r="AR32" s="102" t="str">
        <f t="shared" si="4"/>
        <v/>
      </c>
      <c r="AS32" s="102" t="str">
        <f t="shared" si="5"/>
        <v/>
      </c>
      <c r="AT32" s="102" t="str">
        <f t="shared" si="6"/>
        <v/>
      </c>
      <c r="AU32" s="102" t="str">
        <f t="shared" si="7"/>
        <v/>
      </c>
      <c r="AV32" s="102" t="str">
        <f t="shared" si="8"/>
        <v/>
      </c>
      <c r="AW32" s="102" t="str">
        <f t="shared" si="9"/>
        <v/>
      </c>
      <c r="AX32" s="102" t="str">
        <f t="shared" si="10"/>
        <v/>
      </c>
      <c r="AY32" s="102" t="str">
        <f t="shared" si="11"/>
        <v/>
      </c>
      <c r="AZ32" s="102" t="str">
        <f t="shared" si="12"/>
        <v/>
      </c>
      <c r="BA32" s="102" t="str">
        <f t="shared" si="13"/>
        <v/>
      </c>
      <c r="BB32" s="106" t="str">
        <f t="shared" si="19"/>
        <v/>
      </c>
      <c r="BE32" s="102" t="str">
        <f t="shared" si="14"/>
        <v/>
      </c>
      <c r="BF32" s="102" t="str">
        <f t="shared" si="15"/>
        <v/>
      </c>
      <c r="BG32" s="102" t="str">
        <f t="shared" si="16"/>
        <v/>
      </c>
      <c r="BH32" s="102" t="str">
        <f t="shared" si="20"/>
        <v/>
      </c>
      <c r="BI32" s="102" t="str">
        <f t="shared" si="17"/>
        <v/>
      </c>
    </row>
    <row r="33" spans="1:61" s="106" customFormat="1" ht="23.15" customHeight="1">
      <c r="A33" s="3">
        <v>27</v>
      </c>
      <c r="B33" s="15"/>
      <c r="C33" s="5"/>
      <c r="D33" s="6"/>
      <c r="E33" s="4"/>
      <c r="F33" s="7"/>
      <c r="G33" s="8"/>
      <c r="H33" s="9"/>
      <c r="I33" s="9"/>
      <c r="J33" s="9"/>
      <c r="K33" s="9"/>
      <c r="L33" s="9"/>
      <c r="M33" s="9"/>
      <c r="N33" s="9"/>
      <c r="O33" s="9"/>
      <c r="P33" s="9"/>
      <c r="Q33" s="10"/>
      <c r="R33" s="11"/>
      <c r="S33" s="12"/>
      <c r="T33" s="10"/>
      <c r="U33" s="18"/>
      <c r="V33" s="10"/>
      <c r="W33" s="13"/>
      <c r="X33" s="14"/>
      <c r="Y33" s="105" t="str">
        <f t="shared" si="18"/>
        <v/>
      </c>
      <c r="Z33" s="102">
        <f>IF(COUNTIF($E$7:E33,E33)=1,"",COUNTIF($E$7:E33,E33))</f>
        <v>0</v>
      </c>
      <c r="AA33" s="102" t="str">
        <f t="shared" si="0"/>
        <v/>
      </c>
      <c r="AC33" s="102" t="str">
        <f t="shared" ref="AC33:AN54" si="23">IF(OR($W33=$S$129,$W33=$S$133),"",IF($S33="","",IF($U33="",IF($R33="",IF($S33&lt;=AC$6,"○",""),IF(AND($R33&lt;=AC$6,$S33&lt;=AC$6),"●",IF($S33&lt;=AC$6,"○",""))),IF($U33&gt;=AC$6,IF($R33="",IF($S33&lt;=AC$6,"○",""),IF(AND($R33&lt;=AC$6,$S33&lt;=AC$6),"●",IF($S33&lt;=AC$6,"○",""))),""))))</f>
        <v/>
      </c>
      <c r="AD33" s="102" t="str">
        <f t="shared" si="23"/>
        <v/>
      </c>
      <c r="AE33" s="102" t="str">
        <f t="shared" si="23"/>
        <v/>
      </c>
      <c r="AF33" s="102" t="str">
        <f t="shared" si="23"/>
        <v/>
      </c>
      <c r="AG33" s="102" t="str">
        <f t="shared" si="23"/>
        <v/>
      </c>
      <c r="AH33" s="102" t="str">
        <f t="shared" si="23"/>
        <v/>
      </c>
      <c r="AI33" s="102" t="str">
        <f t="shared" si="23"/>
        <v/>
      </c>
      <c r="AJ33" s="102" t="str">
        <f t="shared" si="23"/>
        <v/>
      </c>
      <c r="AK33" s="102" t="str">
        <f t="shared" si="23"/>
        <v/>
      </c>
      <c r="AL33" s="102" t="str">
        <f t="shared" si="23"/>
        <v/>
      </c>
      <c r="AM33" s="102" t="str">
        <f t="shared" si="23"/>
        <v/>
      </c>
      <c r="AN33" s="102" t="str">
        <f t="shared" si="23"/>
        <v/>
      </c>
      <c r="AP33" s="102" t="str">
        <f t="shared" si="2"/>
        <v/>
      </c>
      <c r="AQ33" s="102" t="str">
        <f t="shared" si="3"/>
        <v/>
      </c>
      <c r="AR33" s="102" t="str">
        <f t="shared" si="4"/>
        <v/>
      </c>
      <c r="AS33" s="102" t="str">
        <f t="shared" si="5"/>
        <v/>
      </c>
      <c r="AT33" s="102" t="str">
        <f t="shared" si="6"/>
        <v/>
      </c>
      <c r="AU33" s="102" t="str">
        <f t="shared" si="7"/>
        <v/>
      </c>
      <c r="AV33" s="102" t="str">
        <f t="shared" si="8"/>
        <v/>
      </c>
      <c r="AW33" s="102" t="str">
        <f t="shared" si="9"/>
        <v/>
      </c>
      <c r="AX33" s="102" t="str">
        <f t="shared" si="10"/>
        <v/>
      </c>
      <c r="AY33" s="102" t="str">
        <f t="shared" si="11"/>
        <v/>
      </c>
      <c r="AZ33" s="102" t="str">
        <f t="shared" si="12"/>
        <v/>
      </c>
      <c r="BA33" s="102" t="str">
        <f t="shared" si="13"/>
        <v/>
      </c>
      <c r="BB33" s="106" t="str">
        <f t="shared" si="19"/>
        <v/>
      </c>
      <c r="BE33" s="102" t="str">
        <f t="shared" si="14"/>
        <v/>
      </c>
      <c r="BF33" s="102" t="str">
        <f t="shared" si="15"/>
        <v/>
      </c>
      <c r="BG33" s="102" t="str">
        <f t="shared" si="16"/>
        <v/>
      </c>
      <c r="BH33" s="102" t="str">
        <f t="shared" si="20"/>
        <v/>
      </c>
      <c r="BI33" s="102" t="str">
        <f t="shared" si="17"/>
        <v/>
      </c>
    </row>
    <row r="34" spans="1:61" s="106" customFormat="1" ht="23.15" customHeight="1">
      <c r="A34" s="3">
        <v>28</v>
      </c>
      <c r="B34" s="15"/>
      <c r="C34" s="5"/>
      <c r="D34" s="6"/>
      <c r="E34" s="4"/>
      <c r="F34" s="7"/>
      <c r="G34" s="8"/>
      <c r="H34" s="9"/>
      <c r="I34" s="9"/>
      <c r="J34" s="9"/>
      <c r="K34" s="9"/>
      <c r="L34" s="9"/>
      <c r="M34" s="9"/>
      <c r="N34" s="9"/>
      <c r="O34" s="9"/>
      <c r="P34" s="9"/>
      <c r="Q34" s="10"/>
      <c r="R34" s="11"/>
      <c r="S34" s="12"/>
      <c r="T34" s="10"/>
      <c r="U34" s="18"/>
      <c r="V34" s="10"/>
      <c r="W34" s="13"/>
      <c r="X34" s="14"/>
      <c r="Y34" s="105" t="str">
        <f t="shared" si="18"/>
        <v/>
      </c>
      <c r="Z34" s="102">
        <f>IF(COUNTIF($E$7:E34,E34)=1,"",COUNTIF($E$7:E34,E34))</f>
        <v>0</v>
      </c>
      <c r="AA34" s="102" t="str">
        <f t="shared" si="0"/>
        <v/>
      </c>
      <c r="AC34" s="102" t="str">
        <f t="shared" si="23"/>
        <v/>
      </c>
      <c r="AD34" s="102" t="str">
        <f t="shared" si="23"/>
        <v/>
      </c>
      <c r="AE34" s="102" t="str">
        <f t="shared" si="23"/>
        <v/>
      </c>
      <c r="AF34" s="102" t="str">
        <f t="shared" si="23"/>
        <v/>
      </c>
      <c r="AG34" s="102" t="str">
        <f t="shared" si="23"/>
        <v/>
      </c>
      <c r="AH34" s="102" t="str">
        <f t="shared" si="23"/>
        <v/>
      </c>
      <c r="AI34" s="102" t="str">
        <f t="shared" si="23"/>
        <v/>
      </c>
      <c r="AJ34" s="102" t="str">
        <f t="shared" si="23"/>
        <v/>
      </c>
      <c r="AK34" s="102" t="str">
        <f t="shared" si="23"/>
        <v/>
      </c>
      <c r="AL34" s="102" t="str">
        <f t="shared" si="23"/>
        <v/>
      </c>
      <c r="AM34" s="102" t="str">
        <f t="shared" si="23"/>
        <v/>
      </c>
      <c r="AN34" s="102" t="str">
        <f t="shared" si="23"/>
        <v/>
      </c>
      <c r="AP34" s="102" t="str">
        <f t="shared" si="2"/>
        <v/>
      </c>
      <c r="AQ34" s="102" t="str">
        <f t="shared" si="3"/>
        <v/>
      </c>
      <c r="AR34" s="102" t="str">
        <f t="shared" si="4"/>
        <v/>
      </c>
      <c r="AS34" s="102" t="str">
        <f t="shared" si="5"/>
        <v/>
      </c>
      <c r="AT34" s="102" t="str">
        <f t="shared" si="6"/>
        <v/>
      </c>
      <c r="AU34" s="102" t="str">
        <f t="shared" si="7"/>
        <v/>
      </c>
      <c r="AV34" s="102" t="str">
        <f t="shared" si="8"/>
        <v/>
      </c>
      <c r="AW34" s="102" t="str">
        <f t="shared" si="9"/>
        <v/>
      </c>
      <c r="AX34" s="102" t="str">
        <f t="shared" si="10"/>
        <v/>
      </c>
      <c r="AY34" s="102" t="str">
        <f t="shared" si="11"/>
        <v/>
      </c>
      <c r="AZ34" s="102" t="str">
        <f t="shared" si="12"/>
        <v/>
      </c>
      <c r="BA34" s="102" t="str">
        <f t="shared" si="13"/>
        <v/>
      </c>
      <c r="BB34" s="106" t="str">
        <f t="shared" si="19"/>
        <v/>
      </c>
      <c r="BE34" s="102" t="str">
        <f t="shared" si="14"/>
        <v/>
      </c>
      <c r="BF34" s="102" t="str">
        <f t="shared" si="15"/>
        <v/>
      </c>
      <c r="BG34" s="102" t="str">
        <f t="shared" si="16"/>
        <v/>
      </c>
      <c r="BH34" s="102" t="str">
        <f t="shared" si="20"/>
        <v/>
      </c>
      <c r="BI34" s="102" t="str">
        <f t="shared" si="17"/>
        <v/>
      </c>
    </row>
    <row r="35" spans="1:61" s="106" customFormat="1" ht="23.15" customHeight="1">
      <c r="A35" s="3">
        <v>29</v>
      </c>
      <c r="B35" s="15"/>
      <c r="C35" s="5"/>
      <c r="D35" s="6"/>
      <c r="E35" s="4"/>
      <c r="F35" s="7"/>
      <c r="G35" s="8"/>
      <c r="H35" s="9"/>
      <c r="I35" s="9"/>
      <c r="J35" s="9"/>
      <c r="K35" s="9"/>
      <c r="L35" s="9"/>
      <c r="M35" s="9"/>
      <c r="N35" s="9"/>
      <c r="O35" s="9"/>
      <c r="P35" s="9"/>
      <c r="Q35" s="10"/>
      <c r="R35" s="11"/>
      <c r="S35" s="12"/>
      <c r="T35" s="10"/>
      <c r="U35" s="18"/>
      <c r="V35" s="10"/>
      <c r="W35" s="13"/>
      <c r="X35" s="14"/>
      <c r="Y35" s="105" t="str">
        <f t="shared" si="18"/>
        <v/>
      </c>
      <c r="Z35" s="102">
        <f>IF(COUNTIF($E$7:E35,E35)=1,"",COUNTIF($E$7:E35,E35))</f>
        <v>0</v>
      </c>
      <c r="AA35" s="102" t="str">
        <f t="shared" si="0"/>
        <v/>
      </c>
      <c r="AC35" s="102" t="str">
        <f t="shared" si="23"/>
        <v/>
      </c>
      <c r="AD35" s="102" t="str">
        <f t="shared" si="23"/>
        <v/>
      </c>
      <c r="AE35" s="102" t="str">
        <f t="shared" si="23"/>
        <v/>
      </c>
      <c r="AF35" s="102" t="str">
        <f t="shared" si="23"/>
        <v/>
      </c>
      <c r="AG35" s="102" t="str">
        <f t="shared" si="23"/>
        <v/>
      </c>
      <c r="AH35" s="102" t="str">
        <f t="shared" si="23"/>
        <v/>
      </c>
      <c r="AI35" s="102" t="str">
        <f t="shared" si="23"/>
        <v/>
      </c>
      <c r="AJ35" s="102" t="str">
        <f t="shared" si="23"/>
        <v/>
      </c>
      <c r="AK35" s="102" t="str">
        <f t="shared" si="23"/>
        <v/>
      </c>
      <c r="AL35" s="102" t="str">
        <f t="shared" si="23"/>
        <v/>
      </c>
      <c r="AM35" s="102" t="str">
        <f t="shared" si="23"/>
        <v/>
      </c>
      <c r="AN35" s="102" t="str">
        <f t="shared" si="23"/>
        <v/>
      </c>
      <c r="AP35" s="102" t="str">
        <f t="shared" si="2"/>
        <v/>
      </c>
      <c r="AQ35" s="102" t="str">
        <f t="shared" si="3"/>
        <v/>
      </c>
      <c r="AR35" s="102" t="str">
        <f t="shared" si="4"/>
        <v/>
      </c>
      <c r="AS35" s="102" t="str">
        <f t="shared" si="5"/>
        <v/>
      </c>
      <c r="AT35" s="102" t="str">
        <f t="shared" si="6"/>
        <v/>
      </c>
      <c r="AU35" s="102" t="str">
        <f t="shared" si="7"/>
        <v/>
      </c>
      <c r="AV35" s="102" t="str">
        <f t="shared" si="8"/>
        <v/>
      </c>
      <c r="AW35" s="102" t="str">
        <f t="shared" si="9"/>
        <v/>
      </c>
      <c r="AX35" s="102" t="str">
        <f t="shared" si="10"/>
        <v/>
      </c>
      <c r="AY35" s="102" t="str">
        <f t="shared" si="11"/>
        <v/>
      </c>
      <c r="AZ35" s="102" t="str">
        <f t="shared" si="12"/>
        <v/>
      </c>
      <c r="BA35" s="102" t="str">
        <f t="shared" si="13"/>
        <v/>
      </c>
      <c r="BB35" s="106" t="str">
        <f t="shared" si="19"/>
        <v/>
      </c>
      <c r="BE35" s="102" t="str">
        <f t="shared" si="14"/>
        <v/>
      </c>
      <c r="BF35" s="102" t="str">
        <f t="shared" si="15"/>
        <v/>
      </c>
      <c r="BG35" s="102" t="str">
        <f t="shared" si="16"/>
        <v/>
      </c>
      <c r="BH35" s="102" t="str">
        <f t="shared" si="20"/>
        <v/>
      </c>
      <c r="BI35" s="102" t="str">
        <f t="shared" si="17"/>
        <v/>
      </c>
    </row>
    <row r="36" spans="1:61" s="106" customFormat="1" ht="23.15" customHeight="1">
      <c r="A36" s="3">
        <v>30</v>
      </c>
      <c r="B36" s="15"/>
      <c r="C36" s="5"/>
      <c r="D36" s="6"/>
      <c r="E36" s="4"/>
      <c r="F36" s="7"/>
      <c r="G36" s="8"/>
      <c r="H36" s="9"/>
      <c r="I36" s="9"/>
      <c r="J36" s="9"/>
      <c r="K36" s="9"/>
      <c r="L36" s="9"/>
      <c r="M36" s="9"/>
      <c r="N36" s="9"/>
      <c r="O36" s="9"/>
      <c r="P36" s="9"/>
      <c r="Q36" s="10"/>
      <c r="R36" s="11"/>
      <c r="S36" s="12"/>
      <c r="T36" s="10"/>
      <c r="U36" s="18"/>
      <c r="V36" s="10"/>
      <c r="W36" s="13"/>
      <c r="X36" s="14"/>
      <c r="Y36" s="105" t="str">
        <f t="shared" si="18"/>
        <v/>
      </c>
      <c r="Z36" s="102">
        <f>IF(COUNTIF($E$7:E36,E36)=1,"",COUNTIF($E$7:E36,E36))</f>
        <v>0</v>
      </c>
      <c r="AA36" s="102" t="str">
        <f t="shared" si="0"/>
        <v/>
      </c>
      <c r="AC36" s="102" t="str">
        <f t="shared" si="23"/>
        <v/>
      </c>
      <c r="AD36" s="102" t="str">
        <f t="shared" si="23"/>
        <v/>
      </c>
      <c r="AE36" s="102" t="str">
        <f t="shared" si="23"/>
        <v/>
      </c>
      <c r="AF36" s="102" t="str">
        <f t="shared" si="23"/>
        <v/>
      </c>
      <c r="AG36" s="102" t="str">
        <f t="shared" si="23"/>
        <v/>
      </c>
      <c r="AH36" s="102" t="str">
        <f t="shared" si="23"/>
        <v/>
      </c>
      <c r="AI36" s="102" t="str">
        <f t="shared" si="23"/>
        <v/>
      </c>
      <c r="AJ36" s="102" t="str">
        <f t="shared" si="23"/>
        <v/>
      </c>
      <c r="AK36" s="102" t="str">
        <f t="shared" si="23"/>
        <v/>
      </c>
      <c r="AL36" s="102" t="str">
        <f t="shared" si="23"/>
        <v/>
      </c>
      <c r="AM36" s="102" t="str">
        <f t="shared" si="23"/>
        <v/>
      </c>
      <c r="AN36" s="102" t="str">
        <f t="shared" si="23"/>
        <v/>
      </c>
      <c r="AP36" s="102" t="str">
        <f t="shared" si="2"/>
        <v/>
      </c>
      <c r="AQ36" s="102" t="str">
        <f t="shared" si="3"/>
        <v/>
      </c>
      <c r="AR36" s="102" t="str">
        <f t="shared" si="4"/>
        <v/>
      </c>
      <c r="AS36" s="102" t="str">
        <f t="shared" si="5"/>
        <v/>
      </c>
      <c r="AT36" s="102" t="str">
        <f t="shared" si="6"/>
        <v/>
      </c>
      <c r="AU36" s="102" t="str">
        <f t="shared" si="7"/>
        <v/>
      </c>
      <c r="AV36" s="102" t="str">
        <f t="shared" si="8"/>
        <v/>
      </c>
      <c r="AW36" s="102" t="str">
        <f t="shared" si="9"/>
        <v/>
      </c>
      <c r="AX36" s="102" t="str">
        <f t="shared" si="10"/>
        <v/>
      </c>
      <c r="AY36" s="102" t="str">
        <f t="shared" si="11"/>
        <v/>
      </c>
      <c r="AZ36" s="102" t="str">
        <f t="shared" si="12"/>
        <v/>
      </c>
      <c r="BA36" s="102" t="str">
        <f t="shared" si="13"/>
        <v/>
      </c>
      <c r="BB36" s="106" t="str">
        <f t="shared" si="19"/>
        <v/>
      </c>
      <c r="BE36" s="102" t="str">
        <f t="shared" si="14"/>
        <v/>
      </c>
      <c r="BF36" s="102" t="str">
        <f t="shared" si="15"/>
        <v/>
      </c>
      <c r="BG36" s="102" t="str">
        <f t="shared" si="16"/>
        <v/>
      </c>
      <c r="BH36" s="102" t="str">
        <f t="shared" si="20"/>
        <v/>
      </c>
      <c r="BI36" s="102" t="str">
        <f t="shared" si="17"/>
        <v/>
      </c>
    </row>
    <row r="37" spans="1:61" s="106" customFormat="1" ht="23.15" customHeight="1">
      <c r="A37" s="3">
        <v>31</v>
      </c>
      <c r="B37" s="15"/>
      <c r="C37" s="5"/>
      <c r="D37" s="6"/>
      <c r="E37" s="4"/>
      <c r="F37" s="7"/>
      <c r="G37" s="8"/>
      <c r="H37" s="9"/>
      <c r="I37" s="9"/>
      <c r="J37" s="9"/>
      <c r="K37" s="9"/>
      <c r="L37" s="9"/>
      <c r="M37" s="9"/>
      <c r="N37" s="9"/>
      <c r="O37" s="9"/>
      <c r="P37" s="9"/>
      <c r="Q37" s="17"/>
      <c r="R37" s="11"/>
      <c r="S37" s="12"/>
      <c r="T37" s="10"/>
      <c r="U37" s="18"/>
      <c r="V37" s="10"/>
      <c r="W37" s="13"/>
      <c r="X37" s="14"/>
      <c r="Y37" s="105" t="str">
        <f t="shared" si="18"/>
        <v/>
      </c>
      <c r="Z37" s="102">
        <f>IF(COUNTIF($E$7:E37,E37)=1,"",COUNTIF($E$7:E37,E37))</f>
        <v>0</v>
      </c>
      <c r="AA37" s="102" t="str">
        <f t="shared" si="0"/>
        <v/>
      </c>
      <c r="AC37" s="102" t="str">
        <f t="shared" si="23"/>
        <v/>
      </c>
      <c r="AD37" s="102" t="str">
        <f t="shared" si="23"/>
        <v/>
      </c>
      <c r="AE37" s="102" t="str">
        <f t="shared" si="23"/>
        <v/>
      </c>
      <c r="AF37" s="102" t="str">
        <f t="shared" si="23"/>
        <v/>
      </c>
      <c r="AG37" s="102" t="str">
        <f t="shared" si="23"/>
        <v/>
      </c>
      <c r="AH37" s="102" t="str">
        <f t="shared" si="23"/>
        <v/>
      </c>
      <c r="AI37" s="102" t="str">
        <f t="shared" si="23"/>
        <v/>
      </c>
      <c r="AJ37" s="102" t="str">
        <f t="shared" si="23"/>
        <v/>
      </c>
      <c r="AK37" s="102" t="str">
        <f t="shared" si="23"/>
        <v/>
      </c>
      <c r="AL37" s="102" t="str">
        <f t="shared" si="23"/>
        <v/>
      </c>
      <c r="AM37" s="102" t="str">
        <f t="shared" si="23"/>
        <v/>
      </c>
      <c r="AN37" s="102" t="str">
        <f t="shared" si="23"/>
        <v/>
      </c>
      <c r="AP37" s="102" t="str">
        <f t="shared" si="2"/>
        <v/>
      </c>
      <c r="AQ37" s="102" t="str">
        <f t="shared" si="3"/>
        <v/>
      </c>
      <c r="AR37" s="102" t="str">
        <f t="shared" si="4"/>
        <v/>
      </c>
      <c r="AS37" s="102" t="str">
        <f t="shared" si="5"/>
        <v/>
      </c>
      <c r="AT37" s="102" t="str">
        <f t="shared" si="6"/>
        <v/>
      </c>
      <c r="AU37" s="102" t="str">
        <f t="shared" si="7"/>
        <v/>
      </c>
      <c r="AV37" s="102" t="str">
        <f t="shared" si="8"/>
        <v/>
      </c>
      <c r="AW37" s="102" t="str">
        <f t="shared" si="9"/>
        <v/>
      </c>
      <c r="AX37" s="102" t="str">
        <f t="shared" si="10"/>
        <v/>
      </c>
      <c r="AY37" s="102" t="str">
        <f t="shared" si="11"/>
        <v/>
      </c>
      <c r="AZ37" s="102" t="str">
        <f t="shared" si="12"/>
        <v/>
      </c>
      <c r="BA37" s="102" t="str">
        <f t="shared" si="13"/>
        <v/>
      </c>
      <c r="BB37" s="106" t="str">
        <f t="shared" si="19"/>
        <v/>
      </c>
      <c r="BE37" s="102" t="str">
        <f t="shared" si="14"/>
        <v/>
      </c>
      <c r="BF37" s="102" t="str">
        <f t="shared" si="15"/>
        <v/>
      </c>
      <c r="BG37" s="102" t="str">
        <f t="shared" si="16"/>
        <v/>
      </c>
      <c r="BH37" s="102" t="str">
        <f t="shared" si="20"/>
        <v/>
      </c>
      <c r="BI37" s="102" t="str">
        <f t="shared" si="17"/>
        <v/>
      </c>
    </row>
    <row r="38" spans="1:61" s="106" customFormat="1" ht="23.15" customHeight="1">
      <c r="A38" s="3">
        <v>32</v>
      </c>
      <c r="B38" s="15"/>
      <c r="C38" s="5"/>
      <c r="D38" s="6"/>
      <c r="E38" s="4"/>
      <c r="F38" s="7"/>
      <c r="G38" s="8"/>
      <c r="H38" s="9"/>
      <c r="I38" s="9"/>
      <c r="J38" s="9"/>
      <c r="K38" s="9"/>
      <c r="L38" s="9"/>
      <c r="M38" s="9"/>
      <c r="N38" s="9"/>
      <c r="O38" s="9"/>
      <c r="P38" s="9"/>
      <c r="Q38" s="10"/>
      <c r="R38" s="11"/>
      <c r="S38" s="12"/>
      <c r="T38" s="10"/>
      <c r="U38" s="18"/>
      <c r="V38" s="10"/>
      <c r="W38" s="13"/>
      <c r="X38" s="14"/>
      <c r="Y38" s="105" t="str">
        <f t="shared" si="18"/>
        <v/>
      </c>
      <c r="Z38" s="102">
        <f>IF(COUNTIF($E$7:E38,E38)=1,"",COUNTIF($E$7:E38,E38))</f>
        <v>0</v>
      </c>
      <c r="AA38" s="102" t="str">
        <f t="shared" si="0"/>
        <v/>
      </c>
      <c r="AC38" s="102" t="str">
        <f t="shared" si="23"/>
        <v/>
      </c>
      <c r="AD38" s="102" t="str">
        <f t="shared" si="23"/>
        <v/>
      </c>
      <c r="AE38" s="102" t="str">
        <f t="shared" si="23"/>
        <v/>
      </c>
      <c r="AF38" s="102" t="str">
        <f t="shared" si="23"/>
        <v/>
      </c>
      <c r="AG38" s="102" t="str">
        <f t="shared" si="23"/>
        <v/>
      </c>
      <c r="AH38" s="102" t="str">
        <f t="shared" si="23"/>
        <v/>
      </c>
      <c r="AI38" s="102" t="str">
        <f t="shared" si="23"/>
        <v/>
      </c>
      <c r="AJ38" s="102" t="str">
        <f t="shared" si="23"/>
        <v/>
      </c>
      <c r="AK38" s="102" t="str">
        <f t="shared" si="23"/>
        <v/>
      </c>
      <c r="AL38" s="102" t="str">
        <f t="shared" si="23"/>
        <v/>
      </c>
      <c r="AM38" s="102" t="str">
        <f t="shared" si="23"/>
        <v/>
      </c>
      <c r="AN38" s="102" t="str">
        <f t="shared" si="23"/>
        <v/>
      </c>
      <c r="AP38" s="102" t="str">
        <f t="shared" si="2"/>
        <v/>
      </c>
      <c r="AQ38" s="102" t="str">
        <f t="shared" si="3"/>
        <v/>
      </c>
      <c r="AR38" s="102" t="str">
        <f t="shared" si="4"/>
        <v/>
      </c>
      <c r="AS38" s="102" t="str">
        <f t="shared" si="5"/>
        <v/>
      </c>
      <c r="AT38" s="102" t="str">
        <f t="shared" si="6"/>
        <v/>
      </c>
      <c r="AU38" s="102" t="str">
        <f t="shared" si="7"/>
        <v/>
      </c>
      <c r="AV38" s="102" t="str">
        <f t="shared" si="8"/>
        <v/>
      </c>
      <c r="AW38" s="102" t="str">
        <f t="shared" si="9"/>
        <v/>
      </c>
      <c r="AX38" s="102" t="str">
        <f t="shared" si="10"/>
        <v/>
      </c>
      <c r="AY38" s="102" t="str">
        <f t="shared" si="11"/>
        <v/>
      </c>
      <c r="AZ38" s="102" t="str">
        <f t="shared" si="12"/>
        <v/>
      </c>
      <c r="BA38" s="102" t="str">
        <f t="shared" si="13"/>
        <v/>
      </c>
      <c r="BB38" s="106" t="str">
        <f t="shared" si="19"/>
        <v/>
      </c>
      <c r="BE38" s="102" t="str">
        <f t="shared" si="14"/>
        <v/>
      </c>
      <c r="BF38" s="102" t="str">
        <f t="shared" si="15"/>
        <v/>
      </c>
      <c r="BG38" s="102" t="str">
        <f t="shared" si="16"/>
        <v/>
      </c>
      <c r="BH38" s="102" t="str">
        <f t="shared" si="20"/>
        <v/>
      </c>
      <c r="BI38" s="102" t="str">
        <f t="shared" si="17"/>
        <v/>
      </c>
    </row>
    <row r="39" spans="1:61" s="106" customFormat="1" ht="23.15" customHeight="1">
      <c r="A39" s="3">
        <v>33</v>
      </c>
      <c r="B39" s="15"/>
      <c r="C39" s="5"/>
      <c r="D39" s="6"/>
      <c r="E39" s="4"/>
      <c r="F39" s="7"/>
      <c r="G39" s="8"/>
      <c r="H39" s="9"/>
      <c r="I39" s="9"/>
      <c r="J39" s="9"/>
      <c r="K39" s="9"/>
      <c r="L39" s="9"/>
      <c r="M39" s="9"/>
      <c r="N39" s="9"/>
      <c r="O39" s="9"/>
      <c r="P39" s="9"/>
      <c r="Q39" s="10"/>
      <c r="R39" s="11"/>
      <c r="S39" s="12"/>
      <c r="T39" s="10"/>
      <c r="U39" s="18"/>
      <c r="V39" s="10"/>
      <c r="W39" s="13"/>
      <c r="X39" s="14"/>
      <c r="Y39" s="105" t="str">
        <f t="shared" si="18"/>
        <v/>
      </c>
      <c r="Z39" s="102">
        <f>IF(COUNTIF($E$7:E39,E39)=1,"",COUNTIF($E$7:E39,E39))</f>
        <v>0</v>
      </c>
      <c r="AA39" s="102" t="str">
        <f t="shared" ref="AA39:AA70" si="24">IFERROR(IF(OR(W39=$S$119,W39=$S$121),W39,INDEX($B$144:$C$149,MATCH(BB39,$B$144:$B$149,0),2)),"")</f>
        <v/>
      </c>
      <c r="AC39" s="102" t="str">
        <f t="shared" si="23"/>
        <v/>
      </c>
      <c r="AD39" s="102" t="str">
        <f t="shared" si="23"/>
        <v/>
      </c>
      <c r="AE39" s="102" t="str">
        <f t="shared" si="23"/>
        <v/>
      </c>
      <c r="AF39" s="102" t="str">
        <f t="shared" si="23"/>
        <v/>
      </c>
      <c r="AG39" s="102" t="str">
        <f t="shared" si="23"/>
        <v/>
      </c>
      <c r="AH39" s="102" t="str">
        <f t="shared" si="23"/>
        <v/>
      </c>
      <c r="AI39" s="102" t="str">
        <f t="shared" si="23"/>
        <v/>
      </c>
      <c r="AJ39" s="102" t="str">
        <f t="shared" si="23"/>
        <v/>
      </c>
      <c r="AK39" s="102" t="str">
        <f t="shared" si="23"/>
        <v/>
      </c>
      <c r="AL39" s="102" t="str">
        <f t="shared" si="23"/>
        <v/>
      </c>
      <c r="AM39" s="102" t="str">
        <f t="shared" si="23"/>
        <v/>
      </c>
      <c r="AN39" s="102" t="str">
        <f t="shared" si="23"/>
        <v/>
      </c>
      <c r="AP39" s="102" t="str">
        <f t="shared" ref="AP39:AP70" si="25">IF(AND($H39="有",AC39="○"),"A",IF(AC39="●","B",IF(AND(AC39="○",OR($L39="有",$M39="有",$N39="有")),"C",IF(AND(AC39="○",$O39="有"),"D",IF(OR(AND(AC39="○",$P39="有"),AND(AC39="○",$W39=$S$128,$O39="")),"E",IF(AND(AC39="○",OR($W39=$S$131,$W39=$S$132,$W39=$S$130,$W39=$S$134)),"F",""))))))</f>
        <v/>
      </c>
      <c r="AQ39" s="102" t="str">
        <f t="shared" ref="AQ39:AQ70" si="26">IF(AND($H39="有",AD39="○"),"A",IF(AD39="●","B",IF(AND(AD39="○",OR($L39="有",$M39="有",$N39="有")),"C",IF(AND(AD39="○",$O39="有"),"D",IF(OR(AND(AD39="○",$P39="有"),AND(AD39="○",$W39=$S$128,$O39="")),"E",IF(AND(AD39="○",OR($W39=$S$131,$W39=$S$132,$W39=$S$130,$W39=$S$134)),"F",""))))))</f>
        <v/>
      </c>
      <c r="AR39" s="102" t="str">
        <f t="shared" ref="AR39:AR70" si="27">IF(AND($H39="有",AE39="○"),"A",IF(AE39="●","B",IF(AND(AE39="○",OR($L39="有",$M39="有",$N39="有")),"C",IF(AND(AE39="○",$O39="有"),"D",IF(OR(AND(AE39="○",$P39="有"),AND(AE39="○",$W39=$S$128,$O39="")),"E",IF(AND(AE39="○",OR($W39=$S$131,$W39=$S$132,$W39=$S$130,$W39=$S$134)),"F",""))))))</f>
        <v/>
      </c>
      <c r="AS39" s="102" t="str">
        <f t="shared" ref="AS39:AS70" si="28">IF(AND($H39="有",AF39="○"),"A",IF(AF39="●","B",IF(AND(AF39="○",OR($L39="有",$M39="有",$N39="有")),"C",IF(AND(AF39="○",$O39="有"),"D",IF(OR(AND(AF39="○",$P39="有"),AND(AF39="○",$W39=$S$128,$O39="")),"E",IF(AND(AF39="○",OR($W39=$S$131,$W39=$S$132,$W39=$S$130,$W39=$S$134)),"F",""))))))</f>
        <v/>
      </c>
      <c r="AT39" s="102" t="str">
        <f t="shared" ref="AT39:AT70" si="29">IF(AND($H39="有",AG39="○"),"A",IF(AG39="●","B",IF(AND(AG39="○",OR($L39="有",$M39="有",$N39="有")),"C",IF(AND(AG39="○",$O39="有"),"D",IF(OR(AND(AG39="○",$P39="有"),AND(AG39="○",$W39=$S$128,$O39="")),"E",IF(AND(AG39="○",OR($W39=$S$131,$W39=$S$132,$W39=$S$130,$W39=$S$134)),"F",""))))))</f>
        <v/>
      </c>
      <c r="AU39" s="102" t="str">
        <f t="shared" ref="AU39:AU70" si="30">IF(AND($H39="有",AH39="○"),"A",IF(AH39="●","B",IF(AND(AH39="○",OR($L39="有",$M39="有",$N39="有")),"C",IF(AND(AH39="○",$O39="有"),"D",IF(OR(AND(AH39="○",$P39="有"),AND(AH39="○",$W39=$S$128,$O39="")),"E",IF(AND(AH39="○",OR($W39=$S$131,$W39=$S$132,$W39=$S$130,$W39=$S$134)),"F",""))))))</f>
        <v/>
      </c>
      <c r="AV39" s="102" t="str">
        <f t="shared" ref="AV39:AV70" si="31">IF(AND($H39="有",AI39="○"),"A",IF(AI39="●","B",IF(AND(AI39="○",OR($L39="有",$M39="有",$N39="有")),"C",IF(AND(AI39="○",$O39="有"),"D",IF(OR(AND(AI39="○",$P39="有"),AND(AI39="○",$W39=$S$128,$O39="")),"E",IF(AND(AI39="○",OR($W39=$S$131,$W39=$S$132,$W39=$S$130,$W39=$S$134)),"F",""))))))</f>
        <v/>
      </c>
      <c r="AW39" s="102" t="str">
        <f t="shared" ref="AW39:AW70" si="32">IF(AND($H39="有",AJ39="○"),"A",IF(AJ39="●","B",IF(AND(AJ39="○",OR($L39="有",$M39="有",$N39="有")),"C",IF(AND(AJ39="○",$O39="有"),"D",IF(OR(AND(AJ39="○",$P39="有"),AND(AJ39="○",$W39=$S$128,$O39="")),"E",IF(AND(AJ39="○",OR($W39=$S$131,$W39=$S$132,$W39=$S$130,$W39=$S$134)),"F",""))))))</f>
        <v/>
      </c>
      <c r="AX39" s="102" t="str">
        <f t="shared" ref="AX39:AX70" si="33">IF(AND($H39="有",AK39="○"),"A",IF(AK39="●","B",IF(AND(AK39="○",OR($L39="有",$M39="有",$N39="有")),"C",IF(AND(AK39="○",$O39="有"),"D",IF(OR(AND(AK39="○",$P39="有"),AND(AK39="○",$W39=$S$128,$O39="")),"E",IF(AND(AK39="○",OR($W39=$S$131,$W39=$S$132,$W39=$S$130,$W39=$S$134)),"F",""))))))</f>
        <v/>
      </c>
      <c r="AY39" s="102" t="str">
        <f t="shared" ref="AY39:AY70" si="34">IF(AND($H39="有",AL39="○"),"A",IF(AL39="●","B",IF(AND(AL39="○",OR($L39="有",$M39="有",$N39="有")),"C",IF(AND(AL39="○",$O39="有"),"D",IF(OR(AND(AL39="○",$P39="有"),AND(AL39="○",$W39=$S$128,$O39="")),"E",IF(AND(AL39="○",OR($W39=$S$131,$W39=$S$132,$W39=$S$130,$W39=$S$134)),"F",""))))))</f>
        <v/>
      </c>
      <c r="AZ39" s="102" t="str">
        <f t="shared" ref="AZ39:AZ70" si="35">IF(AND($H39="有",AM39="○"),"A",IF(AM39="●","B",IF(AND(AM39="○",OR($L39="有",$M39="有",$N39="有")),"C",IF(AND(AM39="○",$O39="有"),"D",IF(OR(AND(AM39="○",$P39="有"),AND(AM39="○",$W39=$S$128,$O39="")),"E",IF(AND(AM39="○",OR($W39=$S$131,$W39=$S$132,$W39=$S$130,$W39=$S$134)),"F",""))))))</f>
        <v/>
      </c>
      <c r="BA39" s="102" t="str">
        <f t="shared" ref="BA39:BA70" si="36">IF(AND($H39="有",AN39="○"),"A",IF(AN39="●","B",IF(AND(AN39="○",OR($L39="有",$M39="有",$N39="有")),"C",IF(AND(AN39="○",$O39="有"),"D",IF(OR(AND(AN39="○",$P39="有"),AND(AN39="○",$W39=$S$128,$O39="")),"E",IF(AND(AN39="○",OR($W39=$S$131,$W39=$S$132,$W39=$S$130,$W39=$S$134)),"F",""))))))</f>
        <v/>
      </c>
      <c r="BB39" s="106" t="str">
        <f t="shared" si="19"/>
        <v/>
      </c>
      <c r="BE39" s="102" t="str">
        <f t="shared" ref="BE39:BE70" si="37">IF(B39="園長","園長",IF(C39="正","正規職員",IF(AND(C39="パート",D39="常"),"常勤的非常勤",IF(AND(C39="パート",D39="非"),"短時間非常勤",IF(AND(C39="嘱託等",D39="常"),"嘱託常勤",IF(AND(C39="嘱託等",D39="非"),"嘱託非常勤",""))))))</f>
        <v/>
      </c>
      <c r="BF39" s="102" t="str">
        <f t="shared" ref="BF39:BF70" si="38">IF(AND(OR(I39="有",J39="有",K39="有"),R39&lt;&gt;""),"○","")</f>
        <v/>
      </c>
      <c r="BG39" s="102" t="str">
        <f t="shared" ref="BG39:BG70" si="39">IF(AND(BF39="",R39&lt;&gt;""),"○","")</f>
        <v/>
      </c>
      <c r="BH39" s="102" t="str">
        <f t="shared" si="20"/>
        <v/>
      </c>
      <c r="BI39" s="102" t="str">
        <f t="shared" ref="BI39:BI70" si="40">IF($S39="","",IF($R39&lt;&gt;"",IF($S39&gt;=$BI$5,"○",""),""))</f>
        <v/>
      </c>
    </row>
    <row r="40" spans="1:61" s="106" customFormat="1" ht="23.15" customHeight="1">
      <c r="A40" s="3">
        <v>34</v>
      </c>
      <c r="B40" s="15"/>
      <c r="C40" s="5"/>
      <c r="D40" s="6"/>
      <c r="E40" s="4"/>
      <c r="F40" s="7"/>
      <c r="G40" s="8"/>
      <c r="H40" s="9"/>
      <c r="I40" s="9"/>
      <c r="J40" s="9"/>
      <c r="K40" s="9"/>
      <c r="L40" s="9"/>
      <c r="M40" s="9"/>
      <c r="N40" s="9"/>
      <c r="O40" s="9"/>
      <c r="P40" s="9"/>
      <c r="Q40" s="10"/>
      <c r="R40" s="11"/>
      <c r="S40" s="12"/>
      <c r="T40" s="10"/>
      <c r="U40" s="18"/>
      <c r="V40" s="10"/>
      <c r="W40" s="13"/>
      <c r="X40" s="14"/>
      <c r="Y40" s="105" t="str">
        <f t="shared" si="18"/>
        <v/>
      </c>
      <c r="Z40" s="102">
        <f>IF(COUNTIF($E$7:E40,E40)=1,"",COUNTIF($E$7:E40,E40))</f>
        <v>0</v>
      </c>
      <c r="AA40" s="102" t="str">
        <f t="shared" si="24"/>
        <v/>
      </c>
      <c r="AC40" s="102" t="str">
        <f t="shared" si="23"/>
        <v/>
      </c>
      <c r="AD40" s="102" t="str">
        <f t="shared" si="23"/>
        <v/>
      </c>
      <c r="AE40" s="102" t="str">
        <f t="shared" si="23"/>
        <v/>
      </c>
      <c r="AF40" s="102" t="str">
        <f t="shared" si="23"/>
        <v/>
      </c>
      <c r="AG40" s="102" t="str">
        <f t="shared" si="23"/>
        <v/>
      </c>
      <c r="AH40" s="102" t="str">
        <f t="shared" si="23"/>
        <v/>
      </c>
      <c r="AI40" s="102" t="str">
        <f t="shared" si="23"/>
        <v/>
      </c>
      <c r="AJ40" s="102" t="str">
        <f t="shared" si="23"/>
        <v/>
      </c>
      <c r="AK40" s="102" t="str">
        <f t="shared" si="23"/>
        <v/>
      </c>
      <c r="AL40" s="102" t="str">
        <f t="shared" si="23"/>
        <v/>
      </c>
      <c r="AM40" s="102" t="str">
        <f t="shared" si="23"/>
        <v/>
      </c>
      <c r="AN40" s="102" t="str">
        <f t="shared" si="23"/>
        <v/>
      </c>
      <c r="AP40" s="102" t="str">
        <f t="shared" si="25"/>
        <v/>
      </c>
      <c r="AQ40" s="102" t="str">
        <f t="shared" si="26"/>
        <v/>
      </c>
      <c r="AR40" s="102" t="str">
        <f t="shared" si="27"/>
        <v/>
      </c>
      <c r="AS40" s="102" t="str">
        <f t="shared" si="28"/>
        <v/>
      </c>
      <c r="AT40" s="102" t="str">
        <f t="shared" si="29"/>
        <v/>
      </c>
      <c r="AU40" s="102" t="str">
        <f t="shared" si="30"/>
        <v/>
      </c>
      <c r="AV40" s="102" t="str">
        <f t="shared" si="31"/>
        <v/>
      </c>
      <c r="AW40" s="102" t="str">
        <f t="shared" si="32"/>
        <v/>
      </c>
      <c r="AX40" s="102" t="str">
        <f t="shared" si="33"/>
        <v/>
      </c>
      <c r="AY40" s="102" t="str">
        <f t="shared" si="34"/>
        <v/>
      </c>
      <c r="AZ40" s="102" t="str">
        <f t="shared" si="35"/>
        <v/>
      </c>
      <c r="BA40" s="102" t="str">
        <f t="shared" si="36"/>
        <v/>
      </c>
      <c r="BB40" s="106" t="str">
        <f t="shared" si="19"/>
        <v/>
      </c>
      <c r="BE40" s="102" t="str">
        <f t="shared" si="37"/>
        <v/>
      </c>
      <c r="BF40" s="102" t="str">
        <f t="shared" si="38"/>
        <v/>
      </c>
      <c r="BG40" s="102" t="str">
        <f t="shared" si="39"/>
        <v/>
      </c>
      <c r="BH40" s="102" t="str">
        <f t="shared" si="20"/>
        <v/>
      </c>
      <c r="BI40" s="102" t="str">
        <f t="shared" si="40"/>
        <v/>
      </c>
    </row>
    <row r="41" spans="1:61" s="106" customFormat="1" ht="23.15" customHeight="1">
      <c r="A41" s="3">
        <v>35</v>
      </c>
      <c r="B41" s="15"/>
      <c r="C41" s="5"/>
      <c r="D41" s="6"/>
      <c r="E41" s="4"/>
      <c r="F41" s="7"/>
      <c r="G41" s="8"/>
      <c r="H41" s="9"/>
      <c r="I41" s="9"/>
      <c r="J41" s="9"/>
      <c r="K41" s="9"/>
      <c r="L41" s="9"/>
      <c r="M41" s="9"/>
      <c r="N41" s="9"/>
      <c r="O41" s="9"/>
      <c r="P41" s="9"/>
      <c r="Q41" s="10"/>
      <c r="R41" s="11"/>
      <c r="S41" s="12"/>
      <c r="T41" s="10"/>
      <c r="U41" s="18"/>
      <c r="V41" s="10"/>
      <c r="W41" s="13"/>
      <c r="X41" s="14"/>
      <c r="Y41" s="105" t="str">
        <f t="shared" si="18"/>
        <v/>
      </c>
      <c r="Z41" s="102">
        <f>IF(COUNTIF($E$7:E41,E41)=1,"",COUNTIF($E$7:E41,E41))</f>
        <v>0</v>
      </c>
      <c r="AA41" s="102" t="str">
        <f t="shared" si="24"/>
        <v/>
      </c>
      <c r="AC41" s="102" t="str">
        <f t="shared" si="23"/>
        <v/>
      </c>
      <c r="AD41" s="102" t="str">
        <f t="shared" si="23"/>
        <v/>
      </c>
      <c r="AE41" s="102" t="str">
        <f t="shared" si="23"/>
        <v/>
      </c>
      <c r="AF41" s="102" t="str">
        <f t="shared" si="23"/>
        <v/>
      </c>
      <c r="AG41" s="102" t="str">
        <f t="shared" si="23"/>
        <v/>
      </c>
      <c r="AH41" s="102" t="str">
        <f t="shared" si="23"/>
        <v/>
      </c>
      <c r="AI41" s="102" t="str">
        <f t="shared" si="23"/>
        <v/>
      </c>
      <c r="AJ41" s="102" t="str">
        <f t="shared" si="23"/>
        <v/>
      </c>
      <c r="AK41" s="102" t="str">
        <f t="shared" si="23"/>
        <v/>
      </c>
      <c r="AL41" s="102" t="str">
        <f t="shared" si="23"/>
        <v/>
      </c>
      <c r="AM41" s="102" t="str">
        <f t="shared" si="23"/>
        <v/>
      </c>
      <c r="AN41" s="102" t="str">
        <f t="shared" si="23"/>
        <v/>
      </c>
      <c r="AP41" s="102" t="str">
        <f t="shared" si="25"/>
        <v/>
      </c>
      <c r="AQ41" s="102" t="str">
        <f t="shared" si="26"/>
        <v/>
      </c>
      <c r="AR41" s="102" t="str">
        <f t="shared" si="27"/>
        <v/>
      </c>
      <c r="AS41" s="102" t="str">
        <f t="shared" si="28"/>
        <v/>
      </c>
      <c r="AT41" s="102" t="str">
        <f t="shared" si="29"/>
        <v/>
      </c>
      <c r="AU41" s="102" t="str">
        <f t="shared" si="30"/>
        <v/>
      </c>
      <c r="AV41" s="102" t="str">
        <f t="shared" si="31"/>
        <v/>
      </c>
      <c r="AW41" s="102" t="str">
        <f t="shared" si="32"/>
        <v/>
      </c>
      <c r="AX41" s="102" t="str">
        <f t="shared" si="33"/>
        <v/>
      </c>
      <c r="AY41" s="102" t="str">
        <f t="shared" si="34"/>
        <v/>
      </c>
      <c r="AZ41" s="102" t="str">
        <f t="shared" si="35"/>
        <v/>
      </c>
      <c r="BA41" s="102" t="str">
        <f t="shared" si="36"/>
        <v/>
      </c>
      <c r="BB41" s="106" t="str">
        <f t="shared" si="19"/>
        <v/>
      </c>
      <c r="BE41" s="102" t="str">
        <f t="shared" si="37"/>
        <v/>
      </c>
      <c r="BF41" s="102" t="str">
        <f t="shared" si="38"/>
        <v/>
      </c>
      <c r="BG41" s="102" t="str">
        <f t="shared" si="39"/>
        <v/>
      </c>
      <c r="BH41" s="102" t="str">
        <f t="shared" si="20"/>
        <v/>
      </c>
      <c r="BI41" s="102" t="str">
        <f t="shared" si="40"/>
        <v/>
      </c>
    </row>
    <row r="42" spans="1:61" s="106" customFormat="1" ht="23.15" customHeight="1">
      <c r="A42" s="3">
        <v>36</v>
      </c>
      <c r="B42" s="15"/>
      <c r="C42" s="5"/>
      <c r="D42" s="6"/>
      <c r="E42" s="4"/>
      <c r="F42" s="7"/>
      <c r="G42" s="8"/>
      <c r="H42" s="9"/>
      <c r="I42" s="9"/>
      <c r="J42" s="9"/>
      <c r="K42" s="9"/>
      <c r="L42" s="9"/>
      <c r="M42" s="9"/>
      <c r="N42" s="9"/>
      <c r="O42" s="9"/>
      <c r="P42" s="9"/>
      <c r="Q42" s="10"/>
      <c r="R42" s="11"/>
      <c r="S42" s="12"/>
      <c r="T42" s="10"/>
      <c r="U42" s="18"/>
      <c r="V42" s="10"/>
      <c r="W42" s="13"/>
      <c r="X42" s="14"/>
      <c r="Y42" s="105" t="str">
        <f t="shared" si="18"/>
        <v/>
      </c>
      <c r="Z42" s="102">
        <f>IF(COUNTIF($E$7:E42,E42)=1,"",COUNTIF($E$7:E42,E42))</f>
        <v>0</v>
      </c>
      <c r="AA42" s="102" t="str">
        <f t="shared" si="24"/>
        <v/>
      </c>
      <c r="AC42" s="102" t="str">
        <f t="shared" si="23"/>
        <v/>
      </c>
      <c r="AD42" s="102" t="str">
        <f t="shared" si="23"/>
        <v/>
      </c>
      <c r="AE42" s="102" t="str">
        <f t="shared" si="23"/>
        <v/>
      </c>
      <c r="AF42" s="102" t="str">
        <f t="shared" si="23"/>
        <v/>
      </c>
      <c r="AG42" s="102" t="str">
        <f t="shared" si="23"/>
        <v/>
      </c>
      <c r="AH42" s="102" t="str">
        <f t="shared" si="23"/>
        <v/>
      </c>
      <c r="AI42" s="102" t="str">
        <f t="shared" si="23"/>
        <v/>
      </c>
      <c r="AJ42" s="102" t="str">
        <f t="shared" si="23"/>
        <v/>
      </c>
      <c r="AK42" s="102" t="str">
        <f t="shared" si="23"/>
        <v/>
      </c>
      <c r="AL42" s="102" t="str">
        <f t="shared" si="23"/>
        <v/>
      </c>
      <c r="AM42" s="102" t="str">
        <f t="shared" si="23"/>
        <v/>
      </c>
      <c r="AN42" s="102" t="str">
        <f t="shared" si="23"/>
        <v/>
      </c>
      <c r="AP42" s="102" t="str">
        <f t="shared" si="25"/>
        <v/>
      </c>
      <c r="AQ42" s="102" t="str">
        <f t="shared" si="26"/>
        <v/>
      </c>
      <c r="AR42" s="102" t="str">
        <f t="shared" si="27"/>
        <v/>
      </c>
      <c r="AS42" s="102" t="str">
        <f t="shared" si="28"/>
        <v/>
      </c>
      <c r="AT42" s="102" t="str">
        <f t="shared" si="29"/>
        <v/>
      </c>
      <c r="AU42" s="102" t="str">
        <f t="shared" si="30"/>
        <v/>
      </c>
      <c r="AV42" s="102" t="str">
        <f t="shared" si="31"/>
        <v/>
      </c>
      <c r="AW42" s="102" t="str">
        <f t="shared" si="32"/>
        <v/>
      </c>
      <c r="AX42" s="102" t="str">
        <f t="shared" si="33"/>
        <v/>
      </c>
      <c r="AY42" s="102" t="str">
        <f t="shared" si="34"/>
        <v/>
      </c>
      <c r="AZ42" s="102" t="str">
        <f t="shared" si="35"/>
        <v/>
      </c>
      <c r="BA42" s="102" t="str">
        <f t="shared" si="36"/>
        <v/>
      </c>
      <c r="BB42" s="106" t="str">
        <f t="shared" si="19"/>
        <v/>
      </c>
      <c r="BE42" s="102" t="str">
        <f t="shared" si="37"/>
        <v/>
      </c>
      <c r="BF42" s="102" t="str">
        <f t="shared" si="38"/>
        <v/>
      </c>
      <c r="BG42" s="102" t="str">
        <f t="shared" si="39"/>
        <v/>
      </c>
      <c r="BH42" s="102" t="str">
        <f t="shared" si="20"/>
        <v/>
      </c>
      <c r="BI42" s="102" t="str">
        <f t="shared" si="40"/>
        <v/>
      </c>
    </row>
    <row r="43" spans="1:61" s="106" customFormat="1" ht="23.15" customHeight="1">
      <c r="A43" s="3">
        <v>37</v>
      </c>
      <c r="B43" s="15"/>
      <c r="C43" s="5"/>
      <c r="D43" s="6"/>
      <c r="E43" s="4"/>
      <c r="F43" s="7"/>
      <c r="G43" s="8"/>
      <c r="H43" s="9"/>
      <c r="I43" s="9"/>
      <c r="J43" s="9"/>
      <c r="K43" s="9"/>
      <c r="L43" s="9"/>
      <c r="M43" s="9"/>
      <c r="N43" s="9"/>
      <c r="O43" s="9"/>
      <c r="P43" s="9"/>
      <c r="Q43" s="10"/>
      <c r="R43" s="11"/>
      <c r="S43" s="12"/>
      <c r="T43" s="10"/>
      <c r="U43" s="18"/>
      <c r="V43" s="10"/>
      <c r="W43" s="13"/>
      <c r="X43" s="14"/>
      <c r="Y43" s="105" t="str">
        <f t="shared" si="18"/>
        <v/>
      </c>
      <c r="Z43" s="102">
        <f>IF(COUNTIF($E$7:E43,E43)=1,"",COUNTIF($E$7:E43,E43))</f>
        <v>0</v>
      </c>
      <c r="AA43" s="102" t="str">
        <f t="shared" si="24"/>
        <v/>
      </c>
      <c r="AC43" s="102" t="str">
        <f t="shared" si="23"/>
        <v/>
      </c>
      <c r="AD43" s="102" t="str">
        <f t="shared" si="23"/>
        <v/>
      </c>
      <c r="AE43" s="102" t="str">
        <f t="shared" si="23"/>
        <v/>
      </c>
      <c r="AF43" s="102" t="str">
        <f t="shared" si="23"/>
        <v/>
      </c>
      <c r="AG43" s="102" t="str">
        <f t="shared" si="23"/>
        <v/>
      </c>
      <c r="AH43" s="102" t="str">
        <f t="shared" si="23"/>
        <v/>
      </c>
      <c r="AI43" s="102" t="str">
        <f t="shared" si="23"/>
        <v/>
      </c>
      <c r="AJ43" s="102" t="str">
        <f t="shared" si="23"/>
        <v/>
      </c>
      <c r="AK43" s="102" t="str">
        <f t="shared" si="23"/>
        <v/>
      </c>
      <c r="AL43" s="102" t="str">
        <f t="shared" si="23"/>
        <v/>
      </c>
      <c r="AM43" s="102" t="str">
        <f t="shared" si="23"/>
        <v/>
      </c>
      <c r="AN43" s="102" t="str">
        <f t="shared" si="23"/>
        <v/>
      </c>
      <c r="AP43" s="102" t="str">
        <f t="shared" si="25"/>
        <v/>
      </c>
      <c r="AQ43" s="102" t="str">
        <f t="shared" si="26"/>
        <v/>
      </c>
      <c r="AR43" s="102" t="str">
        <f t="shared" si="27"/>
        <v/>
      </c>
      <c r="AS43" s="102" t="str">
        <f t="shared" si="28"/>
        <v/>
      </c>
      <c r="AT43" s="102" t="str">
        <f t="shared" si="29"/>
        <v/>
      </c>
      <c r="AU43" s="102" t="str">
        <f t="shared" si="30"/>
        <v/>
      </c>
      <c r="AV43" s="102" t="str">
        <f t="shared" si="31"/>
        <v/>
      </c>
      <c r="AW43" s="102" t="str">
        <f t="shared" si="32"/>
        <v/>
      </c>
      <c r="AX43" s="102" t="str">
        <f t="shared" si="33"/>
        <v/>
      </c>
      <c r="AY43" s="102" t="str">
        <f t="shared" si="34"/>
        <v/>
      </c>
      <c r="AZ43" s="102" t="str">
        <f t="shared" si="35"/>
        <v/>
      </c>
      <c r="BA43" s="102" t="str">
        <f t="shared" si="36"/>
        <v/>
      </c>
      <c r="BB43" s="106" t="str">
        <f t="shared" si="19"/>
        <v/>
      </c>
      <c r="BE43" s="102" t="str">
        <f t="shared" si="37"/>
        <v/>
      </c>
      <c r="BF43" s="102" t="str">
        <f t="shared" si="38"/>
        <v/>
      </c>
      <c r="BG43" s="102" t="str">
        <f t="shared" si="39"/>
        <v/>
      </c>
      <c r="BH43" s="102" t="str">
        <f t="shared" si="20"/>
        <v/>
      </c>
      <c r="BI43" s="102" t="str">
        <f t="shared" si="40"/>
        <v/>
      </c>
    </row>
    <row r="44" spans="1:61" s="106" customFormat="1" ht="23.15" customHeight="1">
      <c r="A44" s="3">
        <v>38</v>
      </c>
      <c r="B44" s="15"/>
      <c r="C44" s="5"/>
      <c r="D44" s="6"/>
      <c r="E44" s="4"/>
      <c r="F44" s="7"/>
      <c r="G44" s="8"/>
      <c r="H44" s="9"/>
      <c r="I44" s="9"/>
      <c r="J44" s="9"/>
      <c r="K44" s="9"/>
      <c r="L44" s="9"/>
      <c r="M44" s="9"/>
      <c r="N44" s="9"/>
      <c r="O44" s="9"/>
      <c r="P44" s="9"/>
      <c r="Q44" s="10"/>
      <c r="R44" s="11"/>
      <c r="S44" s="12"/>
      <c r="T44" s="10"/>
      <c r="U44" s="18"/>
      <c r="V44" s="10"/>
      <c r="W44" s="13"/>
      <c r="X44" s="14"/>
      <c r="Y44" s="105" t="str">
        <f t="shared" si="18"/>
        <v/>
      </c>
      <c r="Z44" s="102">
        <f>IF(COUNTIF($E$7:E44,E44)=1,"",COUNTIF($E$7:E44,E44))</f>
        <v>0</v>
      </c>
      <c r="AA44" s="102" t="str">
        <f t="shared" si="24"/>
        <v/>
      </c>
      <c r="AC44" s="102" t="str">
        <f t="shared" si="23"/>
        <v/>
      </c>
      <c r="AD44" s="102" t="str">
        <f t="shared" si="23"/>
        <v/>
      </c>
      <c r="AE44" s="102" t="str">
        <f t="shared" si="23"/>
        <v/>
      </c>
      <c r="AF44" s="102" t="str">
        <f t="shared" si="23"/>
        <v/>
      </c>
      <c r="AG44" s="102" t="str">
        <f t="shared" si="23"/>
        <v/>
      </c>
      <c r="AH44" s="102" t="str">
        <f t="shared" si="23"/>
        <v/>
      </c>
      <c r="AI44" s="102" t="str">
        <f t="shared" si="23"/>
        <v/>
      </c>
      <c r="AJ44" s="102" t="str">
        <f t="shared" si="23"/>
        <v/>
      </c>
      <c r="AK44" s="102" t="str">
        <f t="shared" si="23"/>
        <v/>
      </c>
      <c r="AL44" s="102" t="str">
        <f t="shared" si="23"/>
        <v/>
      </c>
      <c r="AM44" s="102" t="str">
        <f t="shared" si="23"/>
        <v/>
      </c>
      <c r="AN44" s="102" t="str">
        <f t="shared" si="23"/>
        <v/>
      </c>
      <c r="AP44" s="102" t="str">
        <f t="shared" si="25"/>
        <v/>
      </c>
      <c r="AQ44" s="102" t="str">
        <f t="shared" si="26"/>
        <v/>
      </c>
      <c r="AR44" s="102" t="str">
        <f t="shared" si="27"/>
        <v/>
      </c>
      <c r="AS44" s="102" t="str">
        <f t="shared" si="28"/>
        <v/>
      </c>
      <c r="AT44" s="102" t="str">
        <f t="shared" si="29"/>
        <v/>
      </c>
      <c r="AU44" s="102" t="str">
        <f t="shared" si="30"/>
        <v/>
      </c>
      <c r="AV44" s="102" t="str">
        <f t="shared" si="31"/>
        <v/>
      </c>
      <c r="AW44" s="102" t="str">
        <f t="shared" si="32"/>
        <v/>
      </c>
      <c r="AX44" s="102" t="str">
        <f t="shared" si="33"/>
        <v/>
      </c>
      <c r="AY44" s="102" t="str">
        <f t="shared" si="34"/>
        <v/>
      </c>
      <c r="AZ44" s="102" t="str">
        <f t="shared" si="35"/>
        <v/>
      </c>
      <c r="BA44" s="102" t="str">
        <f t="shared" si="36"/>
        <v/>
      </c>
      <c r="BB44" s="106" t="str">
        <f t="shared" si="19"/>
        <v/>
      </c>
      <c r="BE44" s="102" t="str">
        <f t="shared" si="37"/>
        <v/>
      </c>
      <c r="BF44" s="102" t="str">
        <f t="shared" si="38"/>
        <v/>
      </c>
      <c r="BG44" s="102" t="str">
        <f t="shared" si="39"/>
        <v/>
      </c>
      <c r="BH44" s="102" t="str">
        <f t="shared" si="20"/>
        <v/>
      </c>
      <c r="BI44" s="102" t="str">
        <f t="shared" si="40"/>
        <v/>
      </c>
    </row>
    <row r="45" spans="1:61" s="106" customFormat="1" ht="23.15" customHeight="1">
      <c r="A45" s="3">
        <v>39</v>
      </c>
      <c r="B45" s="15"/>
      <c r="C45" s="5"/>
      <c r="D45" s="6"/>
      <c r="E45" s="4"/>
      <c r="F45" s="7"/>
      <c r="G45" s="8"/>
      <c r="H45" s="9"/>
      <c r="I45" s="9"/>
      <c r="J45" s="9"/>
      <c r="K45" s="9"/>
      <c r="L45" s="9"/>
      <c r="M45" s="9"/>
      <c r="N45" s="9"/>
      <c r="O45" s="9"/>
      <c r="P45" s="9"/>
      <c r="Q45" s="10"/>
      <c r="R45" s="11"/>
      <c r="S45" s="12"/>
      <c r="T45" s="10"/>
      <c r="U45" s="18"/>
      <c r="V45" s="10"/>
      <c r="W45" s="13"/>
      <c r="X45" s="14"/>
      <c r="Y45" s="105" t="str">
        <f t="shared" si="18"/>
        <v/>
      </c>
      <c r="Z45" s="102">
        <f>IF(COUNTIF($E$7:E45,E45)=1,"",COUNTIF($E$7:E45,E45))</f>
        <v>0</v>
      </c>
      <c r="AA45" s="102" t="str">
        <f t="shared" si="24"/>
        <v/>
      </c>
      <c r="AC45" s="102" t="str">
        <f t="shared" si="23"/>
        <v/>
      </c>
      <c r="AD45" s="102" t="str">
        <f t="shared" si="23"/>
        <v/>
      </c>
      <c r="AE45" s="102" t="str">
        <f t="shared" si="23"/>
        <v/>
      </c>
      <c r="AF45" s="102" t="str">
        <f t="shared" si="23"/>
        <v/>
      </c>
      <c r="AG45" s="102" t="str">
        <f t="shared" si="23"/>
        <v/>
      </c>
      <c r="AH45" s="102" t="str">
        <f t="shared" si="23"/>
        <v/>
      </c>
      <c r="AI45" s="102" t="str">
        <f t="shared" si="23"/>
        <v/>
      </c>
      <c r="AJ45" s="102" t="str">
        <f t="shared" si="23"/>
        <v/>
      </c>
      <c r="AK45" s="102" t="str">
        <f t="shared" si="23"/>
        <v/>
      </c>
      <c r="AL45" s="102" t="str">
        <f t="shared" si="23"/>
        <v/>
      </c>
      <c r="AM45" s="102" t="str">
        <f t="shared" si="23"/>
        <v/>
      </c>
      <c r="AN45" s="102" t="str">
        <f t="shared" si="23"/>
        <v/>
      </c>
      <c r="AP45" s="102" t="str">
        <f t="shared" si="25"/>
        <v/>
      </c>
      <c r="AQ45" s="102" t="str">
        <f t="shared" si="26"/>
        <v/>
      </c>
      <c r="AR45" s="102" t="str">
        <f t="shared" si="27"/>
        <v/>
      </c>
      <c r="AS45" s="102" t="str">
        <f t="shared" si="28"/>
        <v/>
      </c>
      <c r="AT45" s="102" t="str">
        <f t="shared" si="29"/>
        <v/>
      </c>
      <c r="AU45" s="102" t="str">
        <f t="shared" si="30"/>
        <v/>
      </c>
      <c r="AV45" s="102" t="str">
        <f t="shared" si="31"/>
        <v/>
      </c>
      <c r="AW45" s="102" t="str">
        <f t="shared" si="32"/>
        <v/>
      </c>
      <c r="AX45" s="102" t="str">
        <f t="shared" si="33"/>
        <v/>
      </c>
      <c r="AY45" s="102" t="str">
        <f t="shared" si="34"/>
        <v/>
      </c>
      <c r="AZ45" s="102" t="str">
        <f t="shared" si="35"/>
        <v/>
      </c>
      <c r="BA45" s="102" t="str">
        <f t="shared" si="36"/>
        <v/>
      </c>
      <c r="BB45" s="106" t="str">
        <f t="shared" si="19"/>
        <v/>
      </c>
      <c r="BE45" s="102" t="str">
        <f t="shared" si="37"/>
        <v/>
      </c>
      <c r="BF45" s="102" t="str">
        <f t="shared" si="38"/>
        <v/>
      </c>
      <c r="BG45" s="102" t="str">
        <f t="shared" si="39"/>
        <v/>
      </c>
      <c r="BH45" s="102" t="str">
        <f t="shared" si="20"/>
        <v/>
      </c>
      <c r="BI45" s="102" t="str">
        <f t="shared" si="40"/>
        <v/>
      </c>
    </row>
    <row r="46" spans="1:61" s="106" customFormat="1" ht="23.15" customHeight="1">
      <c r="A46" s="3">
        <v>40</v>
      </c>
      <c r="B46" s="15"/>
      <c r="C46" s="5"/>
      <c r="D46" s="6"/>
      <c r="E46" s="4"/>
      <c r="F46" s="7"/>
      <c r="G46" s="8"/>
      <c r="H46" s="9"/>
      <c r="I46" s="9"/>
      <c r="J46" s="9"/>
      <c r="K46" s="9"/>
      <c r="L46" s="9"/>
      <c r="M46" s="9"/>
      <c r="N46" s="9"/>
      <c r="O46" s="9"/>
      <c r="P46" s="9"/>
      <c r="Q46" s="10"/>
      <c r="R46" s="11"/>
      <c r="S46" s="12"/>
      <c r="T46" s="10"/>
      <c r="U46" s="18"/>
      <c r="V46" s="10"/>
      <c r="W46" s="13"/>
      <c r="X46" s="14"/>
      <c r="Y46" s="105" t="str">
        <f t="shared" si="18"/>
        <v/>
      </c>
      <c r="Z46" s="102">
        <f>IF(COUNTIF($E$7:E46,E46)=1,"",COUNTIF($E$7:E46,E46))</f>
        <v>0</v>
      </c>
      <c r="AA46" s="102" t="str">
        <f t="shared" si="24"/>
        <v/>
      </c>
      <c r="AC46" s="102" t="str">
        <f t="shared" si="23"/>
        <v/>
      </c>
      <c r="AD46" s="102" t="str">
        <f t="shared" si="23"/>
        <v/>
      </c>
      <c r="AE46" s="102" t="str">
        <f t="shared" si="23"/>
        <v/>
      </c>
      <c r="AF46" s="102" t="str">
        <f t="shared" si="23"/>
        <v/>
      </c>
      <c r="AG46" s="102" t="str">
        <f t="shared" si="23"/>
        <v/>
      </c>
      <c r="AH46" s="102" t="str">
        <f t="shared" si="23"/>
        <v/>
      </c>
      <c r="AI46" s="102" t="str">
        <f t="shared" si="23"/>
        <v/>
      </c>
      <c r="AJ46" s="102" t="str">
        <f t="shared" si="23"/>
        <v/>
      </c>
      <c r="AK46" s="102" t="str">
        <f t="shared" si="23"/>
        <v/>
      </c>
      <c r="AL46" s="102" t="str">
        <f t="shared" si="23"/>
        <v/>
      </c>
      <c r="AM46" s="102" t="str">
        <f t="shared" si="23"/>
        <v/>
      </c>
      <c r="AN46" s="102" t="str">
        <f t="shared" si="23"/>
        <v/>
      </c>
      <c r="AP46" s="102" t="str">
        <f t="shared" si="25"/>
        <v/>
      </c>
      <c r="AQ46" s="102" t="str">
        <f t="shared" si="26"/>
        <v/>
      </c>
      <c r="AR46" s="102" t="str">
        <f t="shared" si="27"/>
        <v/>
      </c>
      <c r="AS46" s="102" t="str">
        <f t="shared" si="28"/>
        <v/>
      </c>
      <c r="AT46" s="102" t="str">
        <f t="shared" si="29"/>
        <v/>
      </c>
      <c r="AU46" s="102" t="str">
        <f t="shared" si="30"/>
        <v/>
      </c>
      <c r="AV46" s="102" t="str">
        <f t="shared" si="31"/>
        <v/>
      </c>
      <c r="AW46" s="102" t="str">
        <f t="shared" si="32"/>
        <v/>
      </c>
      <c r="AX46" s="102" t="str">
        <f t="shared" si="33"/>
        <v/>
      </c>
      <c r="AY46" s="102" t="str">
        <f t="shared" si="34"/>
        <v/>
      </c>
      <c r="AZ46" s="102" t="str">
        <f t="shared" si="35"/>
        <v/>
      </c>
      <c r="BA46" s="102" t="str">
        <f t="shared" si="36"/>
        <v/>
      </c>
      <c r="BB46" s="106" t="str">
        <f t="shared" si="19"/>
        <v/>
      </c>
      <c r="BE46" s="102" t="str">
        <f t="shared" si="37"/>
        <v/>
      </c>
      <c r="BF46" s="102" t="str">
        <f t="shared" si="38"/>
        <v/>
      </c>
      <c r="BG46" s="102" t="str">
        <f t="shared" si="39"/>
        <v/>
      </c>
      <c r="BH46" s="102" t="str">
        <f t="shared" si="20"/>
        <v/>
      </c>
      <c r="BI46" s="102" t="str">
        <f t="shared" si="40"/>
        <v/>
      </c>
    </row>
    <row r="47" spans="1:61" s="106" customFormat="1" ht="23.15" customHeight="1">
      <c r="A47" s="3">
        <v>41</v>
      </c>
      <c r="B47" s="15"/>
      <c r="C47" s="5"/>
      <c r="D47" s="6"/>
      <c r="E47" s="4"/>
      <c r="F47" s="7"/>
      <c r="G47" s="8"/>
      <c r="H47" s="9"/>
      <c r="I47" s="9"/>
      <c r="J47" s="9"/>
      <c r="K47" s="9"/>
      <c r="L47" s="9"/>
      <c r="M47" s="9"/>
      <c r="N47" s="9"/>
      <c r="O47" s="9"/>
      <c r="P47" s="9"/>
      <c r="Q47" s="10"/>
      <c r="R47" s="11"/>
      <c r="S47" s="12"/>
      <c r="T47" s="10"/>
      <c r="U47" s="18"/>
      <c r="V47" s="10"/>
      <c r="W47" s="13"/>
      <c r="X47" s="14"/>
      <c r="Y47" s="105" t="str">
        <f t="shared" si="18"/>
        <v/>
      </c>
      <c r="Z47" s="102">
        <f>IF(COUNTIF($E$7:E47,E47)=1,"",COUNTIF($E$7:E47,E47))</f>
        <v>0</v>
      </c>
      <c r="AA47" s="102" t="str">
        <f t="shared" si="24"/>
        <v/>
      </c>
      <c r="AC47" s="102" t="str">
        <f t="shared" si="23"/>
        <v/>
      </c>
      <c r="AD47" s="102" t="str">
        <f t="shared" si="23"/>
        <v/>
      </c>
      <c r="AE47" s="102" t="str">
        <f t="shared" si="23"/>
        <v/>
      </c>
      <c r="AF47" s="102" t="str">
        <f t="shared" si="23"/>
        <v/>
      </c>
      <c r="AG47" s="102" t="str">
        <f t="shared" si="23"/>
        <v/>
      </c>
      <c r="AH47" s="102" t="str">
        <f t="shared" si="23"/>
        <v/>
      </c>
      <c r="AI47" s="102" t="str">
        <f t="shared" si="23"/>
        <v/>
      </c>
      <c r="AJ47" s="102" t="str">
        <f t="shared" si="23"/>
        <v/>
      </c>
      <c r="AK47" s="102" t="str">
        <f t="shared" si="23"/>
        <v/>
      </c>
      <c r="AL47" s="102" t="str">
        <f t="shared" si="23"/>
        <v/>
      </c>
      <c r="AM47" s="102" t="str">
        <f t="shared" si="23"/>
        <v/>
      </c>
      <c r="AN47" s="102" t="str">
        <f t="shared" si="23"/>
        <v/>
      </c>
      <c r="AP47" s="102" t="str">
        <f t="shared" si="25"/>
        <v/>
      </c>
      <c r="AQ47" s="102" t="str">
        <f t="shared" si="26"/>
        <v/>
      </c>
      <c r="AR47" s="102" t="str">
        <f t="shared" si="27"/>
        <v/>
      </c>
      <c r="AS47" s="102" t="str">
        <f t="shared" si="28"/>
        <v/>
      </c>
      <c r="AT47" s="102" t="str">
        <f t="shared" si="29"/>
        <v/>
      </c>
      <c r="AU47" s="102" t="str">
        <f t="shared" si="30"/>
        <v/>
      </c>
      <c r="AV47" s="102" t="str">
        <f t="shared" si="31"/>
        <v/>
      </c>
      <c r="AW47" s="102" t="str">
        <f t="shared" si="32"/>
        <v/>
      </c>
      <c r="AX47" s="102" t="str">
        <f t="shared" si="33"/>
        <v/>
      </c>
      <c r="AY47" s="102" t="str">
        <f t="shared" si="34"/>
        <v/>
      </c>
      <c r="AZ47" s="102" t="str">
        <f t="shared" si="35"/>
        <v/>
      </c>
      <c r="BA47" s="102" t="str">
        <f t="shared" si="36"/>
        <v/>
      </c>
      <c r="BB47" s="106" t="str">
        <f t="shared" si="19"/>
        <v/>
      </c>
      <c r="BE47" s="102" t="str">
        <f t="shared" si="37"/>
        <v/>
      </c>
      <c r="BF47" s="102" t="str">
        <f t="shared" si="38"/>
        <v/>
      </c>
      <c r="BG47" s="102" t="str">
        <f t="shared" si="39"/>
        <v/>
      </c>
      <c r="BH47" s="102" t="str">
        <f t="shared" si="20"/>
        <v/>
      </c>
      <c r="BI47" s="102" t="str">
        <f t="shared" si="40"/>
        <v/>
      </c>
    </row>
    <row r="48" spans="1:61" s="106" customFormat="1" ht="23.15" customHeight="1">
      <c r="A48" s="3">
        <v>42</v>
      </c>
      <c r="B48" s="15"/>
      <c r="C48" s="5"/>
      <c r="D48" s="6"/>
      <c r="E48" s="4"/>
      <c r="F48" s="7"/>
      <c r="G48" s="8"/>
      <c r="H48" s="9"/>
      <c r="I48" s="9"/>
      <c r="J48" s="9"/>
      <c r="K48" s="9"/>
      <c r="L48" s="9"/>
      <c r="M48" s="9"/>
      <c r="N48" s="9"/>
      <c r="O48" s="9"/>
      <c r="P48" s="9"/>
      <c r="Q48" s="10"/>
      <c r="R48" s="11"/>
      <c r="S48" s="12"/>
      <c r="T48" s="10"/>
      <c r="U48" s="18"/>
      <c r="V48" s="10"/>
      <c r="W48" s="13"/>
      <c r="X48" s="14"/>
      <c r="Y48" s="105" t="str">
        <f t="shared" si="18"/>
        <v/>
      </c>
      <c r="Z48" s="102">
        <f>IF(COUNTIF($E$7:E48,E48)=1,"",COUNTIF($E$7:E48,E48))</f>
        <v>0</v>
      </c>
      <c r="AA48" s="102" t="str">
        <f t="shared" si="24"/>
        <v/>
      </c>
      <c r="AC48" s="102" t="str">
        <f t="shared" si="23"/>
        <v/>
      </c>
      <c r="AD48" s="102" t="str">
        <f t="shared" si="23"/>
        <v/>
      </c>
      <c r="AE48" s="102" t="str">
        <f t="shared" si="23"/>
        <v/>
      </c>
      <c r="AF48" s="102" t="str">
        <f t="shared" si="23"/>
        <v/>
      </c>
      <c r="AG48" s="102" t="str">
        <f t="shared" si="23"/>
        <v/>
      </c>
      <c r="AH48" s="102" t="str">
        <f t="shared" si="23"/>
        <v/>
      </c>
      <c r="AI48" s="102" t="str">
        <f t="shared" si="23"/>
        <v/>
      </c>
      <c r="AJ48" s="102" t="str">
        <f t="shared" si="23"/>
        <v/>
      </c>
      <c r="AK48" s="102" t="str">
        <f t="shared" si="23"/>
        <v/>
      </c>
      <c r="AL48" s="102" t="str">
        <f t="shared" si="23"/>
        <v/>
      </c>
      <c r="AM48" s="102" t="str">
        <f t="shared" si="23"/>
        <v/>
      </c>
      <c r="AN48" s="102" t="str">
        <f t="shared" si="23"/>
        <v/>
      </c>
      <c r="AP48" s="102" t="str">
        <f t="shared" si="25"/>
        <v/>
      </c>
      <c r="AQ48" s="102" t="str">
        <f t="shared" si="26"/>
        <v/>
      </c>
      <c r="AR48" s="102" t="str">
        <f t="shared" si="27"/>
        <v/>
      </c>
      <c r="AS48" s="102" t="str">
        <f t="shared" si="28"/>
        <v/>
      </c>
      <c r="AT48" s="102" t="str">
        <f t="shared" si="29"/>
        <v/>
      </c>
      <c r="AU48" s="102" t="str">
        <f t="shared" si="30"/>
        <v/>
      </c>
      <c r="AV48" s="102" t="str">
        <f t="shared" si="31"/>
        <v/>
      </c>
      <c r="AW48" s="102" t="str">
        <f t="shared" si="32"/>
        <v/>
      </c>
      <c r="AX48" s="102" t="str">
        <f t="shared" si="33"/>
        <v/>
      </c>
      <c r="AY48" s="102" t="str">
        <f t="shared" si="34"/>
        <v/>
      </c>
      <c r="AZ48" s="102" t="str">
        <f t="shared" si="35"/>
        <v/>
      </c>
      <c r="BA48" s="102" t="str">
        <f t="shared" si="36"/>
        <v/>
      </c>
      <c r="BB48" s="106" t="str">
        <f t="shared" si="19"/>
        <v/>
      </c>
      <c r="BE48" s="102" t="str">
        <f t="shared" si="37"/>
        <v/>
      </c>
      <c r="BF48" s="102" t="str">
        <f t="shared" si="38"/>
        <v/>
      </c>
      <c r="BG48" s="102" t="str">
        <f t="shared" si="39"/>
        <v/>
      </c>
      <c r="BH48" s="102" t="str">
        <f t="shared" si="20"/>
        <v/>
      </c>
      <c r="BI48" s="102" t="str">
        <f t="shared" si="40"/>
        <v/>
      </c>
    </row>
    <row r="49" spans="1:61" s="106" customFormat="1" ht="23.15" customHeight="1">
      <c r="A49" s="3">
        <v>43</v>
      </c>
      <c r="B49" s="15"/>
      <c r="C49" s="5"/>
      <c r="D49" s="6"/>
      <c r="E49" s="4"/>
      <c r="F49" s="7"/>
      <c r="G49" s="8"/>
      <c r="H49" s="9"/>
      <c r="I49" s="9"/>
      <c r="J49" s="9"/>
      <c r="K49" s="9"/>
      <c r="L49" s="9"/>
      <c r="M49" s="9"/>
      <c r="N49" s="9"/>
      <c r="O49" s="9"/>
      <c r="P49" s="9"/>
      <c r="Q49" s="10"/>
      <c r="R49" s="11"/>
      <c r="S49" s="12"/>
      <c r="T49" s="10"/>
      <c r="U49" s="18"/>
      <c r="V49" s="10"/>
      <c r="W49" s="13"/>
      <c r="X49" s="14"/>
      <c r="Y49" s="105" t="str">
        <f t="shared" si="18"/>
        <v/>
      </c>
      <c r="Z49" s="102">
        <f>IF(COUNTIF($E$7:E49,E49)=1,"",COUNTIF($E$7:E49,E49))</f>
        <v>0</v>
      </c>
      <c r="AA49" s="102" t="str">
        <f t="shared" si="24"/>
        <v/>
      </c>
      <c r="AC49" s="102" t="str">
        <f t="shared" si="23"/>
        <v/>
      </c>
      <c r="AD49" s="102" t="str">
        <f t="shared" si="23"/>
        <v/>
      </c>
      <c r="AE49" s="102" t="str">
        <f t="shared" si="23"/>
        <v/>
      </c>
      <c r="AF49" s="102" t="str">
        <f t="shared" si="23"/>
        <v/>
      </c>
      <c r="AG49" s="102" t="str">
        <f t="shared" si="23"/>
        <v/>
      </c>
      <c r="AH49" s="102" t="str">
        <f t="shared" si="23"/>
        <v/>
      </c>
      <c r="AI49" s="102" t="str">
        <f t="shared" si="23"/>
        <v/>
      </c>
      <c r="AJ49" s="102" t="str">
        <f t="shared" si="23"/>
        <v/>
      </c>
      <c r="AK49" s="102" t="str">
        <f t="shared" si="23"/>
        <v/>
      </c>
      <c r="AL49" s="102" t="str">
        <f t="shared" si="23"/>
        <v/>
      </c>
      <c r="AM49" s="102" t="str">
        <f t="shared" si="23"/>
        <v/>
      </c>
      <c r="AN49" s="102" t="str">
        <f t="shared" si="23"/>
        <v/>
      </c>
      <c r="AP49" s="102" t="str">
        <f t="shared" si="25"/>
        <v/>
      </c>
      <c r="AQ49" s="102" t="str">
        <f t="shared" si="26"/>
        <v/>
      </c>
      <c r="AR49" s="102" t="str">
        <f t="shared" si="27"/>
        <v/>
      </c>
      <c r="AS49" s="102" t="str">
        <f t="shared" si="28"/>
        <v/>
      </c>
      <c r="AT49" s="102" t="str">
        <f t="shared" si="29"/>
        <v/>
      </c>
      <c r="AU49" s="102" t="str">
        <f t="shared" si="30"/>
        <v/>
      </c>
      <c r="AV49" s="102" t="str">
        <f t="shared" si="31"/>
        <v/>
      </c>
      <c r="AW49" s="102" t="str">
        <f t="shared" si="32"/>
        <v/>
      </c>
      <c r="AX49" s="102" t="str">
        <f t="shared" si="33"/>
        <v/>
      </c>
      <c r="AY49" s="102" t="str">
        <f t="shared" si="34"/>
        <v/>
      </c>
      <c r="AZ49" s="102" t="str">
        <f t="shared" si="35"/>
        <v/>
      </c>
      <c r="BA49" s="102" t="str">
        <f t="shared" si="36"/>
        <v/>
      </c>
      <c r="BB49" s="106" t="str">
        <f t="shared" si="19"/>
        <v/>
      </c>
      <c r="BE49" s="102" t="str">
        <f t="shared" si="37"/>
        <v/>
      </c>
      <c r="BF49" s="102" t="str">
        <f t="shared" si="38"/>
        <v/>
      </c>
      <c r="BG49" s="102" t="str">
        <f t="shared" si="39"/>
        <v/>
      </c>
      <c r="BH49" s="102" t="str">
        <f t="shared" si="20"/>
        <v/>
      </c>
      <c r="BI49" s="102" t="str">
        <f t="shared" si="40"/>
        <v/>
      </c>
    </row>
    <row r="50" spans="1:61" s="106" customFormat="1" ht="23.15" customHeight="1">
      <c r="A50" s="3">
        <v>44</v>
      </c>
      <c r="B50" s="15"/>
      <c r="C50" s="5"/>
      <c r="D50" s="6"/>
      <c r="E50" s="4"/>
      <c r="F50" s="7"/>
      <c r="G50" s="8"/>
      <c r="H50" s="9"/>
      <c r="I50" s="9"/>
      <c r="J50" s="9"/>
      <c r="K50" s="9"/>
      <c r="L50" s="9"/>
      <c r="M50" s="9"/>
      <c r="N50" s="9"/>
      <c r="O50" s="9"/>
      <c r="P50" s="9"/>
      <c r="Q50" s="10"/>
      <c r="R50" s="11"/>
      <c r="S50" s="12"/>
      <c r="T50" s="10"/>
      <c r="U50" s="18"/>
      <c r="V50" s="10"/>
      <c r="W50" s="13"/>
      <c r="X50" s="14"/>
      <c r="Y50" s="105" t="str">
        <f t="shared" si="18"/>
        <v/>
      </c>
      <c r="Z50" s="102">
        <f>IF(COUNTIF($E$7:E50,E50)=1,"",COUNTIF($E$7:E50,E50))</f>
        <v>0</v>
      </c>
      <c r="AA50" s="102" t="str">
        <f t="shared" si="24"/>
        <v/>
      </c>
      <c r="AC50" s="102" t="str">
        <f t="shared" si="23"/>
        <v/>
      </c>
      <c r="AD50" s="102" t="str">
        <f t="shared" si="23"/>
        <v/>
      </c>
      <c r="AE50" s="102" t="str">
        <f t="shared" si="23"/>
        <v/>
      </c>
      <c r="AF50" s="102" t="str">
        <f t="shared" si="23"/>
        <v/>
      </c>
      <c r="AG50" s="102" t="str">
        <f t="shared" si="23"/>
        <v/>
      </c>
      <c r="AH50" s="102" t="str">
        <f t="shared" si="23"/>
        <v/>
      </c>
      <c r="AI50" s="102" t="str">
        <f t="shared" si="23"/>
        <v/>
      </c>
      <c r="AJ50" s="102" t="str">
        <f t="shared" si="23"/>
        <v/>
      </c>
      <c r="AK50" s="102" t="str">
        <f t="shared" si="23"/>
        <v/>
      </c>
      <c r="AL50" s="102" t="str">
        <f t="shared" si="23"/>
        <v/>
      </c>
      <c r="AM50" s="102" t="str">
        <f t="shared" si="23"/>
        <v/>
      </c>
      <c r="AN50" s="102" t="str">
        <f t="shared" si="23"/>
        <v/>
      </c>
      <c r="AP50" s="102" t="str">
        <f t="shared" si="25"/>
        <v/>
      </c>
      <c r="AQ50" s="102" t="str">
        <f t="shared" si="26"/>
        <v/>
      </c>
      <c r="AR50" s="102" t="str">
        <f t="shared" si="27"/>
        <v/>
      </c>
      <c r="AS50" s="102" t="str">
        <f t="shared" si="28"/>
        <v/>
      </c>
      <c r="AT50" s="102" t="str">
        <f t="shared" si="29"/>
        <v/>
      </c>
      <c r="AU50" s="102" t="str">
        <f t="shared" si="30"/>
        <v/>
      </c>
      <c r="AV50" s="102" t="str">
        <f t="shared" si="31"/>
        <v/>
      </c>
      <c r="AW50" s="102" t="str">
        <f t="shared" si="32"/>
        <v/>
      </c>
      <c r="AX50" s="102" t="str">
        <f t="shared" si="33"/>
        <v/>
      </c>
      <c r="AY50" s="102" t="str">
        <f t="shared" si="34"/>
        <v/>
      </c>
      <c r="AZ50" s="102" t="str">
        <f t="shared" si="35"/>
        <v/>
      </c>
      <c r="BA50" s="102" t="str">
        <f t="shared" si="36"/>
        <v/>
      </c>
      <c r="BB50" s="106" t="str">
        <f t="shared" si="19"/>
        <v/>
      </c>
      <c r="BE50" s="102" t="str">
        <f t="shared" si="37"/>
        <v/>
      </c>
      <c r="BF50" s="102" t="str">
        <f t="shared" si="38"/>
        <v/>
      </c>
      <c r="BG50" s="102" t="str">
        <f t="shared" si="39"/>
        <v/>
      </c>
      <c r="BH50" s="102" t="str">
        <f t="shared" si="20"/>
        <v/>
      </c>
      <c r="BI50" s="102" t="str">
        <f t="shared" si="40"/>
        <v/>
      </c>
    </row>
    <row r="51" spans="1:61" s="106" customFormat="1" ht="23.15" customHeight="1">
      <c r="A51" s="3">
        <v>45</v>
      </c>
      <c r="B51" s="15"/>
      <c r="C51" s="5"/>
      <c r="D51" s="6"/>
      <c r="E51" s="4"/>
      <c r="F51" s="7"/>
      <c r="G51" s="8"/>
      <c r="H51" s="9"/>
      <c r="I51" s="9"/>
      <c r="J51" s="9"/>
      <c r="K51" s="9"/>
      <c r="L51" s="9"/>
      <c r="M51" s="9"/>
      <c r="N51" s="9"/>
      <c r="O51" s="9"/>
      <c r="P51" s="9"/>
      <c r="Q51" s="10"/>
      <c r="R51" s="11"/>
      <c r="S51" s="12"/>
      <c r="T51" s="10"/>
      <c r="U51" s="18"/>
      <c r="V51" s="10"/>
      <c r="W51" s="13"/>
      <c r="X51" s="14"/>
      <c r="Y51" s="105" t="str">
        <f t="shared" si="18"/>
        <v/>
      </c>
      <c r="Z51" s="102">
        <f>IF(COUNTIF($E$7:E51,E51)=1,"",COUNTIF($E$7:E51,E51))</f>
        <v>0</v>
      </c>
      <c r="AA51" s="102" t="str">
        <f t="shared" si="24"/>
        <v/>
      </c>
      <c r="AC51" s="102" t="str">
        <f t="shared" si="23"/>
        <v/>
      </c>
      <c r="AD51" s="102" t="str">
        <f t="shared" si="23"/>
        <v/>
      </c>
      <c r="AE51" s="102" t="str">
        <f t="shared" si="23"/>
        <v/>
      </c>
      <c r="AF51" s="102" t="str">
        <f t="shared" si="23"/>
        <v/>
      </c>
      <c r="AG51" s="102" t="str">
        <f t="shared" si="23"/>
        <v/>
      </c>
      <c r="AH51" s="102" t="str">
        <f t="shared" si="23"/>
        <v/>
      </c>
      <c r="AI51" s="102" t="str">
        <f t="shared" si="23"/>
        <v/>
      </c>
      <c r="AJ51" s="102" t="str">
        <f t="shared" si="23"/>
        <v/>
      </c>
      <c r="AK51" s="102" t="str">
        <f t="shared" si="23"/>
        <v/>
      </c>
      <c r="AL51" s="102" t="str">
        <f t="shared" si="23"/>
        <v/>
      </c>
      <c r="AM51" s="102" t="str">
        <f t="shared" si="23"/>
        <v/>
      </c>
      <c r="AN51" s="102" t="str">
        <f t="shared" si="23"/>
        <v/>
      </c>
      <c r="AP51" s="102" t="str">
        <f t="shared" si="25"/>
        <v/>
      </c>
      <c r="AQ51" s="102" t="str">
        <f t="shared" si="26"/>
        <v/>
      </c>
      <c r="AR51" s="102" t="str">
        <f t="shared" si="27"/>
        <v/>
      </c>
      <c r="AS51" s="102" t="str">
        <f t="shared" si="28"/>
        <v/>
      </c>
      <c r="AT51" s="102" t="str">
        <f t="shared" si="29"/>
        <v/>
      </c>
      <c r="AU51" s="102" t="str">
        <f t="shared" si="30"/>
        <v/>
      </c>
      <c r="AV51" s="102" t="str">
        <f t="shared" si="31"/>
        <v/>
      </c>
      <c r="AW51" s="102" t="str">
        <f t="shared" si="32"/>
        <v/>
      </c>
      <c r="AX51" s="102" t="str">
        <f t="shared" si="33"/>
        <v/>
      </c>
      <c r="AY51" s="102" t="str">
        <f t="shared" si="34"/>
        <v/>
      </c>
      <c r="AZ51" s="102" t="str">
        <f t="shared" si="35"/>
        <v/>
      </c>
      <c r="BA51" s="102" t="str">
        <f t="shared" si="36"/>
        <v/>
      </c>
      <c r="BB51" s="106" t="str">
        <f t="shared" si="19"/>
        <v/>
      </c>
      <c r="BE51" s="102" t="str">
        <f t="shared" si="37"/>
        <v/>
      </c>
      <c r="BF51" s="102" t="str">
        <f t="shared" si="38"/>
        <v/>
      </c>
      <c r="BG51" s="102" t="str">
        <f t="shared" si="39"/>
        <v/>
      </c>
      <c r="BH51" s="102" t="str">
        <f t="shared" si="20"/>
        <v/>
      </c>
      <c r="BI51" s="102" t="str">
        <f t="shared" si="40"/>
        <v/>
      </c>
    </row>
    <row r="52" spans="1:61" s="106" customFormat="1" ht="23.15" customHeight="1">
      <c r="A52" s="3">
        <v>46</v>
      </c>
      <c r="B52" s="15"/>
      <c r="C52" s="5"/>
      <c r="D52" s="6"/>
      <c r="E52" s="4"/>
      <c r="F52" s="7"/>
      <c r="G52" s="8"/>
      <c r="H52" s="9"/>
      <c r="I52" s="9"/>
      <c r="J52" s="9"/>
      <c r="K52" s="9"/>
      <c r="L52" s="9"/>
      <c r="M52" s="9"/>
      <c r="N52" s="9"/>
      <c r="O52" s="9"/>
      <c r="P52" s="9"/>
      <c r="Q52" s="10"/>
      <c r="R52" s="11"/>
      <c r="S52" s="12"/>
      <c r="T52" s="10"/>
      <c r="U52" s="18"/>
      <c r="V52" s="10"/>
      <c r="W52" s="13"/>
      <c r="X52" s="14"/>
      <c r="Y52" s="105" t="str">
        <f t="shared" si="18"/>
        <v/>
      </c>
      <c r="Z52" s="102">
        <f>IF(COUNTIF($E$7:E52,E52)=1,"",COUNTIF($E$7:E52,E52))</f>
        <v>0</v>
      </c>
      <c r="AA52" s="102" t="str">
        <f t="shared" si="24"/>
        <v/>
      </c>
      <c r="AC52" s="102" t="str">
        <f t="shared" si="23"/>
        <v/>
      </c>
      <c r="AD52" s="102" t="str">
        <f t="shared" si="23"/>
        <v/>
      </c>
      <c r="AE52" s="102" t="str">
        <f t="shared" si="23"/>
        <v/>
      </c>
      <c r="AF52" s="102" t="str">
        <f t="shared" si="23"/>
        <v/>
      </c>
      <c r="AG52" s="102" t="str">
        <f t="shared" si="23"/>
        <v/>
      </c>
      <c r="AH52" s="102" t="str">
        <f t="shared" si="23"/>
        <v/>
      </c>
      <c r="AI52" s="102" t="str">
        <f t="shared" si="23"/>
        <v/>
      </c>
      <c r="AJ52" s="102" t="str">
        <f t="shared" si="23"/>
        <v/>
      </c>
      <c r="AK52" s="102" t="str">
        <f t="shared" si="23"/>
        <v/>
      </c>
      <c r="AL52" s="102" t="str">
        <f t="shared" si="23"/>
        <v/>
      </c>
      <c r="AM52" s="102" t="str">
        <f t="shared" si="23"/>
        <v/>
      </c>
      <c r="AN52" s="102" t="str">
        <f t="shared" si="23"/>
        <v/>
      </c>
      <c r="AP52" s="102" t="str">
        <f t="shared" si="25"/>
        <v/>
      </c>
      <c r="AQ52" s="102" t="str">
        <f t="shared" si="26"/>
        <v/>
      </c>
      <c r="AR52" s="102" t="str">
        <f t="shared" si="27"/>
        <v/>
      </c>
      <c r="AS52" s="102" t="str">
        <f t="shared" si="28"/>
        <v/>
      </c>
      <c r="AT52" s="102" t="str">
        <f t="shared" si="29"/>
        <v/>
      </c>
      <c r="AU52" s="102" t="str">
        <f t="shared" si="30"/>
        <v/>
      </c>
      <c r="AV52" s="102" t="str">
        <f t="shared" si="31"/>
        <v/>
      </c>
      <c r="AW52" s="102" t="str">
        <f t="shared" si="32"/>
        <v/>
      </c>
      <c r="AX52" s="102" t="str">
        <f t="shared" si="33"/>
        <v/>
      </c>
      <c r="AY52" s="102" t="str">
        <f t="shared" si="34"/>
        <v/>
      </c>
      <c r="AZ52" s="102" t="str">
        <f t="shared" si="35"/>
        <v/>
      </c>
      <c r="BA52" s="102" t="str">
        <f t="shared" si="36"/>
        <v/>
      </c>
      <c r="BB52" s="106" t="str">
        <f t="shared" si="19"/>
        <v/>
      </c>
      <c r="BE52" s="102" t="str">
        <f t="shared" si="37"/>
        <v/>
      </c>
      <c r="BF52" s="102" t="str">
        <f t="shared" si="38"/>
        <v/>
      </c>
      <c r="BG52" s="102" t="str">
        <f t="shared" si="39"/>
        <v/>
      </c>
      <c r="BH52" s="102" t="str">
        <f t="shared" si="20"/>
        <v/>
      </c>
      <c r="BI52" s="102" t="str">
        <f t="shared" si="40"/>
        <v/>
      </c>
    </row>
    <row r="53" spans="1:61" s="106" customFormat="1" ht="23.15" customHeight="1">
      <c r="A53" s="3">
        <v>47</v>
      </c>
      <c r="B53" s="15"/>
      <c r="C53" s="5"/>
      <c r="D53" s="6"/>
      <c r="E53" s="4"/>
      <c r="F53" s="7"/>
      <c r="G53" s="8"/>
      <c r="H53" s="9"/>
      <c r="I53" s="9"/>
      <c r="J53" s="9"/>
      <c r="K53" s="9"/>
      <c r="L53" s="9"/>
      <c r="M53" s="9"/>
      <c r="N53" s="9"/>
      <c r="O53" s="9"/>
      <c r="P53" s="9"/>
      <c r="Q53" s="10"/>
      <c r="R53" s="11"/>
      <c r="S53" s="12"/>
      <c r="T53" s="10"/>
      <c r="U53" s="18"/>
      <c r="V53" s="10"/>
      <c r="W53" s="13"/>
      <c r="X53" s="14"/>
      <c r="Y53" s="105" t="str">
        <f t="shared" si="18"/>
        <v/>
      </c>
      <c r="Z53" s="102">
        <f>IF(COUNTIF($E$7:E53,E53)=1,"",COUNTIF($E$7:E53,E53))</f>
        <v>0</v>
      </c>
      <c r="AA53" s="102" t="str">
        <f t="shared" si="24"/>
        <v/>
      </c>
      <c r="AC53" s="102" t="str">
        <f t="shared" si="23"/>
        <v/>
      </c>
      <c r="AD53" s="102" t="str">
        <f t="shared" si="23"/>
        <v/>
      </c>
      <c r="AE53" s="102" t="str">
        <f t="shared" si="23"/>
        <v/>
      </c>
      <c r="AF53" s="102" t="str">
        <f t="shared" si="23"/>
        <v/>
      </c>
      <c r="AG53" s="102" t="str">
        <f t="shared" si="23"/>
        <v/>
      </c>
      <c r="AH53" s="102" t="str">
        <f t="shared" si="23"/>
        <v/>
      </c>
      <c r="AI53" s="102" t="str">
        <f t="shared" si="23"/>
        <v/>
      </c>
      <c r="AJ53" s="102" t="str">
        <f t="shared" si="23"/>
        <v/>
      </c>
      <c r="AK53" s="102" t="str">
        <f t="shared" si="23"/>
        <v/>
      </c>
      <c r="AL53" s="102" t="str">
        <f t="shared" si="23"/>
        <v/>
      </c>
      <c r="AM53" s="102" t="str">
        <f t="shared" si="23"/>
        <v/>
      </c>
      <c r="AN53" s="102" t="str">
        <f t="shared" si="23"/>
        <v/>
      </c>
      <c r="AP53" s="102" t="str">
        <f t="shared" si="25"/>
        <v/>
      </c>
      <c r="AQ53" s="102" t="str">
        <f t="shared" si="26"/>
        <v/>
      </c>
      <c r="AR53" s="102" t="str">
        <f t="shared" si="27"/>
        <v/>
      </c>
      <c r="AS53" s="102" t="str">
        <f t="shared" si="28"/>
        <v/>
      </c>
      <c r="AT53" s="102" t="str">
        <f t="shared" si="29"/>
        <v/>
      </c>
      <c r="AU53" s="102" t="str">
        <f t="shared" si="30"/>
        <v/>
      </c>
      <c r="AV53" s="102" t="str">
        <f t="shared" si="31"/>
        <v/>
      </c>
      <c r="AW53" s="102" t="str">
        <f t="shared" si="32"/>
        <v/>
      </c>
      <c r="AX53" s="102" t="str">
        <f t="shared" si="33"/>
        <v/>
      </c>
      <c r="AY53" s="102" t="str">
        <f t="shared" si="34"/>
        <v/>
      </c>
      <c r="AZ53" s="102" t="str">
        <f t="shared" si="35"/>
        <v/>
      </c>
      <c r="BA53" s="102" t="str">
        <f t="shared" si="36"/>
        <v/>
      </c>
      <c r="BB53" s="106" t="str">
        <f t="shared" si="19"/>
        <v/>
      </c>
      <c r="BE53" s="102" t="str">
        <f t="shared" si="37"/>
        <v/>
      </c>
      <c r="BF53" s="102" t="str">
        <f t="shared" si="38"/>
        <v/>
      </c>
      <c r="BG53" s="102" t="str">
        <f t="shared" si="39"/>
        <v/>
      </c>
      <c r="BH53" s="102" t="str">
        <f t="shared" si="20"/>
        <v/>
      </c>
      <c r="BI53" s="102" t="str">
        <f t="shared" si="40"/>
        <v/>
      </c>
    </row>
    <row r="54" spans="1:61" s="106" customFormat="1" ht="23.15" customHeight="1">
      <c r="A54" s="3">
        <v>48</v>
      </c>
      <c r="B54" s="15"/>
      <c r="C54" s="5"/>
      <c r="D54" s="6"/>
      <c r="E54" s="4"/>
      <c r="F54" s="7"/>
      <c r="G54" s="8"/>
      <c r="H54" s="9"/>
      <c r="I54" s="9"/>
      <c r="J54" s="9"/>
      <c r="K54" s="9"/>
      <c r="L54" s="9"/>
      <c r="M54" s="9"/>
      <c r="N54" s="9"/>
      <c r="O54" s="9"/>
      <c r="P54" s="9"/>
      <c r="Q54" s="10"/>
      <c r="R54" s="11"/>
      <c r="S54" s="12"/>
      <c r="T54" s="10"/>
      <c r="U54" s="18"/>
      <c r="V54" s="10"/>
      <c r="W54" s="13"/>
      <c r="X54" s="14"/>
      <c r="Y54" s="105" t="str">
        <f t="shared" si="18"/>
        <v/>
      </c>
      <c r="Z54" s="102">
        <f>IF(COUNTIF($E$7:E54,E54)=1,"",COUNTIF($E$7:E54,E54))</f>
        <v>0</v>
      </c>
      <c r="AA54" s="102" t="str">
        <f t="shared" si="24"/>
        <v/>
      </c>
      <c r="AC54" s="102" t="str">
        <f t="shared" si="23"/>
        <v/>
      </c>
      <c r="AD54" s="102" t="str">
        <f t="shared" si="23"/>
        <v/>
      </c>
      <c r="AE54" s="102" t="str">
        <f t="shared" si="23"/>
        <v/>
      </c>
      <c r="AF54" s="102" t="str">
        <f t="shared" ref="AC54:AN75" si="41">IF(OR($W54=$S$129,$W54=$S$133),"",IF($S54="","",IF($U54="",IF($R54="",IF($S54&lt;=AF$6,"○",""),IF(AND($R54&lt;=AF$6,$S54&lt;=AF$6),"●",IF($S54&lt;=AF$6,"○",""))),IF($U54&gt;=AF$6,IF($R54="",IF($S54&lt;=AF$6,"○",""),IF(AND($R54&lt;=AF$6,$S54&lt;=AF$6),"●",IF($S54&lt;=AF$6,"○",""))),""))))</f>
        <v/>
      </c>
      <c r="AG54" s="102" t="str">
        <f t="shared" si="41"/>
        <v/>
      </c>
      <c r="AH54" s="102" t="str">
        <f t="shared" si="41"/>
        <v/>
      </c>
      <c r="AI54" s="102" t="str">
        <f t="shared" si="41"/>
        <v/>
      </c>
      <c r="AJ54" s="102" t="str">
        <f t="shared" si="41"/>
        <v/>
      </c>
      <c r="AK54" s="102" t="str">
        <f t="shared" si="41"/>
        <v/>
      </c>
      <c r="AL54" s="102" t="str">
        <f t="shared" si="41"/>
        <v/>
      </c>
      <c r="AM54" s="102" t="str">
        <f t="shared" si="41"/>
        <v/>
      </c>
      <c r="AN54" s="102" t="str">
        <f t="shared" si="41"/>
        <v/>
      </c>
      <c r="AP54" s="102" t="str">
        <f t="shared" si="25"/>
        <v/>
      </c>
      <c r="AQ54" s="102" t="str">
        <f t="shared" si="26"/>
        <v/>
      </c>
      <c r="AR54" s="102" t="str">
        <f t="shared" si="27"/>
        <v/>
      </c>
      <c r="AS54" s="102" t="str">
        <f t="shared" si="28"/>
        <v/>
      </c>
      <c r="AT54" s="102" t="str">
        <f t="shared" si="29"/>
        <v/>
      </c>
      <c r="AU54" s="102" t="str">
        <f t="shared" si="30"/>
        <v/>
      </c>
      <c r="AV54" s="102" t="str">
        <f t="shared" si="31"/>
        <v/>
      </c>
      <c r="AW54" s="102" t="str">
        <f t="shared" si="32"/>
        <v/>
      </c>
      <c r="AX54" s="102" t="str">
        <f t="shared" si="33"/>
        <v/>
      </c>
      <c r="AY54" s="102" t="str">
        <f t="shared" si="34"/>
        <v/>
      </c>
      <c r="AZ54" s="102" t="str">
        <f t="shared" si="35"/>
        <v/>
      </c>
      <c r="BA54" s="102" t="str">
        <f t="shared" si="36"/>
        <v/>
      </c>
      <c r="BB54" s="106" t="str">
        <f t="shared" si="19"/>
        <v/>
      </c>
      <c r="BE54" s="102" t="str">
        <f t="shared" si="37"/>
        <v/>
      </c>
      <c r="BF54" s="102" t="str">
        <f t="shared" si="38"/>
        <v/>
      </c>
      <c r="BG54" s="102" t="str">
        <f t="shared" si="39"/>
        <v/>
      </c>
      <c r="BH54" s="102" t="str">
        <f t="shared" si="20"/>
        <v/>
      </c>
      <c r="BI54" s="102" t="str">
        <f t="shared" si="40"/>
        <v/>
      </c>
    </row>
    <row r="55" spans="1:61" s="106" customFormat="1" ht="23.15" customHeight="1">
      <c r="A55" s="3">
        <v>49</v>
      </c>
      <c r="B55" s="15"/>
      <c r="C55" s="5"/>
      <c r="D55" s="6"/>
      <c r="E55" s="4"/>
      <c r="F55" s="7"/>
      <c r="G55" s="8"/>
      <c r="H55" s="9"/>
      <c r="I55" s="9"/>
      <c r="J55" s="9"/>
      <c r="K55" s="9"/>
      <c r="L55" s="9"/>
      <c r="M55" s="9"/>
      <c r="N55" s="9"/>
      <c r="O55" s="9"/>
      <c r="P55" s="9"/>
      <c r="Q55" s="10"/>
      <c r="R55" s="11"/>
      <c r="S55" s="12"/>
      <c r="T55" s="10"/>
      <c r="U55" s="18"/>
      <c r="V55" s="10"/>
      <c r="W55" s="13"/>
      <c r="X55" s="14"/>
      <c r="Y55" s="105" t="str">
        <f t="shared" si="18"/>
        <v/>
      </c>
      <c r="Z55" s="102">
        <f>IF(COUNTIF($E$7:E55,E55)=1,"",COUNTIF($E$7:E55,E55))</f>
        <v>0</v>
      </c>
      <c r="AA55" s="102" t="str">
        <f t="shared" si="24"/>
        <v/>
      </c>
      <c r="AC55" s="102" t="str">
        <f t="shared" si="41"/>
        <v/>
      </c>
      <c r="AD55" s="102" t="str">
        <f t="shared" si="41"/>
        <v/>
      </c>
      <c r="AE55" s="102" t="str">
        <f t="shared" si="41"/>
        <v/>
      </c>
      <c r="AF55" s="102" t="str">
        <f t="shared" si="41"/>
        <v/>
      </c>
      <c r="AG55" s="102" t="str">
        <f t="shared" si="41"/>
        <v/>
      </c>
      <c r="AH55" s="102" t="str">
        <f t="shared" si="41"/>
        <v/>
      </c>
      <c r="AI55" s="102" t="str">
        <f t="shared" si="41"/>
        <v/>
      </c>
      <c r="AJ55" s="102" t="str">
        <f t="shared" si="41"/>
        <v/>
      </c>
      <c r="AK55" s="102" t="str">
        <f t="shared" si="41"/>
        <v/>
      </c>
      <c r="AL55" s="102" t="str">
        <f t="shared" si="41"/>
        <v/>
      </c>
      <c r="AM55" s="102" t="str">
        <f t="shared" si="41"/>
        <v/>
      </c>
      <c r="AN55" s="102" t="str">
        <f t="shared" si="41"/>
        <v/>
      </c>
      <c r="AP55" s="102" t="str">
        <f t="shared" si="25"/>
        <v/>
      </c>
      <c r="AQ55" s="102" t="str">
        <f t="shared" si="26"/>
        <v/>
      </c>
      <c r="AR55" s="102" t="str">
        <f t="shared" si="27"/>
        <v/>
      </c>
      <c r="AS55" s="102" t="str">
        <f t="shared" si="28"/>
        <v/>
      </c>
      <c r="AT55" s="102" t="str">
        <f t="shared" si="29"/>
        <v/>
      </c>
      <c r="AU55" s="102" t="str">
        <f t="shared" si="30"/>
        <v/>
      </c>
      <c r="AV55" s="102" t="str">
        <f t="shared" si="31"/>
        <v/>
      </c>
      <c r="AW55" s="102" t="str">
        <f t="shared" si="32"/>
        <v/>
      </c>
      <c r="AX55" s="102" t="str">
        <f t="shared" si="33"/>
        <v/>
      </c>
      <c r="AY55" s="102" t="str">
        <f t="shared" si="34"/>
        <v/>
      </c>
      <c r="AZ55" s="102" t="str">
        <f t="shared" si="35"/>
        <v/>
      </c>
      <c r="BA55" s="102" t="str">
        <f t="shared" si="36"/>
        <v/>
      </c>
      <c r="BB55" s="106" t="str">
        <f t="shared" si="19"/>
        <v/>
      </c>
      <c r="BE55" s="102" t="str">
        <f t="shared" si="37"/>
        <v/>
      </c>
      <c r="BF55" s="102" t="str">
        <f t="shared" si="38"/>
        <v/>
      </c>
      <c r="BG55" s="102" t="str">
        <f t="shared" si="39"/>
        <v/>
      </c>
      <c r="BH55" s="102" t="str">
        <f t="shared" si="20"/>
        <v/>
      </c>
      <c r="BI55" s="102" t="str">
        <f t="shared" si="40"/>
        <v/>
      </c>
    </row>
    <row r="56" spans="1:61" s="106" customFormat="1" ht="23.15" customHeight="1">
      <c r="A56" s="3">
        <v>50</v>
      </c>
      <c r="B56" s="15"/>
      <c r="C56" s="5"/>
      <c r="D56" s="6"/>
      <c r="E56" s="4"/>
      <c r="F56" s="7"/>
      <c r="G56" s="8"/>
      <c r="H56" s="9"/>
      <c r="I56" s="9"/>
      <c r="J56" s="9"/>
      <c r="K56" s="9"/>
      <c r="L56" s="9"/>
      <c r="M56" s="9"/>
      <c r="N56" s="9"/>
      <c r="O56" s="9"/>
      <c r="P56" s="9"/>
      <c r="Q56" s="10"/>
      <c r="R56" s="11"/>
      <c r="S56" s="12"/>
      <c r="T56" s="10"/>
      <c r="U56" s="18"/>
      <c r="V56" s="10"/>
      <c r="W56" s="13"/>
      <c r="X56" s="14"/>
      <c r="Y56" s="105" t="str">
        <f t="shared" si="18"/>
        <v/>
      </c>
      <c r="Z56" s="102">
        <f>IF(COUNTIF($E$7:E56,E56)=1,"",COUNTIF($E$7:E56,E56))</f>
        <v>0</v>
      </c>
      <c r="AA56" s="102" t="str">
        <f t="shared" si="24"/>
        <v/>
      </c>
      <c r="AC56" s="102" t="str">
        <f t="shared" si="41"/>
        <v/>
      </c>
      <c r="AD56" s="102" t="str">
        <f t="shared" si="41"/>
        <v/>
      </c>
      <c r="AE56" s="102" t="str">
        <f t="shared" si="41"/>
        <v/>
      </c>
      <c r="AF56" s="102" t="str">
        <f t="shared" si="41"/>
        <v/>
      </c>
      <c r="AG56" s="102" t="str">
        <f t="shared" si="41"/>
        <v/>
      </c>
      <c r="AH56" s="102" t="str">
        <f t="shared" si="41"/>
        <v/>
      </c>
      <c r="AI56" s="102" t="str">
        <f t="shared" si="41"/>
        <v/>
      </c>
      <c r="AJ56" s="102" t="str">
        <f t="shared" si="41"/>
        <v/>
      </c>
      <c r="AK56" s="102" t="str">
        <f t="shared" si="41"/>
        <v/>
      </c>
      <c r="AL56" s="102" t="str">
        <f t="shared" si="41"/>
        <v/>
      </c>
      <c r="AM56" s="102" t="str">
        <f t="shared" si="41"/>
        <v/>
      </c>
      <c r="AN56" s="102" t="str">
        <f t="shared" si="41"/>
        <v/>
      </c>
      <c r="AP56" s="102" t="str">
        <f t="shared" si="25"/>
        <v/>
      </c>
      <c r="AQ56" s="102" t="str">
        <f t="shared" si="26"/>
        <v/>
      </c>
      <c r="AR56" s="102" t="str">
        <f t="shared" si="27"/>
        <v/>
      </c>
      <c r="AS56" s="102" t="str">
        <f t="shared" si="28"/>
        <v/>
      </c>
      <c r="AT56" s="102" t="str">
        <f t="shared" si="29"/>
        <v/>
      </c>
      <c r="AU56" s="102" t="str">
        <f t="shared" si="30"/>
        <v/>
      </c>
      <c r="AV56" s="102" t="str">
        <f t="shared" si="31"/>
        <v/>
      </c>
      <c r="AW56" s="102" t="str">
        <f t="shared" si="32"/>
        <v/>
      </c>
      <c r="AX56" s="102" t="str">
        <f t="shared" si="33"/>
        <v/>
      </c>
      <c r="AY56" s="102" t="str">
        <f t="shared" si="34"/>
        <v/>
      </c>
      <c r="AZ56" s="102" t="str">
        <f t="shared" si="35"/>
        <v/>
      </c>
      <c r="BA56" s="102" t="str">
        <f t="shared" si="36"/>
        <v/>
      </c>
      <c r="BB56" s="106" t="str">
        <f t="shared" si="19"/>
        <v/>
      </c>
      <c r="BE56" s="102" t="str">
        <f t="shared" si="37"/>
        <v/>
      </c>
      <c r="BF56" s="102" t="str">
        <f t="shared" si="38"/>
        <v/>
      </c>
      <c r="BG56" s="102" t="str">
        <f t="shared" si="39"/>
        <v/>
      </c>
      <c r="BH56" s="102" t="str">
        <f t="shared" si="20"/>
        <v/>
      </c>
      <c r="BI56" s="102" t="str">
        <f t="shared" si="40"/>
        <v/>
      </c>
    </row>
    <row r="57" spans="1:61" s="106" customFormat="1" ht="23.15" customHeight="1">
      <c r="A57" s="3">
        <v>51</v>
      </c>
      <c r="B57" s="15"/>
      <c r="C57" s="5"/>
      <c r="D57" s="6"/>
      <c r="E57" s="4"/>
      <c r="F57" s="7"/>
      <c r="G57" s="8"/>
      <c r="H57" s="9"/>
      <c r="I57" s="9"/>
      <c r="J57" s="9"/>
      <c r="K57" s="9"/>
      <c r="L57" s="9"/>
      <c r="M57" s="9"/>
      <c r="N57" s="9"/>
      <c r="O57" s="9"/>
      <c r="P57" s="9"/>
      <c r="Q57" s="10"/>
      <c r="R57" s="11"/>
      <c r="S57" s="12"/>
      <c r="T57" s="10"/>
      <c r="U57" s="18"/>
      <c r="V57" s="10"/>
      <c r="W57" s="13"/>
      <c r="X57" s="14"/>
      <c r="Y57" s="105" t="str">
        <f t="shared" si="18"/>
        <v/>
      </c>
      <c r="Z57" s="102">
        <f>IF(COUNTIF($E$7:E57,E57)=1,"",COUNTIF($E$7:E57,E57))</f>
        <v>0</v>
      </c>
      <c r="AA57" s="102" t="str">
        <f t="shared" si="24"/>
        <v/>
      </c>
      <c r="AC57" s="102" t="str">
        <f t="shared" si="41"/>
        <v/>
      </c>
      <c r="AD57" s="102" t="str">
        <f t="shared" si="41"/>
        <v/>
      </c>
      <c r="AE57" s="102" t="str">
        <f t="shared" si="41"/>
        <v/>
      </c>
      <c r="AF57" s="102" t="str">
        <f t="shared" si="41"/>
        <v/>
      </c>
      <c r="AG57" s="102" t="str">
        <f t="shared" si="41"/>
        <v/>
      </c>
      <c r="AH57" s="102" t="str">
        <f t="shared" si="41"/>
        <v/>
      </c>
      <c r="AI57" s="102" t="str">
        <f t="shared" si="41"/>
        <v/>
      </c>
      <c r="AJ57" s="102" t="str">
        <f t="shared" si="41"/>
        <v/>
      </c>
      <c r="AK57" s="102" t="str">
        <f t="shared" si="41"/>
        <v/>
      </c>
      <c r="AL57" s="102" t="str">
        <f t="shared" si="41"/>
        <v/>
      </c>
      <c r="AM57" s="102" t="str">
        <f t="shared" si="41"/>
        <v/>
      </c>
      <c r="AN57" s="102" t="str">
        <f t="shared" si="41"/>
        <v/>
      </c>
      <c r="AP57" s="102" t="str">
        <f t="shared" si="25"/>
        <v/>
      </c>
      <c r="AQ57" s="102" t="str">
        <f t="shared" si="26"/>
        <v/>
      </c>
      <c r="AR57" s="102" t="str">
        <f t="shared" si="27"/>
        <v/>
      </c>
      <c r="AS57" s="102" t="str">
        <f t="shared" si="28"/>
        <v/>
      </c>
      <c r="AT57" s="102" t="str">
        <f t="shared" si="29"/>
        <v/>
      </c>
      <c r="AU57" s="102" t="str">
        <f t="shared" si="30"/>
        <v/>
      </c>
      <c r="AV57" s="102" t="str">
        <f t="shared" si="31"/>
        <v/>
      </c>
      <c r="AW57" s="102" t="str">
        <f t="shared" si="32"/>
        <v/>
      </c>
      <c r="AX57" s="102" t="str">
        <f t="shared" si="33"/>
        <v/>
      </c>
      <c r="AY57" s="102" t="str">
        <f t="shared" si="34"/>
        <v/>
      </c>
      <c r="AZ57" s="102" t="str">
        <f t="shared" si="35"/>
        <v/>
      </c>
      <c r="BA57" s="102" t="str">
        <f t="shared" si="36"/>
        <v/>
      </c>
      <c r="BB57" s="106" t="str">
        <f t="shared" si="19"/>
        <v/>
      </c>
      <c r="BE57" s="102" t="str">
        <f t="shared" si="37"/>
        <v/>
      </c>
      <c r="BF57" s="102" t="str">
        <f t="shared" si="38"/>
        <v/>
      </c>
      <c r="BG57" s="102" t="str">
        <f t="shared" si="39"/>
        <v/>
      </c>
      <c r="BH57" s="102" t="str">
        <f t="shared" si="20"/>
        <v/>
      </c>
      <c r="BI57" s="102" t="str">
        <f t="shared" si="40"/>
        <v/>
      </c>
    </row>
    <row r="58" spans="1:61" s="106" customFormat="1" ht="23.15" customHeight="1">
      <c r="A58" s="3">
        <v>52</v>
      </c>
      <c r="B58" s="15"/>
      <c r="C58" s="5"/>
      <c r="D58" s="6"/>
      <c r="E58" s="4"/>
      <c r="F58" s="7"/>
      <c r="G58" s="8"/>
      <c r="H58" s="9"/>
      <c r="I58" s="9"/>
      <c r="J58" s="9"/>
      <c r="K58" s="9"/>
      <c r="L58" s="9"/>
      <c r="M58" s="9"/>
      <c r="N58" s="9"/>
      <c r="O58" s="9"/>
      <c r="P58" s="9"/>
      <c r="Q58" s="10"/>
      <c r="R58" s="11"/>
      <c r="S58" s="12"/>
      <c r="T58" s="10"/>
      <c r="U58" s="18"/>
      <c r="V58" s="10"/>
      <c r="W58" s="13"/>
      <c r="X58" s="14"/>
      <c r="Y58" s="105" t="str">
        <f t="shared" si="18"/>
        <v/>
      </c>
      <c r="Z58" s="102">
        <f>IF(COUNTIF($E$7:E58,E58)=1,"",COUNTIF($E$7:E58,E58))</f>
        <v>0</v>
      </c>
      <c r="AA58" s="102" t="str">
        <f t="shared" si="24"/>
        <v/>
      </c>
      <c r="AC58" s="102" t="str">
        <f t="shared" si="41"/>
        <v/>
      </c>
      <c r="AD58" s="102" t="str">
        <f t="shared" si="41"/>
        <v/>
      </c>
      <c r="AE58" s="102" t="str">
        <f t="shared" si="41"/>
        <v/>
      </c>
      <c r="AF58" s="102" t="str">
        <f t="shared" si="41"/>
        <v/>
      </c>
      <c r="AG58" s="102" t="str">
        <f t="shared" si="41"/>
        <v/>
      </c>
      <c r="AH58" s="102" t="str">
        <f t="shared" si="41"/>
        <v/>
      </c>
      <c r="AI58" s="102" t="str">
        <f t="shared" si="41"/>
        <v/>
      </c>
      <c r="AJ58" s="102" t="str">
        <f t="shared" si="41"/>
        <v/>
      </c>
      <c r="AK58" s="102" t="str">
        <f t="shared" si="41"/>
        <v/>
      </c>
      <c r="AL58" s="102" t="str">
        <f t="shared" si="41"/>
        <v/>
      </c>
      <c r="AM58" s="102" t="str">
        <f t="shared" si="41"/>
        <v/>
      </c>
      <c r="AN58" s="102" t="str">
        <f t="shared" si="41"/>
        <v/>
      </c>
      <c r="AP58" s="102" t="str">
        <f t="shared" si="25"/>
        <v/>
      </c>
      <c r="AQ58" s="102" t="str">
        <f t="shared" si="26"/>
        <v/>
      </c>
      <c r="AR58" s="102" t="str">
        <f t="shared" si="27"/>
        <v/>
      </c>
      <c r="AS58" s="102" t="str">
        <f t="shared" si="28"/>
        <v/>
      </c>
      <c r="AT58" s="102" t="str">
        <f t="shared" si="29"/>
        <v/>
      </c>
      <c r="AU58" s="102" t="str">
        <f t="shared" si="30"/>
        <v/>
      </c>
      <c r="AV58" s="102" t="str">
        <f t="shared" si="31"/>
        <v/>
      </c>
      <c r="AW58" s="102" t="str">
        <f t="shared" si="32"/>
        <v/>
      </c>
      <c r="AX58" s="102" t="str">
        <f t="shared" si="33"/>
        <v/>
      </c>
      <c r="AY58" s="102" t="str">
        <f t="shared" si="34"/>
        <v/>
      </c>
      <c r="AZ58" s="102" t="str">
        <f t="shared" si="35"/>
        <v/>
      </c>
      <c r="BA58" s="102" t="str">
        <f t="shared" si="36"/>
        <v/>
      </c>
      <c r="BB58" s="106" t="str">
        <f t="shared" si="19"/>
        <v/>
      </c>
      <c r="BE58" s="102" t="str">
        <f t="shared" si="37"/>
        <v/>
      </c>
      <c r="BF58" s="102" t="str">
        <f t="shared" si="38"/>
        <v/>
      </c>
      <c r="BG58" s="102" t="str">
        <f t="shared" si="39"/>
        <v/>
      </c>
      <c r="BH58" s="102" t="str">
        <f t="shared" si="20"/>
        <v/>
      </c>
      <c r="BI58" s="102" t="str">
        <f t="shared" si="40"/>
        <v/>
      </c>
    </row>
    <row r="59" spans="1:61" s="106" customFormat="1" ht="23.15" customHeight="1">
      <c r="A59" s="3">
        <v>53</v>
      </c>
      <c r="B59" s="15"/>
      <c r="C59" s="5"/>
      <c r="D59" s="6"/>
      <c r="E59" s="4"/>
      <c r="F59" s="7"/>
      <c r="G59" s="8"/>
      <c r="H59" s="9"/>
      <c r="I59" s="9"/>
      <c r="J59" s="9"/>
      <c r="K59" s="9"/>
      <c r="L59" s="9"/>
      <c r="M59" s="9"/>
      <c r="N59" s="9"/>
      <c r="O59" s="9"/>
      <c r="P59" s="9"/>
      <c r="Q59" s="10"/>
      <c r="R59" s="11"/>
      <c r="S59" s="12"/>
      <c r="T59" s="10"/>
      <c r="U59" s="18"/>
      <c r="V59" s="10"/>
      <c r="W59" s="13"/>
      <c r="X59" s="14"/>
      <c r="Y59" s="105" t="str">
        <f t="shared" si="18"/>
        <v/>
      </c>
      <c r="Z59" s="102">
        <f>IF(COUNTIF($E$7:E59,E59)=1,"",COUNTIF($E$7:E59,E59))</f>
        <v>0</v>
      </c>
      <c r="AA59" s="102" t="str">
        <f t="shared" si="24"/>
        <v/>
      </c>
      <c r="AC59" s="102" t="str">
        <f t="shared" si="41"/>
        <v/>
      </c>
      <c r="AD59" s="102" t="str">
        <f t="shared" si="41"/>
        <v/>
      </c>
      <c r="AE59" s="102" t="str">
        <f t="shared" si="41"/>
        <v/>
      </c>
      <c r="AF59" s="102" t="str">
        <f t="shared" si="41"/>
        <v/>
      </c>
      <c r="AG59" s="102" t="str">
        <f t="shared" si="41"/>
        <v/>
      </c>
      <c r="AH59" s="102" t="str">
        <f t="shared" si="41"/>
        <v/>
      </c>
      <c r="AI59" s="102" t="str">
        <f t="shared" si="41"/>
        <v/>
      </c>
      <c r="AJ59" s="102" t="str">
        <f t="shared" si="41"/>
        <v/>
      </c>
      <c r="AK59" s="102" t="str">
        <f t="shared" si="41"/>
        <v/>
      </c>
      <c r="AL59" s="102" t="str">
        <f t="shared" si="41"/>
        <v/>
      </c>
      <c r="AM59" s="102" t="str">
        <f t="shared" si="41"/>
        <v/>
      </c>
      <c r="AN59" s="102" t="str">
        <f t="shared" si="41"/>
        <v/>
      </c>
      <c r="AP59" s="102" t="str">
        <f t="shared" si="25"/>
        <v/>
      </c>
      <c r="AQ59" s="102" t="str">
        <f t="shared" si="26"/>
        <v/>
      </c>
      <c r="AR59" s="102" t="str">
        <f t="shared" si="27"/>
        <v/>
      </c>
      <c r="AS59" s="102" t="str">
        <f t="shared" si="28"/>
        <v/>
      </c>
      <c r="AT59" s="102" t="str">
        <f t="shared" si="29"/>
        <v/>
      </c>
      <c r="AU59" s="102" t="str">
        <f t="shared" si="30"/>
        <v/>
      </c>
      <c r="AV59" s="102" t="str">
        <f t="shared" si="31"/>
        <v/>
      </c>
      <c r="AW59" s="102" t="str">
        <f t="shared" si="32"/>
        <v/>
      </c>
      <c r="AX59" s="102" t="str">
        <f t="shared" si="33"/>
        <v/>
      </c>
      <c r="AY59" s="102" t="str">
        <f t="shared" si="34"/>
        <v/>
      </c>
      <c r="AZ59" s="102" t="str">
        <f t="shared" si="35"/>
        <v/>
      </c>
      <c r="BA59" s="102" t="str">
        <f t="shared" si="36"/>
        <v/>
      </c>
      <c r="BB59" s="106" t="str">
        <f t="shared" si="19"/>
        <v/>
      </c>
      <c r="BE59" s="102" t="str">
        <f t="shared" si="37"/>
        <v/>
      </c>
      <c r="BF59" s="102" t="str">
        <f t="shared" si="38"/>
        <v/>
      </c>
      <c r="BG59" s="102" t="str">
        <f t="shared" si="39"/>
        <v/>
      </c>
      <c r="BH59" s="102" t="str">
        <f t="shared" si="20"/>
        <v/>
      </c>
      <c r="BI59" s="102" t="str">
        <f t="shared" si="40"/>
        <v/>
      </c>
    </row>
    <row r="60" spans="1:61" s="106" customFormat="1" ht="23.15" customHeight="1">
      <c r="A60" s="3">
        <v>54</v>
      </c>
      <c r="B60" s="15"/>
      <c r="C60" s="5"/>
      <c r="D60" s="6"/>
      <c r="E60" s="4"/>
      <c r="F60" s="7"/>
      <c r="G60" s="8"/>
      <c r="H60" s="9"/>
      <c r="I60" s="9"/>
      <c r="J60" s="9"/>
      <c r="K60" s="9"/>
      <c r="L60" s="9"/>
      <c r="M60" s="9"/>
      <c r="N60" s="9"/>
      <c r="O60" s="9"/>
      <c r="P60" s="9"/>
      <c r="Q60" s="10"/>
      <c r="R60" s="11"/>
      <c r="S60" s="12"/>
      <c r="T60" s="10"/>
      <c r="U60" s="18"/>
      <c r="V60" s="10"/>
      <c r="W60" s="13"/>
      <c r="X60" s="14"/>
      <c r="Y60" s="105" t="str">
        <f t="shared" si="18"/>
        <v/>
      </c>
      <c r="Z60" s="102">
        <f>IF(COUNTIF($E$7:E60,E60)=1,"",COUNTIF($E$7:E60,E60))</f>
        <v>0</v>
      </c>
      <c r="AA60" s="102" t="str">
        <f t="shared" si="24"/>
        <v/>
      </c>
      <c r="AC60" s="102" t="str">
        <f t="shared" si="41"/>
        <v/>
      </c>
      <c r="AD60" s="102" t="str">
        <f t="shared" si="41"/>
        <v/>
      </c>
      <c r="AE60" s="102" t="str">
        <f t="shared" si="41"/>
        <v/>
      </c>
      <c r="AF60" s="102" t="str">
        <f t="shared" si="41"/>
        <v/>
      </c>
      <c r="AG60" s="102" t="str">
        <f t="shared" si="41"/>
        <v/>
      </c>
      <c r="AH60" s="102" t="str">
        <f t="shared" si="41"/>
        <v/>
      </c>
      <c r="AI60" s="102" t="str">
        <f t="shared" si="41"/>
        <v/>
      </c>
      <c r="AJ60" s="102" t="str">
        <f t="shared" si="41"/>
        <v/>
      </c>
      <c r="AK60" s="102" t="str">
        <f t="shared" si="41"/>
        <v/>
      </c>
      <c r="AL60" s="102" t="str">
        <f t="shared" si="41"/>
        <v/>
      </c>
      <c r="AM60" s="102" t="str">
        <f t="shared" si="41"/>
        <v/>
      </c>
      <c r="AN60" s="102" t="str">
        <f t="shared" si="41"/>
        <v/>
      </c>
      <c r="AP60" s="102" t="str">
        <f t="shared" si="25"/>
        <v/>
      </c>
      <c r="AQ60" s="102" t="str">
        <f t="shared" si="26"/>
        <v/>
      </c>
      <c r="AR60" s="102" t="str">
        <f t="shared" si="27"/>
        <v/>
      </c>
      <c r="AS60" s="102" t="str">
        <f t="shared" si="28"/>
        <v/>
      </c>
      <c r="AT60" s="102" t="str">
        <f t="shared" si="29"/>
        <v/>
      </c>
      <c r="AU60" s="102" t="str">
        <f t="shared" si="30"/>
        <v/>
      </c>
      <c r="AV60" s="102" t="str">
        <f t="shared" si="31"/>
        <v/>
      </c>
      <c r="AW60" s="102" t="str">
        <f t="shared" si="32"/>
        <v/>
      </c>
      <c r="AX60" s="102" t="str">
        <f t="shared" si="33"/>
        <v/>
      </c>
      <c r="AY60" s="102" t="str">
        <f t="shared" si="34"/>
        <v/>
      </c>
      <c r="AZ60" s="102" t="str">
        <f t="shared" si="35"/>
        <v/>
      </c>
      <c r="BA60" s="102" t="str">
        <f t="shared" si="36"/>
        <v/>
      </c>
      <c r="BB60" s="106" t="str">
        <f t="shared" si="19"/>
        <v/>
      </c>
      <c r="BE60" s="102" t="str">
        <f t="shared" si="37"/>
        <v/>
      </c>
      <c r="BF60" s="102" t="str">
        <f t="shared" si="38"/>
        <v/>
      </c>
      <c r="BG60" s="102" t="str">
        <f t="shared" si="39"/>
        <v/>
      </c>
      <c r="BH60" s="102" t="str">
        <f t="shared" si="20"/>
        <v/>
      </c>
      <c r="BI60" s="102" t="str">
        <f t="shared" si="40"/>
        <v/>
      </c>
    </row>
    <row r="61" spans="1:61" s="106" customFormat="1" ht="23.15" customHeight="1">
      <c r="A61" s="3">
        <v>55</v>
      </c>
      <c r="B61" s="15"/>
      <c r="C61" s="5"/>
      <c r="D61" s="6"/>
      <c r="E61" s="4"/>
      <c r="F61" s="7"/>
      <c r="G61" s="8"/>
      <c r="H61" s="9"/>
      <c r="I61" s="9"/>
      <c r="J61" s="9"/>
      <c r="K61" s="9"/>
      <c r="L61" s="9"/>
      <c r="M61" s="9"/>
      <c r="N61" s="9"/>
      <c r="O61" s="9"/>
      <c r="P61" s="9"/>
      <c r="Q61" s="10"/>
      <c r="R61" s="11"/>
      <c r="S61" s="12"/>
      <c r="T61" s="10"/>
      <c r="U61" s="18"/>
      <c r="V61" s="10"/>
      <c r="W61" s="13"/>
      <c r="X61" s="14"/>
      <c r="Y61" s="105" t="str">
        <f t="shared" si="18"/>
        <v/>
      </c>
      <c r="Z61" s="102">
        <f>IF(COUNTIF($E$7:E61,E61)=1,"",COUNTIF($E$7:E61,E61))</f>
        <v>0</v>
      </c>
      <c r="AA61" s="102" t="str">
        <f t="shared" si="24"/>
        <v/>
      </c>
      <c r="AC61" s="102" t="str">
        <f t="shared" si="41"/>
        <v/>
      </c>
      <c r="AD61" s="102" t="str">
        <f t="shared" si="41"/>
        <v/>
      </c>
      <c r="AE61" s="102" t="str">
        <f t="shared" si="41"/>
        <v/>
      </c>
      <c r="AF61" s="102" t="str">
        <f t="shared" si="41"/>
        <v/>
      </c>
      <c r="AG61" s="102" t="str">
        <f t="shared" si="41"/>
        <v/>
      </c>
      <c r="AH61" s="102" t="str">
        <f t="shared" si="41"/>
        <v/>
      </c>
      <c r="AI61" s="102" t="str">
        <f t="shared" si="41"/>
        <v/>
      </c>
      <c r="AJ61" s="102" t="str">
        <f t="shared" si="41"/>
        <v/>
      </c>
      <c r="AK61" s="102" t="str">
        <f t="shared" si="41"/>
        <v/>
      </c>
      <c r="AL61" s="102" t="str">
        <f t="shared" si="41"/>
        <v/>
      </c>
      <c r="AM61" s="102" t="str">
        <f t="shared" si="41"/>
        <v/>
      </c>
      <c r="AN61" s="102" t="str">
        <f t="shared" si="41"/>
        <v/>
      </c>
      <c r="AP61" s="102" t="str">
        <f t="shared" si="25"/>
        <v/>
      </c>
      <c r="AQ61" s="102" t="str">
        <f t="shared" si="26"/>
        <v/>
      </c>
      <c r="AR61" s="102" t="str">
        <f t="shared" si="27"/>
        <v/>
      </c>
      <c r="AS61" s="102" t="str">
        <f t="shared" si="28"/>
        <v/>
      </c>
      <c r="AT61" s="102" t="str">
        <f t="shared" si="29"/>
        <v/>
      </c>
      <c r="AU61" s="102" t="str">
        <f t="shared" si="30"/>
        <v/>
      </c>
      <c r="AV61" s="102" t="str">
        <f t="shared" si="31"/>
        <v/>
      </c>
      <c r="AW61" s="102" t="str">
        <f t="shared" si="32"/>
        <v/>
      </c>
      <c r="AX61" s="102" t="str">
        <f t="shared" si="33"/>
        <v/>
      </c>
      <c r="AY61" s="102" t="str">
        <f t="shared" si="34"/>
        <v/>
      </c>
      <c r="AZ61" s="102" t="str">
        <f t="shared" si="35"/>
        <v/>
      </c>
      <c r="BA61" s="102" t="str">
        <f t="shared" si="36"/>
        <v/>
      </c>
      <c r="BB61" s="106" t="str">
        <f t="shared" si="19"/>
        <v/>
      </c>
      <c r="BE61" s="102" t="str">
        <f t="shared" si="37"/>
        <v/>
      </c>
      <c r="BF61" s="102" t="str">
        <f t="shared" si="38"/>
        <v/>
      </c>
      <c r="BG61" s="102" t="str">
        <f t="shared" si="39"/>
        <v/>
      </c>
      <c r="BH61" s="102" t="str">
        <f t="shared" si="20"/>
        <v/>
      </c>
      <c r="BI61" s="102" t="str">
        <f t="shared" si="40"/>
        <v/>
      </c>
    </row>
    <row r="62" spans="1:61" s="106" customFormat="1" ht="23.15" customHeight="1">
      <c r="A62" s="3">
        <v>56</v>
      </c>
      <c r="B62" s="15"/>
      <c r="C62" s="5"/>
      <c r="D62" s="6"/>
      <c r="E62" s="4"/>
      <c r="F62" s="7"/>
      <c r="G62" s="8"/>
      <c r="H62" s="9"/>
      <c r="I62" s="9"/>
      <c r="J62" s="9"/>
      <c r="K62" s="9"/>
      <c r="L62" s="9"/>
      <c r="M62" s="9"/>
      <c r="N62" s="9"/>
      <c r="O62" s="9"/>
      <c r="P62" s="9"/>
      <c r="Q62" s="10"/>
      <c r="R62" s="11"/>
      <c r="S62" s="12"/>
      <c r="T62" s="10"/>
      <c r="U62" s="18"/>
      <c r="V62" s="10"/>
      <c r="W62" s="13"/>
      <c r="X62" s="14"/>
      <c r="Y62" s="105" t="str">
        <f t="shared" si="18"/>
        <v/>
      </c>
      <c r="Z62" s="102">
        <f>IF(COUNTIF($E$7:E62,E62)=1,"",COUNTIF($E$7:E62,E62))</f>
        <v>0</v>
      </c>
      <c r="AA62" s="102" t="str">
        <f t="shared" si="24"/>
        <v/>
      </c>
      <c r="AC62" s="102" t="str">
        <f t="shared" si="41"/>
        <v/>
      </c>
      <c r="AD62" s="102" t="str">
        <f t="shared" si="41"/>
        <v/>
      </c>
      <c r="AE62" s="102" t="str">
        <f t="shared" si="41"/>
        <v/>
      </c>
      <c r="AF62" s="102" t="str">
        <f t="shared" si="41"/>
        <v/>
      </c>
      <c r="AG62" s="102" t="str">
        <f t="shared" si="41"/>
        <v/>
      </c>
      <c r="AH62" s="102" t="str">
        <f t="shared" si="41"/>
        <v/>
      </c>
      <c r="AI62" s="102" t="str">
        <f t="shared" si="41"/>
        <v/>
      </c>
      <c r="AJ62" s="102" t="str">
        <f t="shared" si="41"/>
        <v/>
      </c>
      <c r="AK62" s="102" t="str">
        <f t="shared" si="41"/>
        <v/>
      </c>
      <c r="AL62" s="102" t="str">
        <f t="shared" si="41"/>
        <v/>
      </c>
      <c r="AM62" s="102" t="str">
        <f t="shared" si="41"/>
        <v/>
      </c>
      <c r="AN62" s="102" t="str">
        <f t="shared" si="41"/>
        <v/>
      </c>
      <c r="AP62" s="102" t="str">
        <f t="shared" si="25"/>
        <v/>
      </c>
      <c r="AQ62" s="102" t="str">
        <f t="shared" si="26"/>
        <v/>
      </c>
      <c r="AR62" s="102" t="str">
        <f t="shared" si="27"/>
        <v/>
      </c>
      <c r="AS62" s="102" t="str">
        <f t="shared" si="28"/>
        <v/>
      </c>
      <c r="AT62" s="102" t="str">
        <f t="shared" si="29"/>
        <v/>
      </c>
      <c r="AU62" s="102" t="str">
        <f t="shared" si="30"/>
        <v/>
      </c>
      <c r="AV62" s="102" t="str">
        <f t="shared" si="31"/>
        <v/>
      </c>
      <c r="AW62" s="102" t="str">
        <f t="shared" si="32"/>
        <v/>
      </c>
      <c r="AX62" s="102" t="str">
        <f t="shared" si="33"/>
        <v/>
      </c>
      <c r="AY62" s="102" t="str">
        <f t="shared" si="34"/>
        <v/>
      </c>
      <c r="AZ62" s="102" t="str">
        <f t="shared" si="35"/>
        <v/>
      </c>
      <c r="BA62" s="102" t="str">
        <f t="shared" si="36"/>
        <v/>
      </c>
      <c r="BB62" s="106" t="str">
        <f t="shared" si="19"/>
        <v/>
      </c>
      <c r="BE62" s="102" t="str">
        <f t="shared" si="37"/>
        <v/>
      </c>
      <c r="BF62" s="102" t="str">
        <f t="shared" si="38"/>
        <v/>
      </c>
      <c r="BG62" s="102" t="str">
        <f t="shared" si="39"/>
        <v/>
      </c>
      <c r="BH62" s="102" t="str">
        <f t="shared" si="20"/>
        <v/>
      </c>
      <c r="BI62" s="102" t="str">
        <f t="shared" si="40"/>
        <v/>
      </c>
    </row>
    <row r="63" spans="1:61" s="106" customFormat="1" ht="23.15" customHeight="1">
      <c r="A63" s="3">
        <v>57</v>
      </c>
      <c r="B63" s="15"/>
      <c r="C63" s="5"/>
      <c r="D63" s="6"/>
      <c r="E63" s="4"/>
      <c r="F63" s="7"/>
      <c r="G63" s="8"/>
      <c r="H63" s="9"/>
      <c r="I63" s="9"/>
      <c r="J63" s="9"/>
      <c r="K63" s="9"/>
      <c r="L63" s="9"/>
      <c r="M63" s="9"/>
      <c r="N63" s="9"/>
      <c r="O63" s="9"/>
      <c r="P63" s="9"/>
      <c r="Q63" s="10"/>
      <c r="R63" s="11"/>
      <c r="S63" s="12"/>
      <c r="T63" s="10"/>
      <c r="U63" s="18"/>
      <c r="V63" s="10"/>
      <c r="W63" s="13"/>
      <c r="X63" s="14"/>
      <c r="Y63" s="105" t="str">
        <f t="shared" si="18"/>
        <v/>
      </c>
      <c r="Z63" s="102">
        <f>IF(COUNTIF($E$7:E63,E63)=1,"",COUNTIF($E$7:E63,E63))</f>
        <v>0</v>
      </c>
      <c r="AA63" s="102" t="str">
        <f t="shared" si="24"/>
        <v/>
      </c>
      <c r="AC63" s="102" t="str">
        <f t="shared" si="41"/>
        <v/>
      </c>
      <c r="AD63" s="102" t="str">
        <f t="shared" si="41"/>
        <v/>
      </c>
      <c r="AE63" s="102" t="str">
        <f t="shared" si="41"/>
        <v/>
      </c>
      <c r="AF63" s="102" t="str">
        <f t="shared" si="41"/>
        <v/>
      </c>
      <c r="AG63" s="102" t="str">
        <f t="shared" si="41"/>
        <v/>
      </c>
      <c r="AH63" s="102" t="str">
        <f t="shared" si="41"/>
        <v/>
      </c>
      <c r="AI63" s="102" t="str">
        <f t="shared" si="41"/>
        <v/>
      </c>
      <c r="AJ63" s="102" t="str">
        <f t="shared" si="41"/>
        <v/>
      </c>
      <c r="AK63" s="102" t="str">
        <f t="shared" si="41"/>
        <v/>
      </c>
      <c r="AL63" s="102" t="str">
        <f t="shared" si="41"/>
        <v/>
      </c>
      <c r="AM63" s="102" t="str">
        <f t="shared" si="41"/>
        <v/>
      </c>
      <c r="AN63" s="102" t="str">
        <f t="shared" si="41"/>
        <v/>
      </c>
      <c r="AP63" s="102" t="str">
        <f t="shared" si="25"/>
        <v/>
      </c>
      <c r="AQ63" s="102" t="str">
        <f t="shared" si="26"/>
        <v/>
      </c>
      <c r="AR63" s="102" t="str">
        <f t="shared" si="27"/>
        <v/>
      </c>
      <c r="AS63" s="102" t="str">
        <f t="shared" si="28"/>
        <v/>
      </c>
      <c r="AT63" s="102" t="str">
        <f t="shared" si="29"/>
        <v/>
      </c>
      <c r="AU63" s="102" t="str">
        <f t="shared" si="30"/>
        <v/>
      </c>
      <c r="AV63" s="102" t="str">
        <f t="shared" si="31"/>
        <v/>
      </c>
      <c r="AW63" s="102" t="str">
        <f t="shared" si="32"/>
        <v/>
      </c>
      <c r="AX63" s="102" t="str">
        <f t="shared" si="33"/>
        <v/>
      </c>
      <c r="AY63" s="102" t="str">
        <f t="shared" si="34"/>
        <v/>
      </c>
      <c r="AZ63" s="102" t="str">
        <f t="shared" si="35"/>
        <v/>
      </c>
      <c r="BA63" s="102" t="str">
        <f t="shared" si="36"/>
        <v/>
      </c>
      <c r="BB63" s="106" t="str">
        <f t="shared" si="19"/>
        <v/>
      </c>
      <c r="BE63" s="102" t="str">
        <f t="shared" si="37"/>
        <v/>
      </c>
      <c r="BF63" s="102" t="str">
        <f t="shared" si="38"/>
        <v/>
      </c>
      <c r="BG63" s="102" t="str">
        <f t="shared" si="39"/>
        <v/>
      </c>
      <c r="BH63" s="102" t="str">
        <f t="shared" si="20"/>
        <v/>
      </c>
      <c r="BI63" s="102" t="str">
        <f t="shared" si="40"/>
        <v/>
      </c>
    </row>
    <row r="64" spans="1:61" s="106" customFormat="1" ht="23.15" customHeight="1">
      <c r="A64" s="3">
        <v>58</v>
      </c>
      <c r="B64" s="15"/>
      <c r="C64" s="5"/>
      <c r="D64" s="6"/>
      <c r="E64" s="4"/>
      <c r="F64" s="7"/>
      <c r="G64" s="8"/>
      <c r="H64" s="9"/>
      <c r="I64" s="9"/>
      <c r="J64" s="9"/>
      <c r="K64" s="9"/>
      <c r="L64" s="9"/>
      <c r="M64" s="9"/>
      <c r="N64" s="9"/>
      <c r="O64" s="9"/>
      <c r="P64" s="9"/>
      <c r="Q64" s="10"/>
      <c r="R64" s="11"/>
      <c r="S64" s="12"/>
      <c r="T64" s="10"/>
      <c r="U64" s="18"/>
      <c r="V64" s="10"/>
      <c r="W64" s="13"/>
      <c r="X64" s="14"/>
      <c r="Y64" s="105" t="str">
        <f t="shared" si="18"/>
        <v/>
      </c>
      <c r="Z64" s="102">
        <f>IF(COUNTIF($E$7:E64,E64)=1,"",COUNTIF($E$7:E64,E64))</f>
        <v>0</v>
      </c>
      <c r="AA64" s="102" t="str">
        <f t="shared" si="24"/>
        <v/>
      </c>
      <c r="AC64" s="102" t="str">
        <f t="shared" si="41"/>
        <v/>
      </c>
      <c r="AD64" s="102" t="str">
        <f t="shared" si="41"/>
        <v/>
      </c>
      <c r="AE64" s="102" t="str">
        <f t="shared" si="41"/>
        <v/>
      </c>
      <c r="AF64" s="102" t="str">
        <f t="shared" si="41"/>
        <v/>
      </c>
      <c r="AG64" s="102" t="str">
        <f t="shared" si="41"/>
        <v/>
      </c>
      <c r="AH64" s="102" t="str">
        <f t="shared" si="41"/>
        <v/>
      </c>
      <c r="AI64" s="102" t="str">
        <f t="shared" si="41"/>
        <v/>
      </c>
      <c r="AJ64" s="102" t="str">
        <f t="shared" si="41"/>
        <v/>
      </c>
      <c r="AK64" s="102" t="str">
        <f t="shared" si="41"/>
        <v/>
      </c>
      <c r="AL64" s="102" t="str">
        <f t="shared" si="41"/>
        <v/>
      </c>
      <c r="AM64" s="102" t="str">
        <f t="shared" si="41"/>
        <v/>
      </c>
      <c r="AN64" s="102" t="str">
        <f t="shared" si="41"/>
        <v/>
      </c>
      <c r="AP64" s="102" t="str">
        <f t="shared" si="25"/>
        <v/>
      </c>
      <c r="AQ64" s="102" t="str">
        <f t="shared" si="26"/>
        <v/>
      </c>
      <c r="AR64" s="102" t="str">
        <f t="shared" si="27"/>
        <v/>
      </c>
      <c r="AS64" s="102" t="str">
        <f t="shared" si="28"/>
        <v/>
      </c>
      <c r="AT64" s="102" t="str">
        <f t="shared" si="29"/>
        <v/>
      </c>
      <c r="AU64" s="102" t="str">
        <f t="shared" si="30"/>
        <v/>
      </c>
      <c r="AV64" s="102" t="str">
        <f t="shared" si="31"/>
        <v/>
      </c>
      <c r="AW64" s="102" t="str">
        <f t="shared" si="32"/>
        <v/>
      </c>
      <c r="AX64" s="102" t="str">
        <f t="shared" si="33"/>
        <v/>
      </c>
      <c r="AY64" s="102" t="str">
        <f t="shared" si="34"/>
        <v/>
      </c>
      <c r="AZ64" s="102" t="str">
        <f t="shared" si="35"/>
        <v/>
      </c>
      <c r="BA64" s="102" t="str">
        <f t="shared" si="36"/>
        <v/>
      </c>
      <c r="BB64" s="106" t="str">
        <f t="shared" si="19"/>
        <v/>
      </c>
      <c r="BE64" s="102" t="str">
        <f t="shared" si="37"/>
        <v/>
      </c>
      <c r="BF64" s="102" t="str">
        <f t="shared" si="38"/>
        <v/>
      </c>
      <c r="BG64" s="102" t="str">
        <f t="shared" si="39"/>
        <v/>
      </c>
      <c r="BH64" s="102" t="str">
        <f t="shared" si="20"/>
        <v/>
      </c>
      <c r="BI64" s="102" t="str">
        <f t="shared" si="40"/>
        <v/>
      </c>
    </row>
    <row r="65" spans="1:61" s="106" customFormat="1" ht="23.15" customHeight="1">
      <c r="A65" s="3">
        <v>59</v>
      </c>
      <c r="B65" s="15"/>
      <c r="C65" s="5"/>
      <c r="D65" s="6"/>
      <c r="E65" s="4"/>
      <c r="F65" s="7"/>
      <c r="G65" s="8"/>
      <c r="H65" s="9"/>
      <c r="I65" s="9"/>
      <c r="J65" s="9"/>
      <c r="K65" s="9"/>
      <c r="L65" s="9"/>
      <c r="M65" s="9"/>
      <c r="N65" s="9"/>
      <c r="O65" s="9"/>
      <c r="P65" s="9"/>
      <c r="Q65" s="10"/>
      <c r="R65" s="11"/>
      <c r="S65" s="12"/>
      <c r="T65" s="10"/>
      <c r="U65" s="18"/>
      <c r="V65" s="10"/>
      <c r="W65" s="13"/>
      <c r="X65" s="14"/>
      <c r="Y65" s="105" t="str">
        <f t="shared" si="18"/>
        <v/>
      </c>
      <c r="Z65" s="102">
        <f>IF(COUNTIF($E$7:E65,E65)=1,"",COUNTIF($E$7:E65,E65))</f>
        <v>0</v>
      </c>
      <c r="AA65" s="102" t="str">
        <f t="shared" si="24"/>
        <v/>
      </c>
      <c r="AC65" s="102" t="str">
        <f t="shared" si="41"/>
        <v/>
      </c>
      <c r="AD65" s="102" t="str">
        <f t="shared" si="41"/>
        <v/>
      </c>
      <c r="AE65" s="102" t="str">
        <f t="shared" si="41"/>
        <v/>
      </c>
      <c r="AF65" s="102" t="str">
        <f t="shared" si="41"/>
        <v/>
      </c>
      <c r="AG65" s="102" t="str">
        <f t="shared" si="41"/>
        <v/>
      </c>
      <c r="AH65" s="102" t="str">
        <f t="shared" si="41"/>
        <v/>
      </c>
      <c r="AI65" s="102" t="str">
        <f t="shared" si="41"/>
        <v/>
      </c>
      <c r="AJ65" s="102" t="str">
        <f t="shared" si="41"/>
        <v/>
      </c>
      <c r="AK65" s="102" t="str">
        <f t="shared" si="41"/>
        <v/>
      </c>
      <c r="AL65" s="102" t="str">
        <f t="shared" si="41"/>
        <v/>
      </c>
      <c r="AM65" s="102" t="str">
        <f t="shared" si="41"/>
        <v/>
      </c>
      <c r="AN65" s="102" t="str">
        <f t="shared" si="41"/>
        <v/>
      </c>
      <c r="AP65" s="102" t="str">
        <f t="shared" si="25"/>
        <v/>
      </c>
      <c r="AQ65" s="102" t="str">
        <f t="shared" si="26"/>
        <v/>
      </c>
      <c r="AR65" s="102" t="str">
        <f t="shared" si="27"/>
        <v/>
      </c>
      <c r="AS65" s="102" t="str">
        <f t="shared" si="28"/>
        <v/>
      </c>
      <c r="AT65" s="102" t="str">
        <f t="shared" si="29"/>
        <v/>
      </c>
      <c r="AU65" s="102" t="str">
        <f t="shared" si="30"/>
        <v/>
      </c>
      <c r="AV65" s="102" t="str">
        <f t="shared" si="31"/>
        <v/>
      </c>
      <c r="AW65" s="102" t="str">
        <f t="shared" si="32"/>
        <v/>
      </c>
      <c r="AX65" s="102" t="str">
        <f t="shared" si="33"/>
        <v/>
      </c>
      <c r="AY65" s="102" t="str">
        <f t="shared" si="34"/>
        <v/>
      </c>
      <c r="AZ65" s="102" t="str">
        <f t="shared" si="35"/>
        <v/>
      </c>
      <c r="BA65" s="102" t="str">
        <f t="shared" si="36"/>
        <v/>
      </c>
      <c r="BB65" s="106" t="str">
        <f t="shared" si="19"/>
        <v/>
      </c>
      <c r="BE65" s="102" t="str">
        <f t="shared" si="37"/>
        <v/>
      </c>
      <c r="BF65" s="102" t="str">
        <f t="shared" si="38"/>
        <v/>
      </c>
      <c r="BG65" s="102" t="str">
        <f t="shared" si="39"/>
        <v/>
      </c>
      <c r="BH65" s="102" t="str">
        <f t="shared" si="20"/>
        <v/>
      </c>
      <c r="BI65" s="102" t="str">
        <f t="shared" si="40"/>
        <v/>
      </c>
    </row>
    <row r="66" spans="1:61" s="106" customFormat="1" ht="23.15" customHeight="1">
      <c r="A66" s="3">
        <v>60</v>
      </c>
      <c r="B66" s="15"/>
      <c r="C66" s="5"/>
      <c r="D66" s="6"/>
      <c r="E66" s="4"/>
      <c r="F66" s="7"/>
      <c r="G66" s="8"/>
      <c r="H66" s="9"/>
      <c r="I66" s="9"/>
      <c r="J66" s="9"/>
      <c r="K66" s="9"/>
      <c r="L66" s="9"/>
      <c r="M66" s="9"/>
      <c r="N66" s="9"/>
      <c r="O66" s="9"/>
      <c r="P66" s="9"/>
      <c r="Q66" s="10"/>
      <c r="R66" s="11"/>
      <c r="S66" s="12"/>
      <c r="T66" s="10"/>
      <c r="U66" s="18"/>
      <c r="V66" s="10"/>
      <c r="W66" s="13"/>
      <c r="X66" s="14"/>
      <c r="Y66" s="105" t="str">
        <f t="shared" si="18"/>
        <v/>
      </c>
      <c r="Z66" s="102">
        <f>IF(COUNTIF($E$7:E66,E66)=1,"",COUNTIF($E$7:E66,E66))</f>
        <v>0</v>
      </c>
      <c r="AA66" s="102" t="str">
        <f t="shared" si="24"/>
        <v/>
      </c>
      <c r="AC66" s="102" t="str">
        <f t="shared" si="41"/>
        <v/>
      </c>
      <c r="AD66" s="102" t="str">
        <f t="shared" si="41"/>
        <v/>
      </c>
      <c r="AE66" s="102" t="str">
        <f t="shared" si="41"/>
        <v/>
      </c>
      <c r="AF66" s="102" t="str">
        <f t="shared" si="41"/>
        <v/>
      </c>
      <c r="AG66" s="102" t="str">
        <f t="shared" si="41"/>
        <v/>
      </c>
      <c r="AH66" s="102" t="str">
        <f t="shared" si="41"/>
        <v/>
      </c>
      <c r="AI66" s="102" t="str">
        <f t="shared" si="41"/>
        <v/>
      </c>
      <c r="AJ66" s="102" t="str">
        <f t="shared" si="41"/>
        <v/>
      </c>
      <c r="AK66" s="102" t="str">
        <f t="shared" si="41"/>
        <v/>
      </c>
      <c r="AL66" s="102" t="str">
        <f t="shared" si="41"/>
        <v/>
      </c>
      <c r="AM66" s="102" t="str">
        <f t="shared" si="41"/>
        <v/>
      </c>
      <c r="AN66" s="102" t="str">
        <f t="shared" si="41"/>
        <v/>
      </c>
      <c r="AP66" s="102" t="str">
        <f t="shared" si="25"/>
        <v/>
      </c>
      <c r="AQ66" s="102" t="str">
        <f t="shared" si="26"/>
        <v/>
      </c>
      <c r="AR66" s="102" t="str">
        <f t="shared" si="27"/>
        <v/>
      </c>
      <c r="AS66" s="102" t="str">
        <f t="shared" si="28"/>
        <v/>
      </c>
      <c r="AT66" s="102" t="str">
        <f t="shared" si="29"/>
        <v/>
      </c>
      <c r="AU66" s="102" t="str">
        <f t="shared" si="30"/>
        <v/>
      </c>
      <c r="AV66" s="102" t="str">
        <f t="shared" si="31"/>
        <v/>
      </c>
      <c r="AW66" s="102" t="str">
        <f t="shared" si="32"/>
        <v/>
      </c>
      <c r="AX66" s="102" t="str">
        <f t="shared" si="33"/>
        <v/>
      </c>
      <c r="AY66" s="102" t="str">
        <f t="shared" si="34"/>
        <v/>
      </c>
      <c r="AZ66" s="102" t="str">
        <f t="shared" si="35"/>
        <v/>
      </c>
      <c r="BA66" s="102" t="str">
        <f t="shared" si="36"/>
        <v/>
      </c>
      <c r="BB66" s="106" t="str">
        <f t="shared" si="19"/>
        <v/>
      </c>
      <c r="BE66" s="102" t="str">
        <f t="shared" si="37"/>
        <v/>
      </c>
      <c r="BF66" s="102" t="str">
        <f t="shared" si="38"/>
        <v/>
      </c>
      <c r="BG66" s="102" t="str">
        <f t="shared" si="39"/>
        <v/>
      </c>
      <c r="BH66" s="102" t="str">
        <f t="shared" si="20"/>
        <v/>
      </c>
      <c r="BI66" s="102" t="str">
        <f t="shared" si="40"/>
        <v/>
      </c>
    </row>
    <row r="67" spans="1:61" s="106" customFormat="1" ht="23.15" customHeight="1">
      <c r="A67" s="3">
        <v>61</v>
      </c>
      <c r="B67" s="15"/>
      <c r="C67" s="5"/>
      <c r="D67" s="6"/>
      <c r="E67" s="4"/>
      <c r="F67" s="7"/>
      <c r="G67" s="8"/>
      <c r="H67" s="9"/>
      <c r="I67" s="9"/>
      <c r="J67" s="9"/>
      <c r="K67" s="9"/>
      <c r="L67" s="9"/>
      <c r="M67" s="9"/>
      <c r="N67" s="9"/>
      <c r="O67" s="9"/>
      <c r="P67" s="9"/>
      <c r="Q67" s="10"/>
      <c r="R67" s="11"/>
      <c r="S67" s="12"/>
      <c r="T67" s="10"/>
      <c r="U67" s="18"/>
      <c r="V67" s="10"/>
      <c r="W67" s="13"/>
      <c r="X67" s="14"/>
      <c r="Y67" s="105" t="str">
        <f t="shared" si="18"/>
        <v/>
      </c>
      <c r="Z67" s="102">
        <f>IF(COUNTIF($E$7:E67,E67)=1,"",COUNTIF($E$7:E67,E67))</f>
        <v>0</v>
      </c>
      <c r="AA67" s="102" t="str">
        <f t="shared" si="24"/>
        <v/>
      </c>
      <c r="AC67" s="102" t="str">
        <f t="shared" si="41"/>
        <v/>
      </c>
      <c r="AD67" s="102" t="str">
        <f t="shared" si="41"/>
        <v/>
      </c>
      <c r="AE67" s="102" t="str">
        <f t="shared" si="41"/>
        <v/>
      </c>
      <c r="AF67" s="102" t="str">
        <f t="shared" si="41"/>
        <v/>
      </c>
      <c r="AG67" s="102" t="str">
        <f t="shared" si="41"/>
        <v/>
      </c>
      <c r="AH67" s="102" t="str">
        <f t="shared" si="41"/>
        <v/>
      </c>
      <c r="AI67" s="102" t="str">
        <f t="shared" si="41"/>
        <v/>
      </c>
      <c r="AJ67" s="102" t="str">
        <f t="shared" si="41"/>
        <v/>
      </c>
      <c r="AK67" s="102" t="str">
        <f t="shared" si="41"/>
        <v/>
      </c>
      <c r="AL67" s="102" t="str">
        <f t="shared" si="41"/>
        <v/>
      </c>
      <c r="AM67" s="102" t="str">
        <f t="shared" si="41"/>
        <v/>
      </c>
      <c r="AN67" s="102" t="str">
        <f t="shared" si="41"/>
        <v/>
      </c>
      <c r="AP67" s="102" t="str">
        <f t="shared" si="25"/>
        <v/>
      </c>
      <c r="AQ67" s="102" t="str">
        <f t="shared" si="26"/>
        <v/>
      </c>
      <c r="AR67" s="102" t="str">
        <f t="shared" si="27"/>
        <v/>
      </c>
      <c r="AS67" s="102" t="str">
        <f t="shared" si="28"/>
        <v/>
      </c>
      <c r="AT67" s="102" t="str">
        <f t="shared" si="29"/>
        <v/>
      </c>
      <c r="AU67" s="102" t="str">
        <f t="shared" si="30"/>
        <v/>
      </c>
      <c r="AV67" s="102" t="str">
        <f t="shared" si="31"/>
        <v/>
      </c>
      <c r="AW67" s="102" t="str">
        <f t="shared" si="32"/>
        <v/>
      </c>
      <c r="AX67" s="102" t="str">
        <f t="shared" si="33"/>
        <v/>
      </c>
      <c r="AY67" s="102" t="str">
        <f t="shared" si="34"/>
        <v/>
      </c>
      <c r="AZ67" s="102" t="str">
        <f t="shared" si="35"/>
        <v/>
      </c>
      <c r="BA67" s="102" t="str">
        <f t="shared" si="36"/>
        <v/>
      </c>
      <c r="BB67" s="106" t="str">
        <f t="shared" si="19"/>
        <v/>
      </c>
      <c r="BE67" s="102" t="str">
        <f t="shared" si="37"/>
        <v/>
      </c>
      <c r="BF67" s="102" t="str">
        <f t="shared" si="38"/>
        <v/>
      </c>
      <c r="BG67" s="102" t="str">
        <f t="shared" si="39"/>
        <v/>
      </c>
      <c r="BH67" s="102" t="str">
        <f t="shared" si="20"/>
        <v/>
      </c>
      <c r="BI67" s="102" t="str">
        <f t="shared" si="40"/>
        <v/>
      </c>
    </row>
    <row r="68" spans="1:61" s="106" customFormat="1" ht="23.15" customHeight="1">
      <c r="A68" s="3">
        <v>62</v>
      </c>
      <c r="B68" s="15"/>
      <c r="C68" s="5"/>
      <c r="D68" s="6"/>
      <c r="E68" s="4"/>
      <c r="F68" s="7"/>
      <c r="G68" s="8"/>
      <c r="H68" s="9"/>
      <c r="I68" s="9"/>
      <c r="J68" s="9"/>
      <c r="K68" s="9"/>
      <c r="L68" s="9"/>
      <c r="M68" s="9"/>
      <c r="N68" s="9"/>
      <c r="O68" s="9"/>
      <c r="P68" s="9"/>
      <c r="Q68" s="10"/>
      <c r="R68" s="11"/>
      <c r="S68" s="12"/>
      <c r="T68" s="10"/>
      <c r="U68" s="18"/>
      <c r="V68" s="10"/>
      <c r="W68" s="13"/>
      <c r="X68" s="14"/>
      <c r="Y68" s="105" t="str">
        <f t="shared" si="18"/>
        <v/>
      </c>
      <c r="Z68" s="102">
        <f>IF(COUNTIF($E$7:E68,E68)=1,"",COUNTIF($E$7:E68,E68))</f>
        <v>0</v>
      </c>
      <c r="AA68" s="102" t="str">
        <f t="shared" si="24"/>
        <v/>
      </c>
      <c r="AC68" s="102" t="str">
        <f t="shared" si="41"/>
        <v/>
      </c>
      <c r="AD68" s="102" t="str">
        <f t="shared" si="41"/>
        <v/>
      </c>
      <c r="AE68" s="102" t="str">
        <f t="shared" si="41"/>
        <v/>
      </c>
      <c r="AF68" s="102" t="str">
        <f t="shared" si="41"/>
        <v/>
      </c>
      <c r="AG68" s="102" t="str">
        <f t="shared" si="41"/>
        <v/>
      </c>
      <c r="AH68" s="102" t="str">
        <f t="shared" si="41"/>
        <v/>
      </c>
      <c r="AI68" s="102" t="str">
        <f t="shared" si="41"/>
        <v/>
      </c>
      <c r="AJ68" s="102" t="str">
        <f t="shared" si="41"/>
        <v/>
      </c>
      <c r="AK68" s="102" t="str">
        <f t="shared" si="41"/>
        <v/>
      </c>
      <c r="AL68" s="102" t="str">
        <f t="shared" si="41"/>
        <v/>
      </c>
      <c r="AM68" s="102" t="str">
        <f t="shared" si="41"/>
        <v/>
      </c>
      <c r="AN68" s="102" t="str">
        <f t="shared" si="41"/>
        <v/>
      </c>
      <c r="AP68" s="102" t="str">
        <f t="shared" si="25"/>
        <v/>
      </c>
      <c r="AQ68" s="102" t="str">
        <f t="shared" si="26"/>
        <v/>
      </c>
      <c r="AR68" s="102" t="str">
        <f t="shared" si="27"/>
        <v/>
      </c>
      <c r="AS68" s="102" t="str">
        <f t="shared" si="28"/>
        <v/>
      </c>
      <c r="AT68" s="102" t="str">
        <f t="shared" si="29"/>
        <v/>
      </c>
      <c r="AU68" s="102" t="str">
        <f t="shared" si="30"/>
        <v/>
      </c>
      <c r="AV68" s="102" t="str">
        <f t="shared" si="31"/>
        <v/>
      </c>
      <c r="AW68" s="102" t="str">
        <f t="shared" si="32"/>
        <v/>
      </c>
      <c r="AX68" s="102" t="str">
        <f t="shared" si="33"/>
        <v/>
      </c>
      <c r="AY68" s="102" t="str">
        <f t="shared" si="34"/>
        <v/>
      </c>
      <c r="AZ68" s="102" t="str">
        <f t="shared" si="35"/>
        <v/>
      </c>
      <c r="BA68" s="102" t="str">
        <f t="shared" si="36"/>
        <v/>
      </c>
      <c r="BB68" s="106" t="str">
        <f t="shared" si="19"/>
        <v/>
      </c>
      <c r="BE68" s="102" t="str">
        <f t="shared" si="37"/>
        <v/>
      </c>
      <c r="BF68" s="102" t="str">
        <f t="shared" si="38"/>
        <v/>
      </c>
      <c r="BG68" s="102" t="str">
        <f t="shared" si="39"/>
        <v/>
      </c>
      <c r="BH68" s="102" t="str">
        <f t="shared" si="20"/>
        <v/>
      </c>
      <c r="BI68" s="102" t="str">
        <f t="shared" si="40"/>
        <v/>
      </c>
    </row>
    <row r="69" spans="1:61" s="106" customFormat="1" ht="23.15" customHeight="1">
      <c r="A69" s="3">
        <v>63</v>
      </c>
      <c r="B69" s="15"/>
      <c r="C69" s="5"/>
      <c r="D69" s="6"/>
      <c r="E69" s="4"/>
      <c r="F69" s="7"/>
      <c r="G69" s="8"/>
      <c r="H69" s="9"/>
      <c r="I69" s="9"/>
      <c r="J69" s="9"/>
      <c r="K69" s="9"/>
      <c r="L69" s="9"/>
      <c r="M69" s="9"/>
      <c r="N69" s="9"/>
      <c r="O69" s="9"/>
      <c r="P69" s="9"/>
      <c r="Q69" s="10"/>
      <c r="R69" s="11"/>
      <c r="S69" s="12"/>
      <c r="T69" s="10"/>
      <c r="U69" s="18"/>
      <c r="V69" s="10"/>
      <c r="W69" s="13"/>
      <c r="X69" s="14"/>
      <c r="Y69" s="105" t="str">
        <f t="shared" si="18"/>
        <v/>
      </c>
      <c r="Z69" s="102">
        <f>IF(COUNTIF($E$7:E69,E69)=1,"",COUNTIF($E$7:E69,E69))</f>
        <v>0</v>
      </c>
      <c r="AA69" s="102" t="str">
        <f t="shared" si="24"/>
        <v/>
      </c>
      <c r="AC69" s="102" t="str">
        <f t="shared" si="41"/>
        <v/>
      </c>
      <c r="AD69" s="102" t="str">
        <f t="shared" si="41"/>
        <v/>
      </c>
      <c r="AE69" s="102" t="str">
        <f t="shared" si="41"/>
        <v/>
      </c>
      <c r="AF69" s="102" t="str">
        <f t="shared" si="41"/>
        <v/>
      </c>
      <c r="AG69" s="102" t="str">
        <f t="shared" si="41"/>
        <v/>
      </c>
      <c r="AH69" s="102" t="str">
        <f t="shared" si="41"/>
        <v/>
      </c>
      <c r="AI69" s="102" t="str">
        <f t="shared" si="41"/>
        <v/>
      </c>
      <c r="AJ69" s="102" t="str">
        <f t="shared" si="41"/>
        <v/>
      </c>
      <c r="AK69" s="102" t="str">
        <f t="shared" si="41"/>
        <v/>
      </c>
      <c r="AL69" s="102" t="str">
        <f t="shared" si="41"/>
        <v/>
      </c>
      <c r="AM69" s="102" t="str">
        <f t="shared" si="41"/>
        <v/>
      </c>
      <c r="AN69" s="102" t="str">
        <f t="shared" si="41"/>
        <v/>
      </c>
      <c r="AP69" s="102" t="str">
        <f t="shared" si="25"/>
        <v/>
      </c>
      <c r="AQ69" s="102" t="str">
        <f t="shared" si="26"/>
        <v/>
      </c>
      <c r="AR69" s="102" t="str">
        <f t="shared" si="27"/>
        <v/>
      </c>
      <c r="AS69" s="102" t="str">
        <f t="shared" si="28"/>
        <v/>
      </c>
      <c r="AT69" s="102" t="str">
        <f t="shared" si="29"/>
        <v/>
      </c>
      <c r="AU69" s="102" t="str">
        <f t="shared" si="30"/>
        <v/>
      </c>
      <c r="AV69" s="102" t="str">
        <f t="shared" si="31"/>
        <v/>
      </c>
      <c r="AW69" s="102" t="str">
        <f t="shared" si="32"/>
        <v/>
      </c>
      <c r="AX69" s="102" t="str">
        <f t="shared" si="33"/>
        <v/>
      </c>
      <c r="AY69" s="102" t="str">
        <f t="shared" si="34"/>
        <v/>
      </c>
      <c r="AZ69" s="102" t="str">
        <f t="shared" si="35"/>
        <v/>
      </c>
      <c r="BA69" s="102" t="str">
        <f t="shared" si="36"/>
        <v/>
      </c>
      <c r="BB69" s="106" t="str">
        <f t="shared" si="19"/>
        <v/>
      </c>
      <c r="BE69" s="102" t="str">
        <f t="shared" si="37"/>
        <v/>
      </c>
      <c r="BF69" s="102" t="str">
        <f t="shared" si="38"/>
        <v/>
      </c>
      <c r="BG69" s="102" t="str">
        <f t="shared" si="39"/>
        <v/>
      </c>
      <c r="BH69" s="102" t="str">
        <f t="shared" si="20"/>
        <v/>
      </c>
      <c r="BI69" s="102" t="str">
        <f t="shared" si="40"/>
        <v/>
      </c>
    </row>
    <row r="70" spans="1:61" s="106" customFormat="1" ht="23.15" customHeight="1">
      <c r="A70" s="3">
        <v>64</v>
      </c>
      <c r="B70" s="15"/>
      <c r="C70" s="5"/>
      <c r="D70" s="6"/>
      <c r="E70" s="4"/>
      <c r="F70" s="7"/>
      <c r="G70" s="8"/>
      <c r="H70" s="9"/>
      <c r="I70" s="9"/>
      <c r="J70" s="9"/>
      <c r="K70" s="9"/>
      <c r="L70" s="9"/>
      <c r="M70" s="9"/>
      <c r="N70" s="9"/>
      <c r="O70" s="9"/>
      <c r="P70" s="9"/>
      <c r="Q70" s="10"/>
      <c r="R70" s="11"/>
      <c r="S70" s="12"/>
      <c r="T70" s="10"/>
      <c r="U70" s="18"/>
      <c r="V70" s="10"/>
      <c r="W70" s="13"/>
      <c r="X70" s="14"/>
      <c r="Y70" s="105" t="str">
        <f t="shared" si="18"/>
        <v/>
      </c>
      <c r="Z70" s="102">
        <f>IF(COUNTIF($E$7:E70,E70)=1,"",COUNTIF($E$7:E70,E70))</f>
        <v>0</v>
      </c>
      <c r="AA70" s="102" t="str">
        <f t="shared" si="24"/>
        <v/>
      </c>
      <c r="AC70" s="102" t="str">
        <f t="shared" si="41"/>
        <v/>
      </c>
      <c r="AD70" s="102" t="str">
        <f t="shared" si="41"/>
        <v/>
      </c>
      <c r="AE70" s="102" t="str">
        <f t="shared" si="41"/>
        <v/>
      </c>
      <c r="AF70" s="102" t="str">
        <f t="shared" si="41"/>
        <v/>
      </c>
      <c r="AG70" s="102" t="str">
        <f t="shared" si="41"/>
        <v/>
      </c>
      <c r="AH70" s="102" t="str">
        <f t="shared" si="41"/>
        <v/>
      </c>
      <c r="AI70" s="102" t="str">
        <f t="shared" si="41"/>
        <v/>
      </c>
      <c r="AJ70" s="102" t="str">
        <f t="shared" si="41"/>
        <v/>
      </c>
      <c r="AK70" s="102" t="str">
        <f t="shared" si="41"/>
        <v/>
      </c>
      <c r="AL70" s="102" t="str">
        <f t="shared" si="41"/>
        <v/>
      </c>
      <c r="AM70" s="102" t="str">
        <f t="shared" si="41"/>
        <v/>
      </c>
      <c r="AN70" s="102" t="str">
        <f t="shared" si="41"/>
        <v/>
      </c>
      <c r="AP70" s="102" t="str">
        <f t="shared" si="25"/>
        <v/>
      </c>
      <c r="AQ70" s="102" t="str">
        <f t="shared" si="26"/>
        <v/>
      </c>
      <c r="AR70" s="102" t="str">
        <f t="shared" si="27"/>
        <v/>
      </c>
      <c r="AS70" s="102" t="str">
        <f t="shared" si="28"/>
        <v/>
      </c>
      <c r="AT70" s="102" t="str">
        <f t="shared" si="29"/>
        <v/>
      </c>
      <c r="AU70" s="102" t="str">
        <f t="shared" si="30"/>
        <v/>
      </c>
      <c r="AV70" s="102" t="str">
        <f t="shared" si="31"/>
        <v/>
      </c>
      <c r="AW70" s="102" t="str">
        <f t="shared" si="32"/>
        <v/>
      </c>
      <c r="AX70" s="102" t="str">
        <f t="shared" si="33"/>
        <v/>
      </c>
      <c r="AY70" s="102" t="str">
        <f t="shared" si="34"/>
        <v/>
      </c>
      <c r="AZ70" s="102" t="str">
        <f t="shared" si="35"/>
        <v/>
      </c>
      <c r="BA70" s="102" t="str">
        <f t="shared" si="36"/>
        <v/>
      </c>
      <c r="BB70" s="106" t="str">
        <f t="shared" si="19"/>
        <v/>
      </c>
      <c r="BE70" s="102" t="str">
        <f t="shared" si="37"/>
        <v/>
      </c>
      <c r="BF70" s="102" t="str">
        <f t="shared" si="38"/>
        <v/>
      </c>
      <c r="BG70" s="102" t="str">
        <f t="shared" si="39"/>
        <v/>
      </c>
      <c r="BH70" s="102" t="str">
        <f t="shared" si="20"/>
        <v/>
      </c>
      <c r="BI70" s="102" t="str">
        <f t="shared" si="40"/>
        <v/>
      </c>
    </row>
    <row r="71" spans="1:61" s="106" customFormat="1" ht="23.15" customHeight="1">
      <c r="A71" s="3">
        <v>65</v>
      </c>
      <c r="B71" s="15"/>
      <c r="C71" s="5"/>
      <c r="D71" s="6"/>
      <c r="E71" s="4"/>
      <c r="F71" s="7"/>
      <c r="G71" s="8"/>
      <c r="H71" s="9"/>
      <c r="I71" s="9"/>
      <c r="J71" s="9"/>
      <c r="K71" s="9"/>
      <c r="L71" s="9"/>
      <c r="M71" s="9"/>
      <c r="N71" s="9"/>
      <c r="O71" s="9"/>
      <c r="P71" s="9"/>
      <c r="Q71" s="10"/>
      <c r="R71" s="11"/>
      <c r="S71" s="12"/>
      <c r="T71" s="10"/>
      <c r="U71" s="18"/>
      <c r="V71" s="10"/>
      <c r="W71" s="13"/>
      <c r="X71" s="14"/>
      <c r="Y71" s="105" t="str">
        <f t="shared" si="18"/>
        <v/>
      </c>
      <c r="Z71" s="102">
        <f>IF(COUNTIF($E$7:E71,E71)=1,"",COUNTIF($E$7:E71,E71))</f>
        <v>0</v>
      </c>
      <c r="AA71" s="102" t="str">
        <f t="shared" ref="AA71:AA107" si="42">IFERROR(IF(OR(W71=$S$119,W71=$S$121),W71,INDEX($B$144:$C$149,MATCH(BB71,$B$144:$B$149,0),2)),"")</f>
        <v/>
      </c>
      <c r="AC71" s="102" t="str">
        <f t="shared" si="41"/>
        <v/>
      </c>
      <c r="AD71" s="102" t="str">
        <f t="shared" si="41"/>
        <v/>
      </c>
      <c r="AE71" s="102" t="str">
        <f t="shared" si="41"/>
        <v/>
      </c>
      <c r="AF71" s="102" t="str">
        <f t="shared" si="41"/>
        <v/>
      </c>
      <c r="AG71" s="102" t="str">
        <f t="shared" si="41"/>
        <v/>
      </c>
      <c r="AH71" s="102" t="str">
        <f t="shared" si="41"/>
        <v/>
      </c>
      <c r="AI71" s="102" t="str">
        <f t="shared" si="41"/>
        <v/>
      </c>
      <c r="AJ71" s="102" t="str">
        <f t="shared" si="41"/>
        <v/>
      </c>
      <c r="AK71" s="102" t="str">
        <f t="shared" si="41"/>
        <v/>
      </c>
      <c r="AL71" s="102" t="str">
        <f t="shared" si="41"/>
        <v/>
      </c>
      <c r="AM71" s="102" t="str">
        <f t="shared" si="41"/>
        <v/>
      </c>
      <c r="AN71" s="102" t="str">
        <f t="shared" si="41"/>
        <v/>
      </c>
      <c r="AP71" s="102" t="str">
        <f t="shared" ref="AP71:AP106" si="43">IF(AND($H71="有",AC71="○"),"A",IF(AC71="●","B",IF(AND(AC71="○",OR($L71="有",$M71="有",$N71="有")),"C",IF(AND(AC71="○",$O71="有"),"D",IF(OR(AND(AC71="○",$P71="有"),AND(AC71="○",$W71=$S$128,$O71="")),"E",IF(AND(AC71="○",OR($W71=$S$131,$W71=$S$132,$W71=$S$130,$W71=$S$134)),"F",""))))))</f>
        <v/>
      </c>
      <c r="AQ71" s="102" t="str">
        <f t="shared" ref="AQ71:AQ106" si="44">IF(AND($H71="有",AD71="○"),"A",IF(AD71="●","B",IF(AND(AD71="○",OR($L71="有",$M71="有",$N71="有")),"C",IF(AND(AD71="○",$O71="有"),"D",IF(OR(AND(AD71="○",$P71="有"),AND(AD71="○",$W71=$S$128,$O71="")),"E",IF(AND(AD71="○",OR($W71=$S$131,$W71=$S$132,$W71=$S$130,$W71=$S$134)),"F",""))))))</f>
        <v/>
      </c>
      <c r="AR71" s="102" t="str">
        <f t="shared" ref="AR71:AR106" si="45">IF(AND($H71="有",AE71="○"),"A",IF(AE71="●","B",IF(AND(AE71="○",OR($L71="有",$M71="有",$N71="有")),"C",IF(AND(AE71="○",$O71="有"),"D",IF(OR(AND(AE71="○",$P71="有"),AND(AE71="○",$W71=$S$128,$O71="")),"E",IF(AND(AE71="○",OR($W71=$S$131,$W71=$S$132,$W71=$S$130,$W71=$S$134)),"F",""))))))</f>
        <v/>
      </c>
      <c r="AS71" s="102" t="str">
        <f t="shared" ref="AS71:AS106" si="46">IF(AND($H71="有",AF71="○"),"A",IF(AF71="●","B",IF(AND(AF71="○",OR($L71="有",$M71="有",$N71="有")),"C",IF(AND(AF71="○",$O71="有"),"D",IF(OR(AND(AF71="○",$P71="有"),AND(AF71="○",$W71=$S$128,$O71="")),"E",IF(AND(AF71="○",OR($W71=$S$131,$W71=$S$132,$W71=$S$130,$W71=$S$134)),"F",""))))))</f>
        <v/>
      </c>
      <c r="AT71" s="102" t="str">
        <f t="shared" ref="AT71:AT106" si="47">IF(AND($H71="有",AG71="○"),"A",IF(AG71="●","B",IF(AND(AG71="○",OR($L71="有",$M71="有",$N71="有")),"C",IF(AND(AG71="○",$O71="有"),"D",IF(OR(AND(AG71="○",$P71="有"),AND(AG71="○",$W71=$S$128,$O71="")),"E",IF(AND(AG71="○",OR($W71=$S$131,$W71=$S$132,$W71=$S$130,$W71=$S$134)),"F",""))))))</f>
        <v/>
      </c>
      <c r="AU71" s="102" t="str">
        <f t="shared" ref="AU71:AU106" si="48">IF(AND($H71="有",AH71="○"),"A",IF(AH71="●","B",IF(AND(AH71="○",OR($L71="有",$M71="有",$N71="有")),"C",IF(AND(AH71="○",$O71="有"),"D",IF(OR(AND(AH71="○",$P71="有"),AND(AH71="○",$W71=$S$128,$O71="")),"E",IF(AND(AH71="○",OR($W71=$S$131,$W71=$S$132,$W71=$S$130,$W71=$S$134)),"F",""))))))</f>
        <v/>
      </c>
      <c r="AV71" s="102" t="str">
        <f t="shared" ref="AV71:AV106" si="49">IF(AND($H71="有",AI71="○"),"A",IF(AI71="●","B",IF(AND(AI71="○",OR($L71="有",$M71="有",$N71="有")),"C",IF(AND(AI71="○",$O71="有"),"D",IF(OR(AND(AI71="○",$P71="有"),AND(AI71="○",$W71=$S$128,$O71="")),"E",IF(AND(AI71="○",OR($W71=$S$131,$W71=$S$132,$W71=$S$130,$W71=$S$134)),"F",""))))))</f>
        <v/>
      </c>
      <c r="AW71" s="102" t="str">
        <f t="shared" ref="AW71:AW106" si="50">IF(AND($H71="有",AJ71="○"),"A",IF(AJ71="●","B",IF(AND(AJ71="○",OR($L71="有",$M71="有",$N71="有")),"C",IF(AND(AJ71="○",$O71="有"),"D",IF(OR(AND(AJ71="○",$P71="有"),AND(AJ71="○",$W71=$S$128,$O71="")),"E",IF(AND(AJ71="○",OR($W71=$S$131,$W71=$S$132,$W71=$S$130,$W71=$S$134)),"F",""))))))</f>
        <v/>
      </c>
      <c r="AX71" s="102" t="str">
        <f t="shared" ref="AX71:AX106" si="51">IF(AND($H71="有",AK71="○"),"A",IF(AK71="●","B",IF(AND(AK71="○",OR($L71="有",$M71="有",$N71="有")),"C",IF(AND(AK71="○",$O71="有"),"D",IF(OR(AND(AK71="○",$P71="有"),AND(AK71="○",$W71=$S$128,$O71="")),"E",IF(AND(AK71="○",OR($W71=$S$131,$W71=$S$132,$W71=$S$130,$W71=$S$134)),"F",""))))))</f>
        <v/>
      </c>
      <c r="AY71" s="102" t="str">
        <f t="shared" ref="AY71:AY106" si="52">IF(AND($H71="有",AL71="○"),"A",IF(AL71="●","B",IF(AND(AL71="○",OR($L71="有",$M71="有",$N71="有")),"C",IF(AND(AL71="○",$O71="有"),"D",IF(OR(AND(AL71="○",$P71="有"),AND(AL71="○",$W71=$S$128,$O71="")),"E",IF(AND(AL71="○",OR($W71=$S$131,$W71=$S$132,$W71=$S$130,$W71=$S$134)),"F",""))))))</f>
        <v/>
      </c>
      <c r="AZ71" s="102" t="str">
        <f t="shared" ref="AZ71:AZ106" si="53">IF(AND($H71="有",AM71="○"),"A",IF(AM71="●","B",IF(AND(AM71="○",OR($L71="有",$M71="有",$N71="有")),"C",IF(AND(AM71="○",$O71="有"),"D",IF(OR(AND(AM71="○",$P71="有"),AND(AM71="○",$W71=$S$128,$O71="")),"E",IF(AND(AM71="○",OR($W71=$S$131,$W71=$S$132,$W71=$S$130,$W71=$S$134)),"F",""))))))</f>
        <v/>
      </c>
      <c r="BA71" s="102" t="str">
        <f t="shared" ref="BA71:BA106" si="54">IF(AND($H71="有",AN71="○"),"A",IF(AN71="●","B",IF(AND(AN71="○",OR($L71="有",$M71="有",$N71="有")),"C",IF(AND(AN71="○",$O71="有"),"D",IF(OR(AND(AN71="○",$P71="有"),AND(AN71="○",$W71=$S$128,$O71="")),"E",IF(AND(AN71="○",OR($W71=$S$131,$W71=$S$132,$W71=$S$130,$W71=$S$134)),"F",""))))))</f>
        <v/>
      </c>
      <c r="BB71" s="106" t="str">
        <f t="shared" si="19"/>
        <v/>
      </c>
      <c r="BE71" s="102" t="str">
        <f t="shared" ref="BE71:BE106" si="55">IF(B71="園長","園長",IF(C71="正","正規職員",IF(AND(C71="パート",D71="常"),"常勤的非常勤",IF(AND(C71="パート",D71="非"),"短時間非常勤",IF(AND(C71="嘱託等",D71="常"),"嘱託常勤",IF(AND(C71="嘱託等",D71="非"),"嘱託非常勤",""))))))</f>
        <v/>
      </c>
      <c r="BF71" s="102" t="str">
        <f t="shared" ref="BF71:BF106" si="56">IF(AND(OR(I71="有",J71="有",K71="有"),R71&lt;&gt;""),"○","")</f>
        <v/>
      </c>
      <c r="BG71" s="102" t="str">
        <f t="shared" ref="BG71:BG102" si="57">IF(AND(BF71="",R71&lt;&gt;""),"○","")</f>
        <v/>
      </c>
      <c r="BH71" s="102" t="str">
        <f t="shared" si="20"/>
        <v/>
      </c>
      <c r="BI71" s="102" t="str">
        <f t="shared" ref="BI71:BI106" si="58">IF($S71="","",IF($R71&lt;&gt;"",IF($S71&gt;=$BI$5,"○",""),""))</f>
        <v/>
      </c>
    </row>
    <row r="72" spans="1:61" s="106" customFormat="1" ht="23.15" customHeight="1">
      <c r="A72" s="3">
        <v>66</v>
      </c>
      <c r="B72" s="15"/>
      <c r="C72" s="5"/>
      <c r="D72" s="6"/>
      <c r="E72" s="4"/>
      <c r="F72" s="7"/>
      <c r="G72" s="8"/>
      <c r="H72" s="9"/>
      <c r="I72" s="9"/>
      <c r="J72" s="9"/>
      <c r="K72" s="9"/>
      <c r="L72" s="9"/>
      <c r="M72" s="9"/>
      <c r="N72" s="9"/>
      <c r="O72" s="9"/>
      <c r="P72" s="9"/>
      <c r="Q72" s="10"/>
      <c r="R72" s="11"/>
      <c r="S72" s="12"/>
      <c r="T72" s="10"/>
      <c r="U72" s="18"/>
      <c r="V72" s="10"/>
      <c r="W72" s="13"/>
      <c r="X72" s="14"/>
      <c r="Y72" s="105" t="str">
        <f t="shared" ref="Y72:Y106" si="59">IF(E72="","",CONCATENATE(E72,Z72," (",AA72,")"))</f>
        <v/>
      </c>
      <c r="Z72" s="102">
        <f>IF(COUNTIF($E$7:E72,E72)=1,"",COUNTIF($E$7:E72,E72))</f>
        <v>0</v>
      </c>
      <c r="AA72" s="102" t="str">
        <f t="shared" si="42"/>
        <v/>
      </c>
      <c r="AC72" s="102" t="str">
        <f t="shared" si="41"/>
        <v/>
      </c>
      <c r="AD72" s="102" t="str">
        <f t="shared" si="41"/>
        <v/>
      </c>
      <c r="AE72" s="102" t="str">
        <f t="shared" si="41"/>
        <v/>
      </c>
      <c r="AF72" s="102" t="str">
        <f t="shared" si="41"/>
        <v/>
      </c>
      <c r="AG72" s="102" t="str">
        <f t="shared" si="41"/>
        <v/>
      </c>
      <c r="AH72" s="102" t="str">
        <f t="shared" si="41"/>
        <v/>
      </c>
      <c r="AI72" s="102" t="str">
        <f t="shared" si="41"/>
        <v/>
      </c>
      <c r="AJ72" s="102" t="str">
        <f t="shared" si="41"/>
        <v/>
      </c>
      <c r="AK72" s="102" t="str">
        <f t="shared" si="41"/>
        <v/>
      </c>
      <c r="AL72" s="102" t="str">
        <f t="shared" si="41"/>
        <v/>
      </c>
      <c r="AM72" s="102" t="str">
        <f t="shared" si="41"/>
        <v/>
      </c>
      <c r="AN72" s="102" t="str">
        <f t="shared" si="41"/>
        <v/>
      </c>
      <c r="AP72" s="102" t="str">
        <f t="shared" si="43"/>
        <v/>
      </c>
      <c r="AQ72" s="102" t="str">
        <f t="shared" si="44"/>
        <v/>
      </c>
      <c r="AR72" s="102" t="str">
        <f t="shared" si="45"/>
        <v/>
      </c>
      <c r="AS72" s="102" t="str">
        <f t="shared" si="46"/>
        <v/>
      </c>
      <c r="AT72" s="102" t="str">
        <f t="shared" si="47"/>
        <v/>
      </c>
      <c r="AU72" s="102" t="str">
        <f t="shared" si="48"/>
        <v/>
      </c>
      <c r="AV72" s="102" t="str">
        <f t="shared" si="49"/>
        <v/>
      </c>
      <c r="AW72" s="102" t="str">
        <f t="shared" si="50"/>
        <v/>
      </c>
      <c r="AX72" s="102" t="str">
        <f t="shared" si="51"/>
        <v/>
      </c>
      <c r="AY72" s="102" t="str">
        <f t="shared" si="52"/>
        <v/>
      </c>
      <c r="AZ72" s="102" t="str">
        <f t="shared" si="53"/>
        <v/>
      </c>
      <c r="BA72" s="102" t="str">
        <f t="shared" si="54"/>
        <v/>
      </c>
      <c r="BB72" s="106" t="str">
        <f t="shared" ref="BB72:BB106" si="60">IF(BA72="",IF(AZ72="",IF(AY72="",IF(AX72="",IF(AW72="",IF(AV72="",IF(AU72="",IF(AT72="",IF(AS72="",IF(AR72="",IF(AQ72="",AP72,AQ72),AR72),AS72),AT72),AU72),AV72),AW72),AX72),AY72),AZ72),BA72)</f>
        <v/>
      </c>
      <c r="BE72" s="102" t="str">
        <f t="shared" si="55"/>
        <v/>
      </c>
      <c r="BF72" s="102" t="str">
        <f t="shared" si="56"/>
        <v/>
      </c>
      <c r="BG72" s="102" t="str">
        <f t="shared" si="57"/>
        <v/>
      </c>
      <c r="BH72" s="102" t="str">
        <f t="shared" ref="BH72:BH106" si="61">IF(OR(BF72="○",BG72="○"),"○","")</f>
        <v/>
      </c>
      <c r="BI72" s="102" t="str">
        <f t="shared" si="58"/>
        <v/>
      </c>
    </row>
    <row r="73" spans="1:61" s="106" customFormat="1" ht="23.15" customHeight="1">
      <c r="A73" s="3">
        <v>67</v>
      </c>
      <c r="B73" s="15"/>
      <c r="C73" s="5"/>
      <c r="D73" s="6"/>
      <c r="E73" s="4"/>
      <c r="F73" s="7"/>
      <c r="G73" s="8"/>
      <c r="H73" s="9"/>
      <c r="I73" s="9"/>
      <c r="J73" s="9"/>
      <c r="K73" s="9"/>
      <c r="L73" s="9"/>
      <c r="M73" s="9"/>
      <c r="N73" s="9"/>
      <c r="O73" s="9"/>
      <c r="P73" s="9"/>
      <c r="Q73" s="10"/>
      <c r="R73" s="11"/>
      <c r="S73" s="12"/>
      <c r="T73" s="10"/>
      <c r="U73" s="18"/>
      <c r="V73" s="10"/>
      <c r="W73" s="13"/>
      <c r="X73" s="14"/>
      <c r="Y73" s="105" t="str">
        <f t="shared" si="59"/>
        <v/>
      </c>
      <c r="Z73" s="102">
        <f>IF(COUNTIF($E$7:E73,E73)=1,"",COUNTIF($E$7:E73,E73))</f>
        <v>0</v>
      </c>
      <c r="AA73" s="102" t="str">
        <f t="shared" si="42"/>
        <v/>
      </c>
      <c r="AC73" s="102" t="str">
        <f t="shared" si="41"/>
        <v/>
      </c>
      <c r="AD73" s="102" t="str">
        <f t="shared" si="41"/>
        <v/>
      </c>
      <c r="AE73" s="102" t="str">
        <f t="shared" si="41"/>
        <v/>
      </c>
      <c r="AF73" s="102" t="str">
        <f t="shared" si="41"/>
        <v/>
      </c>
      <c r="AG73" s="102" t="str">
        <f t="shared" si="41"/>
        <v/>
      </c>
      <c r="AH73" s="102" t="str">
        <f t="shared" si="41"/>
        <v/>
      </c>
      <c r="AI73" s="102" t="str">
        <f t="shared" si="41"/>
        <v/>
      </c>
      <c r="AJ73" s="102" t="str">
        <f t="shared" si="41"/>
        <v/>
      </c>
      <c r="AK73" s="102" t="str">
        <f t="shared" si="41"/>
        <v/>
      </c>
      <c r="AL73" s="102" t="str">
        <f t="shared" si="41"/>
        <v/>
      </c>
      <c r="AM73" s="102" t="str">
        <f t="shared" si="41"/>
        <v/>
      </c>
      <c r="AN73" s="102" t="str">
        <f t="shared" si="41"/>
        <v/>
      </c>
      <c r="AP73" s="102" t="str">
        <f t="shared" si="43"/>
        <v/>
      </c>
      <c r="AQ73" s="102" t="str">
        <f t="shared" si="44"/>
        <v/>
      </c>
      <c r="AR73" s="102" t="str">
        <f t="shared" si="45"/>
        <v/>
      </c>
      <c r="AS73" s="102" t="str">
        <f t="shared" si="46"/>
        <v/>
      </c>
      <c r="AT73" s="102" t="str">
        <f t="shared" si="47"/>
        <v/>
      </c>
      <c r="AU73" s="102" t="str">
        <f t="shared" si="48"/>
        <v/>
      </c>
      <c r="AV73" s="102" t="str">
        <f t="shared" si="49"/>
        <v/>
      </c>
      <c r="AW73" s="102" t="str">
        <f t="shared" si="50"/>
        <v/>
      </c>
      <c r="AX73" s="102" t="str">
        <f t="shared" si="51"/>
        <v/>
      </c>
      <c r="AY73" s="102" t="str">
        <f t="shared" si="52"/>
        <v/>
      </c>
      <c r="AZ73" s="102" t="str">
        <f t="shared" si="53"/>
        <v/>
      </c>
      <c r="BA73" s="102" t="str">
        <f t="shared" si="54"/>
        <v/>
      </c>
      <c r="BB73" s="106" t="str">
        <f t="shared" si="60"/>
        <v/>
      </c>
      <c r="BE73" s="102" t="str">
        <f t="shared" si="55"/>
        <v/>
      </c>
      <c r="BF73" s="102" t="str">
        <f t="shared" si="56"/>
        <v/>
      </c>
      <c r="BG73" s="102" t="str">
        <f t="shared" si="57"/>
        <v/>
      </c>
      <c r="BH73" s="102" t="str">
        <f t="shared" si="61"/>
        <v/>
      </c>
      <c r="BI73" s="102" t="str">
        <f t="shared" si="58"/>
        <v/>
      </c>
    </row>
    <row r="74" spans="1:61" s="106" customFormat="1" ht="23.15" customHeight="1">
      <c r="A74" s="3">
        <v>68</v>
      </c>
      <c r="B74" s="15"/>
      <c r="C74" s="5"/>
      <c r="D74" s="6"/>
      <c r="E74" s="4"/>
      <c r="F74" s="7"/>
      <c r="G74" s="8"/>
      <c r="H74" s="9"/>
      <c r="I74" s="9"/>
      <c r="J74" s="9"/>
      <c r="K74" s="9"/>
      <c r="L74" s="9"/>
      <c r="M74" s="9"/>
      <c r="N74" s="9"/>
      <c r="O74" s="9"/>
      <c r="P74" s="9"/>
      <c r="Q74" s="10"/>
      <c r="R74" s="11"/>
      <c r="S74" s="12"/>
      <c r="T74" s="10"/>
      <c r="U74" s="18"/>
      <c r="V74" s="10"/>
      <c r="W74" s="13"/>
      <c r="X74" s="14"/>
      <c r="Y74" s="105" t="str">
        <f t="shared" si="59"/>
        <v/>
      </c>
      <c r="Z74" s="102">
        <f>IF(COUNTIF($E$7:E74,E74)=1,"",COUNTIF($E$7:E74,E74))</f>
        <v>0</v>
      </c>
      <c r="AA74" s="102" t="str">
        <f t="shared" si="42"/>
        <v/>
      </c>
      <c r="AC74" s="102" t="str">
        <f t="shared" si="41"/>
        <v/>
      </c>
      <c r="AD74" s="102" t="str">
        <f t="shared" si="41"/>
        <v/>
      </c>
      <c r="AE74" s="102" t="str">
        <f t="shared" si="41"/>
        <v/>
      </c>
      <c r="AF74" s="102" t="str">
        <f t="shared" si="41"/>
        <v/>
      </c>
      <c r="AG74" s="102" t="str">
        <f t="shared" si="41"/>
        <v/>
      </c>
      <c r="AH74" s="102" t="str">
        <f t="shared" si="41"/>
        <v/>
      </c>
      <c r="AI74" s="102" t="str">
        <f t="shared" si="41"/>
        <v/>
      </c>
      <c r="AJ74" s="102" t="str">
        <f t="shared" si="41"/>
        <v/>
      </c>
      <c r="AK74" s="102" t="str">
        <f t="shared" si="41"/>
        <v/>
      </c>
      <c r="AL74" s="102" t="str">
        <f t="shared" si="41"/>
        <v/>
      </c>
      <c r="AM74" s="102" t="str">
        <f t="shared" si="41"/>
        <v/>
      </c>
      <c r="AN74" s="102" t="str">
        <f t="shared" si="41"/>
        <v/>
      </c>
      <c r="AP74" s="102" t="str">
        <f t="shared" si="43"/>
        <v/>
      </c>
      <c r="AQ74" s="102" t="str">
        <f t="shared" si="44"/>
        <v/>
      </c>
      <c r="AR74" s="102" t="str">
        <f t="shared" si="45"/>
        <v/>
      </c>
      <c r="AS74" s="102" t="str">
        <f t="shared" si="46"/>
        <v/>
      </c>
      <c r="AT74" s="102" t="str">
        <f t="shared" si="47"/>
        <v/>
      </c>
      <c r="AU74" s="102" t="str">
        <f t="shared" si="48"/>
        <v/>
      </c>
      <c r="AV74" s="102" t="str">
        <f t="shared" si="49"/>
        <v/>
      </c>
      <c r="AW74" s="102" t="str">
        <f t="shared" si="50"/>
        <v/>
      </c>
      <c r="AX74" s="102" t="str">
        <f t="shared" si="51"/>
        <v/>
      </c>
      <c r="AY74" s="102" t="str">
        <f t="shared" si="52"/>
        <v/>
      </c>
      <c r="AZ74" s="102" t="str">
        <f t="shared" si="53"/>
        <v/>
      </c>
      <c r="BA74" s="102" t="str">
        <f t="shared" si="54"/>
        <v/>
      </c>
      <c r="BB74" s="106" t="str">
        <f t="shared" si="60"/>
        <v/>
      </c>
      <c r="BE74" s="102" t="str">
        <f t="shared" si="55"/>
        <v/>
      </c>
      <c r="BF74" s="102" t="str">
        <f t="shared" si="56"/>
        <v/>
      </c>
      <c r="BG74" s="102" t="str">
        <f t="shared" si="57"/>
        <v/>
      </c>
      <c r="BH74" s="102" t="str">
        <f t="shared" si="61"/>
        <v/>
      </c>
      <c r="BI74" s="102" t="str">
        <f t="shared" si="58"/>
        <v/>
      </c>
    </row>
    <row r="75" spans="1:61" s="106" customFormat="1" ht="23.15" customHeight="1">
      <c r="A75" s="3">
        <v>69</v>
      </c>
      <c r="B75" s="15"/>
      <c r="C75" s="5"/>
      <c r="D75" s="6"/>
      <c r="E75" s="4"/>
      <c r="F75" s="7"/>
      <c r="G75" s="8"/>
      <c r="H75" s="9"/>
      <c r="I75" s="9"/>
      <c r="J75" s="9"/>
      <c r="K75" s="9"/>
      <c r="L75" s="9"/>
      <c r="M75" s="9"/>
      <c r="N75" s="9"/>
      <c r="O75" s="9"/>
      <c r="P75" s="9"/>
      <c r="Q75" s="10"/>
      <c r="R75" s="11"/>
      <c r="S75" s="12"/>
      <c r="T75" s="10"/>
      <c r="U75" s="18"/>
      <c r="V75" s="10"/>
      <c r="W75" s="13"/>
      <c r="X75" s="14"/>
      <c r="Y75" s="105" t="str">
        <f t="shared" si="59"/>
        <v/>
      </c>
      <c r="Z75" s="102">
        <f>IF(COUNTIF($E$7:E75,E75)=1,"",COUNTIF($E$7:E75,E75))</f>
        <v>0</v>
      </c>
      <c r="AA75" s="102" t="str">
        <f t="shared" si="42"/>
        <v/>
      </c>
      <c r="AC75" s="102" t="str">
        <f t="shared" si="41"/>
        <v/>
      </c>
      <c r="AD75" s="102" t="str">
        <f t="shared" si="41"/>
        <v/>
      </c>
      <c r="AE75" s="102" t="str">
        <f t="shared" si="41"/>
        <v/>
      </c>
      <c r="AF75" s="102" t="str">
        <f t="shared" si="41"/>
        <v/>
      </c>
      <c r="AG75" s="102" t="str">
        <f t="shared" si="41"/>
        <v/>
      </c>
      <c r="AH75" s="102" t="str">
        <f t="shared" si="41"/>
        <v/>
      </c>
      <c r="AI75" s="102" t="str">
        <f t="shared" ref="AC75:AN96" si="62">IF(OR($W75=$S$129,$W75=$S$133),"",IF($S75="","",IF($U75="",IF($R75="",IF($S75&lt;=AI$6,"○",""),IF(AND($R75&lt;=AI$6,$S75&lt;=AI$6),"●",IF($S75&lt;=AI$6,"○",""))),IF($U75&gt;=AI$6,IF($R75="",IF($S75&lt;=AI$6,"○",""),IF(AND($R75&lt;=AI$6,$S75&lt;=AI$6),"●",IF($S75&lt;=AI$6,"○",""))),""))))</f>
        <v/>
      </c>
      <c r="AJ75" s="102" t="str">
        <f t="shared" si="62"/>
        <v/>
      </c>
      <c r="AK75" s="102" t="str">
        <f t="shared" si="62"/>
        <v/>
      </c>
      <c r="AL75" s="102" t="str">
        <f t="shared" si="62"/>
        <v/>
      </c>
      <c r="AM75" s="102" t="str">
        <f t="shared" si="62"/>
        <v/>
      </c>
      <c r="AN75" s="102" t="str">
        <f t="shared" si="62"/>
        <v/>
      </c>
      <c r="AP75" s="102" t="str">
        <f t="shared" si="43"/>
        <v/>
      </c>
      <c r="AQ75" s="102" t="str">
        <f t="shared" si="44"/>
        <v/>
      </c>
      <c r="AR75" s="102" t="str">
        <f t="shared" si="45"/>
        <v/>
      </c>
      <c r="AS75" s="102" t="str">
        <f t="shared" si="46"/>
        <v/>
      </c>
      <c r="AT75" s="102" t="str">
        <f t="shared" si="47"/>
        <v/>
      </c>
      <c r="AU75" s="102" t="str">
        <f t="shared" si="48"/>
        <v/>
      </c>
      <c r="AV75" s="102" t="str">
        <f t="shared" si="49"/>
        <v/>
      </c>
      <c r="AW75" s="102" t="str">
        <f t="shared" si="50"/>
        <v/>
      </c>
      <c r="AX75" s="102" t="str">
        <f t="shared" si="51"/>
        <v/>
      </c>
      <c r="AY75" s="102" t="str">
        <f t="shared" si="52"/>
        <v/>
      </c>
      <c r="AZ75" s="102" t="str">
        <f t="shared" si="53"/>
        <v/>
      </c>
      <c r="BA75" s="102" t="str">
        <f t="shared" si="54"/>
        <v/>
      </c>
      <c r="BB75" s="106" t="str">
        <f t="shared" si="60"/>
        <v/>
      </c>
      <c r="BE75" s="102" t="str">
        <f t="shared" si="55"/>
        <v/>
      </c>
      <c r="BF75" s="102" t="str">
        <f t="shared" si="56"/>
        <v/>
      </c>
      <c r="BG75" s="102" t="str">
        <f t="shared" si="57"/>
        <v/>
      </c>
      <c r="BH75" s="102" t="str">
        <f t="shared" si="61"/>
        <v/>
      </c>
      <c r="BI75" s="102" t="str">
        <f t="shared" si="58"/>
        <v/>
      </c>
    </row>
    <row r="76" spans="1:61" s="106" customFormat="1" ht="23.15" customHeight="1">
      <c r="A76" s="3">
        <v>70</v>
      </c>
      <c r="B76" s="15"/>
      <c r="C76" s="5"/>
      <c r="D76" s="6"/>
      <c r="E76" s="4"/>
      <c r="F76" s="7"/>
      <c r="G76" s="8"/>
      <c r="H76" s="9"/>
      <c r="I76" s="9"/>
      <c r="J76" s="9"/>
      <c r="K76" s="9"/>
      <c r="L76" s="9"/>
      <c r="M76" s="9"/>
      <c r="N76" s="9"/>
      <c r="O76" s="9"/>
      <c r="P76" s="9"/>
      <c r="Q76" s="10"/>
      <c r="R76" s="11"/>
      <c r="S76" s="12"/>
      <c r="T76" s="10"/>
      <c r="U76" s="18"/>
      <c r="V76" s="10"/>
      <c r="W76" s="13"/>
      <c r="X76" s="14"/>
      <c r="Y76" s="105" t="str">
        <f t="shared" si="59"/>
        <v/>
      </c>
      <c r="Z76" s="102">
        <f>IF(COUNTIF($E$7:E76,E76)=1,"",COUNTIF($E$7:E76,E76))</f>
        <v>0</v>
      </c>
      <c r="AA76" s="102" t="str">
        <f t="shared" si="42"/>
        <v/>
      </c>
      <c r="AC76" s="102" t="str">
        <f t="shared" si="62"/>
        <v/>
      </c>
      <c r="AD76" s="102" t="str">
        <f t="shared" si="62"/>
        <v/>
      </c>
      <c r="AE76" s="102" t="str">
        <f t="shared" si="62"/>
        <v/>
      </c>
      <c r="AF76" s="102" t="str">
        <f t="shared" si="62"/>
        <v/>
      </c>
      <c r="AG76" s="102" t="str">
        <f t="shared" si="62"/>
        <v/>
      </c>
      <c r="AH76" s="102" t="str">
        <f t="shared" si="62"/>
        <v/>
      </c>
      <c r="AI76" s="102" t="str">
        <f t="shared" si="62"/>
        <v/>
      </c>
      <c r="AJ76" s="102" t="str">
        <f t="shared" si="62"/>
        <v/>
      </c>
      <c r="AK76" s="102" t="str">
        <f t="shared" si="62"/>
        <v/>
      </c>
      <c r="AL76" s="102" t="str">
        <f t="shared" si="62"/>
        <v/>
      </c>
      <c r="AM76" s="102" t="str">
        <f t="shared" si="62"/>
        <v/>
      </c>
      <c r="AN76" s="102" t="str">
        <f t="shared" si="62"/>
        <v/>
      </c>
      <c r="AP76" s="102" t="str">
        <f t="shared" si="43"/>
        <v/>
      </c>
      <c r="AQ76" s="102" t="str">
        <f t="shared" si="44"/>
        <v/>
      </c>
      <c r="AR76" s="102" t="str">
        <f t="shared" si="45"/>
        <v/>
      </c>
      <c r="AS76" s="102" t="str">
        <f t="shared" si="46"/>
        <v/>
      </c>
      <c r="AT76" s="102" t="str">
        <f t="shared" si="47"/>
        <v/>
      </c>
      <c r="AU76" s="102" t="str">
        <f t="shared" si="48"/>
        <v/>
      </c>
      <c r="AV76" s="102" t="str">
        <f t="shared" si="49"/>
        <v/>
      </c>
      <c r="AW76" s="102" t="str">
        <f t="shared" si="50"/>
        <v/>
      </c>
      <c r="AX76" s="102" t="str">
        <f t="shared" si="51"/>
        <v/>
      </c>
      <c r="AY76" s="102" t="str">
        <f t="shared" si="52"/>
        <v/>
      </c>
      <c r="AZ76" s="102" t="str">
        <f t="shared" si="53"/>
        <v/>
      </c>
      <c r="BA76" s="102" t="str">
        <f t="shared" si="54"/>
        <v/>
      </c>
      <c r="BB76" s="106" t="str">
        <f t="shared" si="60"/>
        <v/>
      </c>
      <c r="BE76" s="102" t="str">
        <f t="shared" si="55"/>
        <v/>
      </c>
      <c r="BF76" s="102" t="str">
        <f t="shared" si="56"/>
        <v/>
      </c>
      <c r="BG76" s="102" t="str">
        <f t="shared" si="57"/>
        <v/>
      </c>
      <c r="BH76" s="102" t="str">
        <f t="shared" si="61"/>
        <v/>
      </c>
      <c r="BI76" s="102" t="str">
        <f t="shared" si="58"/>
        <v/>
      </c>
    </row>
    <row r="77" spans="1:61" s="106" customFormat="1" ht="23.15" customHeight="1">
      <c r="A77" s="3">
        <v>71</v>
      </c>
      <c r="B77" s="15"/>
      <c r="C77" s="5"/>
      <c r="D77" s="6"/>
      <c r="E77" s="4"/>
      <c r="F77" s="7"/>
      <c r="G77" s="8"/>
      <c r="H77" s="9"/>
      <c r="I77" s="9"/>
      <c r="J77" s="9"/>
      <c r="K77" s="9"/>
      <c r="L77" s="9"/>
      <c r="M77" s="9"/>
      <c r="N77" s="9"/>
      <c r="O77" s="9"/>
      <c r="P77" s="9"/>
      <c r="Q77" s="10"/>
      <c r="R77" s="11"/>
      <c r="S77" s="12"/>
      <c r="T77" s="10"/>
      <c r="U77" s="18"/>
      <c r="V77" s="10"/>
      <c r="W77" s="13"/>
      <c r="X77" s="14"/>
      <c r="Y77" s="105" t="str">
        <f t="shared" si="59"/>
        <v/>
      </c>
      <c r="Z77" s="102">
        <f>IF(COUNTIF($E$7:E77,E77)=1,"",COUNTIF($E$7:E77,E77))</f>
        <v>0</v>
      </c>
      <c r="AA77" s="102" t="str">
        <f t="shared" si="42"/>
        <v/>
      </c>
      <c r="AC77" s="102" t="str">
        <f t="shared" si="62"/>
        <v/>
      </c>
      <c r="AD77" s="102" t="str">
        <f t="shared" si="62"/>
        <v/>
      </c>
      <c r="AE77" s="102" t="str">
        <f t="shared" si="62"/>
        <v/>
      </c>
      <c r="AF77" s="102" t="str">
        <f t="shared" si="62"/>
        <v/>
      </c>
      <c r="AG77" s="102" t="str">
        <f t="shared" si="62"/>
        <v/>
      </c>
      <c r="AH77" s="102" t="str">
        <f t="shared" si="62"/>
        <v/>
      </c>
      <c r="AI77" s="102" t="str">
        <f t="shared" si="62"/>
        <v/>
      </c>
      <c r="AJ77" s="102" t="str">
        <f t="shared" si="62"/>
        <v/>
      </c>
      <c r="AK77" s="102" t="str">
        <f t="shared" si="62"/>
        <v/>
      </c>
      <c r="AL77" s="102" t="str">
        <f t="shared" si="62"/>
        <v/>
      </c>
      <c r="AM77" s="102" t="str">
        <f t="shared" si="62"/>
        <v/>
      </c>
      <c r="AN77" s="102" t="str">
        <f t="shared" si="62"/>
        <v/>
      </c>
      <c r="AP77" s="102" t="str">
        <f t="shared" si="43"/>
        <v/>
      </c>
      <c r="AQ77" s="102" t="str">
        <f t="shared" si="44"/>
        <v/>
      </c>
      <c r="AR77" s="102" t="str">
        <f t="shared" si="45"/>
        <v/>
      </c>
      <c r="AS77" s="102" t="str">
        <f t="shared" si="46"/>
        <v/>
      </c>
      <c r="AT77" s="102" t="str">
        <f t="shared" si="47"/>
        <v/>
      </c>
      <c r="AU77" s="102" t="str">
        <f t="shared" si="48"/>
        <v/>
      </c>
      <c r="AV77" s="102" t="str">
        <f t="shared" si="49"/>
        <v/>
      </c>
      <c r="AW77" s="102" t="str">
        <f t="shared" si="50"/>
        <v/>
      </c>
      <c r="AX77" s="102" t="str">
        <f t="shared" si="51"/>
        <v/>
      </c>
      <c r="AY77" s="102" t="str">
        <f t="shared" si="52"/>
        <v/>
      </c>
      <c r="AZ77" s="102" t="str">
        <f t="shared" si="53"/>
        <v/>
      </c>
      <c r="BA77" s="102" t="str">
        <f t="shared" si="54"/>
        <v/>
      </c>
      <c r="BB77" s="106" t="str">
        <f t="shared" si="60"/>
        <v/>
      </c>
      <c r="BE77" s="102" t="str">
        <f t="shared" si="55"/>
        <v/>
      </c>
      <c r="BF77" s="102" t="str">
        <f t="shared" si="56"/>
        <v/>
      </c>
      <c r="BG77" s="102" t="str">
        <f t="shared" si="57"/>
        <v/>
      </c>
      <c r="BH77" s="102" t="str">
        <f t="shared" si="61"/>
        <v/>
      </c>
      <c r="BI77" s="102" t="str">
        <f t="shared" si="58"/>
        <v/>
      </c>
    </row>
    <row r="78" spans="1:61" s="106" customFormat="1" ht="23.15" customHeight="1">
      <c r="A78" s="3">
        <v>72</v>
      </c>
      <c r="B78" s="15"/>
      <c r="C78" s="5"/>
      <c r="D78" s="6"/>
      <c r="E78" s="4"/>
      <c r="F78" s="7"/>
      <c r="G78" s="8"/>
      <c r="H78" s="9"/>
      <c r="I78" s="9"/>
      <c r="J78" s="9"/>
      <c r="K78" s="9"/>
      <c r="L78" s="9"/>
      <c r="M78" s="9"/>
      <c r="N78" s="9"/>
      <c r="O78" s="9"/>
      <c r="P78" s="9"/>
      <c r="Q78" s="10"/>
      <c r="R78" s="11"/>
      <c r="S78" s="12"/>
      <c r="T78" s="10"/>
      <c r="U78" s="18"/>
      <c r="V78" s="10"/>
      <c r="W78" s="13"/>
      <c r="X78" s="14"/>
      <c r="Y78" s="105" t="str">
        <f t="shared" si="59"/>
        <v/>
      </c>
      <c r="Z78" s="102">
        <f>IF(COUNTIF($E$7:E78,E78)=1,"",COUNTIF($E$7:E78,E78))</f>
        <v>0</v>
      </c>
      <c r="AA78" s="102" t="str">
        <f t="shared" si="42"/>
        <v/>
      </c>
      <c r="AC78" s="102" t="str">
        <f t="shared" si="62"/>
        <v/>
      </c>
      <c r="AD78" s="102" t="str">
        <f t="shared" si="62"/>
        <v/>
      </c>
      <c r="AE78" s="102" t="str">
        <f t="shared" si="62"/>
        <v/>
      </c>
      <c r="AF78" s="102" t="str">
        <f t="shared" si="62"/>
        <v/>
      </c>
      <c r="AG78" s="102" t="str">
        <f t="shared" si="62"/>
        <v/>
      </c>
      <c r="AH78" s="102" t="str">
        <f t="shared" si="62"/>
        <v/>
      </c>
      <c r="AI78" s="102" t="str">
        <f t="shared" si="62"/>
        <v/>
      </c>
      <c r="AJ78" s="102" t="str">
        <f t="shared" si="62"/>
        <v/>
      </c>
      <c r="AK78" s="102" t="str">
        <f t="shared" si="62"/>
        <v/>
      </c>
      <c r="AL78" s="102" t="str">
        <f t="shared" si="62"/>
        <v/>
      </c>
      <c r="AM78" s="102" t="str">
        <f t="shared" si="62"/>
        <v/>
      </c>
      <c r="AN78" s="102" t="str">
        <f t="shared" si="62"/>
        <v/>
      </c>
      <c r="AP78" s="102" t="str">
        <f t="shared" si="43"/>
        <v/>
      </c>
      <c r="AQ78" s="102" t="str">
        <f t="shared" si="44"/>
        <v/>
      </c>
      <c r="AR78" s="102" t="str">
        <f t="shared" si="45"/>
        <v/>
      </c>
      <c r="AS78" s="102" t="str">
        <f t="shared" si="46"/>
        <v/>
      </c>
      <c r="AT78" s="102" t="str">
        <f t="shared" si="47"/>
        <v/>
      </c>
      <c r="AU78" s="102" t="str">
        <f t="shared" si="48"/>
        <v/>
      </c>
      <c r="AV78" s="102" t="str">
        <f t="shared" si="49"/>
        <v/>
      </c>
      <c r="AW78" s="102" t="str">
        <f t="shared" si="50"/>
        <v/>
      </c>
      <c r="AX78" s="102" t="str">
        <f t="shared" si="51"/>
        <v/>
      </c>
      <c r="AY78" s="102" t="str">
        <f t="shared" si="52"/>
        <v/>
      </c>
      <c r="AZ78" s="102" t="str">
        <f t="shared" si="53"/>
        <v/>
      </c>
      <c r="BA78" s="102" t="str">
        <f t="shared" si="54"/>
        <v/>
      </c>
      <c r="BB78" s="106" t="str">
        <f t="shared" si="60"/>
        <v/>
      </c>
      <c r="BE78" s="102" t="str">
        <f t="shared" si="55"/>
        <v/>
      </c>
      <c r="BF78" s="102" t="str">
        <f t="shared" si="56"/>
        <v/>
      </c>
      <c r="BG78" s="102" t="str">
        <f t="shared" si="57"/>
        <v/>
      </c>
      <c r="BH78" s="102" t="str">
        <f t="shared" si="61"/>
        <v/>
      </c>
      <c r="BI78" s="102" t="str">
        <f t="shared" si="58"/>
        <v/>
      </c>
    </row>
    <row r="79" spans="1:61" s="106" customFormat="1" ht="23.15" customHeight="1">
      <c r="A79" s="3">
        <v>73</v>
      </c>
      <c r="B79" s="15"/>
      <c r="C79" s="5"/>
      <c r="D79" s="6"/>
      <c r="E79" s="4"/>
      <c r="F79" s="7"/>
      <c r="G79" s="8"/>
      <c r="H79" s="9"/>
      <c r="I79" s="9"/>
      <c r="J79" s="9"/>
      <c r="K79" s="9"/>
      <c r="L79" s="9"/>
      <c r="M79" s="9"/>
      <c r="N79" s="9"/>
      <c r="O79" s="9"/>
      <c r="P79" s="9"/>
      <c r="Q79" s="10"/>
      <c r="R79" s="11"/>
      <c r="S79" s="12"/>
      <c r="T79" s="10"/>
      <c r="U79" s="18"/>
      <c r="V79" s="10"/>
      <c r="W79" s="13"/>
      <c r="X79" s="14"/>
      <c r="Y79" s="105" t="str">
        <f t="shared" si="59"/>
        <v/>
      </c>
      <c r="Z79" s="102">
        <f>IF(COUNTIF($E$7:E79,E79)=1,"",COUNTIF($E$7:E79,E79))</f>
        <v>0</v>
      </c>
      <c r="AA79" s="102" t="str">
        <f t="shared" si="42"/>
        <v/>
      </c>
      <c r="AC79" s="102" t="str">
        <f t="shared" si="62"/>
        <v/>
      </c>
      <c r="AD79" s="102" t="str">
        <f t="shared" si="62"/>
        <v/>
      </c>
      <c r="AE79" s="102" t="str">
        <f t="shared" si="62"/>
        <v/>
      </c>
      <c r="AF79" s="102" t="str">
        <f t="shared" si="62"/>
        <v/>
      </c>
      <c r="AG79" s="102" t="str">
        <f t="shared" si="62"/>
        <v/>
      </c>
      <c r="AH79" s="102" t="str">
        <f t="shared" si="62"/>
        <v/>
      </c>
      <c r="AI79" s="102" t="str">
        <f t="shared" si="62"/>
        <v/>
      </c>
      <c r="AJ79" s="102" t="str">
        <f t="shared" si="62"/>
        <v/>
      </c>
      <c r="AK79" s="102" t="str">
        <f t="shared" si="62"/>
        <v/>
      </c>
      <c r="AL79" s="102" t="str">
        <f t="shared" si="62"/>
        <v/>
      </c>
      <c r="AM79" s="102" t="str">
        <f t="shared" si="62"/>
        <v/>
      </c>
      <c r="AN79" s="102" t="str">
        <f t="shared" si="62"/>
        <v/>
      </c>
      <c r="AP79" s="102" t="str">
        <f t="shared" si="43"/>
        <v/>
      </c>
      <c r="AQ79" s="102" t="str">
        <f t="shared" si="44"/>
        <v/>
      </c>
      <c r="AR79" s="102" t="str">
        <f t="shared" si="45"/>
        <v/>
      </c>
      <c r="AS79" s="102" t="str">
        <f t="shared" si="46"/>
        <v/>
      </c>
      <c r="AT79" s="102" t="str">
        <f t="shared" si="47"/>
        <v/>
      </c>
      <c r="AU79" s="102" t="str">
        <f t="shared" si="48"/>
        <v/>
      </c>
      <c r="AV79" s="102" t="str">
        <f t="shared" si="49"/>
        <v/>
      </c>
      <c r="AW79" s="102" t="str">
        <f t="shared" si="50"/>
        <v/>
      </c>
      <c r="AX79" s="102" t="str">
        <f t="shared" si="51"/>
        <v/>
      </c>
      <c r="AY79" s="102" t="str">
        <f t="shared" si="52"/>
        <v/>
      </c>
      <c r="AZ79" s="102" t="str">
        <f t="shared" si="53"/>
        <v/>
      </c>
      <c r="BA79" s="102" t="str">
        <f t="shared" si="54"/>
        <v/>
      </c>
      <c r="BB79" s="106" t="str">
        <f t="shared" si="60"/>
        <v/>
      </c>
      <c r="BE79" s="102" t="str">
        <f t="shared" si="55"/>
        <v/>
      </c>
      <c r="BF79" s="102" t="str">
        <f t="shared" si="56"/>
        <v/>
      </c>
      <c r="BG79" s="102" t="str">
        <f t="shared" si="57"/>
        <v/>
      </c>
      <c r="BH79" s="102" t="str">
        <f t="shared" si="61"/>
        <v/>
      </c>
      <c r="BI79" s="102" t="str">
        <f t="shared" si="58"/>
        <v/>
      </c>
    </row>
    <row r="80" spans="1:61" s="106" customFormat="1" ht="23.15" customHeight="1">
      <c r="A80" s="3">
        <v>74</v>
      </c>
      <c r="B80" s="15"/>
      <c r="C80" s="5"/>
      <c r="D80" s="6"/>
      <c r="E80" s="4"/>
      <c r="F80" s="7"/>
      <c r="G80" s="8"/>
      <c r="H80" s="9"/>
      <c r="I80" s="9"/>
      <c r="J80" s="9"/>
      <c r="K80" s="9"/>
      <c r="L80" s="9"/>
      <c r="M80" s="9"/>
      <c r="N80" s="9"/>
      <c r="O80" s="9"/>
      <c r="P80" s="9"/>
      <c r="Q80" s="10"/>
      <c r="R80" s="11"/>
      <c r="S80" s="12"/>
      <c r="T80" s="10"/>
      <c r="U80" s="18"/>
      <c r="V80" s="10"/>
      <c r="W80" s="13"/>
      <c r="X80" s="14"/>
      <c r="Y80" s="105" t="str">
        <f t="shared" si="59"/>
        <v/>
      </c>
      <c r="Z80" s="102">
        <f>IF(COUNTIF($E$7:E80,E80)=1,"",COUNTIF($E$7:E80,E80))</f>
        <v>0</v>
      </c>
      <c r="AA80" s="102" t="str">
        <f t="shared" si="42"/>
        <v/>
      </c>
      <c r="AC80" s="102" t="str">
        <f t="shared" si="62"/>
        <v/>
      </c>
      <c r="AD80" s="102" t="str">
        <f t="shared" si="62"/>
        <v/>
      </c>
      <c r="AE80" s="102" t="str">
        <f t="shared" si="62"/>
        <v/>
      </c>
      <c r="AF80" s="102" t="str">
        <f t="shared" si="62"/>
        <v/>
      </c>
      <c r="AG80" s="102" t="str">
        <f t="shared" si="62"/>
        <v/>
      </c>
      <c r="AH80" s="102" t="str">
        <f t="shared" si="62"/>
        <v/>
      </c>
      <c r="AI80" s="102" t="str">
        <f t="shared" si="62"/>
        <v/>
      </c>
      <c r="AJ80" s="102" t="str">
        <f t="shared" si="62"/>
        <v/>
      </c>
      <c r="AK80" s="102" t="str">
        <f t="shared" si="62"/>
        <v/>
      </c>
      <c r="AL80" s="102" t="str">
        <f t="shared" si="62"/>
        <v/>
      </c>
      <c r="AM80" s="102" t="str">
        <f t="shared" si="62"/>
        <v/>
      </c>
      <c r="AN80" s="102" t="str">
        <f t="shared" si="62"/>
        <v/>
      </c>
      <c r="AP80" s="102" t="str">
        <f t="shared" si="43"/>
        <v/>
      </c>
      <c r="AQ80" s="102" t="str">
        <f t="shared" si="44"/>
        <v/>
      </c>
      <c r="AR80" s="102" t="str">
        <f t="shared" si="45"/>
        <v/>
      </c>
      <c r="AS80" s="102" t="str">
        <f t="shared" si="46"/>
        <v/>
      </c>
      <c r="AT80" s="102" t="str">
        <f t="shared" si="47"/>
        <v/>
      </c>
      <c r="AU80" s="102" t="str">
        <f t="shared" si="48"/>
        <v/>
      </c>
      <c r="AV80" s="102" t="str">
        <f t="shared" si="49"/>
        <v/>
      </c>
      <c r="AW80" s="102" t="str">
        <f t="shared" si="50"/>
        <v/>
      </c>
      <c r="AX80" s="102" t="str">
        <f t="shared" si="51"/>
        <v/>
      </c>
      <c r="AY80" s="102" t="str">
        <f t="shared" si="52"/>
        <v/>
      </c>
      <c r="AZ80" s="102" t="str">
        <f t="shared" si="53"/>
        <v/>
      </c>
      <c r="BA80" s="102" t="str">
        <f t="shared" si="54"/>
        <v/>
      </c>
      <c r="BB80" s="106" t="str">
        <f t="shared" si="60"/>
        <v/>
      </c>
      <c r="BE80" s="102" t="str">
        <f t="shared" si="55"/>
        <v/>
      </c>
      <c r="BF80" s="102" t="str">
        <f t="shared" si="56"/>
        <v/>
      </c>
      <c r="BG80" s="102" t="str">
        <f t="shared" si="57"/>
        <v/>
      </c>
      <c r="BH80" s="102" t="str">
        <f t="shared" si="61"/>
        <v/>
      </c>
      <c r="BI80" s="102" t="str">
        <f t="shared" si="58"/>
        <v/>
      </c>
    </row>
    <row r="81" spans="1:61" s="106" customFormat="1" ht="23.15" customHeight="1">
      <c r="A81" s="3">
        <v>75</v>
      </c>
      <c r="B81" s="15"/>
      <c r="C81" s="5"/>
      <c r="D81" s="6"/>
      <c r="E81" s="4"/>
      <c r="F81" s="7"/>
      <c r="G81" s="8"/>
      <c r="H81" s="9"/>
      <c r="I81" s="9"/>
      <c r="J81" s="9"/>
      <c r="K81" s="9"/>
      <c r="L81" s="9"/>
      <c r="M81" s="9"/>
      <c r="N81" s="9"/>
      <c r="O81" s="9"/>
      <c r="P81" s="9"/>
      <c r="Q81" s="10"/>
      <c r="R81" s="11"/>
      <c r="S81" s="12"/>
      <c r="T81" s="10"/>
      <c r="U81" s="18"/>
      <c r="V81" s="10"/>
      <c r="W81" s="13"/>
      <c r="X81" s="14"/>
      <c r="Y81" s="105" t="str">
        <f t="shared" si="59"/>
        <v/>
      </c>
      <c r="Z81" s="102">
        <f>IF(COUNTIF($E$7:E81,E81)=1,"",COUNTIF($E$7:E81,E81))</f>
        <v>0</v>
      </c>
      <c r="AA81" s="102" t="str">
        <f t="shared" si="42"/>
        <v/>
      </c>
      <c r="AC81" s="102" t="str">
        <f t="shared" si="62"/>
        <v/>
      </c>
      <c r="AD81" s="102" t="str">
        <f t="shared" si="62"/>
        <v/>
      </c>
      <c r="AE81" s="102" t="str">
        <f t="shared" si="62"/>
        <v/>
      </c>
      <c r="AF81" s="102" t="str">
        <f t="shared" si="62"/>
        <v/>
      </c>
      <c r="AG81" s="102" t="str">
        <f t="shared" si="62"/>
        <v/>
      </c>
      <c r="AH81" s="102" t="str">
        <f t="shared" si="62"/>
        <v/>
      </c>
      <c r="AI81" s="102" t="str">
        <f t="shared" si="62"/>
        <v/>
      </c>
      <c r="AJ81" s="102" t="str">
        <f t="shared" si="62"/>
        <v/>
      </c>
      <c r="AK81" s="102" t="str">
        <f t="shared" si="62"/>
        <v/>
      </c>
      <c r="AL81" s="102" t="str">
        <f t="shared" si="62"/>
        <v/>
      </c>
      <c r="AM81" s="102" t="str">
        <f t="shared" si="62"/>
        <v/>
      </c>
      <c r="AN81" s="102" t="str">
        <f t="shared" si="62"/>
        <v/>
      </c>
      <c r="AP81" s="102" t="str">
        <f t="shared" si="43"/>
        <v/>
      </c>
      <c r="AQ81" s="102" t="str">
        <f t="shared" si="44"/>
        <v/>
      </c>
      <c r="AR81" s="102" t="str">
        <f t="shared" si="45"/>
        <v/>
      </c>
      <c r="AS81" s="102" t="str">
        <f t="shared" si="46"/>
        <v/>
      </c>
      <c r="AT81" s="102" t="str">
        <f t="shared" si="47"/>
        <v/>
      </c>
      <c r="AU81" s="102" t="str">
        <f t="shared" si="48"/>
        <v/>
      </c>
      <c r="AV81" s="102" t="str">
        <f t="shared" si="49"/>
        <v/>
      </c>
      <c r="AW81" s="102" t="str">
        <f t="shared" si="50"/>
        <v/>
      </c>
      <c r="AX81" s="102" t="str">
        <f t="shared" si="51"/>
        <v/>
      </c>
      <c r="AY81" s="102" t="str">
        <f t="shared" si="52"/>
        <v/>
      </c>
      <c r="AZ81" s="102" t="str">
        <f t="shared" si="53"/>
        <v/>
      </c>
      <c r="BA81" s="102" t="str">
        <f t="shared" si="54"/>
        <v/>
      </c>
      <c r="BB81" s="106" t="str">
        <f t="shared" si="60"/>
        <v/>
      </c>
      <c r="BE81" s="102" t="str">
        <f t="shared" si="55"/>
        <v/>
      </c>
      <c r="BF81" s="102" t="str">
        <f t="shared" si="56"/>
        <v/>
      </c>
      <c r="BG81" s="102" t="str">
        <f t="shared" si="57"/>
        <v/>
      </c>
      <c r="BH81" s="102" t="str">
        <f t="shared" si="61"/>
        <v/>
      </c>
      <c r="BI81" s="102" t="str">
        <f t="shared" si="58"/>
        <v/>
      </c>
    </row>
    <row r="82" spans="1:61" s="106" customFormat="1" ht="23.15" customHeight="1">
      <c r="A82" s="3">
        <v>76</v>
      </c>
      <c r="B82" s="15"/>
      <c r="C82" s="5"/>
      <c r="D82" s="6"/>
      <c r="E82" s="4"/>
      <c r="F82" s="7"/>
      <c r="G82" s="8"/>
      <c r="H82" s="9"/>
      <c r="I82" s="9"/>
      <c r="J82" s="9"/>
      <c r="K82" s="9"/>
      <c r="L82" s="9"/>
      <c r="M82" s="9"/>
      <c r="N82" s="9"/>
      <c r="O82" s="9"/>
      <c r="P82" s="9"/>
      <c r="Q82" s="10"/>
      <c r="R82" s="11"/>
      <c r="S82" s="12"/>
      <c r="T82" s="10"/>
      <c r="U82" s="18"/>
      <c r="V82" s="10"/>
      <c r="W82" s="13"/>
      <c r="X82" s="14"/>
      <c r="Y82" s="105" t="str">
        <f t="shared" si="59"/>
        <v/>
      </c>
      <c r="Z82" s="102">
        <f>IF(COUNTIF($E$7:E82,E82)=1,"",COUNTIF($E$7:E82,E82))</f>
        <v>0</v>
      </c>
      <c r="AA82" s="102" t="str">
        <f t="shared" si="42"/>
        <v/>
      </c>
      <c r="AC82" s="102" t="str">
        <f t="shared" si="62"/>
        <v/>
      </c>
      <c r="AD82" s="102" t="str">
        <f t="shared" si="62"/>
        <v/>
      </c>
      <c r="AE82" s="102" t="str">
        <f t="shared" si="62"/>
        <v/>
      </c>
      <c r="AF82" s="102" t="str">
        <f t="shared" si="62"/>
        <v/>
      </c>
      <c r="AG82" s="102" t="str">
        <f t="shared" si="62"/>
        <v/>
      </c>
      <c r="AH82" s="102" t="str">
        <f t="shared" si="62"/>
        <v/>
      </c>
      <c r="AI82" s="102" t="str">
        <f t="shared" si="62"/>
        <v/>
      </c>
      <c r="AJ82" s="102" t="str">
        <f t="shared" si="62"/>
        <v/>
      </c>
      <c r="AK82" s="102" t="str">
        <f t="shared" si="62"/>
        <v/>
      </c>
      <c r="AL82" s="102" t="str">
        <f t="shared" si="62"/>
        <v/>
      </c>
      <c r="AM82" s="102" t="str">
        <f t="shared" si="62"/>
        <v/>
      </c>
      <c r="AN82" s="102" t="str">
        <f t="shared" si="62"/>
        <v/>
      </c>
      <c r="AP82" s="102" t="str">
        <f t="shared" si="43"/>
        <v/>
      </c>
      <c r="AQ82" s="102" t="str">
        <f t="shared" si="44"/>
        <v/>
      </c>
      <c r="AR82" s="102" t="str">
        <f t="shared" si="45"/>
        <v/>
      </c>
      <c r="AS82" s="102" t="str">
        <f t="shared" si="46"/>
        <v/>
      </c>
      <c r="AT82" s="102" t="str">
        <f t="shared" si="47"/>
        <v/>
      </c>
      <c r="AU82" s="102" t="str">
        <f t="shared" si="48"/>
        <v/>
      </c>
      <c r="AV82" s="102" t="str">
        <f t="shared" si="49"/>
        <v/>
      </c>
      <c r="AW82" s="102" t="str">
        <f t="shared" si="50"/>
        <v/>
      </c>
      <c r="AX82" s="102" t="str">
        <f t="shared" si="51"/>
        <v/>
      </c>
      <c r="AY82" s="102" t="str">
        <f t="shared" si="52"/>
        <v/>
      </c>
      <c r="AZ82" s="102" t="str">
        <f t="shared" si="53"/>
        <v/>
      </c>
      <c r="BA82" s="102" t="str">
        <f t="shared" si="54"/>
        <v/>
      </c>
      <c r="BB82" s="106" t="str">
        <f t="shared" si="60"/>
        <v/>
      </c>
      <c r="BE82" s="102" t="str">
        <f t="shared" si="55"/>
        <v/>
      </c>
      <c r="BF82" s="102" t="str">
        <f t="shared" si="56"/>
        <v/>
      </c>
      <c r="BG82" s="102" t="str">
        <f t="shared" si="57"/>
        <v/>
      </c>
      <c r="BH82" s="102" t="str">
        <f t="shared" si="61"/>
        <v/>
      </c>
      <c r="BI82" s="102" t="str">
        <f t="shared" si="58"/>
        <v/>
      </c>
    </row>
    <row r="83" spans="1:61" s="106" customFormat="1" ht="23.15" customHeight="1">
      <c r="A83" s="3">
        <v>77</v>
      </c>
      <c r="B83" s="15"/>
      <c r="C83" s="5"/>
      <c r="D83" s="6"/>
      <c r="E83" s="4"/>
      <c r="F83" s="7"/>
      <c r="G83" s="8"/>
      <c r="H83" s="9"/>
      <c r="I83" s="9"/>
      <c r="J83" s="9"/>
      <c r="K83" s="9"/>
      <c r="L83" s="9"/>
      <c r="M83" s="9"/>
      <c r="N83" s="9"/>
      <c r="O83" s="9"/>
      <c r="P83" s="9"/>
      <c r="Q83" s="10"/>
      <c r="R83" s="11"/>
      <c r="S83" s="12"/>
      <c r="T83" s="10"/>
      <c r="U83" s="18"/>
      <c r="V83" s="10"/>
      <c r="W83" s="13"/>
      <c r="X83" s="14"/>
      <c r="Y83" s="105" t="str">
        <f t="shared" si="59"/>
        <v/>
      </c>
      <c r="Z83" s="102">
        <f>IF(COUNTIF($E$7:E83,E83)=1,"",COUNTIF($E$7:E83,E83))</f>
        <v>0</v>
      </c>
      <c r="AA83" s="102" t="str">
        <f t="shared" si="42"/>
        <v/>
      </c>
      <c r="AC83" s="102" t="str">
        <f t="shared" si="62"/>
        <v/>
      </c>
      <c r="AD83" s="102" t="str">
        <f t="shared" si="62"/>
        <v/>
      </c>
      <c r="AE83" s="102" t="str">
        <f t="shared" si="62"/>
        <v/>
      </c>
      <c r="AF83" s="102" t="str">
        <f t="shared" si="62"/>
        <v/>
      </c>
      <c r="AG83" s="102" t="str">
        <f t="shared" si="62"/>
        <v/>
      </c>
      <c r="AH83" s="102" t="str">
        <f t="shared" si="62"/>
        <v/>
      </c>
      <c r="AI83" s="102" t="str">
        <f t="shared" si="62"/>
        <v/>
      </c>
      <c r="AJ83" s="102" t="str">
        <f t="shared" si="62"/>
        <v/>
      </c>
      <c r="AK83" s="102" t="str">
        <f t="shared" si="62"/>
        <v/>
      </c>
      <c r="AL83" s="102" t="str">
        <f t="shared" si="62"/>
        <v/>
      </c>
      <c r="AM83" s="102" t="str">
        <f t="shared" si="62"/>
        <v/>
      </c>
      <c r="AN83" s="102" t="str">
        <f t="shared" si="62"/>
        <v/>
      </c>
      <c r="AP83" s="102" t="str">
        <f t="shared" si="43"/>
        <v/>
      </c>
      <c r="AQ83" s="102" t="str">
        <f t="shared" si="44"/>
        <v/>
      </c>
      <c r="AR83" s="102" t="str">
        <f t="shared" si="45"/>
        <v/>
      </c>
      <c r="AS83" s="102" t="str">
        <f t="shared" si="46"/>
        <v/>
      </c>
      <c r="AT83" s="102" t="str">
        <f t="shared" si="47"/>
        <v/>
      </c>
      <c r="AU83" s="102" t="str">
        <f t="shared" si="48"/>
        <v/>
      </c>
      <c r="AV83" s="102" t="str">
        <f t="shared" si="49"/>
        <v/>
      </c>
      <c r="AW83" s="102" t="str">
        <f t="shared" si="50"/>
        <v/>
      </c>
      <c r="AX83" s="102" t="str">
        <f t="shared" si="51"/>
        <v/>
      </c>
      <c r="AY83" s="102" t="str">
        <f t="shared" si="52"/>
        <v/>
      </c>
      <c r="AZ83" s="102" t="str">
        <f t="shared" si="53"/>
        <v/>
      </c>
      <c r="BA83" s="102" t="str">
        <f t="shared" si="54"/>
        <v/>
      </c>
      <c r="BB83" s="106" t="str">
        <f t="shared" si="60"/>
        <v/>
      </c>
      <c r="BE83" s="102" t="str">
        <f t="shared" si="55"/>
        <v/>
      </c>
      <c r="BF83" s="102" t="str">
        <f t="shared" si="56"/>
        <v/>
      </c>
      <c r="BG83" s="102" t="str">
        <f t="shared" si="57"/>
        <v/>
      </c>
      <c r="BH83" s="102" t="str">
        <f t="shared" si="61"/>
        <v/>
      </c>
      <c r="BI83" s="102" t="str">
        <f t="shared" si="58"/>
        <v/>
      </c>
    </row>
    <row r="84" spans="1:61" s="106" customFormat="1" ht="23.15" customHeight="1">
      <c r="A84" s="3">
        <v>78</v>
      </c>
      <c r="B84" s="15"/>
      <c r="C84" s="5"/>
      <c r="D84" s="6"/>
      <c r="E84" s="4"/>
      <c r="F84" s="7"/>
      <c r="G84" s="8"/>
      <c r="H84" s="9"/>
      <c r="I84" s="9"/>
      <c r="J84" s="9"/>
      <c r="K84" s="9"/>
      <c r="L84" s="9"/>
      <c r="M84" s="9"/>
      <c r="N84" s="9"/>
      <c r="O84" s="9"/>
      <c r="P84" s="9"/>
      <c r="Q84" s="10"/>
      <c r="R84" s="11"/>
      <c r="S84" s="12"/>
      <c r="T84" s="10"/>
      <c r="U84" s="18"/>
      <c r="V84" s="10"/>
      <c r="W84" s="13"/>
      <c r="X84" s="14"/>
      <c r="Y84" s="105" t="str">
        <f t="shared" si="59"/>
        <v/>
      </c>
      <c r="Z84" s="102">
        <f>IF(COUNTIF($E$7:E84,E84)=1,"",COUNTIF($E$7:E84,E84))</f>
        <v>0</v>
      </c>
      <c r="AA84" s="102" t="str">
        <f t="shared" si="42"/>
        <v/>
      </c>
      <c r="AC84" s="102" t="str">
        <f t="shared" si="62"/>
        <v/>
      </c>
      <c r="AD84" s="102" t="str">
        <f t="shared" si="62"/>
        <v/>
      </c>
      <c r="AE84" s="102" t="str">
        <f t="shared" si="62"/>
        <v/>
      </c>
      <c r="AF84" s="102" t="str">
        <f t="shared" si="62"/>
        <v/>
      </c>
      <c r="AG84" s="102" t="str">
        <f t="shared" si="62"/>
        <v/>
      </c>
      <c r="AH84" s="102" t="str">
        <f t="shared" si="62"/>
        <v/>
      </c>
      <c r="AI84" s="102" t="str">
        <f t="shared" si="62"/>
        <v/>
      </c>
      <c r="AJ84" s="102" t="str">
        <f t="shared" si="62"/>
        <v/>
      </c>
      <c r="AK84" s="102" t="str">
        <f t="shared" si="62"/>
        <v/>
      </c>
      <c r="AL84" s="102" t="str">
        <f t="shared" si="62"/>
        <v/>
      </c>
      <c r="AM84" s="102" t="str">
        <f t="shared" si="62"/>
        <v/>
      </c>
      <c r="AN84" s="102" t="str">
        <f t="shared" si="62"/>
        <v/>
      </c>
      <c r="AP84" s="102" t="str">
        <f t="shared" si="43"/>
        <v/>
      </c>
      <c r="AQ84" s="102" t="str">
        <f t="shared" si="44"/>
        <v/>
      </c>
      <c r="AR84" s="102" t="str">
        <f t="shared" si="45"/>
        <v/>
      </c>
      <c r="AS84" s="102" t="str">
        <f t="shared" si="46"/>
        <v/>
      </c>
      <c r="AT84" s="102" t="str">
        <f t="shared" si="47"/>
        <v/>
      </c>
      <c r="AU84" s="102" t="str">
        <f t="shared" si="48"/>
        <v/>
      </c>
      <c r="AV84" s="102" t="str">
        <f t="shared" si="49"/>
        <v/>
      </c>
      <c r="AW84" s="102" t="str">
        <f t="shared" si="50"/>
        <v/>
      </c>
      <c r="AX84" s="102" t="str">
        <f t="shared" si="51"/>
        <v/>
      </c>
      <c r="AY84" s="102" t="str">
        <f t="shared" si="52"/>
        <v/>
      </c>
      <c r="AZ84" s="102" t="str">
        <f t="shared" si="53"/>
        <v/>
      </c>
      <c r="BA84" s="102" t="str">
        <f t="shared" si="54"/>
        <v/>
      </c>
      <c r="BB84" s="106" t="str">
        <f t="shared" si="60"/>
        <v/>
      </c>
      <c r="BE84" s="102" t="str">
        <f t="shared" si="55"/>
        <v/>
      </c>
      <c r="BF84" s="102" t="str">
        <f t="shared" si="56"/>
        <v/>
      </c>
      <c r="BG84" s="102" t="str">
        <f t="shared" si="57"/>
        <v/>
      </c>
      <c r="BH84" s="102" t="str">
        <f t="shared" si="61"/>
        <v/>
      </c>
      <c r="BI84" s="102" t="str">
        <f t="shared" si="58"/>
        <v/>
      </c>
    </row>
    <row r="85" spans="1:61" s="106" customFormat="1" ht="23.15" customHeight="1">
      <c r="A85" s="3">
        <v>79</v>
      </c>
      <c r="B85" s="15"/>
      <c r="C85" s="5"/>
      <c r="D85" s="6"/>
      <c r="E85" s="4"/>
      <c r="F85" s="7"/>
      <c r="G85" s="8"/>
      <c r="H85" s="9"/>
      <c r="I85" s="9"/>
      <c r="J85" s="9"/>
      <c r="K85" s="9"/>
      <c r="L85" s="9"/>
      <c r="M85" s="9"/>
      <c r="N85" s="9"/>
      <c r="O85" s="9"/>
      <c r="P85" s="9"/>
      <c r="Q85" s="10"/>
      <c r="R85" s="11"/>
      <c r="S85" s="12"/>
      <c r="T85" s="10"/>
      <c r="U85" s="18"/>
      <c r="V85" s="10"/>
      <c r="W85" s="13"/>
      <c r="X85" s="14"/>
      <c r="Y85" s="105" t="str">
        <f t="shared" si="59"/>
        <v/>
      </c>
      <c r="Z85" s="102">
        <f>IF(COUNTIF($E$7:E85,E85)=1,"",COUNTIF($E$7:E85,E85))</f>
        <v>0</v>
      </c>
      <c r="AA85" s="102" t="str">
        <f t="shared" si="42"/>
        <v/>
      </c>
      <c r="AC85" s="102" t="str">
        <f t="shared" si="62"/>
        <v/>
      </c>
      <c r="AD85" s="102" t="str">
        <f t="shared" si="62"/>
        <v/>
      </c>
      <c r="AE85" s="102" t="str">
        <f t="shared" si="62"/>
        <v/>
      </c>
      <c r="AF85" s="102" t="str">
        <f t="shared" si="62"/>
        <v/>
      </c>
      <c r="AG85" s="102" t="str">
        <f t="shared" si="62"/>
        <v/>
      </c>
      <c r="AH85" s="102" t="str">
        <f t="shared" si="62"/>
        <v/>
      </c>
      <c r="AI85" s="102" t="str">
        <f t="shared" si="62"/>
        <v/>
      </c>
      <c r="AJ85" s="102" t="str">
        <f t="shared" si="62"/>
        <v/>
      </c>
      <c r="AK85" s="102" t="str">
        <f t="shared" si="62"/>
        <v/>
      </c>
      <c r="AL85" s="102" t="str">
        <f t="shared" si="62"/>
        <v/>
      </c>
      <c r="AM85" s="102" t="str">
        <f t="shared" si="62"/>
        <v/>
      </c>
      <c r="AN85" s="102" t="str">
        <f t="shared" si="62"/>
        <v/>
      </c>
      <c r="AP85" s="102" t="str">
        <f t="shared" si="43"/>
        <v/>
      </c>
      <c r="AQ85" s="102" t="str">
        <f t="shared" si="44"/>
        <v/>
      </c>
      <c r="AR85" s="102" t="str">
        <f t="shared" si="45"/>
        <v/>
      </c>
      <c r="AS85" s="102" t="str">
        <f t="shared" si="46"/>
        <v/>
      </c>
      <c r="AT85" s="102" t="str">
        <f t="shared" si="47"/>
        <v/>
      </c>
      <c r="AU85" s="102" t="str">
        <f t="shared" si="48"/>
        <v/>
      </c>
      <c r="AV85" s="102" t="str">
        <f t="shared" si="49"/>
        <v/>
      </c>
      <c r="AW85" s="102" t="str">
        <f t="shared" si="50"/>
        <v/>
      </c>
      <c r="AX85" s="102" t="str">
        <f t="shared" si="51"/>
        <v/>
      </c>
      <c r="AY85" s="102" t="str">
        <f t="shared" si="52"/>
        <v/>
      </c>
      <c r="AZ85" s="102" t="str">
        <f t="shared" si="53"/>
        <v/>
      </c>
      <c r="BA85" s="102" t="str">
        <f t="shared" si="54"/>
        <v/>
      </c>
      <c r="BB85" s="106" t="str">
        <f t="shared" si="60"/>
        <v/>
      </c>
      <c r="BE85" s="102" t="str">
        <f t="shared" si="55"/>
        <v/>
      </c>
      <c r="BF85" s="102" t="str">
        <f t="shared" si="56"/>
        <v/>
      </c>
      <c r="BG85" s="102" t="str">
        <f t="shared" si="57"/>
        <v/>
      </c>
      <c r="BH85" s="102" t="str">
        <f t="shared" si="61"/>
        <v/>
      </c>
      <c r="BI85" s="102" t="str">
        <f t="shared" si="58"/>
        <v/>
      </c>
    </row>
    <row r="86" spans="1:61" s="106" customFormat="1" ht="23.15" customHeight="1">
      <c r="A86" s="3">
        <v>80</v>
      </c>
      <c r="B86" s="15"/>
      <c r="C86" s="5"/>
      <c r="D86" s="6"/>
      <c r="E86" s="4"/>
      <c r="F86" s="7"/>
      <c r="G86" s="8"/>
      <c r="H86" s="9"/>
      <c r="I86" s="9"/>
      <c r="J86" s="9"/>
      <c r="K86" s="9"/>
      <c r="L86" s="9"/>
      <c r="M86" s="9"/>
      <c r="N86" s="9"/>
      <c r="O86" s="9"/>
      <c r="P86" s="9"/>
      <c r="Q86" s="10"/>
      <c r="R86" s="11"/>
      <c r="S86" s="12"/>
      <c r="T86" s="10"/>
      <c r="U86" s="18"/>
      <c r="V86" s="10"/>
      <c r="W86" s="13"/>
      <c r="X86" s="14"/>
      <c r="Y86" s="105" t="str">
        <f t="shared" si="59"/>
        <v/>
      </c>
      <c r="Z86" s="102">
        <f>IF(COUNTIF($E$7:E86,E86)=1,"",COUNTIF($E$7:E86,E86))</f>
        <v>0</v>
      </c>
      <c r="AA86" s="102" t="str">
        <f t="shared" si="42"/>
        <v/>
      </c>
      <c r="AC86" s="102" t="str">
        <f t="shared" si="62"/>
        <v/>
      </c>
      <c r="AD86" s="102" t="str">
        <f t="shared" si="62"/>
        <v/>
      </c>
      <c r="AE86" s="102" t="str">
        <f t="shared" si="62"/>
        <v/>
      </c>
      <c r="AF86" s="102" t="str">
        <f t="shared" si="62"/>
        <v/>
      </c>
      <c r="AG86" s="102" t="str">
        <f t="shared" si="62"/>
        <v/>
      </c>
      <c r="AH86" s="102" t="str">
        <f t="shared" si="62"/>
        <v/>
      </c>
      <c r="AI86" s="102" t="str">
        <f t="shared" si="62"/>
        <v/>
      </c>
      <c r="AJ86" s="102" t="str">
        <f t="shared" si="62"/>
        <v/>
      </c>
      <c r="AK86" s="102" t="str">
        <f t="shared" si="62"/>
        <v/>
      </c>
      <c r="AL86" s="102" t="str">
        <f t="shared" si="62"/>
        <v/>
      </c>
      <c r="AM86" s="102" t="str">
        <f t="shared" si="62"/>
        <v/>
      </c>
      <c r="AN86" s="102" t="str">
        <f t="shared" si="62"/>
        <v/>
      </c>
      <c r="AP86" s="102" t="str">
        <f t="shared" si="43"/>
        <v/>
      </c>
      <c r="AQ86" s="102" t="str">
        <f t="shared" si="44"/>
        <v/>
      </c>
      <c r="AR86" s="102" t="str">
        <f t="shared" si="45"/>
        <v/>
      </c>
      <c r="AS86" s="102" t="str">
        <f t="shared" si="46"/>
        <v/>
      </c>
      <c r="AT86" s="102" t="str">
        <f t="shared" si="47"/>
        <v/>
      </c>
      <c r="AU86" s="102" t="str">
        <f t="shared" si="48"/>
        <v/>
      </c>
      <c r="AV86" s="102" t="str">
        <f t="shared" si="49"/>
        <v/>
      </c>
      <c r="AW86" s="102" t="str">
        <f t="shared" si="50"/>
        <v/>
      </c>
      <c r="AX86" s="102" t="str">
        <f t="shared" si="51"/>
        <v/>
      </c>
      <c r="AY86" s="102" t="str">
        <f t="shared" si="52"/>
        <v/>
      </c>
      <c r="AZ86" s="102" t="str">
        <f t="shared" si="53"/>
        <v/>
      </c>
      <c r="BA86" s="102" t="str">
        <f t="shared" si="54"/>
        <v/>
      </c>
      <c r="BB86" s="106" t="str">
        <f t="shared" si="60"/>
        <v/>
      </c>
      <c r="BE86" s="102" t="str">
        <f t="shared" si="55"/>
        <v/>
      </c>
      <c r="BF86" s="102" t="str">
        <f t="shared" si="56"/>
        <v/>
      </c>
      <c r="BG86" s="102" t="str">
        <f t="shared" si="57"/>
        <v/>
      </c>
      <c r="BH86" s="102" t="str">
        <f t="shared" si="61"/>
        <v/>
      </c>
      <c r="BI86" s="102" t="str">
        <f t="shared" si="58"/>
        <v/>
      </c>
    </row>
    <row r="87" spans="1:61" s="106" customFormat="1" ht="23.15" customHeight="1">
      <c r="A87" s="3">
        <v>81</v>
      </c>
      <c r="B87" s="15"/>
      <c r="C87" s="5"/>
      <c r="D87" s="6"/>
      <c r="E87" s="4"/>
      <c r="F87" s="7"/>
      <c r="G87" s="8"/>
      <c r="H87" s="9"/>
      <c r="I87" s="9"/>
      <c r="J87" s="9"/>
      <c r="K87" s="9"/>
      <c r="L87" s="9"/>
      <c r="M87" s="9"/>
      <c r="N87" s="9"/>
      <c r="O87" s="9"/>
      <c r="P87" s="9"/>
      <c r="Q87" s="10"/>
      <c r="R87" s="11"/>
      <c r="S87" s="12"/>
      <c r="T87" s="10"/>
      <c r="U87" s="18"/>
      <c r="V87" s="10"/>
      <c r="W87" s="13"/>
      <c r="X87" s="14"/>
      <c r="Y87" s="105" t="str">
        <f t="shared" si="59"/>
        <v/>
      </c>
      <c r="Z87" s="102">
        <f>IF(COUNTIF($E$7:E87,E87)=1,"",COUNTIF($E$7:E87,E87))</f>
        <v>0</v>
      </c>
      <c r="AA87" s="102" t="str">
        <f t="shared" si="42"/>
        <v/>
      </c>
      <c r="AC87" s="102" t="str">
        <f t="shared" si="62"/>
        <v/>
      </c>
      <c r="AD87" s="102" t="str">
        <f t="shared" si="62"/>
        <v/>
      </c>
      <c r="AE87" s="102" t="str">
        <f t="shared" si="62"/>
        <v/>
      </c>
      <c r="AF87" s="102" t="str">
        <f t="shared" si="62"/>
        <v/>
      </c>
      <c r="AG87" s="102" t="str">
        <f t="shared" si="62"/>
        <v/>
      </c>
      <c r="AH87" s="102" t="str">
        <f t="shared" si="62"/>
        <v/>
      </c>
      <c r="AI87" s="102" t="str">
        <f t="shared" si="62"/>
        <v/>
      </c>
      <c r="AJ87" s="102" t="str">
        <f t="shared" si="62"/>
        <v/>
      </c>
      <c r="AK87" s="102" t="str">
        <f t="shared" si="62"/>
        <v/>
      </c>
      <c r="AL87" s="102" t="str">
        <f t="shared" si="62"/>
        <v/>
      </c>
      <c r="AM87" s="102" t="str">
        <f t="shared" si="62"/>
        <v/>
      </c>
      <c r="AN87" s="102" t="str">
        <f t="shared" si="62"/>
        <v/>
      </c>
      <c r="AP87" s="102" t="str">
        <f t="shared" si="43"/>
        <v/>
      </c>
      <c r="AQ87" s="102" t="str">
        <f t="shared" si="44"/>
        <v/>
      </c>
      <c r="AR87" s="102" t="str">
        <f t="shared" si="45"/>
        <v/>
      </c>
      <c r="AS87" s="102" t="str">
        <f t="shared" si="46"/>
        <v/>
      </c>
      <c r="AT87" s="102" t="str">
        <f t="shared" si="47"/>
        <v/>
      </c>
      <c r="AU87" s="102" t="str">
        <f t="shared" si="48"/>
        <v/>
      </c>
      <c r="AV87" s="102" t="str">
        <f t="shared" si="49"/>
        <v/>
      </c>
      <c r="AW87" s="102" t="str">
        <f t="shared" si="50"/>
        <v/>
      </c>
      <c r="AX87" s="102" t="str">
        <f t="shared" si="51"/>
        <v/>
      </c>
      <c r="AY87" s="102" t="str">
        <f t="shared" si="52"/>
        <v/>
      </c>
      <c r="AZ87" s="102" t="str">
        <f t="shared" si="53"/>
        <v/>
      </c>
      <c r="BA87" s="102" t="str">
        <f t="shared" si="54"/>
        <v/>
      </c>
      <c r="BB87" s="106" t="str">
        <f t="shared" si="60"/>
        <v/>
      </c>
      <c r="BE87" s="102" t="str">
        <f t="shared" si="55"/>
        <v/>
      </c>
      <c r="BF87" s="102" t="str">
        <f t="shared" si="56"/>
        <v/>
      </c>
      <c r="BG87" s="102" t="str">
        <f t="shared" si="57"/>
        <v/>
      </c>
      <c r="BH87" s="102" t="str">
        <f t="shared" si="61"/>
        <v/>
      </c>
      <c r="BI87" s="102" t="str">
        <f t="shared" si="58"/>
        <v/>
      </c>
    </row>
    <row r="88" spans="1:61" s="106" customFormat="1" ht="23.15" customHeight="1">
      <c r="A88" s="3">
        <v>82</v>
      </c>
      <c r="B88" s="15"/>
      <c r="C88" s="5"/>
      <c r="D88" s="6"/>
      <c r="E88" s="4"/>
      <c r="F88" s="7"/>
      <c r="G88" s="8"/>
      <c r="H88" s="9"/>
      <c r="I88" s="9"/>
      <c r="J88" s="9"/>
      <c r="K88" s="9"/>
      <c r="L88" s="9"/>
      <c r="M88" s="9"/>
      <c r="N88" s="9"/>
      <c r="O88" s="9"/>
      <c r="P88" s="9"/>
      <c r="Q88" s="10"/>
      <c r="R88" s="11"/>
      <c r="S88" s="12"/>
      <c r="T88" s="10"/>
      <c r="U88" s="18"/>
      <c r="V88" s="10"/>
      <c r="W88" s="13"/>
      <c r="X88" s="14"/>
      <c r="Y88" s="105" t="str">
        <f t="shared" si="59"/>
        <v/>
      </c>
      <c r="Z88" s="102">
        <f>IF(COUNTIF($E$7:E88,E88)=1,"",COUNTIF($E$7:E88,E88))</f>
        <v>0</v>
      </c>
      <c r="AA88" s="102" t="str">
        <f t="shared" si="42"/>
        <v/>
      </c>
      <c r="AC88" s="102" t="str">
        <f t="shared" si="62"/>
        <v/>
      </c>
      <c r="AD88" s="102" t="str">
        <f t="shared" si="62"/>
        <v/>
      </c>
      <c r="AE88" s="102" t="str">
        <f t="shared" si="62"/>
        <v/>
      </c>
      <c r="AF88" s="102" t="str">
        <f t="shared" si="62"/>
        <v/>
      </c>
      <c r="AG88" s="102" t="str">
        <f t="shared" si="62"/>
        <v/>
      </c>
      <c r="AH88" s="102" t="str">
        <f t="shared" si="62"/>
        <v/>
      </c>
      <c r="AI88" s="102" t="str">
        <f t="shared" si="62"/>
        <v/>
      </c>
      <c r="AJ88" s="102" t="str">
        <f t="shared" si="62"/>
        <v/>
      </c>
      <c r="AK88" s="102" t="str">
        <f t="shared" si="62"/>
        <v/>
      </c>
      <c r="AL88" s="102" t="str">
        <f t="shared" si="62"/>
        <v/>
      </c>
      <c r="AM88" s="102" t="str">
        <f t="shared" si="62"/>
        <v/>
      </c>
      <c r="AN88" s="102" t="str">
        <f t="shared" si="62"/>
        <v/>
      </c>
      <c r="AP88" s="102" t="str">
        <f t="shared" si="43"/>
        <v/>
      </c>
      <c r="AQ88" s="102" t="str">
        <f t="shared" si="44"/>
        <v/>
      </c>
      <c r="AR88" s="102" t="str">
        <f t="shared" si="45"/>
        <v/>
      </c>
      <c r="AS88" s="102" t="str">
        <f t="shared" si="46"/>
        <v/>
      </c>
      <c r="AT88" s="102" t="str">
        <f t="shared" si="47"/>
        <v/>
      </c>
      <c r="AU88" s="102" t="str">
        <f t="shared" si="48"/>
        <v/>
      </c>
      <c r="AV88" s="102" t="str">
        <f t="shared" si="49"/>
        <v/>
      </c>
      <c r="AW88" s="102" t="str">
        <f t="shared" si="50"/>
        <v/>
      </c>
      <c r="AX88" s="102" t="str">
        <f t="shared" si="51"/>
        <v/>
      </c>
      <c r="AY88" s="102" t="str">
        <f t="shared" si="52"/>
        <v/>
      </c>
      <c r="AZ88" s="102" t="str">
        <f t="shared" si="53"/>
        <v/>
      </c>
      <c r="BA88" s="102" t="str">
        <f t="shared" si="54"/>
        <v/>
      </c>
      <c r="BB88" s="106" t="str">
        <f t="shared" si="60"/>
        <v/>
      </c>
      <c r="BE88" s="102" t="str">
        <f t="shared" si="55"/>
        <v/>
      </c>
      <c r="BF88" s="102" t="str">
        <f t="shared" si="56"/>
        <v/>
      </c>
      <c r="BG88" s="102" t="str">
        <f t="shared" si="57"/>
        <v/>
      </c>
      <c r="BH88" s="102" t="str">
        <f t="shared" si="61"/>
        <v/>
      </c>
      <c r="BI88" s="102" t="str">
        <f t="shared" si="58"/>
        <v/>
      </c>
    </row>
    <row r="89" spans="1:61" s="106" customFormat="1" ht="23.15" customHeight="1">
      <c r="A89" s="3">
        <v>83</v>
      </c>
      <c r="B89" s="15"/>
      <c r="C89" s="5"/>
      <c r="D89" s="6"/>
      <c r="E89" s="4"/>
      <c r="F89" s="7"/>
      <c r="G89" s="8"/>
      <c r="H89" s="9"/>
      <c r="I89" s="9"/>
      <c r="J89" s="9"/>
      <c r="K89" s="9"/>
      <c r="L89" s="9"/>
      <c r="M89" s="9"/>
      <c r="N89" s="9"/>
      <c r="O89" s="9"/>
      <c r="P89" s="9"/>
      <c r="Q89" s="10"/>
      <c r="R89" s="11"/>
      <c r="S89" s="12"/>
      <c r="T89" s="10"/>
      <c r="U89" s="18"/>
      <c r="V89" s="10"/>
      <c r="W89" s="13"/>
      <c r="X89" s="14"/>
      <c r="Y89" s="105" t="str">
        <f t="shared" si="59"/>
        <v/>
      </c>
      <c r="Z89" s="102">
        <f>IF(COUNTIF($E$7:E89,E89)=1,"",COUNTIF($E$7:E89,E89))</f>
        <v>0</v>
      </c>
      <c r="AA89" s="102" t="str">
        <f t="shared" si="42"/>
        <v/>
      </c>
      <c r="AC89" s="102" t="str">
        <f t="shared" si="62"/>
        <v/>
      </c>
      <c r="AD89" s="102" t="str">
        <f t="shared" si="62"/>
        <v/>
      </c>
      <c r="AE89" s="102" t="str">
        <f t="shared" si="62"/>
        <v/>
      </c>
      <c r="AF89" s="102" t="str">
        <f t="shared" si="62"/>
        <v/>
      </c>
      <c r="AG89" s="102" t="str">
        <f t="shared" si="62"/>
        <v/>
      </c>
      <c r="AH89" s="102" t="str">
        <f t="shared" si="62"/>
        <v/>
      </c>
      <c r="AI89" s="102" t="str">
        <f t="shared" si="62"/>
        <v/>
      </c>
      <c r="AJ89" s="102" t="str">
        <f t="shared" si="62"/>
        <v/>
      </c>
      <c r="AK89" s="102" t="str">
        <f t="shared" si="62"/>
        <v/>
      </c>
      <c r="AL89" s="102" t="str">
        <f t="shared" si="62"/>
        <v/>
      </c>
      <c r="AM89" s="102" t="str">
        <f t="shared" si="62"/>
        <v/>
      </c>
      <c r="AN89" s="102" t="str">
        <f t="shared" si="62"/>
        <v/>
      </c>
      <c r="AP89" s="102" t="str">
        <f t="shared" si="43"/>
        <v/>
      </c>
      <c r="AQ89" s="102" t="str">
        <f t="shared" si="44"/>
        <v/>
      </c>
      <c r="AR89" s="102" t="str">
        <f t="shared" si="45"/>
        <v/>
      </c>
      <c r="AS89" s="102" t="str">
        <f t="shared" si="46"/>
        <v/>
      </c>
      <c r="AT89" s="102" t="str">
        <f t="shared" si="47"/>
        <v/>
      </c>
      <c r="AU89" s="102" t="str">
        <f t="shared" si="48"/>
        <v/>
      </c>
      <c r="AV89" s="102" t="str">
        <f t="shared" si="49"/>
        <v/>
      </c>
      <c r="AW89" s="102" t="str">
        <f t="shared" si="50"/>
        <v/>
      </c>
      <c r="AX89" s="102" t="str">
        <f t="shared" si="51"/>
        <v/>
      </c>
      <c r="AY89" s="102" t="str">
        <f t="shared" si="52"/>
        <v/>
      </c>
      <c r="AZ89" s="102" t="str">
        <f t="shared" si="53"/>
        <v/>
      </c>
      <c r="BA89" s="102" t="str">
        <f t="shared" si="54"/>
        <v/>
      </c>
      <c r="BB89" s="106" t="str">
        <f t="shared" si="60"/>
        <v/>
      </c>
      <c r="BE89" s="102" t="str">
        <f t="shared" si="55"/>
        <v/>
      </c>
      <c r="BF89" s="102" t="str">
        <f t="shared" si="56"/>
        <v/>
      </c>
      <c r="BG89" s="102" t="str">
        <f t="shared" si="57"/>
        <v/>
      </c>
      <c r="BH89" s="102" t="str">
        <f t="shared" si="61"/>
        <v/>
      </c>
      <c r="BI89" s="102" t="str">
        <f t="shared" si="58"/>
        <v/>
      </c>
    </row>
    <row r="90" spans="1:61" s="106" customFormat="1" ht="23.15" customHeight="1">
      <c r="A90" s="3">
        <v>84</v>
      </c>
      <c r="B90" s="15"/>
      <c r="C90" s="5"/>
      <c r="D90" s="6"/>
      <c r="E90" s="4"/>
      <c r="F90" s="7"/>
      <c r="G90" s="8"/>
      <c r="H90" s="9"/>
      <c r="I90" s="9"/>
      <c r="J90" s="9"/>
      <c r="K90" s="9"/>
      <c r="L90" s="9"/>
      <c r="M90" s="9"/>
      <c r="N90" s="9"/>
      <c r="O90" s="9"/>
      <c r="P90" s="9"/>
      <c r="Q90" s="10"/>
      <c r="R90" s="11"/>
      <c r="S90" s="12"/>
      <c r="T90" s="10"/>
      <c r="U90" s="18"/>
      <c r="V90" s="10"/>
      <c r="W90" s="13"/>
      <c r="X90" s="14"/>
      <c r="Y90" s="105" t="str">
        <f t="shared" si="59"/>
        <v/>
      </c>
      <c r="Z90" s="102">
        <f>IF(COUNTIF($E$7:E90,E90)=1,"",COUNTIF($E$7:E90,E90))</f>
        <v>0</v>
      </c>
      <c r="AA90" s="102" t="str">
        <f t="shared" si="42"/>
        <v/>
      </c>
      <c r="AC90" s="102" t="str">
        <f t="shared" si="62"/>
        <v/>
      </c>
      <c r="AD90" s="102" t="str">
        <f t="shared" si="62"/>
        <v/>
      </c>
      <c r="AE90" s="102" t="str">
        <f t="shared" si="62"/>
        <v/>
      </c>
      <c r="AF90" s="102" t="str">
        <f t="shared" si="62"/>
        <v/>
      </c>
      <c r="AG90" s="102" t="str">
        <f t="shared" si="62"/>
        <v/>
      </c>
      <c r="AH90" s="102" t="str">
        <f t="shared" si="62"/>
        <v/>
      </c>
      <c r="AI90" s="102" t="str">
        <f t="shared" si="62"/>
        <v/>
      </c>
      <c r="AJ90" s="102" t="str">
        <f t="shared" si="62"/>
        <v/>
      </c>
      <c r="AK90" s="102" t="str">
        <f t="shared" si="62"/>
        <v/>
      </c>
      <c r="AL90" s="102" t="str">
        <f t="shared" si="62"/>
        <v/>
      </c>
      <c r="AM90" s="102" t="str">
        <f t="shared" si="62"/>
        <v/>
      </c>
      <c r="AN90" s="102" t="str">
        <f t="shared" si="62"/>
        <v/>
      </c>
      <c r="AP90" s="102" t="str">
        <f t="shared" si="43"/>
        <v/>
      </c>
      <c r="AQ90" s="102" t="str">
        <f t="shared" si="44"/>
        <v/>
      </c>
      <c r="AR90" s="102" t="str">
        <f t="shared" si="45"/>
        <v/>
      </c>
      <c r="AS90" s="102" t="str">
        <f t="shared" si="46"/>
        <v/>
      </c>
      <c r="AT90" s="102" t="str">
        <f t="shared" si="47"/>
        <v/>
      </c>
      <c r="AU90" s="102" t="str">
        <f t="shared" si="48"/>
        <v/>
      </c>
      <c r="AV90" s="102" t="str">
        <f t="shared" si="49"/>
        <v/>
      </c>
      <c r="AW90" s="102" t="str">
        <f t="shared" si="50"/>
        <v/>
      </c>
      <c r="AX90" s="102" t="str">
        <f t="shared" si="51"/>
        <v/>
      </c>
      <c r="AY90" s="102" t="str">
        <f t="shared" si="52"/>
        <v/>
      </c>
      <c r="AZ90" s="102" t="str">
        <f t="shared" si="53"/>
        <v/>
      </c>
      <c r="BA90" s="102" t="str">
        <f t="shared" si="54"/>
        <v/>
      </c>
      <c r="BB90" s="106" t="str">
        <f t="shared" si="60"/>
        <v/>
      </c>
      <c r="BE90" s="102" t="str">
        <f t="shared" si="55"/>
        <v/>
      </c>
      <c r="BF90" s="102" t="str">
        <f t="shared" si="56"/>
        <v/>
      </c>
      <c r="BG90" s="102" t="str">
        <f t="shared" si="57"/>
        <v/>
      </c>
      <c r="BH90" s="102" t="str">
        <f t="shared" si="61"/>
        <v/>
      </c>
      <c r="BI90" s="102" t="str">
        <f t="shared" si="58"/>
        <v/>
      </c>
    </row>
    <row r="91" spans="1:61" s="106" customFormat="1" ht="23.15" customHeight="1">
      <c r="A91" s="3">
        <v>85</v>
      </c>
      <c r="B91" s="15"/>
      <c r="C91" s="5"/>
      <c r="D91" s="6"/>
      <c r="E91" s="4"/>
      <c r="F91" s="7"/>
      <c r="G91" s="8"/>
      <c r="H91" s="9"/>
      <c r="I91" s="9"/>
      <c r="J91" s="9"/>
      <c r="K91" s="9"/>
      <c r="L91" s="9"/>
      <c r="M91" s="9"/>
      <c r="N91" s="9"/>
      <c r="O91" s="9"/>
      <c r="P91" s="9"/>
      <c r="Q91" s="10"/>
      <c r="R91" s="11"/>
      <c r="S91" s="12"/>
      <c r="T91" s="10"/>
      <c r="U91" s="18"/>
      <c r="V91" s="10"/>
      <c r="W91" s="13"/>
      <c r="X91" s="14"/>
      <c r="Y91" s="105" t="str">
        <f t="shared" si="59"/>
        <v/>
      </c>
      <c r="Z91" s="102">
        <f>IF(COUNTIF($E$7:E91,E91)=1,"",COUNTIF($E$7:E91,E91))</f>
        <v>0</v>
      </c>
      <c r="AA91" s="102" t="str">
        <f t="shared" si="42"/>
        <v/>
      </c>
      <c r="AC91" s="102" t="str">
        <f t="shared" si="62"/>
        <v/>
      </c>
      <c r="AD91" s="102" t="str">
        <f t="shared" si="62"/>
        <v/>
      </c>
      <c r="AE91" s="102" t="str">
        <f t="shared" si="62"/>
        <v/>
      </c>
      <c r="AF91" s="102" t="str">
        <f t="shared" si="62"/>
        <v/>
      </c>
      <c r="AG91" s="102" t="str">
        <f t="shared" si="62"/>
        <v/>
      </c>
      <c r="AH91" s="102" t="str">
        <f t="shared" si="62"/>
        <v/>
      </c>
      <c r="AI91" s="102" t="str">
        <f t="shared" si="62"/>
        <v/>
      </c>
      <c r="AJ91" s="102" t="str">
        <f t="shared" si="62"/>
        <v/>
      </c>
      <c r="AK91" s="102" t="str">
        <f t="shared" si="62"/>
        <v/>
      </c>
      <c r="AL91" s="102" t="str">
        <f t="shared" si="62"/>
        <v/>
      </c>
      <c r="AM91" s="102" t="str">
        <f t="shared" si="62"/>
        <v/>
      </c>
      <c r="AN91" s="102" t="str">
        <f t="shared" si="62"/>
        <v/>
      </c>
      <c r="AP91" s="102" t="str">
        <f t="shared" si="43"/>
        <v/>
      </c>
      <c r="AQ91" s="102" t="str">
        <f t="shared" si="44"/>
        <v/>
      </c>
      <c r="AR91" s="102" t="str">
        <f t="shared" si="45"/>
        <v/>
      </c>
      <c r="AS91" s="102" t="str">
        <f t="shared" si="46"/>
        <v/>
      </c>
      <c r="AT91" s="102" t="str">
        <f t="shared" si="47"/>
        <v/>
      </c>
      <c r="AU91" s="102" t="str">
        <f t="shared" si="48"/>
        <v/>
      </c>
      <c r="AV91" s="102" t="str">
        <f t="shared" si="49"/>
        <v/>
      </c>
      <c r="AW91" s="102" t="str">
        <f t="shared" si="50"/>
        <v/>
      </c>
      <c r="AX91" s="102" t="str">
        <f t="shared" si="51"/>
        <v/>
      </c>
      <c r="AY91" s="102" t="str">
        <f t="shared" si="52"/>
        <v/>
      </c>
      <c r="AZ91" s="102" t="str">
        <f t="shared" si="53"/>
        <v/>
      </c>
      <c r="BA91" s="102" t="str">
        <f t="shared" si="54"/>
        <v/>
      </c>
      <c r="BB91" s="106" t="str">
        <f t="shared" si="60"/>
        <v/>
      </c>
      <c r="BE91" s="102" t="str">
        <f t="shared" si="55"/>
        <v/>
      </c>
      <c r="BF91" s="102" t="str">
        <f t="shared" si="56"/>
        <v/>
      </c>
      <c r="BG91" s="102" t="str">
        <f t="shared" si="57"/>
        <v/>
      </c>
      <c r="BH91" s="102" t="str">
        <f t="shared" si="61"/>
        <v/>
      </c>
      <c r="BI91" s="102" t="str">
        <f t="shared" si="58"/>
        <v/>
      </c>
    </row>
    <row r="92" spans="1:61" s="106" customFormat="1" ht="23.15" customHeight="1">
      <c r="A92" s="3">
        <v>86</v>
      </c>
      <c r="B92" s="15"/>
      <c r="C92" s="5"/>
      <c r="D92" s="6"/>
      <c r="E92" s="4"/>
      <c r="F92" s="7"/>
      <c r="G92" s="8"/>
      <c r="H92" s="9"/>
      <c r="I92" s="9"/>
      <c r="J92" s="9"/>
      <c r="K92" s="9"/>
      <c r="L92" s="9"/>
      <c r="M92" s="9"/>
      <c r="N92" s="9"/>
      <c r="O92" s="9"/>
      <c r="P92" s="9"/>
      <c r="Q92" s="10"/>
      <c r="R92" s="11"/>
      <c r="S92" s="12"/>
      <c r="T92" s="10"/>
      <c r="U92" s="18"/>
      <c r="V92" s="10"/>
      <c r="W92" s="13"/>
      <c r="X92" s="14"/>
      <c r="Y92" s="105" t="str">
        <f t="shared" si="59"/>
        <v/>
      </c>
      <c r="Z92" s="102">
        <f>IF(COUNTIF($E$7:E92,E92)=1,"",COUNTIF($E$7:E92,E92))</f>
        <v>0</v>
      </c>
      <c r="AA92" s="102" t="str">
        <f t="shared" si="42"/>
        <v/>
      </c>
      <c r="AC92" s="102" t="str">
        <f t="shared" si="62"/>
        <v/>
      </c>
      <c r="AD92" s="102" t="str">
        <f t="shared" si="62"/>
        <v/>
      </c>
      <c r="AE92" s="102" t="str">
        <f t="shared" si="62"/>
        <v/>
      </c>
      <c r="AF92" s="102" t="str">
        <f t="shared" si="62"/>
        <v/>
      </c>
      <c r="AG92" s="102" t="str">
        <f t="shared" si="62"/>
        <v/>
      </c>
      <c r="AH92" s="102" t="str">
        <f t="shared" si="62"/>
        <v/>
      </c>
      <c r="AI92" s="102" t="str">
        <f t="shared" si="62"/>
        <v/>
      </c>
      <c r="AJ92" s="102" t="str">
        <f t="shared" si="62"/>
        <v/>
      </c>
      <c r="AK92" s="102" t="str">
        <f t="shared" si="62"/>
        <v/>
      </c>
      <c r="AL92" s="102" t="str">
        <f t="shared" si="62"/>
        <v/>
      </c>
      <c r="AM92" s="102" t="str">
        <f t="shared" si="62"/>
        <v/>
      </c>
      <c r="AN92" s="102" t="str">
        <f t="shared" si="62"/>
        <v/>
      </c>
      <c r="AP92" s="102" t="str">
        <f t="shared" si="43"/>
        <v/>
      </c>
      <c r="AQ92" s="102" t="str">
        <f t="shared" si="44"/>
        <v/>
      </c>
      <c r="AR92" s="102" t="str">
        <f t="shared" si="45"/>
        <v/>
      </c>
      <c r="AS92" s="102" t="str">
        <f t="shared" si="46"/>
        <v/>
      </c>
      <c r="AT92" s="102" t="str">
        <f t="shared" si="47"/>
        <v/>
      </c>
      <c r="AU92" s="102" t="str">
        <f t="shared" si="48"/>
        <v/>
      </c>
      <c r="AV92" s="102" t="str">
        <f t="shared" si="49"/>
        <v/>
      </c>
      <c r="AW92" s="102" t="str">
        <f t="shared" si="50"/>
        <v/>
      </c>
      <c r="AX92" s="102" t="str">
        <f t="shared" si="51"/>
        <v/>
      </c>
      <c r="AY92" s="102" t="str">
        <f t="shared" si="52"/>
        <v/>
      </c>
      <c r="AZ92" s="102" t="str">
        <f t="shared" si="53"/>
        <v/>
      </c>
      <c r="BA92" s="102" t="str">
        <f t="shared" si="54"/>
        <v/>
      </c>
      <c r="BB92" s="106" t="str">
        <f t="shared" si="60"/>
        <v/>
      </c>
      <c r="BE92" s="102" t="str">
        <f t="shared" si="55"/>
        <v/>
      </c>
      <c r="BF92" s="102" t="str">
        <f t="shared" si="56"/>
        <v/>
      </c>
      <c r="BG92" s="102" t="str">
        <f t="shared" si="57"/>
        <v/>
      </c>
      <c r="BH92" s="102" t="str">
        <f t="shared" si="61"/>
        <v/>
      </c>
      <c r="BI92" s="102" t="str">
        <f t="shared" si="58"/>
        <v/>
      </c>
    </row>
    <row r="93" spans="1:61" s="106" customFormat="1" ht="23.15" customHeight="1">
      <c r="A93" s="3">
        <v>87</v>
      </c>
      <c r="B93" s="15"/>
      <c r="C93" s="5"/>
      <c r="D93" s="6"/>
      <c r="E93" s="4"/>
      <c r="F93" s="7"/>
      <c r="G93" s="8"/>
      <c r="H93" s="9"/>
      <c r="I93" s="9"/>
      <c r="J93" s="9"/>
      <c r="K93" s="9"/>
      <c r="L93" s="9"/>
      <c r="M93" s="9"/>
      <c r="N93" s="9"/>
      <c r="O93" s="9"/>
      <c r="P93" s="9"/>
      <c r="Q93" s="10"/>
      <c r="R93" s="11"/>
      <c r="S93" s="12"/>
      <c r="T93" s="10"/>
      <c r="U93" s="18"/>
      <c r="V93" s="10"/>
      <c r="W93" s="13"/>
      <c r="X93" s="14"/>
      <c r="Y93" s="105" t="str">
        <f t="shared" si="59"/>
        <v/>
      </c>
      <c r="Z93" s="102">
        <f>IF(COUNTIF($E$7:E93,E93)=1,"",COUNTIF($E$7:E93,E93))</f>
        <v>0</v>
      </c>
      <c r="AA93" s="102" t="str">
        <f t="shared" si="42"/>
        <v/>
      </c>
      <c r="AC93" s="102" t="str">
        <f t="shared" si="62"/>
        <v/>
      </c>
      <c r="AD93" s="102" t="str">
        <f t="shared" si="62"/>
        <v/>
      </c>
      <c r="AE93" s="102" t="str">
        <f t="shared" si="62"/>
        <v/>
      </c>
      <c r="AF93" s="102" t="str">
        <f t="shared" si="62"/>
        <v/>
      </c>
      <c r="AG93" s="102" t="str">
        <f t="shared" si="62"/>
        <v/>
      </c>
      <c r="AH93" s="102" t="str">
        <f t="shared" si="62"/>
        <v/>
      </c>
      <c r="AI93" s="102" t="str">
        <f t="shared" si="62"/>
        <v/>
      </c>
      <c r="AJ93" s="102" t="str">
        <f t="shared" si="62"/>
        <v/>
      </c>
      <c r="AK93" s="102" t="str">
        <f t="shared" si="62"/>
        <v/>
      </c>
      <c r="AL93" s="102" t="str">
        <f t="shared" si="62"/>
        <v/>
      </c>
      <c r="AM93" s="102" t="str">
        <f t="shared" si="62"/>
        <v/>
      </c>
      <c r="AN93" s="102" t="str">
        <f t="shared" si="62"/>
        <v/>
      </c>
      <c r="AP93" s="102" t="str">
        <f t="shared" si="43"/>
        <v/>
      </c>
      <c r="AQ93" s="102" t="str">
        <f t="shared" si="44"/>
        <v/>
      </c>
      <c r="AR93" s="102" t="str">
        <f t="shared" si="45"/>
        <v/>
      </c>
      <c r="AS93" s="102" t="str">
        <f t="shared" si="46"/>
        <v/>
      </c>
      <c r="AT93" s="102" t="str">
        <f t="shared" si="47"/>
        <v/>
      </c>
      <c r="AU93" s="102" t="str">
        <f t="shared" si="48"/>
        <v/>
      </c>
      <c r="AV93" s="102" t="str">
        <f t="shared" si="49"/>
        <v/>
      </c>
      <c r="AW93" s="102" t="str">
        <f t="shared" si="50"/>
        <v/>
      </c>
      <c r="AX93" s="102" t="str">
        <f t="shared" si="51"/>
        <v/>
      </c>
      <c r="AY93" s="102" t="str">
        <f t="shared" si="52"/>
        <v/>
      </c>
      <c r="AZ93" s="102" t="str">
        <f t="shared" si="53"/>
        <v/>
      </c>
      <c r="BA93" s="102" t="str">
        <f t="shared" si="54"/>
        <v/>
      </c>
      <c r="BB93" s="106" t="str">
        <f t="shared" si="60"/>
        <v/>
      </c>
      <c r="BE93" s="102" t="str">
        <f t="shared" si="55"/>
        <v/>
      </c>
      <c r="BF93" s="102" t="str">
        <f t="shared" si="56"/>
        <v/>
      </c>
      <c r="BG93" s="102" t="str">
        <f t="shared" si="57"/>
        <v/>
      </c>
      <c r="BH93" s="102" t="str">
        <f t="shared" si="61"/>
        <v/>
      </c>
      <c r="BI93" s="102" t="str">
        <f t="shared" si="58"/>
        <v/>
      </c>
    </row>
    <row r="94" spans="1:61" s="106" customFormat="1" ht="23.15" customHeight="1">
      <c r="A94" s="3">
        <v>88</v>
      </c>
      <c r="B94" s="15"/>
      <c r="C94" s="5"/>
      <c r="D94" s="6"/>
      <c r="E94" s="4"/>
      <c r="F94" s="7"/>
      <c r="G94" s="8"/>
      <c r="H94" s="9"/>
      <c r="I94" s="9"/>
      <c r="J94" s="9"/>
      <c r="K94" s="9"/>
      <c r="L94" s="9"/>
      <c r="M94" s="9"/>
      <c r="N94" s="9"/>
      <c r="O94" s="9"/>
      <c r="P94" s="9"/>
      <c r="Q94" s="10"/>
      <c r="R94" s="11"/>
      <c r="S94" s="12"/>
      <c r="T94" s="10"/>
      <c r="U94" s="18"/>
      <c r="V94" s="10"/>
      <c r="W94" s="13"/>
      <c r="X94" s="14"/>
      <c r="Y94" s="105" t="str">
        <f t="shared" si="59"/>
        <v/>
      </c>
      <c r="Z94" s="102">
        <f>IF(COUNTIF($E$7:E94,E94)=1,"",COUNTIF($E$7:E94,E94))</f>
        <v>0</v>
      </c>
      <c r="AA94" s="102" t="str">
        <f t="shared" si="42"/>
        <v/>
      </c>
      <c r="AC94" s="102" t="str">
        <f t="shared" si="62"/>
        <v/>
      </c>
      <c r="AD94" s="102" t="str">
        <f t="shared" si="62"/>
        <v/>
      </c>
      <c r="AE94" s="102" t="str">
        <f t="shared" si="62"/>
        <v/>
      </c>
      <c r="AF94" s="102" t="str">
        <f t="shared" si="62"/>
        <v/>
      </c>
      <c r="AG94" s="102" t="str">
        <f t="shared" si="62"/>
        <v/>
      </c>
      <c r="AH94" s="102" t="str">
        <f t="shared" si="62"/>
        <v/>
      </c>
      <c r="AI94" s="102" t="str">
        <f t="shared" si="62"/>
        <v/>
      </c>
      <c r="AJ94" s="102" t="str">
        <f t="shared" si="62"/>
        <v/>
      </c>
      <c r="AK94" s="102" t="str">
        <f t="shared" si="62"/>
        <v/>
      </c>
      <c r="AL94" s="102" t="str">
        <f t="shared" si="62"/>
        <v/>
      </c>
      <c r="AM94" s="102" t="str">
        <f t="shared" si="62"/>
        <v/>
      </c>
      <c r="AN94" s="102" t="str">
        <f t="shared" si="62"/>
        <v/>
      </c>
      <c r="AP94" s="102" t="str">
        <f t="shared" si="43"/>
        <v/>
      </c>
      <c r="AQ94" s="102" t="str">
        <f t="shared" si="44"/>
        <v/>
      </c>
      <c r="AR94" s="102" t="str">
        <f t="shared" si="45"/>
        <v/>
      </c>
      <c r="AS94" s="102" t="str">
        <f t="shared" si="46"/>
        <v/>
      </c>
      <c r="AT94" s="102" t="str">
        <f t="shared" si="47"/>
        <v/>
      </c>
      <c r="AU94" s="102" t="str">
        <f t="shared" si="48"/>
        <v/>
      </c>
      <c r="AV94" s="102" t="str">
        <f t="shared" si="49"/>
        <v/>
      </c>
      <c r="AW94" s="102" t="str">
        <f t="shared" si="50"/>
        <v/>
      </c>
      <c r="AX94" s="102" t="str">
        <f t="shared" si="51"/>
        <v/>
      </c>
      <c r="AY94" s="102" t="str">
        <f t="shared" si="52"/>
        <v/>
      </c>
      <c r="AZ94" s="102" t="str">
        <f t="shared" si="53"/>
        <v/>
      </c>
      <c r="BA94" s="102" t="str">
        <f t="shared" si="54"/>
        <v/>
      </c>
      <c r="BB94" s="106" t="str">
        <f t="shared" si="60"/>
        <v/>
      </c>
      <c r="BE94" s="102" t="str">
        <f t="shared" si="55"/>
        <v/>
      </c>
      <c r="BF94" s="102" t="str">
        <f t="shared" si="56"/>
        <v/>
      </c>
      <c r="BG94" s="102" t="str">
        <f t="shared" si="57"/>
        <v/>
      </c>
      <c r="BH94" s="102" t="str">
        <f t="shared" si="61"/>
        <v/>
      </c>
      <c r="BI94" s="102" t="str">
        <f t="shared" si="58"/>
        <v/>
      </c>
    </row>
    <row r="95" spans="1:61" s="106" customFormat="1" ht="23.15" customHeight="1">
      <c r="A95" s="3">
        <v>89</v>
      </c>
      <c r="B95" s="15"/>
      <c r="C95" s="5"/>
      <c r="D95" s="6"/>
      <c r="E95" s="4"/>
      <c r="F95" s="7"/>
      <c r="G95" s="8"/>
      <c r="H95" s="9"/>
      <c r="I95" s="9"/>
      <c r="J95" s="9"/>
      <c r="K95" s="9"/>
      <c r="L95" s="9"/>
      <c r="M95" s="9"/>
      <c r="N95" s="9"/>
      <c r="O95" s="9"/>
      <c r="P95" s="9"/>
      <c r="Q95" s="10"/>
      <c r="R95" s="11"/>
      <c r="S95" s="12"/>
      <c r="T95" s="10"/>
      <c r="U95" s="18"/>
      <c r="V95" s="10"/>
      <c r="W95" s="13"/>
      <c r="X95" s="14"/>
      <c r="Y95" s="105" t="str">
        <f t="shared" si="59"/>
        <v/>
      </c>
      <c r="Z95" s="102">
        <f>IF(COUNTIF($E$7:E95,E95)=1,"",COUNTIF($E$7:E95,E95))</f>
        <v>0</v>
      </c>
      <c r="AA95" s="102" t="str">
        <f t="shared" si="42"/>
        <v/>
      </c>
      <c r="AC95" s="102" t="str">
        <f t="shared" si="62"/>
        <v/>
      </c>
      <c r="AD95" s="102" t="str">
        <f t="shared" si="62"/>
        <v/>
      </c>
      <c r="AE95" s="102" t="str">
        <f t="shared" si="62"/>
        <v/>
      </c>
      <c r="AF95" s="102" t="str">
        <f t="shared" si="62"/>
        <v/>
      </c>
      <c r="AG95" s="102" t="str">
        <f t="shared" si="62"/>
        <v/>
      </c>
      <c r="AH95" s="102" t="str">
        <f t="shared" si="62"/>
        <v/>
      </c>
      <c r="AI95" s="102" t="str">
        <f t="shared" si="62"/>
        <v/>
      </c>
      <c r="AJ95" s="102" t="str">
        <f t="shared" si="62"/>
        <v/>
      </c>
      <c r="AK95" s="102" t="str">
        <f t="shared" si="62"/>
        <v/>
      </c>
      <c r="AL95" s="102" t="str">
        <f t="shared" si="62"/>
        <v/>
      </c>
      <c r="AM95" s="102" t="str">
        <f t="shared" si="62"/>
        <v/>
      </c>
      <c r="AN95" s="102" t="str">
        <f t="shared" si="62"/>
        <v/>
      </c>
      <c r="AP95" s="102" t="str">
        <f t="shared" si="43"/>
        <v/>
      </c>
      <c r="AQ95" s="102" t="str">
        <f t="shared" si="44"/>
        <v/>
      </c>
      <c r="AR95" s="102" t="str">
        <f t="shared" si="45"/>
        <v/>
      </c>
      <c r="AS95" s="102" t="str">
        <f t="shared" si="46"/>
        <v/>
      </c>
      <c r="AT95" s="102" t="str">
        <f t="shared" si="47"/>
        <v/>
      </c>
      <c r="AU95" s="102" t="str">
        <f t="shared" si="48"/>
        <v/>
      </c>
      <c r="AV95" s="102" t="str">
        <f t="shared" si="49"/>
        <v/>
      </c>
      <c r="AW95" s="102" t="str">
        <f t="shared" si="50"/>
        <v/>
      </c>
      <c r="AX95" s="102" t="str">
        <f t="shared" si="51"/>
        <v/>
      </c>
      <c r="AY95" s="102" t="str">
        <f t="shared" si="52"/>
        <v/>
      </c>
      <c r="AZ95" s="102" t="str">
        <f t="shared" si="53"/>
        <v/>
      </c>
      <c r="BA95" s="102" t="str">
        <f t="shared" si="54"/>
        <v/>
      </c>
      <c r="BB95" s="106" t="str">
        <f t="shared" si="60"/>
        <v/>
      </c>
      <c r="BE95" s="102" t="str">
        <f t="shared" si="55"/>
        <v/>
      </c>
      <c r="BF95" s="102" t="str">
        <f t="shared" si="56"/>
        <v/>
      </c>
      <c r="BG95" s="102" t="str">
        <f t="shared" si="57"/>
        <v/>
      </c>
      <c r="BH95" s="102" t="str">
        <f t="shared" si="61"/>
        <v/>
      </c>
      <c r="BI95" s="102" t="str">
        <f t="shared" si="58"/>
        <v/>
      </c>
    </row>
    <row r="96" spans="1:61" s="106" customFormat="1" ht="23.15" customHeight="1">
      <c r="A96" s="3">
        <v>90</v>
      </c>
      <c r="B96" s="15"/>
      <c r="C96" s="5"/>
      <c r="D96" s="6"/>
      <c r="E96" s="4"/>
      <c r="F96" s="7"/>
      <c r="G96" s="8"/>
      <c r="H96" s="9"/>
      <c r="I96" s="9"/>
      <c r="J96" s="9"/>
      <c r="K96" s="9"/>
      <c r="L96" s="9"/>
      <c r="M96" s="9"/>
      <c r="N96" s="9"/>
      <c r="O96" s="9"/>
      <c r="P96" s="9"/>
      <c r="Q96" s="10"/>
      <c r="R96" s="11"/>
      <c r="S96" s="12"/>
      <c r="T96" s="10"/>
      <c r="U96" s="18"/>
      <c r="V96" s="10"/>
      <c r="W96" s="13"/>
      <c r="X96" s="14"/>
      <c r="Y96" s="105" t="str">
        <f t="shared" si="59"/>
        <v/>
      </c>
      <c r="Z96" s="102">
        <f>IF(COUNTIF($E$7:E96,E96)=1,"",COUNTIF($E$7:E96,E96))</f>
        <v>0</v>
      </c>
      <c r="AA96" s="102" t="str">
        <f t="shared" si="42"/>
        <v/>
      </c>
      <c r="AC96" s="102" t="str">
        <f t="shared" si="62"/>
        <v/>
      </c>
      <c r="AD96" s="102" t="str">
        <f t="shared" si="62"/>
        <v/>
      </c>
      <c r="AE96" s="102" t="str">
        <f t="shared" si="62"/>
        <v/>
      </c>
      <c r="AF96" s="102" t="str">
        <f t="shared" si="62"/>
        <v/>
      </c>
      <c r="AG96" s="102" t="str">
        <f t="shared" si="62"/>
        <v/>
      </c>
      <c r="AH96" s="102" t="str">
        <f t="shared" si="62"/>
        <v/>
      </c>
      <c r="AI96" s="102" t="str">
        <f t="shared" si="62"/>
        <v/>
      </c>
      <c r="AJ96" s="102" t="str">
        <f t="shared" si="62"/>
        <v/>
      </c>
      <c r="AK96" s="102" t="str">
        <f t="shared" si="62"/>
        <v/>
      </c>
      <c r="AL96" s="102" t="str">
        <f t="shared" ref="AC96:AN106" si="63">IF(OR($W96=$S$129,$W96=$S$133),"",IF($S96="","",IF($U96="",IF($R96="",IF($S96&lt;=AL$6,"○",""),IF(AND($R96&lt;=AL$6,$S96&lt;=AL$6),"●",IF($S96&lt;=AL$6,"○",""))),IF($U96&gt;=AL$6,IF($R96="",IF($S96&lt;=AL$6,"○",""),IF(AND($R96&lt;=AL$6,$S96&lt;=AL$6),"●",IF($S96&lt;=AL$6,"○",""))),""))))</f>
        <v/>
      </c>
      <c r="AM96" s="102" t="str">
        <f t="shared" si="63"/>
        <v/>
      </c>
      <c r="AN96" s="102" t="str">
        <f t="shared" si="63"/>
        <v/>
      </c>
      <c r="AP96" s="102" t="str">
        <f t="shared" si="43"/>
        <v/>
      </c>
      <c r="AQ96" s="102" t="str">
        <f t="shared" si="44"/>
        <v/>
      </c>
      <c r="AR96" s="102" t="str">
        <f t="shared" si="45"/>
        <v/>
      </c>
      <c r="AS96" s="102" t="str">
        <f t="shared" si="46"/>
        <v/>
      </c>
      <c r="AT96" s="102" t="str">
        <f t="shared" si="47"/>
        <v/>
      </c>
      <c r="AU96" s="102" t="str">
        <f t="shared" si="48"/>
        <v/>
      </c>
      <c r="AV96" s="102" t="str">
        <f t="shared" si="49"/>
        <v/>
      </c>
      <c r="AW96" s="102" t="str">
        <f t="shared" si="50"/>
        <v/>
      </c>
      <c r="AX96" s="102" t="str">
        <f t="shared" si="51"/>
        <v/>
      </c>
      <c r="AY96" s="102" t="str">
        <f t="shared" si="52"/>
        <v/>
      </c>
      <c r="AZ96" s="102" t="str">
        <f t="shared" si="53"/>
        <v/>
      </c>
      <c r="BA96" s="102" t="str">
        <f t="shared" si="54"/>
        <v/>
      </c>
      <c r="BB96" s="106" t="str">
        <f t="shared" si="60"/>
        <v/>
      </c>
      <c r="BE96" s="102" t="str">
        <f t="shared" si="55"/>
        <v/>
      </c>
      <c r="BF96" s="102" t="str">
        <f t="shared" si="56"/>
        <v/>
      </c>
      <c r="BG96" s="102" t="str">
        <f t="shared" si="57"/>
        <v/>
      </c>
      <c r="BH96" s="102" t="str">
        <f t="shared" si="61"/>
        <v/>
      </c>
      <c r="BI96" s="102" t="str">
        <f t="shared" si="58"/>
        <v/>
      </c>
    </row>
    <row r="97" spans="1:61" s="106" customFormat="1" ht="23.15" customHeight="1">
      <c r="A97" s="3">
        <v>91</v>
      </c>
      <c r="B97" s="15"/>
      <c r="C97" s="5"/>
      <c r="D97" s="6"/>
      <c r="E97" s="4"/>
      <c r="F97" s="7"/>
      <c r="G97" s="8"/>
      <c r="H97" s="9"/>
      <c r="I97" s="9"/>
      <c r="J97" s="9"/>
      <c r="K97" s="9"/>
      <c r="L97" s="9"/>
      <c r="M97" s="9"/>
      <c r="N97" s="9"/>
      <c r="O97" s="9"/>
      <c r="P97" s="9"/>
      <c r="Q97" s="10"/>
      <c r="R97" s="11"/>
      <c r="S97" s="12"/>
      <c r="T97" s="10"/>
      <c r="U97" s="18"/>
      <c r="V97" s="10"/>
      <c r="W97" s="13"/>
      <c r="X97" s="14"/>
      <c r="Y97" s="105" t="str">
        <f t="shared" si="59"/>
        <v/>
      </c>
      <c r="Z97" s="102">
        <f>IF(COUNTIF($E$7:E97,E97)=1,"",COUNTIF($E$7:E97,E97))</f>
        <v>0</v>
      </c>
      <c r="AA97" s="102" t="str">
        <f t="shared" si="42"/>
        <v/>
      </c>
      <c r="AC97" s="102" t="str">
        <f t="shared" si="63"/>
        <v/>
      </c>
      <c r="AD97" s="102" t="str">
        <f t="shared" si="63"/>
        <v/>
      </c>
      <c r="AE97" s="102" t="str">
        <f t="shared" si="63"/>
        <v/>
      </c>
      <c r="AF97" s="102" t="str">
        <f t="shared" si="63"/>
        <v/>
      </c>
      <c r="AG97" s="102" t="str">
        <f t="shared" si="63"/>
        <v/>
      </c>
      <c r="AH97" s="102" t="str">
        <f t="shared" si="63"/>
        <v/>
      </c>
      <c r="AI97" s="102" t="str">
        <f t="shared" si="63"/>
        <v/>
      </c>
      <c r="AJ97" s="102" t="str">
        <f t="shared" si="63"/>
        <v/>
      </c>
      <c r="AK97" s="102" t="str">
        <f t="shared" si="63"/>
        <v/>
      </c>
      <c r="AL97" s="102" t="str">
        <f t="shared" si="63"/>
        <v/>
      </c>
      <c r="AM97" s="102" t="str">
        <f t="shared" si="63"/>
        <v/>
      </c>
      <c r="AN97" s="102" t="str">
        <f t="shared" si="63"/>
        <v/>
      </c>
      <c r="AP97" s="102" t="str">
        <f t="shared" si="43"/>
        <v/>
      </c>
      <c r="AQ97" s="102" t="str">
        <f t="shared" si="44"/>
        <v/>
      </c>
      <c r="AR97" s="102" t="str">
        <f t="shared" si="45"/>
        <v/>
      </c>
      <c r="AS97" s="102" t="str">
        <f t="shared" si="46"/>
        <v/>
      </c>
      <c r="AT97" s="102" t="str">
        <f t="shared" si="47"/>
        <v/>
      </c>
      <c r="AU97" s="102" t="str">
        <f t="shared" si="48"/>
        <v/>
      </c>
      <c r="AV97" s="102" t="str">
        <f t="shared" si="49"/>
        <v/>
      </c>
      <c r="AW97" s="102" t="str">
        <f t="shared" si="50"/>
        <v/>
      </c>
      <c r="AX97" s="102" t="str">
        <f t="shared" si="51"/>
        <v/>
      </c>
      <c r="AY97" s="102" t="str">
        <f t="shared" si="52"/>
        <v/>
      </c>
      <c r="AZ97" s="102" t="str">
        <f t="shared" si="53"/>
        <v/>
      </c>
      <c r="BA97" s="102" t="str">
        <f t="shared" si="54"/>
        <v/>
      </c>
      <c r="BB97" s="106" t="str">
        <f t="shared" si="60"/>
        <v/>
      </c>
      <c r="BE97" s="102" t="str">
        <f t="shared" si="55"/>
        <v/>
      </c>
      <c r="BF97" s="102" t="str">
        <f t="shared" si="56"/>
        <v/>
      </c>
      <c r="BG97" s="102" t="str">
        <f t="shared" si="57"/>
        <v/>
      </c>
      <c r="BH97" s="102" t="str">
        <f t="shared" si="61"/>
        <v/>
      </c>
      <c r="BI97" s="102" t="str">
        <f t="shared" si="58"/>
        <v/>
      </c>
    </row>
    <row r="98" spans="1:61" s="106" customFormat="1" ht="23.15" customHeight="1">
      <c r="A98" s="3">
        <v>92</v>
      </c>
      <c r="B98" s="15"/>
      <c r="C98" s="5"/>
      <c r="D98" s="6"/>
      <c r="E98" s="4"/>
      <c r="F98" s="7"/>
      <c r="G98" s="8"/>
      <c r="H98" s="9"/>
      <c r="I98" s="9"/>
      <c r="J98" s="9"/>
      <c r="K98" s="9"/>
      <c r="L98" s="9"/>
      <c r="M98" s="9"/>
      <c r="N98" s="9"/>
      <c r="O98" s="9"/>
      <c r="P98" s="9"/>
      <c r="Q98" s="10"/>
      <c r="R98" s="11"/>
      <c r="S98" s="12"/>
      <c r="T98" s="10"/>
      <c r="U98" s="18"/>
      <c r="V98" s="10"/>
      <c r="W98" s="13"/>
      <c r="X98" s="14"/>
      <c r="Y98" s="105" t="str">
        <f t="shared" si="59"/>
        <v/>
      </c>
      <c r="Z98" s="102">
        <f>IF(COUNTIF($E$7:E98,E98)=1,"",COUNTIF($E$7:E98,E98))</f>
        <v>0</v>
      </c>
      <c r="AA98" s="102" t="str">
        <f t="shared" si="42"/>
        <v/>
      </c>
      <c r="AC98" s="102" t="str">
        <f t="shared" si="63"/>
        <v/>
      </c>
      <c r="AD98" s="102" t="str">
        <f t="shared" si="63"/>
        <v/>
      </c>
      <c r="AE98" s="102" t="str">
        <f t="shared" si="63"/>
        <v/>
      </c>
      <c r="AF98" s="102" t="str">
        <f t="shared" si="63"/>
        <v/>
      </c>
      <c r="AG98" s="102" t="str">
        <f t="shared" si="63"/>
        <v/>
      </c>
      <c r="AH98" s="102" t="str">
        <f t="shared" si="63"/>
        <v/>
      </c>
      <c r="AI98" s="102" t="str">
        <f t="shared" si="63"/>
        <v/>
      </c>
      <c r="AJ98" s="102" t="str">
        <f t="shared" si="63"/>
        <v/>
      </c>
      <c r="AK98" s="102" t="str">
        <f t="shared" si="63"/>
        <v/>
      </c>
      <c r="AL98" s="102" t="str">
        <f t="shared" si="63"/>
        <v/>
      </c>
      <c r="AM98" s="102" t="str">
        <f t="shared" si="63"/>
        <v/>
      </c>
      <c r="AN98" s="102" t="str">
        <f t="shared" si="63"/>
        <v/>
      </c>
      <c r="AP98" s="102" t="str">
        <f t="shared" si="43"/>
        <v/>
      </c>
      <c r="AQ98" s="102" t="str">
        <f t="shared" si="44"/>
        <v/>
      </c>
      <c r="AR98" s="102" t="str">
        <f t="shared" si="45"/>
        <v/>
      </c>
      <c r="AS98" s="102" t="str">
        <f t="shared" si="46"/>
        <v/>
      </c>
      <c r="AT98" s="102" t="str">
        <f t="shared" si="47"/>
        <v/>
      </c>
      <c r="AU98" s="102" t="str">
        <f t="shared" si="48"/>
        <v/>
      </c>
      <c r="AV98" s="102" t="str">
        <f t="shared" si="49"/>
        <v/>
      </c>
      <c r="AW98" s="102" t="str">
        <f t="shared" si="50"/>
        <v/>
      </c>
      <c r="AX98" s="102" t="str">
        <f t="shared" si="51"/>
        <v/>
      </c>
      <c r="AY98" s="102" t="str">
        <f t="shared" si="52"/>
        <v/>
      </c>
      <c r="AZ98" s="102" t="str">
        <f t="shared" si="53"/>
        <v/>
      </c>
      <c r="BA98" s="102" t="str">
        <f t="shared" si="54"/>
        <v/>
      </c>
      <c r="BB98" s="106" t="str">
        <f t="shared" si="60"/>
        <v/>
      </c>
      <c r="BE98" s="102" t="str">
        <f t="shared" si="55"/>
        <v/>
      </c>
      <c r="BF98" s="102" t="str">
        <f t="shared" si="56"/>
        <v/>
      </c>
      <c r="BG98" s="102" t="str">
        <f t="shared" si="57"/>
        <v/>
      </c>
      <c r="BH98" s="102" t="str">
        <f t="shared" si="61"/>
        <v/>
      </c>
      <c r="BI98" s="102" t="str">
        <f t="shared" si="58"/>
        <v/>
      </c>
    </row>
    <row r="99" spans="1:61" s="106" customFormat="1" ht="23.15" customHeight="1">
      <c r="A99" s="3">
        <v>93</v>
      </c>
      <c r="B99" s="15"/>
      <c r="C99" s="5"/>
      <c r="D99" s="6"/>
      <c r="E99" s="4"/>
      <c r="F99" s="7"/>
      <c r="G99" s="8"/>
      <c r="H99" s="9"/>
      <c r="I99" s="9"/>
      <c r="J99" s="9"/>
      <c r="K99" s="9"/>
      <c r="L99" s="9"/>
      <c r="M99" s="9"/>
      <c r="N99" s="9"/>
      <c r="O99" s="9"/>
      <c r="P99" s="9"/>
      <c r="Q99" s="10"/>
      <c r="R99" s="11"/>
      <c r="S99" s="12"/>
      <c r="T99" s="10"/>
      <c r="U99" s="18"/>
      <c r="V99" s="10"/>
      <c r="W99" s="13"/>
      <c r="X99" s="14"/>
      <c r="Y99" s="105" t="str">
        <f t="shared" si="59"/>
        <v/>
      </c>
      <c r="Z99" s="102">
        <f>IF(COUNTIF($E$7:E99,E99)=1,"",COUNTIF($E$7:E99,E99))</f>
        <v>0</v>
      </c>
      <c r="AA99" s="102" t="str">
        <f t="shared" si="42"/>
        <v/>
      </c>
      <c r="AC99" s="102" t="str">
        <f t="shared" si="63"/>
        <v/>
      </c>
      <c r="AD99" s="102" t="str">
        <f t="shared" si="63"/>
        <v/>
      </c>
      <c r="AE99" s="102" t="str">
        <f t="shared" si="63"/>
        <v/>
      </c>
      <c r="AF99" s="102" t="str">
        <f t="shared" si="63"/>
        <v/>
      </c>
      <c r="AG99" s="102" t="str">
        <f t="shared" si="63"/>
        <v/>
      </c>
      <c r="AH99" s="102" t="str">
        <f t="shared" si="63"/>
        <v/>
      </c>
      <c r="AI99" s="102" t="str">
        <f t="shared" si="63"/>
        <v/>
      </c>
      <c r="AJ99" s="102" t="str">
        <f t="shared" si="63"/>
        <v/>
      </c>
      <c r="AK99" s="102" t="str">
        <f t="shared" si="63"/>
        <v/>
      </c>
      <c r="AL99" s="102" t="str">
        <f t="shared" si="63"/>
        <v/>
      </c>
      <c r="AM99" s="102" t="str">
        <f t="shared" si="63"/>
        <v/>
      </c>
      <c r="AN99" s="102" t="str">
        <f t="shared" si="63"/>
        <v/>
      </c>
      <c r="AP99" s="102" t="str">
        <f t="shared" si="43"/>
        <v/>
      </c>
      <c r="AQ99" s="102" t="str">
        <f t="shared" si="44"/>
        <v/>
      </c>
      <c r="AR99" s="102" t="str">
        <f t="shared" si="45"/>
        <v/>
      </c>
      <c r="AS99" s="102" t="str">
        <f t="shared" si="46"/>
        <v/>
      </c>
      <c r="AT99" s="102" t="str">
        <f t="shared" si="47"/>
        <v/>
      </c>
      <c r="AU99" s="102" t="str">
        <f t="shared" si="48"/>
        <v/>
      </c>
      <c r="AV99" s="102" t="str">
        <f t="shared" si="49"/>
        <v/>
      </c>
      <c r="AW99" s="102" t="str">
        <f t="shared" si="50"/>
        <v/>
      </c>
      <c r="AX99" s="102" t="str">
        <f t="shared" si="51"/>
        <v/>
      </c>
      <c r="AY99" s="102" t="str">
        <f t="shared" si="52"/>
        <v/>
      </c>
      <c r="AZ99" s="102" t="str">
        <f t="shared" si="53"/>
        <v/>
      </c>
      <c r="BA99" s="102" t="str">
        <f t="shared" si="54"/>
        <v/>
      </c>
      <c r="BB99" s="106" t="str">
        <f t="shared" si="60"/>
        <v/>
      </c>
      <c r="BE99" s="102" t="str">
        <f t="shared" si="55"/>
        <v/>
      </c>
      <c r="BF99" s="102" t="str">
        <f t="shared" si="56"/>
        <v/>
      </c>
      <c r="BG99" s="102" t="str">
        <f t="shared" si="57"/>
        <v/>
      </c>
      <c r="BH99" s="102" t="str">
        <f t="shared" si="61"/>
        <v/>
      </c>
      <c r="BI99" s="102" t="str">
        <f t="shared" si="58"/>
        <v/>
      </c>
    </row>
    <row r="100" spans="1:61" s="106" customFormat="1" ht="23.15" customHeight="1">
      <c r="A100" s="3">
        <v>94</v>
      </c>
      <c r="B100" s="15"/>
      <c r="C100" s="5"/>
      <c r="D100" s="6"/>
      <c r="E100" s="4"/>
      <c r="F100" s="7"/>
      <c r="G100" s="8"/>
      <c r="H100" s="9"/>
      <c r="I100" s="9"/>
      <c r="J100" s="9"/>
      <c r="K100" s="9"/>
      <c r="L100" s="9"/>
      <c r="M100" s="9"/>
      <c r="N100" s="9"/>
      <c r="O100" s="9"/>
      <c r="P100" s="9"/>
      <c r="Q100" s="10"/>
      <c r="R100" s="11"/>
      <c r="S100" s="12"/>
      <c r="T100" s="10"/>
      <c r="U100" s="18"/>
      <c r="V100" s="10"/>
      <c r="W100" s="13"/>
      <c r="X100" s="14"/>
      <c r="Y100" s="105" t="str">
        <f t="shared" si="59"/>
        <v/>
      </c>
      <c r="Z100" s="102">
        <f>IF(COUNTIF($E$7:E100,E100)=1,"",COUNTIF($E$7:E100,E100))</f>
        <v>0</v>
      </c>
      <c r="AA100" s="102" t="str">
        <f t="shared" si="42"/>
        <v/>
      </c>
      <c r="AC100" s="102" t="str">
        <f t="shared" si="63"/>
        <v/>
      </c>
      <c r="AD100" s="102" t="str">
        <f t="shared" si="63"/>
        <v/>
      </c>
      <c r="AE100" s="102" t="str">
        <f t="shared" si="63"/>
        <v/>
      </c>
      <c r="AF100" s="102" t="str">
        <f t="shared" si="63"/>
        <v/>
      </c>
      <c r="AG100" s="102" t="str">
        <f t="shared" si="63"/>
        <v/>
      </c>
      <c r="AH100" s="102" t="str">
        <f t="shared" si="63"/>
        <v/>
      </c>
      <c r="AI100" s="102" t="str">
        <f t="shared" si="63"/>
        <v/>
      </c>
      <c r="AJ100" s="102" t="str">
        <f t="shared" si="63"/>
        <v/>
      </c>
      <c r="AK100" s="102" t="str">
        <f t="shared" si="63"/>
        <v/>
      </c>
      <c r="AL100" s="102" t="str">
        <f t="shared" si="63"/>
        <v/>
      </c>
      <c r="AM100" s="102" t="str">
        <f t="shared" si="63"/>
        <v/>
      </c>
      <c r="AN100" s="102" t="str">
        <f t="shared" si="63"/>
        <v/>
      </c>
      <c r="AP100" s="102" t="str">
        <f t="shared" si="43"/>
        <v/>
      </c>
      <c r="AQ100" s="102" t="str">
        <f t="shared" si="44"/>
        <v/>
      </c>
      <c r="AR100" s="102" t="str">
        <f t="shared" si="45"/>
        <v/>
      </c>
      <c r="AS100" s="102" t="str">
        <f t="shared" si="46"/>
        <v/>
      </c>
      <c r="AT100" s="102" t="str">
        <f t="shared" si="47"/>
        <v/>
      </c>
      <c r="AU100" s="102" t="str">
        <f t="shared" si="48"/>
        <v/>
      </c>
      <c r="AV100" s="102" t="str">
        <f t="shared" si="49"/>
        <v/>
      </c>
      <c r="AW100" s="102" t="str">
        <f t="shared" si="50"/>
        <v/>
      </c>
      <c r="AX100" s="102" t="str">
        <f t="shared" si="51"/>
        <v/>
      </c>
      <c r="AY100" s="102" t="str">
        <f t="shared" si="52"/>
        <v/>
      </c>
      <c r="AZ100" s="102" t="str">
        <f t="shared" si="53"/>
        <v/>
      </c>
      <c r="BA100" s="102" t="str">
        <f t="shared" si="54"/>
        <v/>
      </c>
      <c r="BB100" s="106" t="str">
        <f t="shared" si="60"/>
        <v/>
      </c>
      <c r="BE100" s="102" t="str">
        <f t="shared" si="55"/>
        <v/>
      </c>
      <c r="BF100" s="102" t="str">
        <f t="shared" si="56"/>
        <v/>
      </c>
      <c r="BG100" s="102" t="str">
        <f t="shared" si="57"/>
        <v/>
      </c>
      <c r="BH100" s="102" t="str">
        <f t="shared" si="61"/>
        <v/>
      </c>
      <c r="BI100" s="102" t="str">
        <f t="shared" si="58"/>
        <v/>
      </c>
    </row>
    <row r="101" spans="1:61" s="106" customFormat="1" ht="23.15" customHeight="1">
      <c r="A101" s="3">
        <v>95</v>
      </c>
      <c r="B101" s="15"/>
      <c r="C101" s="5"/>
      <c r="D101" s="6"/>
      <c r="E101" s="4"/>
      <c r="F101" s="7"/>
      <c r="G101" s="8"/>
      <c r="H101" s="9"/>
      <c r="I101" s="9"/>
      <c r="J101" s="9"/>
      <c r="K101" s="9"/>
      <c r="L101" s="9"/>
      <c r="M101" s="9"/>
      <c r="N101" s="9"/>
      <c r="O101" s="9"/>
      <c r="P101" s="9"/>
      <c r="Q101" s="10"/>
      <c r="R101" s="11"/>
      <c r="S101" s="12"/>
      <c r="T101" s="10"/>
      <c r="U101" s="18"/>
      <c r="V101" s="10"/>
      <c r="W101" s="13"/>
      <c r="X101" s="14"/>
      <c r="Y101" s="105" t="str">
        <f t="shared" si="59"/>
        <v/>
      </c>
      <c r="Z101" s="102">
        <f>IF(COUNTIF($E$7:E101,E101)=1,"",COUNTIF($E$7:E101,E101))</f>
        <v>0</v>
      </c>
      <c r="AA101" s="102" t="str">
        <f t="shared" si="42"/>
        <v/>
      </c>
      <c r="AC101" s="102" t="str">
        <f t="shared" si="63"/>
        <v/>
      </c>
      <c r="AD101" s="102" t="str">
        <f t="shared" si="63"/>
        <v/>
      </c>
      <c r="AE101" s="102" t="str">
        <f t="shared" si="63"/>
        <v/>
      </c>
      <c r="AF101" s="102" t="str">
        <f t="shared" si="63"/>
        <v/>
      </c>
      <c r="AG101" s="102" t="str">
        <f t="shared" si="63"/>
        <v/>
      </c>
      <c r="AH101" s="102" t="str">
        <f t="shared" si="63"/>
        <v/>
      </c>
      <c r="AI101" s="102" t="str">
        <f t="shared" si="63"/>
        <v/>
      </c>
      <c r="AJ101" s="102" t="str">
        <f t="shared" si="63"/>
        <v/>
      </c>
      <c r="AK101" s="102" t="str">
        <f t="shared" si="63"/>
        <v/>
      </c>
      <c r="AL101" s="102" t="str">
        <f t="shared" si="63"/>
        <v/>
      </c>
      <c r="AM101" s="102" t="str">
        <f t="shared" si="63"/>
        <v/>
      </c>
      <c r="AN101" s="102" t="str">
        <f t="shared" si="63"/>
        <v/>
      </c>
      <c r="AP101" s="102" t="str">
        <f t="shared" si="43"/>
        <v/>
      </c>
      <c r="AQ101" s="102" t="str">
        <f t="shared" si="44"/>
        <v/>
      </c>
      <c r="AR101" s="102" t="str">
        <f t="shared" si="45"/>
        <v/>
      </c>
      <c r="AS101" s="102" t="str">
        <f t="shared" si="46"/>
        <v/>
      </c>
      <c r="AT101" s="102" t="str">
        <f t="shared" si="47"/>
        <v/>
      </c>
      <c r="AU101" s="102" t="str">
        <f t="shared" si="48"/>
        <v/>
      </c>
      <c r="AV101" s="102" t="str">
        <f t="shared" si="49"/>
        <v/>
      </c>
      <c r="AW101" s="102" t="str">
        <f t="shared" si="50"/>
        <v/>
      </c>
      <c r="AX101" s="102" t="str">
        <f t="shared" si="51"/>
        <v/>
      </c>
      <c r="AY101" s="102" t="str">
        <f t="shared" si="52"/>
        <v/>
      </c>
      <c r="AZ101" s="102" t="str">
        <f t="shared" si="53"/>
        <v/>
      </c>
      <c r="BA101" s="102" t="str">
        <f t="shared" si="54"/>
        <v/>
      </c>
      <c r="BB101" s="106" t="str">
        <f t="shared" si="60"/>
        <v/>
      </c>
      <c r="BE101" s="102" t="str">
        <f t="shared" si="55"/>
        <v/>
      </c>
      <c r="BF101" s="102" t="str">
        <f t="shared" si="56"/>
        <v/>
      </c>
      <c r="BG101" s="102" t="str">
        <f t="shared" si="57"/>
        <v/>
      </c>
      <c r="BH101" s="102" t="str">
        <f t="shared" si="61"/>
        <v/>
      </c>
      <c r="BI101" s="102" t="str">
        <f t="shared" si="58"/>
        <v/>
      </c>
    </row>
    <row r="102" spans="1:61" s="106" customFormat="1" ht="23.15" customHeight="1">
      <c r="A102" s="3">
        <v>96</v>
      </c>
      <c r="B102" s="15"/>
      <c r="C102" s="5"/>
      <c r="D102" s="6"/>
      <c r="E102" s="4"/>
      <c r="F102" s="7"/>
      <c r="G102" s="8"/>
      <c r="H102" s="9"/>
      <c r="I102" s="9"/>
      <c r="J102" s="9"/>
      <c r="K102" s="9"/>
      <c r="L102" s="9"/>
      <c r="M102" s="9"/>
      <c r="N102" s="9"/>
      <c r="O102" s="9"/>
      <c r="P102" s="9"/>
      <c r="Q102" s="10"/>
      <c r="R102" s="11"/>
      <c r="S102" s="12"/>
      <c r="T102" s="10"/>
      <c r="U102" s="18"/>
      <c r="V102" s="10"/>
      <c r="W102" s="13"/>
      <c r="X102" s="14"/>
      <c r="Y102" s="105" t="str">
        <f t="shared" si="59"/>
        <v/>
      </c>
      <c r="Z102" s="102">
        <f>IF(COUNTIF($E$7:E102,E102)=1,"",COUNTIF($E$7:E102,E102))</f>
        <v>0</v>
      </c>
      <c r="AA102" s="102" t="str">
        <f t="shared" si="42"/>
        <v/>
      </c>
      <c r="AC102" s="102" t="str">
        <f t="shared" si="63"/>
        <v/>
      </c>
      <c r="AD102" s="102" t="str">
        <f t="shared" si="63"/>
        <v/>
      </c>
      <c r="AE102" s="102" t="str">
        <f t="shared" si="63"/>
        <v/>
      </c>
      <c r="AF102" s="102" t="str">
        <f t="shared" si="63"/>
        <v/>
      </c>
      <c r="AG102" s="102" t="str">
        <f t="shared" si="63"/>
        <v/>
      </c>
      <c r="AH102" s="102" t="str">
        <f t="shared" si="63"/>
        <v/>
      </c>
      <c r="AI102" s="102" t="str">
        <f t="shared" si="63"/>
        <v/>
      </c>
      <c r="AJ102" s="102" t="str">
        <f t="shared" si="63"/>
        <v/>
      </c>
      <c r="AK102" s="102" t="str">
        <f t="shared" si="63"/>
        <v/>
      </c>
      <c r="AL102" s="102" t="str">
        <f t="shared" si="63"/>
        <v/>
      </c>
      <c r="AM102" s="102" t="str">
        <f t="shared" si="63"/>
        <v/>
      </c>
      <c r="AN102" s="102" t="str">
        <f t="shared" si="63"/>
        <v/>
      </c>
      <c r="AP102" s="102" t="str">
        <f t="shared" si="43"/>
        <v/>
      </c>
      <c r="AQ102" s="102" t="str">
        <f t="shared" si="44"/>
        <v/>
      </c>
      <c r="AR102" s="102" t="str">
        <f t="shared" si="45"/>
        <v/>
      </c>
      <c r="AS102" s="102" t="str">
        <f t="shared" si="46"/>
        <v/>
      </c>
      <c r="AT102" s="102" t="str">
        <f t="shared" si="47"/>
        <v/>
      </c>
      <c r="AU102" s="102" t="str">
        <f t="shared" si="48"/>
        <v/>
      </c>
      <c r="AV102" s="102" t="str">
        <f t="shared" si="49"/>
        <v/>
      </c>
      <c r="AW102" s="102" t="str">
        <f t="shared" si="50"/>
        <v/>
      </c>
      <c r="AX102" s="102" t="str">
        <f t="shared" si="51"/>
        <v/>
      </c>
      <c r="AY102" s="102" t="str">
        <f t="shared" si="52"/>
        <v/>
      </c>
      <c r="AZ102" s="102" t="str">
        <f t="shared" si="53"/>
        <v/>
      </c>
      <c r="BA102" s="102" t="str">
        <f t="shared" si="54"/>
        <v/>
      </c>
      <c r="BB102" s="106" t="str">
        <f t="shared" si="60"/>
        <v/>
      </c>
      <c r="BE102" s="102" t="str">
        <f t="shared" si="55"/>
        <v/>
      </c>
      <c r="BF102" s="102" t="str">
        <f t="shared" si="56"/>
        <v/>
      </c>
      <c r="BG102" s="102" t="str">
        <f t="shared" si="57"/>
        <v/>
      </c>
      <c r="BH102" s="102" t="str">
        <f t="shared" si="61"/>
        <v/>
      </c>
      <c r="BI102" s="102" t="str">
        <f t="shared" si="58"/>
        <v/>
      </c>
    </row>
    <row r="103" spans="1:61" s="106" customFormat="1" ht="23.15" customHeight="1">
      <c r="A103" s="3">
        <v>97</v>
      </c>
      <c r="B103" s="15"/>
      <c r="C103" s="5"/>
      <c r="D103" s="6"/>
      <c r="E103" s="4"/>
      <c r="F103" s="7"/>
      <c r="G103" s="8"/>
      <c r="H103" s="9"/>
      <c r="I103" s="9"/>
      <c r="J103" s="9"/>
      <c r="K103" s="9"/>
      <c r="L103" s="9"/>
      <c r="M103" s="9"/>
      <c r="N103" s="9"/>
      <c r="O103" s="9"/>
      <c r="P103" s="9"/>
      <c r="Q103" s="10"/>
      <c r="R103" s="11"/>
      <c r="S103" s="12"/>
      <c r="T103" s="10"/>
      <c r="U103" s="18"/>
      <c r="V103" s="10"/>
      <c r="W103" s="13"/>
      <c r="X103" s="14"/>
      <c r="Y103" s="105" t="str">
        <f t="shared" si="59"/>
        <v/>
      </c>
      <c r="Z103" s="102">
        <f>IF(COUNTIF($E$7:E103,E103)=1,"",COUNTIF($E$7:E103,E103))</f>
        <v>0</v>
      </c>
      <c r="AA103" s="102" t="str">
        <f t="shared" si="42"/>
        <v/>
      </c>
      <c r="AC103" s="102" t="str">
        <f t="shared" si="63"/>
        <v/>
      </c>
      <c r="AD103" s="102" t="str">
        <f t="shared" si="63"/>
        <v/>
      </c>
      <c r="AE103" s="102" t="str">
        <f t="shared" si="63"/>
        <v/>
      </c>
      <c r="AF103" s="102" t="str">
        <f t="shared" si="63"/>
        <v/>
      </c>
      <c r="AG103" s="102" t="str">
        <f t="shared" si="63"/>
        <v/>
      </c>
      <c r="AH103" s="102" t="str">
        <f t="shared" si="63"/>
        <v/>
      </c>
      <c r="AI103" s="102" t="str">
        <f t="shared" si="63"/>
        <v/>
      </c>
      <c r="AJ103" s="102" t="str">
        <f t="shared" si="63"/>
        <v/>
      </c>
      <c r="AK103" s="102" t="str">
        <f t="shared" si="63"/>
        <v/>
      </c>
      <c r="AL103" s="102" t="str">
        <f t="shared" si="63"/>
        <v/>
      </c>
      <c r="AM103" s="102" t="str">
        <f t="shared" si="63"/>
        <v/>
      </c>
      <c r="AN103" s="102" t="str">
        <f t="shared" si="63"/>
        <v/>
      </c>
      <c r="AP103" s="102" t="str">
        <f t="shared" si="43"/>
        <v/>
      </c>
      <c r="AQ103" s="102" t="str">
        <f t="shared" si="44"/>
        <v/>
      </c>
      <c r="AR103" s="102" t="str">
        <f t="shared" si="45"/>
        <v/>
      </c>
      <c r="AS103" s="102" t="str">
        <f t="shared" si="46"/>
        <v/>
      </c>
      <c r="AT103" s="102" t="str">
        <f t="shared" si="47"/>
        <v/>
      </c>
      <c r="AU103" s="102" t="str">
        <f t="shared" si="48"/>
        <v/>
      </c>
      <c r="AV103" s="102" t="str">
        <f t="shared" si="49"/>
        <v/>
      </c>
      <c r="AW103" s="102" t="str">
        <f t="shared" si="50"/>
        <v/>
      </c>
      <c r="AX103" s="102" t="str">
        <f t="shared" si="51"/>
        <v/>
      </c>
      <c r="AY103" s="102" t="str">
        <f t="shared" si="52"/>
        <v/>
      </c>
      <c r="AZ103" s="102" t="str">
        <f t="shared" si="53"/>
        <v/>
      </c>
      <c r="BA103" s="102" t="str">
        <f t="shared" si="54"/>
        <v/>
      </c>
      <c r="BB103" s="106" t="str">
        <f t="shared" si="60"/>
        <v/>
      </c>
      <c r="BE103" s="102" t="str">
        <f t="shared" si="55"/>
        <v/>
      </c>
      <c r="BF103" s="102" t="str">
        <f t="shared" si="56"/>
        <v/>
      </c>
      <c r="BG103" s="102" t="str">
        <f t="shared" ref="BG103:BG106" si="64">IF(AND(BF103="",R103&lt;&gt;""),"○","")</f>
        <v/>
      </c>
      <c r="BH103" s="102" t="str">
        <f t="shared" si="61"/>
        <v/>
      </c>
      <c r="BI103" s="102" t="str">
        <f t="shared" si="58"/>
        <v/>
      </c>
    </row>
    <row r="104" spans="1:61" s="106" customFormat="1" ht="23.15" customHeight="1">
      <c r="A104" s="3">
        <v>98</v>
      </c>
      <c r="B104" s="15"/>
      <c r="C104" s="5"/>
      <c r="D104" s="6"/>
      <c r="E104" s="4"/>
      <c r="F104" s="7"/>
      <c r="G104" s="8"/>
      <c r="H104" s="9"/>
      <c r="I104" s="9"/>
      <c r="J104" s="9"/>
      <c r="K104" s="9"/>
      <c r="L104" s="9"/>
      <c r="M104" s="9"/>
      <c r="N104" s="9"/>
      <c r="O104" s="9"/>
      <c r="P104" s="9"/>
      <c r="Q104" s="10"/>
      <c r="R104" s="11"/>
      <c r="S104" s="12"/>
      <c r="T104" s="10"/>
      <c r="U104" s="18"/>
      <c r="V104" s="10"/>
      <c r="W104" s="13"/>
      <c r="X104" s="14"/>
      <c r="Y104" s="105" t="str">
        <f t="shared" si="59"/>
        <v/>
      </c>
      <c r="Z104" s="102">
        <f>IF(COUNTIF($E$7:E104,E104)=1,"",COUNTIF($E$7:E104,E104))</f>
        <v>0</v>
      </c>
      <c r="AA104" s="102" t="str">
        <f t="shared" si="42"/>
        <v/>
      </c>
      <c r="AC104" s="102" t="str">
        <f t="shared" si="63"/>
        <v/>
      </c>
      <c r="AD104" s="102" t="str">
        <f t="shared" si="63"/>
        <v/>
      </c>
      <c r="AE104" s="102" t="str">
        <f t="shared" si="63"/>
        <v/>
      </c>
      <c r="AF104" s="102" t="str">
        <f t="shared" si="63"/>
        <v/>
      </c>
      <c r="AG104" s="102" t="str">
        <f t="shared" si="63"/>
        <v/>
      </c>
      <c r="AH104" s="102" t="str">
        <f t="shared" si="63"/>
        <v/>
      </c>
      <c r="AI104" s="102" t="str">
        <f t="shared" si="63"/>
        <v/>
      </c>
      <c r="AJ104" s="102" t="str">
        <f t="shared" si="63"/>
        <v/>
      </c>
      <c r="AK104" s="102" t="str">
        <f t="shared" si="63"/>
        <v/>
      </c>
      <c r="AL104" s="102" t="str">
        <f t="shared" si="63"/>
        <v/>
      </c>
      <c r="AM104" s="102" t="str">
        <f t="shared" si="63"/>
        <v/>
      </c>
      <c r="AN104" s="102" t="str">
        <f t="shared" si="63"/>
        <v/>
      </c>
      <c r="AP104" s="102" t="str">
        <f t="shared" si="43"/>
        <v/>
      </c>
      <c r="AQ104" s="102" t="str">
        <f t="shared" si="44"/>
        <v/>
      </c>
      <c r="AR104" s="102" t="str">
        <f t="shared" si="45"/>
        <v/>
      </c>
      <c r="AS104" s="102" t="str">
        <f t="shared" si="46"/>
        <v/>
      </c>
      <c r="AT104" s="102" t="str">
        <f t="shared" si="47"/>
        <v/>
      </c>
      <c r="AU104" s="102" t="str">
        <f t="shared" si="48"/>
        <v/>
      </c>
      <c r="AV104" s="102" t="str">
        <f t="shared" si="49"/>
        <v/>
      </c>
      <c r="AW104" s="102" t="str">
        <f t="shared" si="50"/>
        <v/>
      </c>
      <c r="AX104" s="102" t="str">
        <f t="shared" si="51"/>
        <v/>
      </c>
      <c r="AY104" s="102" t="str">
        <f t="shared" si="52"/>
        <v/>
      </c>
      <c r="AZ104" s="102" t="str">
        <f t="shared" si="53"/>
        <v/>
      </c>
      <c r="BA104" s="102" t="str">
        <f t="shared" si="54"/>
        <v/>
      </c>
      <c r="BB104" s="106" t="str">
        <f t="shared" si="60"/>
        <v/>
      </c>
      <c r="BE104" s="102" t="str">
        <f t="shared" si="55"/>
        <v/>
      </c>
      <c r="BF104" s="102" t="str">
        <f t="shared" si="56"/>
        <v/>
      </c>
      <c r="BG104" s="102" t="str">
        <f t="shared" si="64"/>
        <v/>
      </c>
      <c r="BH104" s="102" t="str">
        <f t="shared" si="61"/>
        <v/>
      </c>
      <c r="BI104" s="102" t="str">
        <f t="shared" si="58"/>
        <v/>
      </c>
    </row>
    <row r="105" spans="1:61" s="106" customFormat="1" ht="23.15" customHeight="1">
      <c r="A105" s="3">
        <v>99</v>
      </c>
      <c r="B105" s="15"/>
      <c r="C105" s="5"/>
      <c r="D105" s="6"/>
      <c r="E105" s="4"/>
      <c r="F105" s="7"/>
      <c r="G105" s="8"/>
      <c r="H105" s="9"/>
      <c r="I105" s="9"/>
      <c r="J105" s="9"/>
      <c r="K105" s="9"/>
      <c r="L105" s="9"/>
      <c r="M105" s="9"/>
      <c r="N105" s="9"/>
      <c r="O105" s="9"/>
      <c r="P105" s="9"/>
      <c r="Q105" s="10"/>
      <c r="R105" s="11"/>
      <c r="S105" s="12"/>
      <c r="T105" s="10"/>
      <c r="U105" s="18"/>
      <c r="V105" s="10"/>
      <c r="W105" s="13"/>
      <c r="X105" s="14"/>
      <c r="Y105" s="105" t="str">
        <f t="shared" si="59"/>
        <v/>
      </c>
      <c r="Z105" s="102">
        <f>IF(COUNTIF($E$7:E105,E105)=1,"",COUNTIF($E$7:E105,E105))</f>
        <v>0</v>
      </c>
      <c r="AA105" s="102" t="str">
        <f t="shared" si="42"/>
        <v/>
      </c>
      <c r="AC105" s="102" t="str">
        <f t="shared" si="63"/>
        <v/>
      </c>
      <c r="AD105" s="102" t="str">
        <f t="shared" si="63"/>
        <v/>
      </c>
      <c r="AE105" s="102" t="str">
        <f t="shared" si="63"/>
        <v/>
      </c>
      <c r="AF105" s="102" t="str">
        <f t="shared" si="63"/>
        <v/>
      </c>
      <c r="AG105" s="102" t="str">
        <f t="shared" si="63"/>
        <v/>
      </c>
      <c r="AH105" s="102" t="str">
        <f t="shared" si="63"/>
        <v/>
      </c>
      <c r="AI105" s="102" t="str">
        <f t="shared" si="63"/>
        <v/>
      </c>
      <c r="AJ105" s="102" t="str">
        <f t="shared" si="63"/>
        <v/>
      </c>
      <c r="AK105" s="102" t="str">
        <f t="shared" si="63"/>
        <v/>
      </c>
      <c r="AL105" s="102" t="str">
        <f t="shared" si="63"/>
        <v/>
      </c>
      <c r="AM105" s="102" t="str">
        <f t="shared" si="63"/>
        <v/>
      </c>
      <c r="AN105" s="102" t="str">
        <f t="shared" si="63"/>
        <v/>
      </c>
      <c r="AP105" s="102" t="str">
        <f t="shared" si="43"/>
        <v/>
      </c>
      <c r="AQ105" s="102" t="str">
        <f t="shared" si="44"/>
        <v/>
      </c>
      <c r="AR105" s="102" t="str">
        <f t="shared" si="45"/>
        <v/>
      </c>
      <c r="AS105" s="102" t="str">
        <f t="shared" si="46"/>
        <v/>
      </c>
      <c r="AT105" s="102" t="str">
        <f t="shared" si="47"/>
        <v/>
      </c>
      <c r="AU105" s="102" t="str">
        <f t="shared" si="48"/>
        <v/>
      </c>
      <c r="AV105" s="102" t="str">
        <f t="shared" si="49"/>
        <v/>
      </c>
      <c r="AW105" s="102" t="str">
        <f t="shared" si="50"/>
        <v/>
      </c>
      <c r="AX105" s="102" t="str">
        <f t="shared" si="51"/>
        <v/>
      </c>
      <c r="AY105" s="102" t="str">
        <f t="shared" si="52"/>
        <v/>
      </c>
      <c r="AZ105" s="102" t="str">
        <f t="shared" si="53"/>
        <v/>
      </c>
      <c r="BA105" s="102" t="str">
        <f t="shared" si="54"/>
        <v/>
      </c>
      <c r="BB105" s="106" t="str">
        <f t="shared" si="60"/>
        <v/>
      </c>
      <c r="BE105" s="102" t="str">
        <f t="shared" si="55"/>
        <v/>
      </c>
      <c r="BF105" s="102" t="str">
        <f t="shared" si="56"/>
        <v/>
      </c>
      <c r="BG105" s="102" t="str">
        <f t="shared" si="64"/>
        <v/>
      </c>
      <c r="BH105" s="102" t="str">
        <f t="shared" si="61"/>
        <v/>
      </c>
      <c r="BI105" s="102" t="str">
        <f t="shared" si="58"/>
        <v/>
      </c>
    </row>
    <row r="106" spans="1:61" s="106" customFormat="1" ht="23.15" customHeight="1">
      <c r="A106" s="3">
        <v>100</v>
      </c>
      <c r="B106" s="15"/>
      <c r="C106" s="5"/>
      <c r="D106" s="6"/>
      <c r="E106" s="4"/>
      <c r="F106" s="7"/>
      <c r="G106" s="8"/>
      <c r="H106" s="9"/>
      <c r="I106" s="9"/>
      <c r="J106" s="9"/>
      <c r="K106" s="9"/>
      <c r="L106" s="9"/>
      <c r="M106" s="9"/>
      <c r="N106" s="9"/>
      <c r="O106" s="9"/>
      <c r="P106" s="9"/>
      <c r="Q106" s="10"/>
      <c r="R106" s="11"/>
      <c r="S106" s="12"/>
      <c r="T106" s="10"/>
      <c r="U106" s="18"/>
      <c r="V106" s="10"/>
      <c r="W106" s="13"/>
      <c r="X106" s="14"/>
      <c r="Y106" s="105" t="str">
        <f t="shared" si="59"/>
        <v/>
      </c>
      <c r="Z106" s="102">
        <f>IF(COUNTIF($E$7:E106,E106)=1,"",COUNTIF($E$7:E106,E106))</f>
        <v>0</v>
      </c>
      <c r="AA106" s="102" t="str">
        <f t="shared" si="42"/>
        <v/>
      </c>
      <c r="AC106" s="102" t="str">
        <f t="shared" si="63"/>
        <v/>
      </c>
      <c r="AD106" s="102" t="str">
        <f t="shared" si="63"/>
        <v/>
      </c>
      <c r="AE106" s="102" t="str">
        <f t="shared" si="63"/>
        <v/>
      </c>
      <c r="AF106" s="102" t="str">
        <f t="shared" si="63"/>
        <v/>
      </c>
      <c r="AG106" s="102" t="str">
        <f t="shared" si="63"/>
        <v/>
      </c>
      <c r="AH106" s="102" t="str">
        <f t="shared" si="63"/>
        <v/>
      </c>
      <c r="AI106" s="102" t="str">
        <f t="shared" si="63"/>
        <v/>
      </c>
      <c r="AJ106" s="102" t="str">
        <f t="shared" si="63"/>
        <v/>
      </c>
      <c r="AK106" s="102" t="str">
        <f t="shared" si="63"/>
        <v/>
      </c>
      <c r="AL106" s="102" t="str">
        <f t="shared" si="63"/>
        <v/>
      </c>
      <c r="AM106" s="102" t="str">
        <f t="shared" si="63"/>
        <v/>
      </c>
      <c r="AN106" s="102" t="str">
        <f t="shared" si="63"/>
        <v/>
      </c>
      <c r="AP106" s="102" t="str">
        <f t="shared" si="43"/>
        <v/>
      </c>
      <c r="AQ106" s="102" t="str">
        <f t="shared" si="44"/>
        <v/>
      </c>
      <c r="AR106" s="102" t="str">
        <f t="shared" si="45"/>
        <v/>
      </c>
      <c r="AS106" s="102" t="str">
        <f t="shared" si="46"/>
        <v/>
      </c>
      <c r="AT106" s="102" t="str">
        <f t="shared" si="47"/>
        <v/>
      </c>
      <c r="AU106" s="102" t="str">
        <f t="shared" si="48"/>
        <v/>
      </c>
      <c r="AV106" s="102" t="str">
        <f t="shared" si="49"/>
        <v/>
      </c>
      <c r="AW106" s="102" t="str">
        <f t="shared" si="50"/>
        <v/>
      </c>
      <c r="AX106" s="102" t="str">
        <f t="shared" si="51"/>
        <v/>
      </c>
      <c r="AY106" s="102" t="str">
        <f t="shared" si="52"/>
        <v/>
      </c>
      <c r="AZ106" s="102" t="str">
        <f t="shared" si="53"/>
        <v/>
      </c>
      <c r="BA106" s="102" t="str">
        <f t="shared" si="54"/>
        <v/>
      </c>
      <c r="BB106" s="106" t="str">
        <f t="shared" si="60"/>
        <v/>
      </c>
      <c r="BE106" s="102" t="str">
        <f t="shared" si="55"/>
        <v/>
      </c>
      <c r="BF106" s="102" t="str">
        <f t="shared" si="56"/>
        <v/>
      </c>
      <c r="BG106" s="102" t="str">
        <f t="shared" si="64"/>
        <v/>
      </c>
      <c r="BH106" s="102" t="str">
        <f t="shared" si="61"/>
        <v/>
      </c>
      <c r="BI106" s="102" t="str">
        <f t="shared" si="58"/>
        <v/>
      </c>
    </row>
    <row r="107" spans="1:61" s="106" customFormat="1" ht="22.5" customHeight="1" thickBot="1">
      <c r="A107" s="761" t="s">
        <v>81</v>
      </c>
      <c r="B107" s="762"/>
      <c r="C107" s="108"/>
      <c r="D107" s="109"/>
      <c r="E107" s="110"/>
      <c r="F107" s="110"/>
      <c r="G107" s="111"/>
      <c r="H107" s="103"/>
      <c r="I107" s="103"/>
      <c r="J107" s="103"/>
      <c r="K107" s="103"/>
      <c r="L107" s="103"/>
      <c r="M107" s="103"/>
      <c r="N107" s="103"/>
      <c r="O107" s="103"/>
      <c r="P107" s="103"/>
      <c r="Q107" s="111"/>
      <c r="R107" s="111"/>
      <c r="S107" s="112"/>
      <c r="T107" s="113"/>
      <c r="U107" s="114"/>
      <c r="V107" s="113"/>
      <c r="W107" s="113"/>
      <c r="X107" s="115"/>
      <c r="Y107" s="105"/>
      <c r="AA107" s="106" t="str">
        <f t="shared" si="42"/>
        <v/>
      </c>
    </row>
    <row r="108" spans="1:61" ht="30.75" customHeight="1">
      <c r="A108" s="89"/>
      <c r="B108" s="449" t="str">
        <f>CONCATENATE("※　令和",①基本情報!F8,"年4月1日以降に在籍する職員（嘱託・パートを含む）を記入してください。")</f>
        <v>※　令和6年4月1日以降に在籍する職員（嘱託・パートを含む）を記入してください。</v>
      </c>
      <c r="C108" s="449"/>
      <c r="D108" s="449"/>
      <c r="E108" s="449"/>
      <c r="F108" s="449"/>
      <c r="G108" s="449"/>
      <c r="H108" s="449"/>
      <c r="I108" s="449"/>
      <c r="J108" s="449"/>
      <c r="K108" s="449"/>
      <c r="L108" s="449"/>
      <c r="M108" s="449"/>
      <c r="N108" s="449"/>
      <c r="O108" s="449"/>
      <c r="P108" s="449"/>
      <c r="Q108" s="124"/>
      <c r="R108" s="116"/>
      <c r="S108" s="116"/>
      <c r="T108" s="117"/>
      <c r="U108" s="89"/>
      <c r="V108" s="89"/>
      <c r="W108" s="89"/>
      <c r="X108" s="89"/>
    </row>
    <row r="109" spans="1:61" ht="13.5" customHeight="1">
      <c r="A109" s="89"/>
      <c r="B109" s="450" t="s">
        <v>82</v>
      </c>
      <c r="C109" s="450"/>
      <c r="D109" s="450"/>
      <c r="E109" s="745" t="s">
        <v>1689</v>
      </c>
      <c r="F109" s="745"/>
      <c r="G109" s="745"/>
      <c r="H109" s="745"/>
      <c r="I109" s="745"/>
      <c r="J109" s="745"/>
      <c r="K109" s="745"/>
      <c r="L109" s="745"/>
      <c r="M109" s="745"/>
      <c r="N109" s="745"/>
      <c r="O109" s="745"/>
      <c r="P109" s="745"/>
      <c r="Q109" s="745"/>
      <c r="R109" s="118"/>
      <c r="S109" s="89"/>
      <c r="T109" s="89"/>
      <c r="U109" s="118"/>
      <c r="V109" s="118"/>
      <c r="W109" s="118"/>
      <c r="X109" s="118"/>
    </row>
    <row r="110" spans="1:61">
      <c r="A110" s="89"/>
      <c r="B110" s="450"/>
      <c r="C110" s="450"/>
      <c r="D110" s="450"/>
      <c r="E110" s="745" t="s">
        <v>83</v>
      </c>
      <c r="F110" s="745"/>
      <c r="G110" s="745"/>
      <c r="H110" s="745"/>
      <c r="I110" s="745"/>
      <c r="J110" s="745"/>
      <c r="K110" s="745"/>
      <c r="L110" s="745"/>
      <c r="M110" s="745"/>
      <c r="N110" s="745"/>
      <c r="O110" s="745"/>
      <c r="P110" s="745"/>
      <c r="Q110" s="745"/>
      <c r="R110" s="118"/>
      <c r="S110" s="89"/>
      <c r="T110" s="89"/>
      <c r="U110" s="118"/>
      <c r="V110" s="118"/>
      <c r="W110" s="118"/>
      <c r="X110" s="118"/>
    </row>
    <row r="111" spans="1:61" ht="12" customHeight="1">
      <c r="A111" s="89"/>
      <c r="B111" s="451"/>
      <c r="C111" s="451"/>
      <c r="D111" s="451"/>
      <c r="E111" s="745" t="s">
        <v>1690</v>
      </c>
      <c r="F111" s="745"/>
      <c r="G111" s="745"/>
      <c r="H111" s="745"/>
      <c r="I111" s="745"/>
      <c r="J111" s="745"/>
      <c r="K111" s="745"/>
      <c r="L111" s="745"/>
      <c r="M111" s="745"/>
      <c r="N111" s="745"/>
      <c r="O111" s="745"/>
      <c r="P111" s="745"/>
      <c r="Q111" s="745"/>
      <c r="R111" s="119"/>
      <c r="S111" s="119"/>
      <c r="T111" s="119"/>
      <c r="U111" s="119"/>
      <c r="V111" s="119"/>
      <c r="W111" s="119"/>
      <c r="X111" s="119"/>
    </row>
    <row r="112" spans="1:61" ht="12" customHeight="1">
      <c r="A112" s="89"/>
      <c r="B112" s="451"/>
      <c r="C112" s="451"/>
      <c r="D112" s="451"/>
      <c r="E112" s="745" t="s">
        <v>84</v>
      </c>
      <c r="F112" s="745"/>
      <c r="G112" s="745"/>
      <c r="H112" s="745"/>
      <c r="I112" s="745"/>
      <c r="J112" s="745"/>
      <c r="K112" s="745"/>
      <c r="L112" s="745"/>
      <c r="M112" s="745"/>
      <c r="N112" s="745"/>
      <c r="O112" s="745"/>
      <c r="P112" s="745"/>
      <c r="Q112" s="745"/>
      <c r="R112" s="119"/>
      <c r="S112" s="119"/>
      <c r="T112" s="119"/>
      <c r="U112" s="119"/>
      <c r="V112" s="119"/>
      <c r="W112" s="119"/>
      <c r="X112" s="119"/>
    </row>
    <row r="113" spans="1:29" ht="12" customHeight="1">
      <c r="A113" s="89"/>
      <c r="B113" s="126"/>
      <c r="C113" s="126"/>
      <c r="D113" s="126"/>
      <c r="E113" s="127"/>
      <c r="F113" s="126"/>
      <c r="G113" s="126"/>
      <c r="H113" s="128"/>
      <c r="I113" s="128"/>
      <c r="J113" s="128"/>
      <c r="K113" s="128"/>
      <c r="L113" s="128"/>
      <c r="M113" s="128"/>
      <c r="N113" s="128"/>
      <c r="O113" s="128"/>
      <c r="P113" s="127"/>
      <c r="Q113" s="127"/>
      <c r="R113" s="120"/>
      <c r="S113" s="121"/>
      <c r="T113" s="121"/>
      <c r="U113" s="121"/>
      <c r="V113" s="121"/>
      <c r="W113" s="121"/>
      <c r="X113" s="121"/>
    </row>
    <row r="114" spans="1:29" ht="12" customHeight="1">
      <c r="A114" s="89"/>
      <c r="B114" s="126"/>
      <c r="C114" s="126"/>
      <c r="D114" s="126"/>
      <c r="E114" s="127"/>
      <c r="F114" s="126"/>
      <c r="G114" s="126"/>
      <c r="H114" s="128"/>
      <c r="I114" s="128"/>
      <c r="J114" s="128"/>
      <c r="K114" s="128"/>
      <c r="L114" s="128"/>
      <c r="M114" s="128"/>
      <c r="N114" s="128"/>
      <c r="O114" s="128"/>
      <c r="P114" s="127"/>
      <c r="Q114" s="127"/>
      <c r="R114" s="120"/>
      <c r="S114" s="121"/>
      <c r="T114" s="121"/>
      <c r="U114" s="121"/>
      <c r="V114" s="121"/>
      <c r="W114" s="121"/>
      <c r="X114" s="121"/>
    </row>
    <row r="115" spans="1:29">
      <c r="A115" s="89"/>
      <c r="B115" s="125"/>
      <c r="C115" s="125"/>
      <c r="D115" s="125"/>
      <c r="E115" s="125"/>
      <c r="F115" s="129"/>
      <c r="G115" s="129"/>
      <c r="H115" s="129"/>
      <c r="I115" s="129"/>
      <c r="J115" s="129"/>
      <c r="K115" s="129"/>
      <c r="L115" s="129"/>
      <c r="M115" s="129"/>
      <c r="N115" s="129"/>
      <c r="O115" s="129"/>
      <c r="P115" s="129"/>
      <c r="Q115" s="129"/>
      <c r="R115" s="122"/>
      <c r="S115" s="121"/>
      <c r="T115" s="121"/>
      <c r="U115" s="121"/>
      <c r="V115" s="121"/>
      <c r="W115" s="121"/>
      <c r="X115" s="121"/>
    </row>
    <row r="118" spans="1:29">
      <c r="A118" s="123"/>
      <c r="B118" s="123"/>
      <c r="C118" s="123"/>
      <c r="D118" s="123"/>
      <c r="E118" s="123"/>
      <c r="F118" s="123"/>
      <c r="G118" s="123"/>
      <c r="H118" s="123"/>
      <c r="I118" s="123"/>
      <c r="J118" s="123"/>
      <c r="K118" s="123"/>
      <c r="L118" s="123"/>
      <c r="M118" s="123"/>
      <c r="N118" s="123"/>
      <c r="O118" s="123"/>
      <c r="P118" s="123"/>
      <c r="Q118" s="123"/>
      <c r="R118" s="123"/>
      <c r="S118" s="123"/>
      <c r="T118" s="123"/>
      <c r="U118" s="123"/>
      <c r="V118" s="123"/>
      <c r="W118" s="123"/>
      <c r="X118" s="123"/>
      <c r="Y118" s="123"/>
      <c r="Z118" s="123"/>
      <c r="AA118" s="123"/>
    </row>
    <row r="119" spans="1:29">
      <c r="A119" s="123" t="s">
        <v>71</v>
      </c>
      <c r="B119" s="123"/>
      <c r="C119" s="123" t="s">
        <v>1289</v>
      </c>
      <c r="D119" s="123" t="s">
        <v>1290</v>
      </c>
      <c r="E119" s="123"/>
      <c r="F119" s="123" t="s">
        <v>1291</v>
      </c>
      <c r="G119" s="123"/>
      <c r="H119" s="123" t="s">
        <v>1292</v>
      </c>
      <c r="I119" s="123"/>
      <c r="J119" s="123"/>
      <c r="K119" s="123" t="s">
        <v>70</v>
      </c>
      <c r="L119" s="123"/>
      <c r="M119" s="123"/>
      <c r="N119" s="123"/>
      <c r="O119" s="123" t="s">
        <v>77</v>
      </c>
      <c r="P119" s="123"/>
      <c r="Q119" s="123"/>
      <c r="R119" s="123"/>
      <c r="S119" s="123" t="s">
        <v>71</v>
      </c>
      <c r="T119" s="123"/>
      <c r="U119" s="123"/>
      <c r="V119" s="123"/>
      <c r="W119" s="123"/>
      <c r="X119" s="123"/>
      <c r="Y119" s="123"/>
      <c r="Z119" s="123"/>
      <c r="AA119" s="123"/>
      <c r="AB119" s="89"/>
      <c r="AC119" s="92"/>
    </row>
    <row r="120" spans="1:29">
      <c r="A120" s="123" t="s">
        <v>1293</v>
      </c>
      <c r="B120" s="123"/>
      <c r="C120" s="123" t="s">
        <v>1294</v>
      </c>
      <c r="D120" s="123" t="s">
        <v>1295</v>
      </c>
      <c r="E120" s="123"/>
      <c r="F120" s="123" t="s">
        <v>1296</v>
      </c>
      <c r="G120" s="123"/>
      <c r="H120" s="123" t="s">
        <v>1297</v>
      </c>
      <c r="I120" s="123"/>
      <c r="J120" s="123"/>
      <c r="K120" s="123" t="s">
        <v>85</v>
      </c>
      <c r="L120" s="123"/>
      <c r="M120" s="123"/>
      <c r="N120" s="123"/>
      <c r="O120" s="123" t="s">
        <v>86</v>
      </c>
      <c r="P120" s="123"/>
      <c r="Q120" s="123"/>
      <c r="R120" s="123"/>
      <c r="S120" s="123" t="s">
        <v>72</v>
      </c>
      <c r="T120" s="123"/>
      <c r="U120" s="123"/>
      <c r="V120" s="123"/>
      <c r="W120" s="123"/>
      <c r="X120" s="123"/>
      <c r="Y120" s="123"/>
      <c r="Z120" s="123"/>
      <c r="AA120" s="123"/>
      <c r="AB120" s="89"/>
      <c r="AC120" s="92"/>
    </row>
    <row r="121" spans="1:29">
      <c r="A121" s="123" t="s">
        <v>1242</v>
      </c>
      <c r="B121" s="123"/>
      <c r="C121" s="123" t="s">
        <v>1298</v>
      </c>
      <c r="D121" s="123"/>
      <c r="E121" s="123"/>
      <c r="F121" s="123"/>
      <c r="G121" s="123"/>
      <c r="H121" s="123"/>
      <c r="I121" s="123"/>
      <c r="J121" s="123"/>
      <c r="K121" s="123" t="s">
        <v>383</v>
      </c>
      <c r="L121" s="123"/>
      <c r="M121" s="123"/>
      <c r="N121" s="123"/>
      <c r="O121" s="123" t="s">
        <v>383</v>
      </c>
      <c r="P121" s="123"/>
      <c r="Q121" s="123"/>
      <c r="R121" s="123"/>
      <c r="S121" s="123" t="s">
        <v>73</v>
      </c>
      <c r="T121" s="123"/>
      <c r="U121" s="123"/>
      <c r="V121" s="123"/>
      <c r="W121" s="123"/>
      <c r="X121" s="123"/>
      <c r="Y121" s="123"/>
      <c r="Z121" s="123"/>
      <c r="AA121" s="123"/>
      <c r="AB121" s="89"/>
      <c r="AC121" s="92"/>
    </row>
    <row r="122" spans="1:29">
      <c r="A122" s="123" t="s">
        <v>79</v>
      </c>
      <c r="B122" s="123"/>
      <c r="C122" s="123"/>
      <c r="D122" s="123"/>
      <c r="E122" s="123"/>
      <c r="F122" s="123"/>
      <c r="G122" s="123"/>
      <c r="H122" s="123"/>
      <c r="I122" s="123"/>
      <c r="J122" s="123"/>
      <c r="K122" s="123" t="s">
        <v>87</v>
      </c>
      <c r="L122" s="123"/>
      <c r="M122" s="123"/>
      <c r="N122" s="123"/>
      <c r="O122" s="123" t="s">
        <v>87</v>
      </c>
      <c r="P122" s="123"/>
      <c r="Q122" s="123"/>
      <c r="R122" s="123"/>
      <c r="S122" s="123" t="s">
        <v>74</v>
      </c>
      <c r="T122" s="123"/>
      <c r="U122" s="204"/>
      <c r="V122" s="123"/>
      <c r="W122" s="123"/>
      <c r="X122" s="123"/>
      <c r="Y122" s="123"/>
      <c r="Z122" s="123"/>
      <c r="AA122" s="123"/>
      <c r="AB122" s="89"/>
      <c r="AC122" s="92"/>
    </row>
    <row r="123" spans="1:29">
      <c r="A123" s="123" t="s">
        <v>1264</v>
      </c>
      <c r="B123" s="123"/>
      <c r="C123" s="123"/>
      <c r="D123" s="123"/>
      <c r="E123" s="123"/>
      <c r="F123" s="123"/>
      <c r="G123" s="123"/>
      <c r="H123" s="123"/>
      <c r="I123" s="123"/>
      <c r="J123" s="123"/>
      <c r="K123" s="123" t="s">
        <v>88</v>
      </c>
      <c r="L123" s="123"/>
      <c r="M123" s="123"/>
      <c r="N123" s="123"/>
      <c r="O123" s="123" t="s">
        <v>89</v>
      </c>
      <c r="P123" s="123"/>
      <c r="Q123" s="123"/>
      <c r="R123" s="123"/>
      <c r="S123" s="123" t="s">
        <v>1299</v>
      </c>
      <c r="T123" s="123"/>
      <c r="U123" s="123"/>
      <c r="V123" s="123"/>
      <c r="W123" s="123"/>
      <c r="X123" s="123"/>
      <c r="Y123" s="123"/>
      <c r="Z123" s="123"/>
      <c r="AA123" s="123"/>
      <c r="AC123" s="92"/>
    </row>
    <row r="124" spans="1:29">
      <c r="A124" s="123" t="s">
        <v>59</v>
      </c>
      <c r="B124" s="123"/>
      <c r="C124" s="123"/>
      <c r="D124" s="123"/>
      <c r="E124" s="123"/>
      <c r="F124" s="123" t="s">
        <v>90</v>
      </c>
      <c r="G124" s="123"/>
      <c r="H124" s="123"/>
      <c r="I124" s="123"/>
      <c r="J124" s="123"/>
      <c r="K124" s="123" t="s">
        <v>91</v>
      </c>
      <c r="L124" s="123"/>
      <c r="M124" s="123"/>
      <c r="N124" s="123"/>
      <c r="O124" s="123" t="s">
        <v>92</v>
      </c>
      <c r="P124" s="123"/>
      <c r="Q124" s="123"/>
      <c r="R124" s="123"/>
      <c r="S124" s="123" t="s">
        <v>54</v>
      </c>
      <c r="T124" s="200" t="s">
        <v>78</v>
      </c>
      <c r="U124" s="204"/>
      <c r="V124" s="123"/>
      <c r="W124" s="123"/>
      <c r="X124" s="123"/>
      <c r="Y124" s="123"/>
      <c r="Z124" s="123"/>
      <c r="AA124" s="123"/>
      <c r="AC124" s="92"/>
    </row>
    <row r="125" spans="1:29">
      <c r="A125" s="123" t="s">
        <v>60</v>
      </c>
      <c r="B125" s="123"/>
      <c r="C125" s="123"/>
      <c r="D125" s="123"/>
      <c r="E125" s="123"/>
      <c r="F125" s="123" t="s">
        <v>93</v>
      </c>
      <c r="G125" s="123"/>
      <c r="H125" s="123"/>
      <c r="I125" s="123"/>
      <c r="J125" s="123"/>
      <c r="K125" s="123" t="s">
        <v>380</v>
      </c>
      <c r="L125" s="123"/>
      <c r="M125" s="123"/>
      <c r="N125" s="123"/>
      <c r="O125" s="123" t="s">
        <v>379</v>
      </c>
      <c r="P125" s="123"/>
      <c r="Q125" s="123"/>
      <c r="R125" s="123"/>
      <c r="S125" s="123" t="s">
        <v>1300</v>
      </c>
      <c r="T125" s="201" t="s">
        <v>96</v>
      </c>
      <c r="U125" s="123"/>
      <c r="V125" s="123"/>
      <c r="W125" s="123"/>
      <c r="X125" s="123"/>
      <c r="Y125" s="123"/>
      <c r="Z125" s="123"/>
      <c r="AA125" s="123"/>
      <c r="AC125" s="92"/>
    </row>
    <row r="126" spans="1:29">
      <c r="A126" s="123" t="s">
        <v>99</v>
      </c>
      <c r="B126" s="123"/>
      <c r="C126" s="123"/>
      <c r="D126" s="123"/>
      <c r="E126" s="123"/>
      <c r="F126" s="123" t="s">
        <v>97</v>
      </c>
      <c r="G126" s="123"/>
      <c r="H126" s="123"/>
      <c r="I126" s="123"/>
      <c r="J126" s="123"/>
      <c r="K126" s="123" t="s">
        <v>1307</v>
      </c>
      <c r="L126" s="123"/>
      <c r="M126" s="123"/>
      <c r="N126" s="123"/>
      <c r="O126" s="123" t="s">
        <v>1308</v>
      </c>
      <c r="P126" s="123"/>
      <c r="Q126" s="123"/>
      <c r="R126" s="123"/>
      <c r="S126" s="123" t="s">
        <v>1776</v>
      </c>
      <c r="T126" s="123"/>
      <c r="U126" s="123"/>
      <c r="V126" s="123"/>
      <c r="W126" s="123"/>
      <c r="X126" s="123"/>
      <c r="Y126" s="123"/>
      <c r="Z126" s="123"/>
      <c r="AA126" s="123"/>
      <c r="AC126" s="92"/>
    </row>
    <row r="127" spans="1:29">
      <c r="A127" s="123" t="s">
        <v>1271</v>
      </c>
      <c r="B127" s="123"/>
      <c r="C127" s="123"/>
      <c r="D127" s="123"/>
      <c r="E127" s="123"/>
      <c r="F127" s="123" t="s">
        <v>98</v>
      </c>
      <c r="G127" s="123"/>
      <c r="H127" s="123"/>
      <c r="I127" s="123"/>
      <c r="J127" s="123"/>
      <c r="K127" s="123" t="s">
        <v>94</v>
      </c>
      <c r="L127" s="123"/>
      <c r="M127" s="123"/>
      <c r="N127" s="123"/>
      <c r="O127" s="123" t="s">
        <v>94</v>
      </c>
      <c r="P127" s="123"/>
      <c r="Q127" s="123"/>
      <c r="R127" s="123"/>
      <c r="S127" s="123" t="s">
        <v>1302</v>
      </c>
      <c r="T127" s="123"/>
      <c r="U127" s="123"/>
      <c r="V127" s="123"/>
      <c r="W127" s="123"/>
      <c r="X127" s="123"/>
      <c r="Y127" s="123"/>
      <c r="Z127" s="123"/>
      <c r="AA127" s="123"/>
      <c r="AC127" s="92"/>
    </row>
    <row r="128" spans="1:29">
      <c r="A128" s="123" t="s">
        <v>315</v>
      </c>
      <c r="B128" s="123"/>
      <c r="C128" s="123"/>
      <c r="D128" s="123"/>
      <c r="E128" s="123"/>
      <c r="F128" s="123" t="s">
        <v>100</v>
      </c>
      <c r="G128" s="123"/>
      <c r="H128" s="123"/>
      <c r="I128" s="123"/>
      <c r="J128" s="123"/>
      <c r="K128" s="123" t="s">
        <v>95</v>
      </c>
      <c r="L128" s="123"/>
      <c r="M128" s="123"/>
      <c r="N128" s="123"/>
      <c r="O128" s="123" t="s">
        <v>95</v>
      </c>
      <c r="P128" s="123"/>
      <c r="Q128" s="123"/>
      <c r="R128" s="123"/>
      <c r="S128" s="123" t="s">
        <v>80</v>
      </c>
      <c r="T128" s="123"/>
      <c r="U128" s="123"/>
      <c r="V128" s="123"/>
      <c r="W128" s="123"/>
      <c r="X128" s="123"/>
      <c r="Y128" s="123"/>
      <c r="Z128" s="123"/>
      <c r="AA128" s="123"/>
      <c r="AC128" s="92"/>
    </row>
    <row r="129" spans="1:64">
      <c r="A129" s="123" t="s">
        <v>1301</v>
      </c>
      <c r="B129" s="123"/>
      <c r="C129" s="123"/>
      <c r="D129" s="123"/>
      <c r="E129" s="123"/>
      <c r="F129" s="123" t="s">
        <v>101</v>
      </c>
      <c r="G129" s="123"/>
      <c r="H129" s="123"/>
      <c r="I129" s="123"/>
      <c r="J129" s="123"/>
      <c r="K129" s="123"/>
      <c r="L129" s="123"/>
      <c r="M129" s="123"/>
      <c r="N129" s="123"/>
      <c r="O129" s="123"/>
      <c r="P129" s="123"/>
      <c r="Q129" s="123"/>
      <c r="R129" s="123"/>
      <c r="S129" s="123" t="s">
        <v>382</v>
      </c>
      <c r="T129" s="123"/>
      <c r="U129" s="123"/>
      <c r="V129" s="123"/>
      <c r="W129" s="123"/>
      <c r="X129" s="123"/>
      <c r="Y129" s="123"/>
      <c r="Z129" s="123"/>
      <c r="AA129" s="123"/>
      <c r="AC129" s="92"/>
    </row>
    <row r="130" spans="1:64">
      <c r="A130" s="123" t="s">
        <v>1303</v>
      </c>
      <c r="B130" s="123"/>
      <c r="C130" s="123"/>
      <c r="D130" s="123"/>
      <c r="E130" s="123"/>
      <c r="F130" s="123" t="s">
        <v>102</v>
      </c>
      <c r="G130" s="123"/>
      <c r="H130" s="123"/>
      <c r="I130" s="123"/>
      <c r="J130" s="123"/>
      <c r="K130" s="123"/>
      <c r="L130" s="123"/>
      <c r="M130" s="123"/>
      <c r="N130" s="123"/>
      <c r="O130" s="123"/>
      <c r="P130" s="123"/>
      <c r="Q130" s="123"/>
      <c r="R130" s="123"/>
      <c r="S130" s="265" t="s">
        <v>1264</v>
      </c>
      <c r="T130" s="200" t="s">
        <v>76</v>
      </c>
      <c r="U130" s="123"/>
      <c r="V130" s="123"/>
      <c r="W130" s="123"/>
      <c r="X130" s="123"/>
      <c r="Y130" s="123"/>
      <c r="Z130" s="123"/>
      <c r="AA130" s="123"/>
      <c r="AC130" s="92"/>
    </row>
    <row r="131" spans="1:64">
      <c r="A131" s="123" t="s">
        <v>95</v>
      </c>
      <c r="B131" s="123"/>
      <c r="C131" s="123"/>
      <c r="D131" s="123"/>
      <c r="E131" s="123"/>
      <c r="F131" s="123" t="s">
        <v>103</v>
      </c>
      <c r="G131" s="123"/>
      <c r="H131" s="123"/>
      <c r="I131" s="123"/>
      <c r="J131" s="123"/>
      <c r="K131" s="123"/>
      <c r="L131" s="123"/>
      <c r="M131" s="123"/>
      <c r="N131" s="123"/>
      <c r="O131" s="123"/>
      <c r="P131" s="123"/>
      <c r="Q131" s="123"/>
      <c r="R131" s="123"/>
      <c r="S131" s="265" t="s">
        <v>1262</v>
      </c>
      <c r="T131" s="201" t="s">
        <v>75</v>
      </c>
      <c r="U131" s="123"/>
      <c r="V131" s="123"/>
      <c r="W131" s="123"/>
      <c r="X131" s="123"/>
      <c r="Y131" s="123"/>
      <c r="Z131" s="123"/>
      <c r="AA131" s="123"/>
      <c r="AC131" s="92"/>
    </row>
    <row r="132" spans="1:64">
      <c r="A132" s="123"/>
      <c r="B132" s="123"/>
      <c r="C132" s="123"/>
      <c r="D132" s="123"/>
      <c r="E132" s="123"/>
      <c r="F132" s="123"/>
      <c r="G132" s="123"/>
      <c r="H132" s="123"/>
      <c r="I132" s="123"/>
      <c r="J132" s="123"/>
      <c r="K132" s="123"/>
      <c r="L132" s="123"/>
      <c r="M132" s="123"/>
      <c r="N132" s="123"/>
      <c r="O132" s="123"/>
      <c r="P132" s="123"/>
      <c r="Q132" s="123"/>
      <c r="R132" s="123"/>
      <c r="S132" s="265" t="s">
        <v>1263</v>
      </c>
      <c r="T132" s="201" t="s">
        <v>104</v>
      </c>
      <c r="U132" s="123"/>
      <c r="V132" s="123"/>
      <c r="W132" s="123"/>
      <c r="X132" s="123"/>
      <c r="Y132" s="123"/>
      <c r="Z132" s="123"/>
      <c r="AA132" s="123"/>
      <c r="AC132" s="92"/>
    </row>
    <row r="133" spans="1:64">
      <c r="A133" s="123"/>
      <c r="B133" s="123"/>
      <c r="C133" s="123"/>
      <c r="D133" s="123"/>
      <c r="E133" s="123"/>
      <c r="F133" s="123"/>
      <c r="G133" s="123"/>
      <c r="H133" s="123"/>
      <c r="I133" s="123"/>
      <c r="J133" s="123"/>
      <c r="K133" s="123"/>
      <c r="L133" s="123"/>
      <c r="M133" s="123"/>
      <c r="N133" s="123"/>
      <c r="O133" s="123"/>
      <c r="P133" s="123"/>
      <c r="Q133" s="123"/>
      <c r="R133" s="123"/>
      <c r="S133" s="265" t="s">
        <v>1905</v>
      </c>
      <c r="T133" s="201"/>
      <c r="U133" s="123"/>
      <c r="V133" s="123"/>
      <c r="W133" s="123"/>
      <c r="X133" s="123"/>
      <c r="Y133" s="123"/>
      <c r="Z133" s="123"/>
      <c r="AA133" s="123"/>
      <c r="AC133" s="92"/>
    </row>
    <row r="134" spans="1:64">
      <c r="A134" s="123"/>
      <c r="B134" s="123"/>
      <c r="C134" s="123"/>
      <c r="D134" s="123"/>
      <c r="E134" s="123"/>
      <c r="F134" s="123"/>
      <c r="G134" s="123"/>
      <c r="H134" s="123"/>
      <c r="I134" s="123"/>
      <c r="J134" s="123"/>
      <c r="K134" s="123"/>
      <c r="L134" s="123"/>
      <c r="M134" s="123"/>
      <c r="N134" s="123"/>
      <c r="O134" s="123"/>
      <c r="P134" s="123"/>
      <c r="Q134" s="123"/>
      <c r="R134" s="123"/>
      <c r="S134" s="123" t="s">
        <v>1306</v>
      </c>
      <c r="T134" s="201" t="s">
        <v>105</v>
      </c>
      <c r="U134" s="123"/>
      <c r="V134" s="123"/>
      <c r="W134" s="123"/>
      <c r="X134" s="123"/>
      <c r="Y134" s="123"/>
      <c r="Z134" s="123"/>
      <c r="AA134" s="123"/>
      <c r="AC134" s="92"/>
    </row>
    <row r="135" spans="1:64">
      <c r="A135" s="123"/>
      <c r="B135" s="123"/>
      <c r="C135" s="123"/>
      <c r="D135" s="123"/>
      <c r="E135" s="123"/>
      <c r="F135" s="123"/>
      <c r="G135" s="123"/>
      <c r="H135" s="123"/>
      <c r="I135" s="123"/>
      <c r="J135" s="123"/>
      <c r="K135" s="123"/>
      <c r="L135" s="123"/>
      <c r="M135" s="123"/>
      <c r="N135" s="123"/>
      <c r="O135" s="123"/>
      <c r="P135" s="123"/>
      <c r="Q135" s="123"/>
      <c r="R135" s="123"/>
      <c r="T135" s="123"/>
      <c r="U135" s="123"/>
      <c r="V135" s="123"/>
      <c r="W135" s="123"/>
      <c r="X135" s="123"/>
      <c r="Y135" s="123"/>
      <c r="Z135" s="123"/>
      <c r="AA135" s="123"/>
      <c r="AC135" s="92"/>
    </row>
    <row r="136" spans="1:64">
      <c r="A136" s="123"/>
      <c r="B136" s="123"/>
      <c r="C136" s="123"/>
      <c r="D136" s="123"/>
      <c r="E136" s="123"/>
      <c r="F136" s="123"/>
      <c r="G136" s="123"/>
      <c r="H136" s="123"/>
      <c r="I136" s="123"/>
      <c r="J136" s="123"/>
      <c r="K136" s="123"/>
      <c r="L136" s="123"/>
      <c r="M136" s="123"/>
      <c r="N136" s="123"/>
      <c r="O136" s="123"/>
      <c r="P136" s="123"/>
      <c r="Q136" s="123"/>
      <c r="R136" s="123"/>
      <c r="T136" s="123"/>
      <c r="U136" s="123"/>
      <c r="V136" s="123"/>
      <c r="W136" s="123"/>
      <c r="X136" s="123"/>
      <c r="Y136" s="123"/>
      <c r="Z136" s="123"/>
      <c r="AA136" s="123"/>
      <c r="AC136" s="92"/>
      <c r="BK136" s="139" t="s">
        <v>337</v>
      </c>
      <c r="BL136" s="139"/>
    </row>
    <row r="137" spans="1:64">
      <c r="A137" s="123"/>
      <c r="B137" s="123"/>
      <c r="C137" s="123"/>
      <c r="D137" s="123"/>
      <c r="E137" s="123"/>
      <c r="F137" s="123"/>
      <c r="G137" s="123"/>
      <c r="H137" s="123"/>
      <c r="I137" s="123"/>
      <c r="J137" s="123"/>
      <c r="K137" s="123"/>
      <c r="L137" s="123"/>
      <c r="M137" s="123"/>
      <c r="N137" s="123"/>
      <c r="O137" s="123"/>
      <c r="P137" s="123"/>
      <c r="Q137" s="123"/>
      <c r="R137" s="123"/>
      <c r="T137" s="123"/>
      <c r="U137" s="204"/>
      <c r="V137" s="123"/>
      <c r="W137" s="123"/>
      <c r="X137" s="123"/>
      <c r="Y137" s="123"/>
      <c r="Z137" s="123"/>
      <c r="AA137" s="123"/>
      <c r="AC137" s="92"/>
      <c r="BK137" s="140" t="s">
        <v>338</v>
      </c>
      <c r="BL137" s="140" t="s">
        <v>339</v>
      </c>
    </row>
    <row r="138" spans="1:64">
      <c r="A138" s="123"/>
      <c r="B138" s="123"/>
      <c r="C138" s="123"/>
      <c r="D138" s="123"/>
      <c r="E138" s="123"/>
      <c r="F138" s="123"/>
      <c r="G138" s="123"/>
      <c r="H138" s="123"/>
      <c r="I138" s="123"/>
      <c r="J138" s="123"/>
      <c r="K138" s="123"/>
      <c r="L138" s="123"/>
      <c r="M138" s="123"/>
      <c r="N138" s="123"/>
      <c r="O138" s="123"/>
      <c r="P138" s="123"/>
      <c r="R138" s="123"/>
      <c r="T138" s="123"/>
      <c r="U138" s="202"/>
      <c r="V138" s="123"/>
      <c r="W138" s="123"/>
      <c r="X138" s="123"/>
      <c r="Y138" s="123"/>
      <c r="Z138" s="123"/>
      <c r="AA138" s="123"/>
      <c r="AC138" s="92"/>
      <c r="BK138" s="140" t="s">
        <v>340</v>
      </c>
      <c r="BL138" s="140" t="s">
        <v>341</v>
      </c>
    </row>
    <row r="139" spans="1:64">
      <c r="A139" s="123"/>
      <c r="B139" s="123"/>
      <c r="C139" s="123" t="s">
        <v>1304</v>
      </c>
      <c r="D139" s="123"/>
      <c r="E139" s="123"/>
      <c r="F139" s="123"/>
      <c r="G139" s="123"/>
      <c r="H139" s="123"/>
      <c r="I139" s="123"/>
      <c r="J139" s="123"/>
      <c r="K139" s="123"/>
      <c r="L139" s="123"/>
      <c r="M139" s="123"/>
      <c r="N139" s="123"/>
      <c r="O139" s="123"/>
      <c r="P139" s="123"/>
      <c r="R139" s="123"/>
      <c r="T139" s="123"/>
      <c r="U139" s="202"/>
      <c r="V139" s="123"/>
      <c r="W139" s="123"/>
      <c r="X139" s="123"/>
      <c r="Y139" s="123"/>
      <c r="Z139" s="123"/>
      <c r="AA139" s="123"/>
      <c r="AC139" s="92"/>
      <c r="BK139" s="140" t="s">
        <v>342</v>
      </c>
      <c r="BL139" s="140" t="s">
        <v>1578</v>
      </c>
    </row>
    <row r="140" spans="1:64" ht="56">
      <c r="A140" s="123"/>
      <c r="B140" s="123"/>
      <c r="C140" s="123" t="s">
        <v>1305</v>
      </c>
      <c r="D140" s="123"/>
      <c r="E140" s="123"/>
      <c r="F140" s="123"/>
      <c r="G140" s="123"/>
      <c r="H140" s="123"/>
      <c r="I140" s="123"/>
      <c r="J140" s="123"/>
      <c r="K140" s="123"/>
      <c r="L140" s="123"/>
      <c r="M140" s="123"/>
      <c r="N140" s="123"/>
      <c r="O140" s="123"/>
      <c r="P140" s="123"/>
      <c r="Q140" s="123"/>
      <c r="R140" s="123"/>
      <c r="T140" s="123"/>
      <c r="U140" s="123"/>
      <c r="V140" s="123"/>
      <c r="W140" s="123"/>
      <c r="X140" s="123"/>
      <c r="Y140" s="123"/>
      <c r="Z140" s="123"/>
      <c r="AA140" s="123"/>
      <c r="AC140" s="92"/>
      <c r="BK140" s="140" t="s">
        <v>343</v>
      </c>
      <c r="BL140" s="141" t="s">
        <v>1579</v>
      </c>
    </row>
    <row r="141" spans="1:64">
      <c r="A141" s="123"/>
      <c r="B141" s="123"/>
      <c r="C141" s="123"/>
      <c r="D141" s="123"/>
      <c r="E141" s="123"/>
      <c r="F141" s="123"/>
      <c r="G141" s="123"/>
      <c r="H141" s="123"/>
      <c r="I141" s="123"/>
      <c r="J141" s="123"/>
      <c r="K141" s="123"/>
      <c r="L141" s="123"/>
      <c r="M141" s="123"/>
      <c r="N141" s="123"/>
      <c r="O141" s="123"/>
      <c r="P141" s="123"/>
      <c r="Q141" s="123"/>
      <c r="R141" s="123"/>
      <c r="S141" s="123"/>
      <c r="T141" s="123"/>
      <c r="U141" s="123"/>
      <c r="V141" s="123"/>
      <c r="W141" s="123"/>
      <c r="X141" s="123"/>
      <c r="Y141" s="123"/>
      <c r="Z141" s="123"/>
      <c r="AA141" s="123"/>
      <c r="AC141" s="92"/>
      <c r="BK141" s="140" t="s">
        <v>344</v>
      </c>
      <c r="BL141" s="140" t="s">
        <v>345</v>
      </c>
    </row>
    <row r="142" spans="1:64" hidden="1">
      <c r="A142" s="123"/>
      <c r="B142" s="123"/>
      <c r="C142" s="123"/>
      <c r="D142" s="123"/>
      <c r="E142" s="123"/>
      <c r="F142" s="123"/>
      <c r="G142" s="123"/>
      <c r="H142" s="123"/>
      <c r="I142" s="123"/>
      <c r="J142" s="123"/>
      <c r="K142" s="123"/>
      <c r="L142" s="123"/>
      <c r="M142" s="123"/>
      <c r="N142" s="123"/>
      <c r="O142" s="123"/>
      <c r="P142" s="123"/>
      <c r="Q142" s="123"/>
      <c r="R142" s="123"/>
      <c r="S142" s="123"/>
      <c r="T142" s="123"/>
      <c r="U142" s="200"/>
      <c r="V142" s="123"/>
      <c r="W142" s="123"/>
      <c r="X142" s="123"/>
      <c r="Y142" s="123"/>
      <c r="Z142" s="123"/>
      <c r="AA142" s="123"/>
      <c r="AB142" s="92"/>
      <c r="BK142" s="140" t="s">
        <v>346</v>
      </c>
      <c r="BL142" s="140" t="s">
        <v>347</v>
      </c>
    </row>
    <row r="143" spans="1:64">
      <c r="A143" s="123"/>
      <c r="B143" s="123"/>
      <c r="C143" s="123" t="s">
        <v>1276</v>
      </c>
      <c r="D143" s="123"/>
      <c r="E143" s="123"/>
      <c r="F143" s="123"/>
      <c r="G143" s="123"/>
      <c r="H143" s="123"/>
      <c r="I143" s="123"/>
      <c r="J143" s="123"/>
      <c r="K143" s="123"/>
      <c r="L143" s="123"/>
      <c r="M143" s="123"/>
      <c r="N143" s="123"/>
      <c r="O143" s="123"/>
      <c r="P143" s="123"/>
      <c r="Q143" s="123"/>
      <c r="R143" s="123"/>
      <c r="S143" s="123"/>
      <c r="T143" s="123"/>
      <c r="U143" s="204"/>
      <c r="V143" s="123"/>
      <c r="W143" s="123"/>
      <c r="X143" s="123"/>
      <c r="Y143" s="123"/>
      <c r="Z143" s="123"/>
      <c r="AA143" s="123"/>
      <c r="AB143" s="92"/>
      <c r="BK143" s="140" t="s">
        <v>348</v>
      </c>
      <c r="BL143" s="140" t="s">
        <v>349</v>
      </c>
    </row>
    <row r="144" spans="1:64" ht="70">
      <c r="A144" s="123"/>
      <c r="B144" s="123" t="s">
        <v>1313</v>
      </c>
      <c r="C144" s="123" t="s">
        <v>1242</v>
      </c>
      <c r="D144" s="123"/>
      <c r="E144" s="123"/>
      <c r="F144" s="123"/>
      <c r="G144" s="123"/>
      <c r="H144" s="123"/>
      <c r="I144" s="123"/>
      <c r="J144" s="123"/>
      <c r="K144" s="123"/>
      <c r="L144" s="123"/>
      <c r="M144" s="123"/>
      <c r="N144" s="123"/>
      <c r="O144" s="123"/>
      <c r="P144" s="123"/>
      <c r="Q144" s="123"/>
      <c r="R144" s="123"/>
      <c r="S144" s="123"/>
      <c r="T144" s="123"/>
      <c r="U144" s="123"/>
      <c r="V144" s="123"/>
      <c r="W144" s="123"/>
      <c r="X144" s="123"/>
      <c r="Y144" s="123"/>
      <c r="Z144" s="123"/>
      <c r="AA144" s="123"/>
      <c r="BK144" s="140" t="s">
        <v>350</v>
      </c>
      <c r="BL144" s="141" t="s">
        <v>1773</v>
      </c>
    </row>
    <row r="145" spans="1:64">
      <c r="A145" s="123"/>
      <c r="B145" s="123" t="s">
        <v>1310</v>
      </c>
      <c r="C145" s="123" t="s">
        <v>54</v>
      </c>
      <c r="D145" s="123"/>
      <c r="E145" s="123"/>
      <c r="F145" s="123"/>
      <c r="G145" s="123"/>
      <c r="H145" s="123"/>
      <c r="I145" s="123"/>
      <c r="J145" s="123"/>
      <c r="K145" s="123"/>
      <c r="L145" s="123"/>
      <c r="M145" s="123"/>
      <c r="N145" s="123"/>
      <c r="O145" s="123"/>
      <c r="P145" s="123"/>
      <c r="Q145" s="123"/>
      <c r="R145" s="123"/>
      <c r="T145" s="123"/>
      <c r="U145" s="123"/>
      <c r="V145" s="123"/>
      <c r="W145" s="123"/>
      <c r="X145" s="123"/>
      <c r="Y145" s="123"/>
      <c r="Z145" s="123"/>
      <c r="AA145" s="123"/>
      <c r="BK145" s="140" t="s">
        <v>351</v>
      </c>
      <c r="BL145" s="140" t="s">
        <v>352</v>
      </c>
    </row>
    <row r="146" spans="1:64">
      <c r="A146" s="123"/>
      <c r="B146" s="123" t="s">
        <v>1311</v>
      </c>
      <c r="C146" s="123" t="s">
        <v>1243</v>
      </c>
      <c r="D146" s="123"/>
      <c r="E146" s="123"/>
      <c r="F146" s="123"/>
      <c r="G146" s="123"/>
      <c r="H146" s="123"/>
      <c r="I146" s="123"/>
      <c r="J146" s="123"/>
      <c r="K146" s="123"/>
      <c r="L146" s="123"/>
      <c r="M146" s="123"/>
      <c r="N146" s="123"/>
      <c r="O146" s="123"/>
      <c r="P146" s="123"/>
      <c r="Q146" s="123"/>
      <c r="R146" s="123"/>
      <c r="T146" s="123"/>
      <c r="U146" s="123"/>
      <c r="V146" s="123"/>
      <c r="W146" s="123"/>
      <c r="X146" s="123"/>
      <c r="Y146" s="123"/>
      <c r="Z146" s="123"/>
      <c r="AA146" s="123"/>
      <c r="BK146" s="140" t="s">
        <v>353</v>
      </c>
      <c r="BL146" s="140" t="s">
        <v>354</v>
      </c>
    </row>
    <row r="147" spans="1:64" ht="28">
      <c r="A147" s="123"/>
      <c r="B147" s="123" t="s">
        <v>1314</v>
      </c>
      <c r="C147" s="123" t="s">
        <v>1271</v>
      </c>
      <c r="D147" s="123"/>
      <c r="E147" s="123"/>
      <c r="F147" s="123"/>
      <c r="G147" s="123"/>
      <c r="H147" s="123"/>
      <c r="I147" s="123"/>
      <c r="J147" s="123"/>
      <c r="K147" s="123"/>
      <c r="L147" s="123"/>
      <c r="M147" s="123"/>
      <c r="N147" s="123"/>
      <c r="O147" s="123"/>
      <c r="P147" s="123"/>
      <c r="Q147" s="123"/>
      <c r="R147" s="123"/>
      <c r="S147" s="123"/>
      <c r="T147" s="123"/>
      <c r="U147" s="123"/>
      <c r="V147" s="123"/>
      <c r="W147" s="123"/>
      <c r="X147" s="123"/>
      <c r="Y147" s="123"/>
      <c r="Z147" s="123"/>
      <c r="AA147" s="123"/>
      <c r="BK147" s="140" t="s">
        <v>355</v>
      </c>
      <c r="BL147" s="141" t="s">
        <v>356</v>
      </c>
    </row>
    <row r="148" spans="1:64">
      <c r="A148" s="123"/>
      <c r="B148" s="123" t="s">
        <v>1315</v>
      </c>
      <c r="C148" s="123" t="s">
        <v>1312</v>
      </c>
      <c r="D148" s="123"/>
      <c r="E148" s="123"/>
      <c r="F148" s="123"/>
      <c r="G148" s="123"/>
      <c r="H148" s="123"/>
      <c r="I148" s="123"/>
      <c r="J148" s="123"/>
      <c r="K148" s="123"/>
      <c r="L148" s="123"/>
      <c r="M148" s="123"/>
      <c r="N148" s="123"/>
      <c r="O148" s="123"/>
      <c r="P148" s="123"/>
      <c r="Q148" s="123"/>
      <c r="R148" s="123"/>
      <c r="S148" s="123"/>
      <c r="T148" s="123"/>
      <c r="U148" s="123"/>
      <c r="V148" s="123"/>
      <c r="W148" s="123"/>
      <c r="X148" s="123"/>
      <c r="Y148" s="123"/>
      <c r="Z148" s="123"/>
      <c r="AA148" s="123"/>
      <c r="BK148" s="140" t="s">
        <v>357</v>
      </c>
      <c r="BL148" s="140" t="s">
        <v>358</v>
      </c>
    </row>
    <row r="149" spans="1:64" ht="28">
      <c r="A149" s="123"/>
      <c r="B149" s="123" t="s">
        <v>1316</v>
      </c>
      <c r="C149" s="123" t="s">
        <v>1373</v>
      </c>
      <c r="D149" s="123"/>
      <c r="E149" s="123"/>
      <c r="F149" s="123"/>
      <c r="G149" s="123"/>
      <c r="H149" s="123"/>
      <c r="I149" s="123"/>
      <c r="J149" s="123"/>
      <c r="K149" s="123"/>
      <c r="L149" s="123"/>
      <c r="M149" s="123"/>
      <c r="N149" s="123"/>
      <c r="O149" s="123"/>
      <c r="P149" s="123"/>
      <c r="Q149" s="123"/>
      <c r="R149" s="123"/>
      <c r="S149" s="123"/>
      <c r="T149" s="123"/>
      <c r="U149" s="123"/>
      <c r="V149" s="123"/>
      <c r="W149" s="123"/>
      <c r="X149" s="123"/>
      <c r="Y149" s="123"/>
      <c r="Z149" s="123"/>
      <c r="AA149" s="123"/>
      <c r="BK149" s="140" t="s">
        <v>359</v>
      </c>
      <c r="BL149" s="141" t="s">
        <v>360</v>
      </c>
    </row>
    <row r="150" spans="1:64">
      <c r="A150" s="123"/>
      <c r="B150" s="123"/>
      <c r="C150" s="123"/>
      <c r="D150" s="123"/>
      <c r="E150" s="123"/>
      <c r="F150" s="123"/>
      <c r="G150" s="123"/>
      <c r="H150" s="123"/>
      <c r="I150" s="123"/>
      <c r="J150" s="123"/>
      <c r="K150" s="123"/>
      <c r="L150" s="123"/>
      <c r="M150" s="123"/>
      <c r="N150" s="123"/>
      <c r="O150" s="123"/>
      <c r="P150" s="123"/>
      <c r="Q150" s="123"/>
      <c r="R150" s="123"/>
      <c r="S150" s="123"/>
      <c r="T150" s="123"/>
      <c r="U150" s="123"/>
      <c r="V150" s="123"/>
      <c r="W150" s="123"/>
      <c r="X150" s="123"/>
      <c r="Y150" s="123"/>
      <c r="Z150" s="123"/>
      <c r="AA150" s="123"/>
      <c r="BK150" s="140" t="s">
        <v>361</v>
      </c>
      <c r="BL150" s="140" t="s">
        <v>362</v>
      </c>
    </row>
    <row r="151" spans="1:64">
      <c r="A151" s="123"/>
      <c r="B151" s="123"/>
      <c r="C151" s="123"/>
      <c r="D151" s="123"/>
      <c r="E151" s="123"/>
      <c r="F151" s="123"/>
      <c r="G151" s="123"/>
      <c r="H151" s="123"/>
      <c r="I151" s="123"/>
      <c r="J151" s="123"/>
      <c r="K151" s="123"/>
      <c r="L151" s="123"/>
      <c r="M151" s="123"/>
      <c r="N151" s="123"/>
      <c r="O151" s="123"/>
      <c r="P151" s="123"/>
      <c r="Q151" s="123"/>
      <c r="R151" s="123"/>
      <c r="S151" s="123"/>
      <c r="T151" s="123"/>
      <c r="U151" s="123"/>
      <c r="V151" s="123"/>
      <c r="W151" s="123"/>
      <c r="X151" s="123"/>
      <c r="Y151" s="123"/>
      <c r="Z151" s="123"/>
      <c r="AA151" s="123"/>
      <c r="BK151" s="140" t="s">
        <v>363</v>
      </c>
      <c r="BL151" s="141" t="s">
        <v>1580</v>
      </c>
    </row>
    <row r="152" spans="1:64">
      <c r="A152" s="123"/>
      <c r="B152" s="123"/>
      <c r="C152" s="123"/>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row>
    <row r="153" spans="1:64">
      <c r="A153" s="123"/>
      <c r="B153" s="123"/>
      <c r="C153" s="123"/>
      <c r="D153" s="123"/>
      <c r="E153" s="123"/>
      <c r="K153" s="123"/>
    </row>
    <row r="154" spans="1:64">
      <c r="K154" s="123"/>
    </row>
    <row r="155" spans="1:64">
      <c r="K155" s="123"/>
    </row>
    <row r="156" spans="1:64">
      <c r="K156" s="123"/>
    </row>
    <row r="157" spans="1:64">
      <c r="K157" s="123"/>
    </row>
    <row r="158" spans="1:64">
      <c r="K158" s="123"/>
    </row>
    <row r="159" spans="1:64">
      <c r="K159" s="123"/>
    </row>
    <row r="160" spans="1:64">
      <c r="K160" s="123"/>
    </row>
    <row r="161" spans="11:11">
      <c r="K161" s="123"/>
    </row>
    <row r="162" spans="11:11">
      <c r="K162" s="123"/>
    </row>
    <row r="163" spans="11:11">
      <c r="K163" s="123"/>
    </row>
    <row r="164" spans="11:11">
      <c r="K164" s="123"/>
    </row>
  </sheetData>
  <sheetProtection password="CCCF" sheet="1" selectLockedCells="1"/>
  <autoFilter ref="A6:BL6" xr:uid="{13FA1C90-4D93-4736-A576-F6715D5EA1AB}">
    <filterColumn colId="2" showButton="0"/>
  </autoFilter>
  <mergeCells count="22">
    <mergeCell ref="BF5:BH5"/>
    <mergeCell ref="A107:B107"/>
    <mergeCell ref="S5:T5"/>
    <mergeCell ref="U5:V5"/>
    <mergeCell ref="W5:W6"/>
    <mergeCell ref="X5:X6"/>
    <mergeCell ref="Y5:Y6"/>
    <mergeCell ref="BE5:BE6"/>
    <mergeCell ref="E109:Q109"/>
    <mergeCell ref="E110:Q110"/>
    <mergeCell ref="E111:Q111"/>
    <mergeCell ref="E112:Q112"/>
    <mergeCell ref="A1:X1"/>
    <mergeCell ref="U3:X3"/>
    <mergeCell ref="A5:A6"/>
    <mergeCell ref="B5:B6"/>
    <mergeCell ref="C5:D6"/>
    <mergeCell ref="E5:E6"/>
    <mergeCell ref="F5:F6"/>
    <mergeCell ref="G5:G6"/>
    <mergeCell ref="H5:Q5"/>
    <mergeCell ref="R5:R6"/>
  </mergeCells>
  <phoneticPr fontId="1"/>
  <dataValidations xWindow="223" yWindow="592" count="14">
    <dataValidation allowBlank="1" showErrorMessage="1" sqref="T107 V107" xr:uid="{7DF6E691-8A45-4762-9C0C-A8F9E0DE374F}"/>
    <dataValidation type="list" allowBlank="1" showErrorMessage="1" prompt="「正」は正規職員、「パート」は正規職員以外（他のエクセルファイルからの貼り付けの際は、「パート」は全角でお願いします。）" sqref="C7:C106" xr:uid="{7834FB90-717C-47F5-845B-E76693C5E492}">
      <formula1>$C$119:$C$121</formula1>
    </dataValidation>
    <dataValidation type="list" errorStyle="warning" allowBlank="1" showInputMessage="1" showErrorMessage="1" sqref="C65623:C65647 C131159:C131183 C196695:C196719 C262231:C262255 C327767:C327791 C393303:C393327 C458839:C458863 C524375:C524399 C589911:C589935 C655447:C655471 C720983:C721007 C786519:C786543 C852055:C852079 C917591:C917615 C983127:C983151" xr:uid="{8DD76295-78EE-4B5A-93D2-BD7287BDA4CD}">
      <formula1>$C$119:$C$121</formula1>
    </dataValidation>
    <dataValidation type="list" allowBlank="1" showInputMessage="1" showErrorMessage="1" sqref="H7:P107" xr:uid="{023ECD6C-05CC-444E-842E-E5D7EB556D2C}">
      <formula1>$H$119</formula1>
    </dataValidation>
    <dataValidation type="list" allowBlank="1" showInputMessage="1" showErrorMessage="1" prompt="「常」⇒園の就業規則で定める常勤時間以上の勤務を行う者_x000a__x000a_「非」⇒園の就業規則で定める常勤時間未満の勤務を行う者" sqref="D7 D9:D106 D8" xr:uid="{58F768E8-3521-424E-B6BC-499E78878334}">
      <formula1>$D$119:$D$120</formula1>
    </dataValidation>
    <dataValidation type="list" errorStyle="warning" allowBlank="1" showInputMessage="1" showErrorMessage="1" sqref="D983127:D983151 D917591:D917615 D852055:D852079 D786519:D786543 D720983:D721007 D655447:D655471 D589911:D589935 D524375:D524399 D458839:D458863 D393303:D393327 D327767:D327791 D262231:D262255 D196695:D196719 D131159:D131183 D65623:D65647" xr:uid="{58E11126-F086-463F-A691-FB364C692612}">
      <formula1>$D$119:$D$120</formula1>
    </dataValidation>
    <dataValidation type="list" errorStyle="warning" allowBlank="1" showInputMessage="1" showErrorMessage="1" sqref="F65622:F65646 F983126:F983150 F917590:F917614 F852054:F852078 F786518:F786542 F720982:F721006 F655446:F655470 F589910:F589934 F524374:F524398 F458838:F458862 F393302:F393326 F327766:F327790 F262230:F262254 F196694:F196718 F131158:F131182 F7:F106" xr:uid="{7B6564E6-E11F-427A-9C53-50671F8D3AD8}">
      <formula1>$F$119:$F$120</formula1>
    </dataValidation>
    <dataValidation type="list" errorStyle="warning" allowBlank="1" showInputMessage="1" showErrorMessage="1" sqref="K983127:K983151 H983126:J983150 L983126:O983150 K917591:K917615 H917590:J917614 L917590:O917614 K852055:K852079 H852054:J852078 L852054:O852078 K786519:K786543 H786518:J786542 L786518:O786542 K720983:K721007 H720982:J721006 L720982:O721006 K655447:K655471 H655446:J655470 L655446:O655470 K589911:K589935 H589910:J589934 L589910:O589934 K524375:K524399 H524374:J524398 L524374:O524398 K458839:K458863 H458838:J458862 L458838:O458862 K393303:K393327 H393302:J393326 L393302:O393326 K327767:K327791 H327766:J327790 L327766:O327790 K262231:K262255 H262230:J262254 L262230:O262254 K196695:K196719 H196694:J196718 L196694:O196718 K131159:K131183 H131158:J131182 L131158:O131182 K65623:K65647 H65622:J65646 L65622:O65646" xr:uid="{A546CBFA-5BAC-4D54-82F3-EE2F2B74596F}">
      <formula1>$H$119:$H$120</formula1>
    </dataValidation>
    <dataValidation type="date" operator="notEqual" allowBlank="1" showInputMessage="1" showErrorMessage="1" prompt="「H●.8.9」の形式で入力してください。_x000a__x000a_【駄目な例】_x000a_「H.●.8.9」、「H●.8.9.」、「H●0809」、「●0809」、「● 8 9」_x000a__x000a_「,」カンマ入力は駄目です。「.」ドットで入力してください。_x000a__x000a_「h」で入力しても「H」に変換されるのでOKです。" sqref="R7:S107 U7:U107" xr:uid="{FB7A1F45-164E-4E6E-8BC7-DD72C1951A50}">
      <formula1>92</formula1>
    </dataValidation>
    <dataValidation type="list" errorStyle="warning" allowBlank="1" showInputMessage="1" showErrorMessage="1" sqref="B983127:B983151 B917591:B917615 B852055:B852079 B786519:B786543 B720983:B721007 B655447:B655471 B589911:B589935 B524375:B524399 B458839:B458863 B393303:B393327 B327767:B327791 B262231:B262255 B196695:B196719 B131159:B131183 B65623:B65647" xr:uid="{C9DC6072-B1E3-4AD6-99EA-3F65954F5D4F}">
      <formula1>$A$119:$A$131</formula1>
    </dataValidation>
    <dataValidation type="list" allowBlank="1" showInputMessage="1" showErrorMessage="1" sqref="B7:B106" xr:uid="{BC8507C6-6EA4-4B26-8A1D-71A7B152B879}">
      <formula1>$A$119:$A$131</formula1>
    </dataValidation>
    <dataValidation type="list" allowBlank="1" showErrorMessage="1" sqref="T7:T106" xr:uid="{550C0E2E-DB68-44AA-ADD8-F3E609F947A6}">
      <formula1>$K$119:$K$128</formula1>
    </dataValidation>
    <dataValidation type="list" allowBlank="1" showErrorMessage="1" sqref="V7:V106" xr:uid="{B3479234-10A1-4D73-9DB0-4BBC3E00B8D5}">
      <formula1>$O$119:$O$128</formula1>
    </dataValidation>
    <dataValidation type="list" imeMode="halfAlpha" allowBlank="1" showErrorMessage="1" prompt="「H●.4.1」の形式で入力してください。_x000a__x000a_【駄目な例】_x000a_「H.●.4.1」、「H●.4.1.」、「H●0401」、「●0401」、「● 4 1」_x000a__x000a_「,」カンマ入力は駄目です。「.」ドットで入力してください。_x000a__x000a_「h」で入力しても「H」に変換されるのでOKです。" sqref="W7:W107" xr:uid="{FB459539-A56F-4067-BF2E-4E3853813EED}">
      <formula1>$S$119:$S$134</formula1>
    </dataValidation>
  </dataValidations>
  <pageMargins left="0.39370078740157483" right="0.31496062992125984" top="0.43307086614173229" bottom="0.35433070866141736" header="0.39370078740157483" footer="0.31496062992125984"/>
  <pageSetup paperSize="9" scale="71" orientation="landscape" r:id="rId1"/>
  <headerFooter alignWithMargins="0"/>
  <rowBreaks count="1" manualBreakCount="1">
    <brk id="86" max="23" man="1"/>
  </rowBreaks>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02FC5-BF42-4BD3-93FF-97C256D7E352}">
  <sheetPr codeName="Sheet71">
    <tabColor rgb="FF00B050"/>
  </sheetPr>
  <dimension ref="A1:AU125"/>
  <sheetViews>
    <sheetView view="pageBreakPreview" zoomScale="84" zoomScaleNormal="85" zoomScaleSheetLayoutView="84" workbookViewId="0">
      <pane xSplit="5" ySplit="6" topLeftCell="F7" activePane="bottomRight" state="frozen"/>
      <selection activeCell="B18" sqref="B18"/>
      <selection pane="topRight" activeCell="B18" sqref="B18"/>
      <selection pane="bottomLeft" activeCell="B18" sqref="B18"/>
      <selection pane="bottomRight" activeCell="F5" sqref="F5"/>
    </sheetView>
  </sheetViews>
  <sheetFormatPr defaultColWidth="8" defaultRowHeight="18"/>
  <cols>
    <col min="1" max="1" width="3.33203125" customWidth="1"/>
    <col min="2" max="2" width="19.83203125" customWidth="1"/>
    <col min="3" max="3" width="11" customWidth="1"/>
    <col min="4" max="4" width="11" hidden="1" customWidth="1"/>
    <col min="5" max="5" width="11" customWidth="1"/>
    <col min="6" max="29" width="6.83203125" customWidth="1"/>
    <col min="30" max="30" width="6.25" customWidth="1"/>
    <col min="31" max="31" width="8.83203125" bestFit="1" customWidth="1"/>
    <col min="32" max="32" width="6.25" customWidth="1"/>
  </cols>
  <sheetData>
    <row r="1" spans="1:47" s="87" customFormat="1" ht="24.75" customHeight="1" thickBot="1">
      <c r="A1" s="768" t="s">
        <v>106</v>
      </c>
      <c r="B1" s="768"/>
      <c r="C1" s="768"/>
      <c r="D1" s="768"/>
      <c r="E1" s="768"/>
      <c r="F1" s="768"/>
      <c r="G1" s="768"/>
      <c r="H1" s="768"/>
      <c r="I1" s="768"/>
      <c r="J1" s="768"/>
      <c r="K1" s="768"/>
      <c r="L1" s="768"/>
      <c r="M1" s="768"/>
      <c r="N1" s="768"/>
      <c r="O1" s="768"/>
    </row>
    <row r="2" spans="1:47" ht="18" customHeight="1" thickBot="1">
      <c r="A2" s="130"/>
      <c r="C2" s="130"/>
      <c r="D2" s="130"/>
      <c r="E2" s="130"/>
      <c r="K2" s="93" t="s">
        <v>46</v>
      </c>
      <c r="L2" s="769">
        <f>①基本情報!D5</f>
        <v>0</v>
      </c>
      <c r="M2" s="769"/>
      <c r="N2" s="769"/>
      <c r="O2" s="769"/>
      <c r="P2" s="769"/>
      <c r="Q2" s="769"/>
      <c r="R2" s="131"/>
      <c r="S2" s="132" t="s">
        <v>107</v>
      </c>
      <c r="T2" s="131"/>
      <c r="U2" s="131"/>
      <c r="V2" s="131"/>
      <c r="W2" s="131"/>
      <c r="X2" s="131"/>
      <c r="Y2" s="131"/>
      <c r="Z2" s="131"/>
      <c r="AA2" s="131"/>
      <c r="AB2" s="131"/>
      <c r="AC2" s="131"/>
    </row>
    <row r="3" spans="1:47" ht="18" customHeight="1">
      <c r="A3" s="88"/>
      <c r="B3" s="88"/>
      <c r="C3" s="88"/>
      <c r="D3" s="88"/>
      <c r="E3" s="89"/>
      <c r="G3" s="89"/>
      <c r="H3" s="89"/>
      <c r="I3" s="89"/>
      <c r="J3" s="89"/>
      <c r="AJ3" t="s">
        <v>2512</v>
      </c>
    </row>
    <row r="4" spans="1:47" ht="7.5" customHeight="1">
      <c r="A4" s="88"/>
      <c r="B4" s="88"/>
      <c r="C4" s="88"/>
      <c r="D4" s="88"/>
      <c r="E4" s="89"/>
      <c r="F4" s="19"/>
      <c r="G4" s="19"/>
      <c r="H4" s="19"/>
      <c r="I4" s="19"/>
      <c r="J4" s="19"/>
      <c r="K4" s="19"/>
      <c r="L4" s="19"/>
      <c r="M4" s="19"/>
      <c r="N4" s="19"/>
      <c r="O4" s="19"/>
      <c r="P4" s="19"/>
      <c r="Q4" s="19"/>
      <c r="R4" s="19" t="s">
        <v>336</v>
      </c>
    </row>
    <row r="5" spans="1:47" s="94" customFormat="1" ht="54.75" customHeight="1">
      <c r="A5" s="760"/>
      <c r="B5" s="752" t="s">
        <v>108</v>
      </c>
      <c r="C5" s="752" t="s">
        <v>53</v>
      </c>
      <c r="D5" s="770" t="s">
        <v>109</v>
      </c>
      <c r="E5" s="133" t="s">
        <v>110</v>
      </c>
      <c r="F5" s="137"/>
      <c r="G5" s="137">
        <f>F5</f>
        <v>0</v>
      </c>
      <c r="H5" s="137">
        <f t="shared" ref="H5:Q5" si="0">G5</f>
        <v>0</v>
      </c>
      <c r="I5" s="137">
        <f t="shared" ref="I5" si="1">H5</f>
        <v>0</v>
      </c>
      <c r="J5" s="137">
        <f t="shared" ref="J5" si="2">I5</f>
        <v>0</v>
      </c>
      <c r="K5" s="137">
        <f t="shared" ref="K5" si="3">J5</f>
        <v>0</v>
      </c>
      <c r="L5" s="137">
        <f t="shared" ref="L5" si="4">K5</f>
        <v>0</v>
      </c>
      <c r="M5" s="137">
        <f t="shared" ref="M5" si="5">L5</f>
        <v>0</v>
      </c>
      <c r="N5" s="137">
        <f t="shared" ref="N5" si="6">M5</f>
        <v>0</v>
      </c>
      <c r="O5" s="137">
        <f t="shared" ref="O5" si="7">N5</f>
        <v>0</v>
      </c>
      <c r="P5" s="137">
        <f t="shared" si="0"/>
        <v>0</v>
      </c>
      <c r="Q5" s="137">
        <f t="shared" si="0"/>
        <v>0</v>
      </c>
      <c r="Y5" s="19"/>
      <c r="Z5" s="19"/>
      <c r="AA5" s="19"/>
      <c r="AB5" s="19"/>
      <c r="AC5" s="19"/>
      <c r="AI5" s="94" t="s">
        <v>2513</v>
      </c>
      <c r="AJ5" s="94">
        <f>SUM(AJ6:AU6)</f>
        <v>0</v>
      </c>
    </row>
    <row r="6" spans="1:47" s="94" customFormat="1" ht="54.75" customHeight="1">
      <c r="A6" s="760"/>
      <c r="B6" s="752"/>
      <c r="C6" s="760"/>
      <c r="D6" s="771"/>
      <c r="E6" s="134" t="s">
        <v>111</v>
      </c>
      <c r="F6" s="135">
        <v>4</v>
      </c>
      <c r="G6" s="135">
        <v>5</v>
      </c>
      <c r="H6" s="135">
        <v>6</v>
      </c>
      <c r="I6" s="135">
        <v>7</v>
      </c>
      <c r="J6" s="135">
        <v>8</v>
      </c>
      <c r="K6" s="135">
        <v>9</v>
      </c>
      <c r="L6" s="135">
        <v>10</v>
      </c>
      <c r="M6" s="135">
        <v>11</v>
      </c>
      <c r="N6" s="135">
        <v>12</v>
      </c>
      <c r="O6" s="135">
        <v>1</v>
      </c>
      <c r="P6" s="135">
        <v>2</v>
      </c>
      <c r="Q6" s="135">
        <v>3</v>
      </c>
      <c r="R6" s="135">
        <v>4</v>
      </c>
      <c r="S6" s="135">
        <v>5</v>
      </c>
      <c r="T6" s="135">
        <v>6</v>
      </c>
      <c r="U6" s="135">
        <v>7</v>
      </c>
      <c r="V6" s="135">
        <v>8</v>
      </c>
      <c r="W6" s="135">
        <v>9</v>
      </c>
      <c r="X6" s="135">
        <v>10</v>
      </c>
      <c r="Y6" s="135">
        <v>11</v>
      </c>
      <c r="Z6" s="135">
        <v>12</v>
      </c>
      <c r="AA6" s="135">
        <v>1</v>
      </c>
      <c r="AB6" s="135">
        <v>2</v>
      </c>
      <c r="AC6" s="135">
        <v>3</v>
      </c>
      <c r="AI6" s="94" t="s">
        <v>2514</v>
      </c>
      <c r="AJ6" s="94">
        <f>COUNTIF(AK7:AK111,"×")</f>
        <v>0</v>
      </c>
      <c r="AK6" s="94">
        <f t="shared" ref="AK6:AU6" si="8">COUNTIF(AL7:AL111,"×")</f>
        <v>0</v>
      </c>
      <c r="AL6" s="94">
        <f t="shared" si="8"/>
        <v>0</v>
      </c>
      <c r="AM6" s="94">
        <f t="shared" si="8"/>
        <v>0</v>
      </c>
      <c r="AN6" s="94">
        <f t="shared" si="8"/>
        <v>0</v>
      </c>
      <c r="AO6" s="94">
        <f t="shared" si="8"/>
        <v>0</v>
      </c>
      <c r="AP6" s="94">
        <f t="shared" si="8"/>
        <v>0</v>
      </c>
      <c r="AQ6" s="94">
        <f t="shared" si="8"/>
        <v>0</v>
      </c>
      <c r="AR6" s="94">
        <f t="shared" si="8"/>
        <v>0</v>
      </c>
      <c r="AS6" s="94">
        <f t="shared" si="8"/>
        <v>0</v>
      </c>
      <c r="AT6" s="94">
        <f t="shared" si="8"/>
        <v>0</v>
      </c>
      <c r="AU6" s="94">
        <f t="shared" si="8"/>
        <v>0</v>
      </c>
    </row>
    <row r="7" spans="1:47" s="106" customFormat="1" ht="23.15" customHeight="1">
      <c r="A7" s="102">
        <v>1</v>
      </c>
      <c r="B7" s="101" t="str">
        <f>IF('②-1職員名簿'!E7="","",'②-1職員名簿'!Y7)</f>
        <v/>
      </c>
      <c r="C7" s="104" t="str">
        <f>'②-1職員名簿'!BE7</f>
        <v/>
      </c>
      <c r="D7" s="136" t="str">
        <f t="shared" ref="D7:D70" si="9">B7&amp;C7</f>
        <v/>
      </c>
      <c r="E7" s="20" t="str">
        <f>IF($B7="","",IF(AND('②-1職員名簿'!C7="正",'②-1職員名簿'!D7="常"),"正規職員","契約上の就業時間を記載"))</f>
        <v/>
      </c>
      <c r="F7" s="10" t="str">
        <f>IF($B7="","",IF(OR('②-1職員名簿'!AC7="○",'②-1職員名簿'!AC7="●"),IF($E7="正規職員","正",IF($E7="契約上の就業時間を記載","","実績を入力")),"-"))</f>
        <v/>
      </c>
      <c r="G7" s="10" t="str">
        <f>IF($B7="","",IF(OR('②-1職員名簿'!AD7="○",'②-1職員名簿'!AD7="●"),IF($E7="正規職員","正",IF($E7="契約上の就業時間を記載","","実績を入力")),"-"))</f>
        <v/>
      </c>
      <c r="H7" s="10" t="str">
        <f>IF($B7="","",IF(OR('②-1職員名簿'!AE7="○",'②-1職員名簿'!AE7="●"),IF($E7="正規職員","正",IF($E7="契約上の就業時間を記載","","実績を入力")),"-"))</f>
        <v/>
      </c>
      <c r="I7" s="10" t="str">
        <f>IF($B7="","",IF(OR('②-1職員名簿'!AF7="○",'②-1職員名簿'!AF7="●"),IF($E7="正規職員","正",IF($E7="契約上の就業時間を記載","","実績を入力")),"-"))</f>
        <v/>
      </c>
      <c r="J7" s="10" t="str">
        <f>IF($B7="","",IF(OR('②-1職員名簿'!AG7="○",'②-1職員名簿'!AG7="●"),IF($E7="正規職員","正",IF($E7="契約上の就業時間を記載","","実績を入力")),"-"))</f>
        <v/>
      </c>
      <c r="K7" s="10" t="str">
        <f>IF($B7="","",IF(OR('②-1職員名簿'!AH7="○",'②-1職員名簿'!AH7="●"),IF($E7="正規職員","正",IF($E7="契約上の就業時間を記載","","実績を入力")),"-"))</f>
        <v/>
      </c>
      <c r="L7" s="10" t="str">
        <f>IF($B7="","",IF(OR('②-1職員名簿'!AI7="○",'②-1職員名簿'!AI7="●"),IF($E7="正規職員","正",IF($E7="契約上の就業時間を記載","","実績を入力")),"-"))</f>
        <v/>
      </c>
      <c r="M7" s="10" t="str">
        <f>IF($B7="","",IF(OR('②-1職員名簿'!AJ7="○",'②-1職員名簿'!AJ7="●"),IF($E7="正規職員","正",IF($E7="契約上の就業時間を記載","","実績を入力")),"-"))</f>
        <v/>
      </c>
      <c r="N7" s="10" t="str">
        <f>IF($B7="","",IF(OR('②-1職員名簿'!AK7="○",'②-1職員名簿'!AK7="●"),IF($E7="正規職員","正",IF($E7="契約上の就業時間を記載","","実績を入力")),"-"))</f>
        <v/>
      </c>
      <c r="O7" s="10" t="str">
        <f>IF($B7="","",IF(OR('②-1職員名簿'!AL7="○",'②-1職員名簿'!AL7="●"),IF($E7="正規職員","正",IF($E7="契約上の就業時間を記載","","実績を入力")),"-"))</f>
        <v/>
      </c>
      <c r="P7" s="10" t="str">
        <f>IF($B7="","",IF(OR('②-1職員名簿'!AM7="○",'②-1職員名簿'!AM7="●"),IF($E7="正規職員","正",IF($E7="契約上の就業時間を記載","","実績を入力")),"-"))</f>
        <v/>
      </c>
      <c r="Q7" s="10" t="str">
        <f>IF($B7="","",IF(OR('②-1職員名簿'!AN7="○",'②-1職員名簿'!AN7="●"),IF($E7="正規職員","正",IF($E7="契約上の就業時間を記載","","実績を入力")),"-"))</f>
        <v/>
      </c>
      <c r="R7" s="104" t="str">
        <f>IF($B7="","",IF(OR('②-1職員名簿'!AC7="○",'②-1職員名簿'!AC7="●"),IF($E7="正規職員","正",IF($E7="契約上の就業時間を記載","",IF($E7&gt;=F$5,"常",F7))),"-"))</f>
        <v/>
      </c>
      <c r="S7" s="104" t="str">
        <f>IF($B7="","",IF(OR('②-1職員名簿'!AD7="○",'②-1職員名簿'!AD7="●"),IF($E7="正規職員","正",IF($E7="契約上の就業時間を記載","",IF($E7&gt;=G$5,"常",G7))),"-"))</f>
        <v/>
      </c>
      <c r="T7" s="104" t="str">
        <f>IF($B7="","",IF(OR('②-1職員名簿'!AE7="○",'②-1職員名簿'!AE7="●"),IF($E7="正規職員","正",IF($E7="契約上の就業時間を記載","",IF($E7&gt;=H$5,"常",H7))),"-"))</f>
        <v/>
      </c>
      <c r="U7" s="104" t="str">
        <f>IF($B7="","",IF(OR('②-1職員名簿'!AF7="○",'②-1職員名簿'!AF7="●"),IF($E7="正規職員","正",IF($E7="契約上の就業時間を記載","",IF($E7&gt;=I$5,"常",I7))),"-"))</f>
        <v/>
      </c>
      <c r="V7" s="104" t="str">
        <f>IF($B7="","",IF(OR('②-1職員名簿'!AG7="○",'②-1職員名簿'!AG7="●"),IF($E7="正規職員","正",IF($E7="契約上の就業時間を記載","",IF($E7&gt;=J$5,"常",J7))),"-"))</f>
        <v/>
      </c>
      <c r="W7" s="104" t="str">
        <f>IF($B7="","",IF(OR('②-1職員名簿'!AH7="○",'②-1職員名簿'!AH7="●"),IF($E7="正規職員","正",IF($E7="契約上の就業時間を記載","",IF($E7&gt;=K$5,"常",K7))),"-"))</f>
        <v/>
      </c>
      <c r="X7" s="104" t="str">
        <f>IF($B7="","",IF(OR('②-1職員名簿'!AI7="○",'②-1職員名簿'!AI7="●"),IF($E7="正規職員","正",IF($E7="契約上の就業時間を記載","",IF($E7&gt;=L$5,"常",L7))),"-"))</f>
        <v/>
      </c>
      <c r="Y7" s="104" t="str">
        <f>IF($B7="","",IF(OR('②-1職員名簿'!AJ7="○",'②-1職員名簿'!AJ7="●"),IF($E7="正規職員","正",IF($E7="契約上の就業時間を記載","",IF($E7&gt;=M$5,"常",M7))),"-"))</f>
        <v/>
      </c>
      <c r="Z7" s="104" t="str">
        <f>IF($B7="","",IF(OR('②-1職員名簿'!AK7="○",'②-1職員名簿'!AK7="●"),IF($E7="正規職員","正",IF($E7="契約上の就業時間を記載","",IF($E7&gt;=N$5,"常",N7))),"-"))</f>
        <v/>
      </c>
      <c r="AA7" s="104" t="str">
        <f>IF($B7="","",IF(OR('②-1職員名簿'!AL7="○",'②-1職員名簿'!AL7="●"),IF($E7="正規職員","正",IF($E7="契約上の就業時間を記載","",IF($E7&gt;=O$5,"常",O7))),"-"))</f>
        <v/>
      </c>
      <c r="AB7" s="104" t="str">
        <f>IF($B7="","",IF(OR('②-1職員名簿'!AM7="○",'②-1職員名簿'!AM7="●"),IF($E7="正規職員","正",IF($E7="契約上の就業時間を記載","",IF($E7&gt;=P$5,"常",P7))),"-"))</f>
        <v/>
      </c>
      <c r="AC7" s="104" t="str">
        <f>IF($B7="","",IF(OR('②-1職員名簿'!AN7="○",'②-1職員名簿'!AN7="●"),IF($E7="正規職員","正",IF($E7="契約上の就業時間を記載","",IF($E7&gt;=Q$5,"常",Q7))),"-"))</f>
        <v/>
      </c>
      <c r="AE7" s="101" t="str">
        <f>IF('②-1職員名簿'!W7="","",'②-1職員名簿'!W7)</f>
        <v/>
      </c>
      <c r="AG7" s="135">
        <v>4</v>
      </c>
      <c r="AH7" s="106">
        <f>F5</f>
        <v>0</v>
      </c>
      <c r="AI7" s="106" t="s">
        <v>1860</v>
      </c>
      <c r="AJ7" s="106" t="str">
        <f t="shared" ref="AJ7:AU7" si="10">IF(AND($C7="常勤的非常勤",$E7&lt;F$5),"×",IF(AND($C7="短時間非常勤",F$5&lt;=$E7),"×",IF(AND($C7="嘱託常勤",$E7&lt;F$5),"×",IF(AND($C7="嘱託非常勤",F$5&lt;=$E7),"×","○"))))</f>
        <v>○</v>
      </c>
      <c r="AK7" s="106" t="str">
        <f t="shared" si="10"/>
        <v>○</v>
      </c>
      <c r="AL7" s="106" t="str">
        <f t="shared" si="10"/>
        <v>○</v>
      </c>
      <c r="AM7" s="106" t="str">
        <f t="shared" si="10"/>
        <v>○</v>
      </c>
      <c r="AN7" s="106" t="str">
        <f t="shared" si="10"/>
        <v>○</v>
      </c>
      <c r="AO7" s="106" t="str">
        <f t="shared" si="10"/>
        <v>○</v>
      </c>
      <c r="AP7" s="106" t="str">
        <f t="shared" si="10"/>
        <v>○</v>
      </c>
      <c r="AQ7" s="106" t="str">
        <f t="shared" si="10"/>
        <v>○</v>
      </c>
      <c r="AR7" s="106" t="str">
        <f t="shared" si="10"/>
        <v>○</v>
      </c>
      <c r="AS7" s="106" t="str">
        <f t="shared" si="10"/>
        <v>○</v>
      </c>
      <c r="AT7" s="106" t="str">
        <f t="shared" si="10"/>
        <v>○</v>
      </c>
      <c r="AU7" s="106" t="str">
        <f t="shared" si="10"/>
        <v>○</v>
      </c>
    </row>
    <row r="8" spans="1:47" s="106" customFormat="1" ht="23.15" customHeight="1">
      <c r="A8" s="102">
        <v>2</v>
      </c>
      <c r="B8" s="101" t="str">
        <f>IF('②-1職員名簿'!E8="","",'②-1職員名簿'!Y8)</f>
        <v/>
      </c>
      <c r="C8" s="104" t="str">
        <f>'②-1職員名簿'!BE8</f>
        <v/>
      </c>
      <c r="D8" s="136" t="str">
        <f t="shared" si="9"/>
        <v/>
      </c>
      <c r="E8" s="20" t="str">
        <f>IF($B8="","",IF(AND('②-1職員名簿'!C8="正",'②-1職員名簿'!D8="常"),"正規職員","契約上の就業時間を記載"))</f>
        <v/>
      </c>
      <c r="F8" s="10" t="str">
        <f>IF($B8="","",IF(OR('②-1職員名簿'!AC8="○",'②-1職員名簿'!AC8="●"),IF($E8="正規職員","正",IF($E8="契約上の就業時間を記載","","実績を入力")),"-"))</f>
        <v/>
      </c>
      <c r="G8" s="10" t="str">
        <f>IF($B8="","",IF(OR('②-1職員名簿'!AD8="○",'②-1職員名簿'!AD8="●"),IF($E8="正規職員","正",IF($E8="契約上の就業時間を記載","","実績を入力")),"-"))</f>
        <v/>
      </c>
      <c r="H8" s="10" t="str">
        <f>IF($B8="","",IF(OR('②-1職員名簿'!AE8="○",'②-1職員名簿'!AE8="●"),IF($E8="正規職員","正",IF($E8="契約上の就業時間を記載","","実績を入力")),"-"))</f>
        <v/>
      </c>
      <c r="I8" s="10" t="str">
        <f>IF($B8="","",IF(OR('②-1職員名簿'!AF8="○",'②-1職員名簿'!AF8="●"),IF($E8="正規職員","正",IF($E8="契約上の就業時間を記載","","実績を入力")),"-"))</f>
        <v/>
      </c>
      <c r="J8" s="10" t="str">
        <f>IF($B8="","",IF(OR('②-1職員名簿'!AG8="○",'②-1職員名簿'!AG8="●"),IF($E8="正規職員","正",IF($E8="契約上の就業時間を記載","","実績を入力")),"-"))</f>
        <v/>
      </c>
      <c r="K8" s="10" t="str">
        <f>IF($B8="","",IF(OR('②-1職員名簿'!AH8="○",'②-1職員名簿'!AH8="●"),IF($E8="正規職員","正",IF($E8="契約上の就業時間を記載","","実績を入力")),"-"))</f>
        <v/>
      </c>
      <c r="L8" s="10" t="str">
        <f>IF($B8="","",IF(OR('②-1職員名簿'!AI8="○",'②-1職員名簿'!AI8="●"),IF($E8="正規職員","正",IF($E8="契約上の就業時間を記載","","実績を入力")),"-"))</f>
        <v/>
      </c>
      <c r="M8" s="10" t="str">
        <f>IF($B8="","",IF(OR('②-1職員名簿'!AJ8="○",'②-1職員名簿'!AJ8="●"),IF($E8="正規職員","正",IF($E8="契約上の就業時間を記載","","実績を入力")),"-"))</f>
        <v/>
      </c>
      <c r="N8" s="10" t="str">
        <f>IF($B8="","",IF(OR('②-1職員名簿'!AK8="○",'②-1職員名簿'!AK8="●"),IF($E8="正規職員","正",IF($E8="契約上の就業時間を記載","","実績を入力")),"-"))</f>
        <v/>
      </c>
      <c r="O8" s="10" t="str">
        <f>IF($B8="","",IF(OR('②-1職員名簿'!AL8="○",'②-1職員名簿'!AL8="●"),IF($E8="正規職員","正",IF($E8="契約上の就業時間を記載","","実績を入力")),"-"))</f>
        <v/>
      </c>
      <c r="P8" s="10" t="str">
        <f>IF($B8="","",IF(OR('②-1職員名簿'!AM8="○",'②-1職員名簿'!AM8="●"),IF($E8="正規職員","正",IF($E8="契約上の就業時間を記載","","実績を入力")),"-"))</f>
        <v/>
      </c>
      <c r="Q8" s="10" t="str">
        <f>IF($B8="","",IF(OR('②-1職員名簿'!AN8="○",'②-1職員名簿'!AN8="●"),IF($E8="正規職員","正",IF($E8="契約上の就業時間を記載","","実績を入力")),"-"))</f>
        <v/>
      </c>
      <c r="R8" s="104" t="str">
        <f>IF($B8="","",IF(OR('②-1職員名簿'!AC8="○",'②-1職員名簿'!AC8="●"),IF($E8="正規職員","正",IF($E8="契約上の就業時間を記載","",IF($E8&gt;=F$5,"常",F8))),"-"))</f>
        <v/>
      </c>
      <c r="S8" s="104" t="str">
        <f>IF($B8="","",IF(OR('②-1職員名簿'!AD8="○",'②-1職員名簿'!AD8="●"),IF($E8="正規職員","正",IF($E8="契約上の就業時間を記載","",IF($E8&gt;=G$5,"常",G8))),"-"))</f>
        <v/>
      </c>
      <c r="T8" s="104" t="str">
        <f>IF($B8="","",IF(OR('②-1職員名簿'!AE8="○",'②-1職員名簿'!AE8="●"),IF($E8="正規職員","正",IF($E8="契約上の就業時間を記載","",IF($E8&gt;=H$5,"常",H8))),"-"))</f>
        <v/>
      </c>
      <c r="U8" s="104" t="str">
        <f>IF($B8="","",IF(OR('②-1職員名簿'!AF8="○",'②-1職員名簿'!AF8="●"),IF($E8="正規職員","正",IF($E8="契約上の就業時間を記載","",IF($E8&gt;=I$5,"常",I8))),"-"))</f>
        <v/>
      </c>
      <c r="V8" s="104" t="str">
        <f>IF($B8="","",IF(OR('②-1職員名簿'!AG8="○",'②-1職員名簿'!AG8="●"),IF($E8="正規職員","正",IF($E8="契約上の就業時間を記載","",IF($E8&gt;=J$5,"常",J8))),"-"))</f>
        <v/>
      </c>
      <c r="W8" s="104" t="str">
        <f>IF($B8="","",IF(OR('②-1職員名簿'!AH8="○",'②-1職員名簿'!AH8="●"),IF($E8="正規職員","正",IF($E8="契約上の就業時間を記載","",IF($E8&gt;=K$5,"常",K8))),"-"))</f>
        <v/>
      </c>
      <c r="X8" s="104" t="str">
        <f>IF($B8="","",IF(OR('②-1職員名簿'!AI8="○",'②-1職員名簿'!AI8="●"),IF($E8="正規職員","正",IF($E8="契約上の就業時間を記載","",IF($E8&gt;=L$5,"常",L8))),"-"))</f>
        <v/>
      </c>
      <c r="Y8" s="104" t="str">
        <f>IF($B8="","",IF(OR('②-1職員名簿'!AJ8="○",'②-1職員名簿'!AJ8="●"),IF($E8="正規職員","正",IF($E8="契約上の就業時間を記載","",IF($E8&gt;=M$5,"常",M8))),"-"))</f>
        <v/>
      </c>
      <c r="Z8" s="104" t="str">
        <f>IF($B8="","",IF(OR('②-1職員名簿'!AK8="○",'②-1職員名簿'!AK8="●"),IF($E8="正規職員","正",IF($E8="契約上の就業時間を記載","",IF($E8&gt;=N$5,"常",N8))),"-"))</f>
        <v/>
      </c>
      <c r="AA8" s="104" t="str">
        <f>IF($B8="","",IF(OR('②-1職員名簿'!AL8="○",'②-1職員名簿'!AL8="●"),IF($E8="正規職員","正",IF($E8="契約上の就業時間を記載","",IF($E8&gt;=O$5,"常",O8))),"-"))</f>
        <v/>
      </c>
      <c r="AB8" s="104" t="str">
        <f>IF($B8="","",IF(OR('②-1職員名簿'!AM8="○",'②-1職員名簿'!AM8="●"),IF($E8="正規職員","正",IF($E8="契約上の就業時間を記載","",IF($E8&gt;=P$5,"常",P8))),"-"))</f>
        <v/>
      </c>
      <c r="AC8" s="104" t="str">
        <f>IF($B8="","",IF(OR('②-1職員名簿'!AN8="○",'②-1職員名簿'!AN8="●"),IF($E8="正規職員","正",IF($E8="契約上の就業時間を記載","",IF($E8&gt;=Q$5,"常",Q8))),"-"))</f>
        <v/>
      </c>
      <c r="AE8" s="101" t="str">
        <f>IF('②-1職員名簿'!W8="","",'②-1職員名簿'!W8)</f>
        <v/>
      </c>
      <c r="AG8" s="135">
        <v>5</v>
      </c>
      <c r="AH8" s="106">
        <f>G5</f>
        <v>0</v>
      </c>
      <c r="AJ8" s="106" t="str">
        <f t="shared" ref="AJ8:AJ71" si="11">IF(AND($C8="常勤的非常勤",$E8&lt;F$5),"×",IF(AND($C8="短時間非常勤",F$5&lt;=$E8),"×",IF(AND($C8="嘱託常勤",$E8&lt;F$5),"×",IF(AND($C8="嘱託非常勤",F$5&lt;=$E8),"×","○"))))</f>
        <v>○</v>
      </c>
      <c r="AK8" s="106" t="str">
        <f t="shared" ref="AK8:AK22" si="12">IF(AND($C8="常勤的非常勤",$E8&lt;G$5),"×",IF(AND($C8="短時間非常勤",G$5&lt;=$E8),"×",IF(AND($C8="嘱託常勤",$E8&lt;G$5),"×",IF(AND($C8="嘱託非常勤",G$5&lt;=$E8),"×","○"))))</f>
        <v>○</v>
      </c>
      <c r="AL8" s="106" t="str">
        <f t="shared" ref="AL8:AL22" si="13">IF(AND($C8="常勤的非常勤",$E8&lt;H$5),"×",IF(AND($C8="短時間非常勤",H$5&lt;=$E8),"×",IF(AND($C8="嘱託常勤",$E8&lt;H$5),"×",IF(AND($C8="嘱託非常勤",H$5&lt;=$E8),"×","○"))))</f>
        <v>○</v>
      </c>
      <c r="AM8" s="106" t="str">
        <f t="shared" ref="AM8:AM22" si="14">IF(AND($C8="常勤的非常勤",$E8&lt;I$5),"×",IF(AND($C8="短時間非常勤",I$5&lt;=$E8),"×",IF(AND($C8="嘱託常勤",$E8&lt;I$5),"×",IF(AND($C8="嘱託非常勤",I$5&lt;=$E8),"×","○"))))</f>
        <v>○</v>
      </c>
      <c r="AN8" s="106" t="str">
        <f t="shared" ref="AN8:AN22" si="15">IF(AND($C8="常勤的非常勤",$E8&lt;J$5),"×",IF(AND($C8="短時間非常勤",J$5&lt;=$E8),"×",IF(AND($C8="嘱託常勤",$E8&lt;J$5),"×",IF(AND($C8="嘱託非常勤",J$5&lt;=$E8),"×","○"))))</f>
        <v>○</v>
      </c>
      <c r="AO8" s="106" t="str">
        <f t="shared" ref="AO8:AO22" si="16">IF(AND($C8="常勤的非常勤",$E8&lt;K$5),"×",IF(AND($C8="短時間非常勤",K$5&lt;=$E8),"×",IF(AND($C8="嘱託常勤",$E8&lt;K$5),"×",IF(AND($C8="嘱託非常勤",K$5&lt;=$E8),"×","○"))))</f>
        <v>○</v>
      </c>
      <c r="AP8" s="106" t="str">
        <f t="shared" ref="AP8:AP22" si="17">IF(AND($C8="常勤的非常勤",$E8&lt;L$5),"×",IF(AND($C8="短時間非常勤",L$5&lt;=$E8),"×",IF(AND($C8="嘱託常勤",$E8&lt;L$5),"×",IF(AND($C8="嘱託非常勤",L$5&lt;=$E8),"×","○"))))</f>
        <v>○</v>
      </c>
      <c r="AQ8" s="106" t="str">
        <f t="shared" ref="AQ8:AQ22" si="18">IF(AND($C8="常勤的非常勤",$E8&lt;M$5),"×",IF(AND($C8="短時間非常勤",M$5&lt;=$E8),"×",IF(AND($C8="嘱託常勤",$E8&lt;M$5),"×",IF(AND($C8="嘱託非常勤",M$5&lt;=$E8),"×","○"))))</f>
        <v>○</v>
      </c>
      <c r="AR8" s="106" t="str">
        <f t="shared" ref="AR8:AR22" si="19">IF(AND($C8="常勤的非常勤",$E8&lt;N$5),"×",IF(AND($C8="短時間非常勤",N$5&lt;=$E8),"×",IF(AND($C8="嘱託常勤",$E8&lt;N$5),"×",IF(AND($C8="嘱託非常勤",N$5&lt;=$E8),"×","○"))))</f>
        <v>○</v>
      </c>
      <c r="AS8" s="106" t="str">
        <f t="shared" ref="AS8:AS22" si="20">IF(AND($C8="常勤的非常勤",$E8&lt;O$5),"×",IF(AND($C8="短時間非常勤",O$5&lt;=$E8),"×",IF(AND($C8="嘱託常勤",$E8&lt;O$5),"×",IF(AND($C8="嘱託非常勤",O$5&lt;=$E8),"×","○"))))</f>
        <v>○</v>
      </c>
      <c r="AT8" s="106" t="str">
        <f t="shared" ref="AT8:AT22" si="21">IF(AND($C8="常勤的非常勤",$E8&lt;P$5),"×",IF(AND($C8="短時間非常勤",P$5&lt;=$E8),"×",IF(AND($C8="嘱託常勤",$E8&lt;P$5),"×",IF(AND($C8="嘱託非常勤",P$5&lt;=$E8),"×","○"))))</f>
        <v>○</v>
      </c>
      <c r="AU8" s="106" t="str">
        <f t="shared" ref="AU8:AU22" si="22">IF(AND($C8="常勤的非常勤",$E8&lt;Q$5),"×",IF(AND($C8="短時間非常勤",Q$5&lt;=$E8),"×",IF(AND($C8="嘱託常勤",$E8&lt;Q$5),"×",IF(AND($C8="嘱託非常勤",Q$5&lt;=$E8),"×","○"))))</f>
        <v>○</v>
      </c>
    </row>
    <row r="9" spans="1:47" s="106" customFormat="1" ht="23.15" customHeight="1">
      <c r="A9" s="102">
        <v>3</v>
      </c>
      <c r="B9" s="101" t="str">
        <f>IF('②-1職員名簿'!E9="","",'②-1職員名簿'!Y9)</f>
        <v/>
      </c>
      <c r="C9" s="104" t="str">
        <f>'②-1職員名簿'!BE9</f>
        <v/>
      </c>
      <c r="D9" s="136" t="str">
        <f t="shared" si="9"/>
        <v/>
      </c>
      <c r="E9" s="20" t="str">
        <f>IF($B9="","",IF(AND('②-1職員名簿'!C9="正",'②-1職員名簿'!D9="常"),"正規職員","契約上の就業時間を記載"))</f>
        <v/>
      </c>
      <c r="F9" s="10" t="str">
        <f>IF($B9="","",IF(OR('②-1職員名簿'!AC9="○",'②-1職員名簿'!AC9="●"),IF($E9="正規職員","正",IF($E9="契約上の就業時間を記載","","実績を入力")),"-"))</f>
        <v/>
      </c>
      <c r="G9" s="10" t="str">
        <f>IF($B9="","",IF(OR('②-1職員名簿'!AD9="○",'②-1職員名簿'!AD9="●"),IF($E9="正規職員","正",IF($E9="契約上の就業時間を記載","","実績を入力")),"-"))</f>
        <v/>
      </c>
      <c r="H9" s="10" t="str">
        <f>IF($B9="","",IF(OR('②-1職員名簿'!AE9="○",'②-1職員名簿'!AE9="●"),IF($E9="正規職員","正",IF($E9="契約上の就業時間を記載","","実績を入力")),"-"))</f>
        <v/>
      </c>
      <c r="I9" s="10" t="str">
        <f>IF($B9="","",IF(OR('②-1職員名簿'!AF9="○",'②-1職員名簿'!AF9="●"),IF($E9="正規職員","正",IF($E9="契約上の就業時間を記載","","実績を入力")),"-"))</f>
        <v/>
      </c>
      <c r="J9" s="10" t="str">
        <f>IF($B9="","",IF(OR('②-1職員名簿'!AG9="○",'②-1職員名簿'!AG9="●"),IF($E9="正規職員","正",IF($E9="契約上の就業時間を記載","","実績を入力")),"-"))</f>
        <v/>
      </c>
      <c r="K9" s="10" t="str">
        <f>IF($B9="","",IF(OR('②-1職員名簿'!AH9="○",'②-1職員名簿'!AH9="●"),IF($E9="正規職員","正",IF($E9="契約上の就業時間を記載","","実績を入力")),"-"))</f>
        <v/>
      </c>
      <c r="L9" s="10" t="str">
        <f>IF($B9="","",IF(OR('②-1職員名簿'!AI9="○",'②-1職員名簿'!AI9="●"),IF($E9="正規職員","正",IF($E9="契約上の就業時間を記載","","実績を入力")),"-"))</f>
        <v/>
      </c>
      <c r="M9" s="10" t="str">
        <f>IF($B9="","",IF(OR('②-1職員名簿'!AJ9="○",'②-1職員名簿'!AJ9="●"),IF($E9="正規職員","正",IF($E9="契約上の就業時間を記載","","実績を入力")),"-"))</f>
        <v/>
      </c>
      <c r="N9" s="10" t="str">
        <f>IF($B9="","",IF(OR('②-1職員名簿'!AK9="○",'②-1職員名簿'!AK9="●"),IF($E9="正規職員","正",IF($E9="契約上の就業時間を記載","","実績を入力")),"-"))</f>
        <v/>
      </c>
      <c r="O9" s="10" t="str">
        <f>IF($B9="","",IF(OR('②-1職員名簿'!AL9="○",'②-1職員名簿'!AL9="●"),IF($E9="正規職員","正",IF($E9="契約上の就業時間を記載","","実績を入力")),"-"))</f>
        <v/>
      </c>
      <c r="P9" s="10" t="str">
        <f>IF($B9="","",IF(OR('②-1職員名簿'!AM9="○",'②-1職員名簿'!AM9="●"),IF($E9="正規職員","正",IF($E9="契約上の就業時間を記載","","実績を入力")),"-"))</f>
        <v/>
      </c>
      <c r="Q9" s="10" t="str">
        <f>IF($B9="","",IF(OR('②-1職員名簿'!AN9="○",'②-1職員名簿'!AN9="●"),IF($E9="正規職員","正",IF($E9="契約上の就業時間を記載","","実績を入力")),"-"))</f>
        <v/>
      </c>
      <c r="R9" s="104" t="str">
        <f>IF($B9="","",IF(OR('②-1職員名簿'!AC9="○",'②-1職員名簿'!AC9="●"),IF($E9="正規職員","正",IF($E9="契約上の就業時間を記載","",IF($E9&gt;=F$5,"常",F9))),"-"))</f>
        <v/>
      </c>
      <c r="S9" s="104" t="str">
        <f>IF($B9="","",IF(OR('②-1職員名簿'!AD9="○",'②-1職員名簿'!AD9="●"),IF($E9="正規職員","正",IF($E9="契約上の就業時間を記載","",IF($E9&gt;=G$5,"常",G9))),"-"))</f>
        <v/>
      </c>
      <c r="T9" s="104" t="str">
        <f>IF($B9="","",IF(OR('②-1職員名簿'!AE9="○",'②-1職員名簿'!AE9="●"),IF($E9="正規職員","正",IF($E9="契約上の就業時間を記載","",IF($E9&gt;=H$5,"常",H9))),"-"))</f>
        <v/>
      </c>
      <c r="U9" s="104" t="str">
        <f>IF($B9="","",IF(OR('②-1職員名簿'!AF9="○",'②-1職員名簿'!AF9="●"),IF($E9="正規職員","正",IF($E9="契約上の就業時間を記載","",IF($E9&gt;=I$5,"常",I9))),"-"))</f>
        <v/>
      </c>
      <c r="V9" s="104" t="str">
        <f>IF($B9="","",IF(OR('②-1職員名簿'!AG9="○",'②-1職員名簿'!AG9="●"),IF($E9="正規職員","正",IF($E9="契約上の就業時間を記載","",IF($E9&gt;=J$5,"常",J9))),"-"))</f>
        <v/>
      </c>
      <c r="W9" s="104" t="str">
        <f>IF($B9="","",IF(OR('②-1職員名簿'!AH9="○",'②-1職員名簿'!AH9="●"),IF($E9="正規職員","正",IF($E9="契約上の就業時間を記載","",IF($E9&gt;=K$5,"常",K9))),"-"))</f>
        <v/>
      </c>
      <c r="X9" s="104" t="str">
        <f>IF($B9="","",IF(OR('②-1職員名簿'!AI9="○",'②-1職員名簿'!AI9="●"),IF($E9="正規職員","正",IF($E9="契約上の就業時間を記載","",IF($E9&gt;=L$5,"常",L9))),"-"))</f>
        <v/>
      </c>
      <c r="Y9" s="104" t="str">
        <f>IF($B9="","",IF(OR('②-1職員名簿'!AJ9="○",'②-1職員名簿'!AJ9="●"),IF($E9="正規職員","正",IF($E9="契約上の就業時間を記載","",IF($E9&gt;=M$5,"常",M9))),"-"))</f>
        <v/>
      </c>
      <c r="Z9" s="104" t="str">
        <f>IF($B9="","",IF(OR('②-1職員名簿'!AK9="○",'②-1職員名簿'!AK9="●"),IF($E9="正規職員","正",IF($E9="契約上の就業時間を記載","",IF($E9&gt;=N$5,"常",N9))),"-"))</f>
        <v/>
      </c>
      <c r="AA9" s="104" t="str">
        <f>IF($B9="","",IF(OR('②-1職員名簿'!AL9="○",'②-1職員名簿'!AL9="●"),IF($E9="正規職員","正",IF($E9="契約上の就業時間を記載","",IF($E9&gt;=O$5,"常",O9))),"-"))</f>
        <v/>
      </c>
      <c r="AB9" s="104" t="str">
        <f>IF($B9="","",IF(OR('②-1職員名簿'!AM9="○",'②-1職員名簿'!AM9="●"),IF($E9="正規職員","正",IF($E9="契約上の就業時間を記載","",IF($E9&gt;=P$5,"常",P9))),"-"))</f>
        <v/>
      </c>
      <c r="AC9" s="104" t="str">
        <f>IF($B9="","",IF(OR('②-1職員名簿'!AN9="○",'②-1職員名簿'!AN9="●"),IF($E9="正規職員","正",IF($E9="契約上の就業時間を記載","",IF($E9&gt;=Q$5,"常",Q9))),"-"))</f>
        <v/>
      </c>
      <c r="AE9" s="101" t="str">
        <f>IF('②-1職員名簿'!W9="","",'②-1職員名簿'!W9)</f>
        <v/>
      </c>
      <c r="AG9" s="135">
        <v>6</v>
      </c>
      <c r="AH9" s="106">
        <f>H5</f>
        <v>0</v>
      </c>
      <c r="AJ9" s="106" t="str">
        <f t="shared" si="11"/>
        <v>○</v>
      </c>
      <c r="AK9" s="106" t="str">
        <f t="shared" si="12"/>
        <v>○</v>
      </c>
      <c r="AL9" s="106" t="str">
        <f t="shared" si="13"/>
        <v>○</v>
      </c>
      <c r="AM9" s="106" t="str">
        <f t="shared" si="14"/>
        <v>○</v>
      </c>
      <c r="AN9" s="106" t="str">
        <f t="shared" si="15"/>
        <v>○</v>
      </c>
      <c r="AO9" s="106" t="str">
        <f t="shared" si="16"/>
        <v>○</v>
      </c>
      <c r="AP9" s="106" t="str">
        <f t="shared" si="17"/>
        <v>○</v>
      </c>
      <c r="AQ9" s="106" t="str">
        <f t="shared" si="18"/>
        <v>○</v>
      </c>
      <c r="AR9" s="106" t="str">
        <f t="shared" si="19"/>
        <v>○</v>
      </c>
      <c r="AS9" s="106" t="str">
        <f t="shared" si="20"/>
        <v>○</v>
      </c>
      <c r="AT9" s="106" t="str">
        <f t="shared" si="21"/>
        <v>○</v>
      </c>
      <c r="AU9" s="106" t="str">
        <f t="shared" si="22"/>
        <v>○</v>
      </c>
    </row>
    <row r="10" spans="1:47" s="106" customFormat="1" ht="23.15" customHeight="1">
      <c r="A10" s="102">
        <v>4</v>
      </c>
      <c r="B10" s="101" t="str">
        <f>IF('②-1職員名簿'!E10="","",'②-1職員名簿'!Y10)</f>
        <v/>
      </c>
      <c r="C10" s="104" t="str">
        <f>'②-1職員名簿'!BE10</f>
        <v/>
      </c>
      <c r="D10" s="136" t="str">
        <f t="shared" si="9"/>
        <v/>
      </c>
      <c r="E10" s="20" t="str">
        <f>IF($B10="","",IF(AND('②-1職員名簿'!C10="正",'②-1職員名簿'!D10="常"),"正規職員","契約上の就業時間を記載"))</f>
        <v/>
      </c>
      <c r="F10" s="10" t="str">
        <f>IF($B10="","",IF(OR('②-1職員名簿'!AC10="○",'②-1職員名簿'!AC10="●"),IF($E10="正規職員","正",IF($E10="契約上の就業時間を記載","","実績を入力")),"-"))</f>
        <v/>
      </c>
      <c r="G10" s="10" t="str">
        <f>IF($B10="","",IF(OR('②-1職員名簿'!AD10="○",'②-1職員名簿'!AD10="●"),IF($E10="正規職員","正",IF($E10="契約上の就業時間を記載","","実績を入力")),"-"))</f>
        <v/>
      </c>
      <c r="H10" s="10" t="str">
        <f>IF($B10="","",IF(OR('②-1職員名簿'!AE10="○",'②-1職員名簿'!AE10="●"),IF($E10="正規職員","正",IF($E10="契約上の就業時間を記載","","実績を入力")),"-"))</f>
        <v/>
      </c>
      <c r="I10" s="10" t="str">
        <f>IF($B10="","",IF(OR('②-1職員名簿'!AF10="○",'②-1職員名簿'!AF10="●"),IF($E10="正規職員","正",IF($E10="契約上の就業時間を記載","","実績を入力")),"-"))</f>
        <v/>
      </c>
      <c r="J10" s="10" t="str">
        <f>IF($B10="","",IF(OR('②-1職員名簿'!AG10="○",'②-1職員名簿'!AG10="●"),IF($E10="正規職員","正",IF($E10="契約上の就業時間を記載","","実績を入力")),"-"))</f>
        <v/>
      </c>
      <c r="K10" s="10" t="str">
        <f>IF($B10="","",IF(OR('②-1職員名簿'!AH10="○",'②-1職員名簿'!AH10="●"),IF($E10="正規職員","正",IF($E10="契約上の就業時間を記載","","実績を入力")),"-"))</f>
        <v/>
      </c>
      <c r="L10" s="10" t="str">
        <f>IF($B10="","",IF(OR('②-1職員名簿'!AI10="○",'②-1職員名簿'!AI10="●"),IF($E10="正規職員","正",IF($E10="契約上の就業時間を記載","","実績を入力")),"-"))</f>
        <v/>
      </c>
      <c r="M10" s="10" t="str">
        <f>IF($B10="","",IF(OR('②-1職員名簿'!AJ10="○",'②-1職員名簿'!AJ10="●"),IF($E10="正規職員","正",IF($E10="契約上の就業時間を記載","","実績を入力")),"-"))</f>
        <v/>
      </c>
      <c r="N10" s="10" t="str">
        <f>IF($B10="","",IF(OR('②-1職員名簿'!AK10="○",'②-1職員名簿'!AK10="●"),IF($E10="正規職員","正",IF($E10="契約上の就業時間を記載","","実績を入力")),"-"))</f>
        <v/>
      </c>
      <c r="O10" s="10" t="str">
        <f>IF($B10="","",IF(OR('②-1職員名簿'!AL10="○",'②-1職員名簿'!AL10="●"),IF($E10="正規職員","正",IF($E10="契約上の就業時間を記載","","実績を入力")),"-"))</f>
        <v/>
      </c>
      <c r="P10" s="10" t="str">
        <f>IF($B10="","",IF(OR('②-1職員名簿'!AM10="○",'②-1職員名簿'!AM10="●"),IF($E10="正規職員","正",IF($E10="契約上の就業時間を記載","","実績を入力")),"-"))</f>
        <v/>
      </c>
      <c r="Q10" s="10" t="str">
        <f>IF($B10="","",IF(OR('②-1職員名簿'!AN10="○",'②-1職員名簿'!AN10="●"),IF($E10="正規職員","正",IF($E10="契約上の就業時間を記載","","実績を入力")),"-"))</f>
        <v/>
      </c>
      <c r="R10" s="104" t="str">
        <f>IF($B10="","",IF(OR('②-1職員名簿'!AC10="○",'②-1職員名簿'!AC10="●"),IF($E10="正規職員","正",IF($E10="契約上の就業時間を記載","",IF($E10&gt;=F$5,"常",F10))),"-"))</f>
        <v/>
      </c>
      <c r="S10" s="104" t="str">
        <f>IF($B10="","",IF(OR('②-1職員名簿'!AD10="○",'②-1職員名簿'!AD10="●"),IF($E10="正規職員","正",IF($E10="契約上の就業時間を記載","",IF($E10&gt;=G$5,"常",G10))),"-"))</f>
        <v/>
      </c>
      <c r="T10" s="104" t="str">
        <f>IF($B10="","",IF(OR('②-1職員名簿'!AE10="○",'②-1職員名簿'!AE10="●"),IF($E10="正規職員","正",IF($E10="契約上の就業時間を記載","",IF($E10&gt;=H$5,"常",H10))),"-"))</f>
        <v/>
      </c>
      <c r="U10" s="104" t="str">
        <f>IF($B10="","",IF(OR('②-1職員名簿'!AF10="○",'②-1職員名簿'!AF10="●"),IF($E10="正規職員","正",IF($E10="契約上の就業時間を記載","",IF($E10&gt;=I$5,"常",I10))),"-"))</f>
        <v/>
      </c>
      <c r="V10" s="104" t="str">
        <f>IF($B10="","",IF(OR('②-1職員名簿'!AG10="○",'②-1職員名簿'!AG10="●"),IF($E10="正規職員","正",IF($E10="契約上の就業時間を記載","",IF($E10&gt;=J$5,"常",J10))),"-"))</f>
        <v/>
      </c>
      <c r="W10" s="104" t="str">
        <f>IF($B10="","",IF(OR('②-1職員名簿'!AH10="○",'②-1職員名簿'!AH10="●"),IF($E10="正規職員","正",IF($E10="契約上の就業時間を記載","",IF($E10&gt;=K$5,"常",K10))),"-"))</f>
        <v/>
      </c>
      <c r="X10" s="104" t="str">
        <f>IF($B10="","",IF(OR('②-1職員名簿'!AI10="○",'②-1職員名簿'!AI10="●"),IF($E10="正規職員","正",IF($E10="契約上の就業時間を記載","",IF($E10&gt;=L$5,"常",L10))),"-"))</f>
        <v/>
      </c>
      <c r="Y10" s="104" t="str">
        <f>IF($B10="","",IF(OR('②-1職員名簿'!AJ10="○",'②-1職員名簿'!AJ10="●"),IF($E10="正規職員","正",IF($E10="契約上の就業時間を記載","",IF($E10&gt;=M$5,"常",M10))),"-"))</f>
        <v/>
      </c>
      <c r="Z10" s="104" t="str">
        <f>IF($B10="","",IF(OR('②-1職員名簿'!AK10="○",'②-1職員名簿'!AK10="●"),IF($E10="正規職員","正",IF($E10="契約上の就業時間を記載","",IF($E10&gt;=N$5,"常",N10))),"-"))</f>
        <v/>
      </c>
      <c r="AA10" s="104" t="str">
        <f>IF($B10="","",IF(OR('②-1職員名簿'!AL10="○",'②-1職員名簿'!AL10="●"),IF($E10="正規職員","正",IF($E10="契約上の就業時間を記載","",IF($E10&gt;=O$5,"常",O10))),"-"))</f>
        <v/>
      </c>
      <c r="AB10" s="104" t="str">
        <f>IF($B10="","",IF(OR('②-1職員名簿'!AM10="○",'②-1職員名簿'!AM10="●"),IF($E10="正規職員","正",IF($E10="契約上の就業時間を記載","",IF($E10&gt;=P$5,"常",P10))),"-"))</f>
        <v/>
      </c>
      <c r="AC10" s="104" t="str">
        <f>IF($B10="","",IF(OR('②-1職員名簿'!AN10="○",'②-1職員名簿'!AN10="●"),IF($E10="正規職員","正",IF($E10="契約上の就業時間を記載","",IF($E10&gt;=Q$5,"常",Q10))),"-"))</f>
        <v/>
      </c>
      <c r="AE10" s="101" t="str">
        <f>IF('②-1職員名簿'!W10="","",'②-1職員名簿'!W10)</f>
        <v/>
      </c>
      <c r="AG10" s="135">
        <v>7</v>
      </c>
      <c r="AH10" s="106">
        <f>I5</f>
        <v>0</v>
      </c>
      <c r="AJ10" s="106" t="str">
        <f t="shared" si="11"/>
        <v>○</v>
      </c>
      <c r="AK10" s="106" t="str">
        <f t="shared" si="12"/>
        <v>○</v>
      </c>
      <c r="AL10" s="106" t="str">
        <f t="shared" si="13"/>
        <v>○</v>
      </c>
      <c r="AM10" s="106" t="str">
        <f t="shared" si="14"/>
        <v>○</v>
      </c>
      <c r="AN10" s="106" t="str">
        <f t="shared" si="15"/>
        <v>○</v>
      </c>
      <c r="AO10" s="106" t="str">
        <f t="shared" si="16"/>
        <v>○</v>
      </c>
      <c r="AP10" s="106" t="str">
        <f t="shared" si="17"/>
        <v>○</v>
      </c>
      <c r="AQ10" s="106" t="str">
        <f t="shared" si="18"/>
        <v>○</v>
      </c>
      <c r="AR10" s="106" t="str">
        <f t="shared" si="19"/>
        <v>○</v>
      </c>
      <c r="AS10" s="106" t="str">
        <f t="shared" si="20"/>
        <v>○</v>
      </c>
      <c r="AT10" s="106" t="str">
        <f t="shared" si="21"/>
        <v>○</v>
      </c>
      <c r="AU10" s="106" t="str">
        <f t="shared" si="22"/>
        <v>○</v>
      </c>
    </row>
    <row r="11" spans="1:47" s="106" customFormat="1" ht="23.15" customHeight="1">
      <c r="A11" s="102">
        <v>5</v>
      </c>
      <c r="B11" s="101" t="str">
        <f>IF('②-1職員名簿'!E11="","",'②-1職員名簿'!Y11)</f>
        <v/>
      </c>
      <c r="C11" s="104" t="str">
        <f>'②-1職員名簿'!BE11</f>
        <v/>
      </c>
      <c r="D11" s="136" t="str">
        <f t="shared" si="9"/>
        <v/>
      </c>
      <c r="E11" s="20" t="str">
        <f>IF($B11="","",IF(AND('②-1職員名簿'!C11="正",'②-1職員名簿'!D11="常"),"正規職員","契約上の就業時間を記載"))</f>
        <v/>
      </c>
      <c r="F11" s="10" t="str">
        <f>IF($B11="","",IF(OR('②-1職員名簿'!AC11="○",'②-1職員名簿'!AC11="●"),IF($E11="正規職員","正",IF($E11="契約上の就業時間を記載","","実績を入力")),"-"))</f>
        <v/>
      </c>
      <c r="G11" s="10" t="str">
        <f>IF($B11="","",IF(OR('②-1職員名簿'!AD11="○",'②-1職員名簿'!AD11="●"),IF($E11="正規職員","正",IF($E11="契約上の就業時間を記載","","実績を入力")),"-"))</f>
        <v/>
      </c>
      <c r="H11" s="10" t="str">
        <f>IF($B11="","",IF(OR('②-1職員名簿'!AE11="○",'②-1職員名簿'!AE11="●"),IF($E11="正規職員","正",IF($E11="契約上の就業時間を記載","","実績を入力")),"-"))</f>
        <v/>
      </c>
      <c r="I11" s="10" t="str">
        <f>IF($B11="","",IF(OR('②-1職員名簿'!AF11="○",'②-1職員名簿'!AF11="●"),IF($E11="正規職員","正",IF($E11="契約上の就業時間を記載","","実績を入力")),"-"))</f>
        <v/>
      </c>
      <c r="J11" s="10" t="str">
        <f>IF($B11="","",IF(OR('②-1職員名簿'!AG11="○",'②-1職員名簿'!AG11="●"),IF($E11="正規職員","正",IF($E11="契約上の就業時間を記載","","実績を入力")),"-"))</f>
        <v/>
      </c>
      <c r="K11" s="10" t="str">
        <f>IF($B11="","",IF(OR('②-1職員名簿'!AH11="○",'②-1職員名簿'!AH11="●"),IF($E11="正規職員","正",IF($E11="契約上の就業時間を記載","","実績を入力")),"-"))</f>
        <v/>
      </c>
      <c r="L11" s="10" t="str">
        <f>IF($B11="","",IF(OR('②-1職員名簿'!AI11="○",'②-1職員名簿'!AI11="●"),IF($E11="正規職員","正",IF($E11="契約上の就業時間を記載","","実績を入力")),"-"))</f>
        <v/>
      </c>
      <c r="M11" s="10" t="str">
        <f>IF($B11="","",IF(OR('②-1職員名簿'!AJ11="○",'②-1職員名簿'!AJ11="●"),IF($E11="正規職員","正",IF($E11="契約上の就業時間を記載","","実績を入力")),"-"))</f>
        <v/>
      </c>
      <c r="N11" s="10" t="str">
        <f>IF($B11="","",IF(OR('②-1職員名簿'!AK11="○",'②-1職員名簿'!AK11="●"),IF($E11="正規職員","正",IF($E11="契約上の就業時間を記載","","実績を入力")),"-"))</f>
        <v/>
      </c>
      <c r="O11" s="10" t="str">
        <f>IF($B11="","",IF(OR('②-1職員名簿'!AL11="○",'②-1職員名簿'!AL11="●"),IF($E11="正規職員","正",IF($E11="契約上の就業時間を記載","","実績を入力")),"-"))</f>
        <v/>
      </c>
      <c r="P11" s="10" t="str">
        <f>IF($B11="","",IF(OR('②-1職員名簿'!AM11="○",'②-1職員名簿'!AM11="●"),IF($E11="正規職員","正",IF($E11="契約上の就業時間を記載","","実績を入力")),"-"))</f>
        <v/>
      </c>
      <c r="Q11" s="10" t="str">
        <f>IF($B11="","",IF(OR('②-1職員名簿'!AN11="○",'②-1職員名簿'!AN11="●"),IF($E11="正規職員","正",IF($E11="契約上の就業時間を記載","","実績を入力")),"-"))</f>
        <v/>
      </c>
      <c r="R11" s="104" t="str">
        <f>IF($B11="","",IF(OR('②-1職員名簿'!AC11="○",'②-1職員名簿'!AC11="●"),IF($E11="正規職員","正",IF($E11="契約上の就業時間を記載","",IF($E11&gt;=F$5,"常",F11))),"-"))</f>
        <v/>
      </c>
      <c r="S11" s="104" t="str">
        <f>IF($B11="","",IF(OR('②-1職員名簿'!AD11="○",'②-1職員名簿'!AD11="●"),IF($E11="正規職員","正",IF($E11="契約上の就業時間を記載","",IF($E11&gt;=G$5,"常",G11))),"-"))</f>
        <v/>
      </c>
      <c r="T11" s="104" t="str">
        <f>IF($B11="","",IF(OR('②-1職員名簿'!AE11="○",'②-1職員名簿'!AE11="●"),IF($E11="正規職員","正",IF($E11="契約上の就業時間を記載","",IF($E11&gt;=H$5,"常",H11))),"-"))</f>
        <v/>
      </c>
      <c r="U11" s="104" t="str">
        <f>IF($B11="","",IF(OR('②-1職員名簿'!AF11="○",'②-1職員名簿'!AF11="●"),IF($E11="正規職員","正",IF($E11="契約上の就業時間を記載","",IF($E11&gt;=I$5,"常",I11))),"-"))</f>
        <v/>
      </c>
      <c r="V11" s="104" t="str">
        <f>IF($B11="","",IF(OR('②-1職員名簿'!AG11="○",'②-1職員名簿'!AG11="●"),IF($E11="正規職員","正",IF($E11="契約上の就業時間を記載","",IF($E11&gt;=J$5,"常",J11))),"-"))</f>
        <v/>
      </c>
      <c r="W11" s="104" t="str">
        <f>IF($B11="","",IF(OR('②-1職員名簿'!AH11="○",'②-1職員名簿'!AH11="●"),IF($E11="正規職員","正",IF($E11="契約上の就業時間を記載","",IF($E11&gt;=K$5,"常",K11))),"-"))</f>
        <v/>
      </c>
      <c r="X11" s="104" t="str">
        <f>IF($B11="","",IF(OR('②-1職員名簿'!AI11="○",'②-1職員名簿'!AI11="●"),IF($E11="正規職員","正",IF($E11="契約上の就業時間を記載","",IF($E11&gt;=L$5,"常",L11))),"-"))</f>
        <v/>
      </c>
      <c r="Y11" s="104" t="str">
        <f>IF($B11="","",IF(OR('②-1職員名簿'!AJ11="○",'②-1職員名簿'!AJ11="●"),IF($E11="正規職員","正",IF($E11="契約上の就業時間を記載","",IF($E11&gt;=M$5,"常",M11))),"-"))</f>
        <v/>
      </c>
      <c r="Z11" s="104" t="str">
        <f>IF($B11="","",IF(OR('②-1職員名簿'!AK11="○",'②-1職員名簿'!AK11="●"),IF($E11="正規職員","正",IF($E11="契約上の就業時間を記載","",IF($E11&gt;=N$5,"常",N11))),"-"))</f>
        <v/>
      </c>
      <c r="AA11" s="104" t="str">
        <f>IF($B11="","",IF(OR('②-1職員名簿'!AL11="○",'②-1職員名簿'!AL11="●"),IF($E11="正規職員","正",IF($E11="契約上の就業時間を記載","",IF($E11&gt;=O$5,"常",O11))),"-"))</f>
        <v/>
      </c>
      <c r="AB11" s="104" t="str">
        <f>IF($B11="","",IF(OR('②-1職員名簿'!AM11="○",'②-1職員名簿'!AM11="●"),IF($E11="正規職員","正",IF($E11="契約上の就業時間を記載","",IF($E11&gt;=P$5,"常",P11))),"-"))</f>
        <v/>
      </c>
      <c r="AC11" s="104" t="str">
        <f>IF($B11="","",IF(OR('②-1職員名簿'!AN11="○",'②-1職員名簿'!AN11="●"),IF($E11="正規職員","正",IF($E11="契約上の就業時間を記載","",IF($E11&gt;=Q$5,"常",Q11))),"-"))</f>
        <v/>
      </c>
      <c r="AE11" s="101" t="str">
        <f>IF('②-1職員名簿'!W11="","",'②-1職員名簿'!W11)</f>
        <v/>
      </c>
      <c r="AG11" s="135">
        <v>8</v>
      </c>
      <c r="AH11" s="106">
        <f>J5</f>
        <v>0</v>
      </c>
      <c r="AJ11" s="106" t="str">
        <f t="shared" si="11"/>
        <v>○</v>
      </c>
      <c r="AK11" s="106" t="str">
        <f t="shared" si="12"/>
        <v>○</v>
      </c>
      <c r="AL11" s="106" t="str">
        <f t="shared" si="13"/>
        <v>○</v>
      </c>
      <c r="AM11" s="106" t="str">
        <f t="shared" si="14"/>
        <v>○</v>
      </c>
      <c r="AN11" s="106" t="str">
        <f t="shared" si="15"/>
        <v>○</v>
      </c>
      <c r="AO11" s="106" t="str">
        <f t="shared" si="16"/>
        <v>○</v>
      </c>
      <c r="AP11" s="106" t="str">
        <f t="shared" si="17"/>
        <v>○</v>
      </c>
      <c r="AQ11" s="106" t="str">
        <f t="shared" si="18"/>
        <v>○</v>
      </c>
      <c r="AR11" s="106" t="str">
        <f t="shared" si="19"/>
        <v>○</v>
      </c>
      <c r="AS11" s="106" t="str">
        <f t="shared" si="20"/>
        <v>○</v>
      </c>
      <c r="AT11" s="106" t="str">
        <f t="shared" si="21"/>
        <v>○</v>
      </c>
      <c r="AU11" s="106" t="str">
        <f t="shared" si="22"/>
        <v>○</v>
      </c>
    </row>
    <row r="12" spans="1:47" s="106" customFormat="1" ht="23.15" customHeight="1">
      <c r="A12" s="102">
        <v>6</v>
      </c>
      <c r="B12" s="101" t="str">
        <f>IF('②-1職員名簿'!E12="","",'②-1職員名簿'!Y12)</f>
        <v/>
      </c>
      <c r="C12" s="104" t="str">
        <f>'②-1職員名簿'!BE12</f>
        <v/>
      </c>
      <c r="D12" s="136" t="str">
        <f t="shared" si="9"/>
        <v/>
      </c>
      <c r="E12" s="20" t="str">
        <f>IF($B12="","",IF(AND('②-1職員名簿'!C12="正",'②-1職員名簿'!D12="常"),"正規職員","契約上の就業時間を記載"))</f>
        <v/>
      </c>
      <c r="F12" s="10" t="str">
        <f>IF($B12="","",IF(OR('②-1職員名簿'!AC12="○",'②-1職員名簿'!AC12="●"),IF($E12="正規職員","正",IF($E12="契約上の就業時間を記載","","実績を入力")),"-"))</f>
        <v/>
      </c>
      <c r="G12" s="10" t="str">
        <f>IF($B12="","",IF(OR('②-1職員名簿'!AD12="○",'②-1職員名簿'!AD12="●"),IF($E12="正規職員","正",IF($E12="契約上の就業時間を記載","","実績を入力")),"-"))</f>
        <v/>
      </c>
      <c r="H12" s="10" t="str">
        <f>IF($B12="","",IF(OR('②-1職員名簿'!AE12="○",'②-1職員名簿'!AE12="●"),IF($E12="正規職員","正",IF($E12="契約上の就業時間を記載","","実績を入力")),"-"))</f>
        <v/>
      </c>
      <c r="I12" s="10" t="str">
        <f>IF($B12="","",IF(OR('②-1職員名簿'!AF12="○",'②-1職員名簿'!AF12="●"),IF($E12="正規職員","正",IF($E12="契約上の就業時間を記載","","実績を入力")),"-"))</f>
        <v/>
      </c>
      <c r="J12" s="10" t="str">
        <f>IF($B12="","",IF(OR('②-1職員名簿'!AG12="○",'②-1職員名簿'!AG12="●"),IF($E12="正規職員","正",IF($E12="契約上の就業時間を記載","","実績を入力")),"-"))</f>
        <v/>
      </c>
      <c r="K12" s="10" t="str">
        <f>IF($B12="","",IF(OR('②-1職員名簿'!AH12="○",'②-1職員名簿'!AH12="●"),IF($E12="正規職員","正",IF($E12="契約上の就業時間を記載","","実績を入力")),"-"))</f>
        <v/>
      </c>
      <c r="L12" s="10" t="str">
        <f>IF($B12="","",IF(OR('②-1職員名簿'!AI12="○",'②-1職員名簿'!AI12="●"),IF($E12="正規職員","正",IF($E12="契約上の就業時間を記載","","実績を入力")),"-"))</f>
        <v/>
      </c>
      <c r="M12" s="10" t="str">
        <f>IF($B12="","",IF(OR('②-1職員名簿'!AJ12="○",'②-1職員名簿'!AJ12="●"),IF($E12="正規職員","正",IF($E12="契約上の就業時間を記載","","実績を入力")),"-"))</f>
        <v/>
      </c>
      <c r="N12" s="10" t="str">
        <f>IF($B12="","",IF(OR('②-1職員名簿'!AK12="○",'②-1職員名簿'!AK12="●"),IF($E12="正規職員","正",IF($E12="契約上の就業時間を記載","","実績を入力")),"-"))</f>
        <v/>
      </c>
      <c r="O12" s="10" t="str">
        <f>IF($B12="","",IF(OR('②-1職員名簿'!AL12="○",'②-1職員名簿'!AL12="●"),IF($E12="正規職員","正",IF($E12="契約上の就業時間を記載","","実績を入力")),"-"))</f>
        <v/>
      </c>
      <c r="P12" s="10" t="str">
        <f>IF($B12="","",IF(OR('②-1職員名簿'!AM12="○",'②-1職員名簿'!AM12="●"),IF($E12="正規職員","正",IF($E12="契約上の就業時間を記載","","実績を入力")),"-"))</f>
        <v/>
      </c>
      <c r="Q12" s="10" t="str">
        <f>IF($B12="","",IF(OR('②-1職員名簿'!AN12="○",'②-1職員名簿'!AN12="●"),IF($E12="正規職員","正",IF($E12="契約上の就業時間を記載","","実績を入力")),"-"))</f>
        <v/>
      </c>
      <c r="R12" s="104" t="str">
        <f>IF($B12="","",IF(OR('②-1職員名簿'!AC12="○",'②-1職員名簿'!AC12="●"),IF($E12="正規職員","正",IF($E12="契約上の就業時間を記載","",IF($E12&gt;=F$5,"常",F12))),"-"))</f>
        <v/>
      </c>
      <c r="S12" s="104" t="str">
        <f>IF($B12="","",IF(OR('②-1職員名簿'!AD12="○",'②-1職員名簿'!AD12="●"),IF($E12="正規職員","正",IF($E12="契約上の就業時間を記載","",IF($E12&gt;=G$5,"常",G12))),"-"))</f>
        <v/>
      </c>
      <c r="T12" s="104" t="str">
        <f>IF($B12="","",IF(OR('②-1職員名簿'!AE12="○",'②-1職員名簿'!AE12="●"),IF($E12="正規職員","正",IF($E12="契約上の就業時間を記載","",IF($E12&gt;=H$5,"常",H12))),"-"))</f>
        <v/>
      </c>
      <c r="U12" s="104" t="str">
        <f>IF($B12="","",IF(OR('②-1職員名簿'!AF12="○",'②-1職員名簿'!AF12="●"),IF($E12="正規職員","正",IF($E12="契約上の就業時間を記載","",IF($E12&gt;=I$5,"常",I12))),"-"))</f>
        <v/>
      </c>
      <c r="V12" s="104" t="str">
        <f>IF($B12="","",IF(OR('②-1職員名簿'!AG12="○",'②-1職員名簿'!AG12="●"),IF($E12="正規職員","正",IF($E12="契約上の就業時間を記載","",IF($E12&gt;=J$5,"常",J12))),"-"))</f>
        <v/>
      </c>
      <c r="W12" s="104" t="str">
        <f>IF($B12="","",IF(OR('②-1職員名簿'!AH12="○",'②-1職員名簿'!AH12="●"),IF($E12="正規職員","正",IF($E12="契約上の就業時間を記載","",IF($E12&gt;=K$5,"常",K12))),"-"))</f>
        <v/>
      </c>
      <c r="X12" s="104" t="str">
        <f>IF($B12="","",IF(OR('②-1職員名簿'!AI12="○",'②-1職員名簿'!AI12="●"),IF($E12="正規職員","正",IF($E12="契約上の就業時間を記載","",IF($E12&gt;=L$5,"常",L12))),"-"))</f>
        <v/>
      </c>
      <c r="Y12" s="104" t="str">
        <f>IF($B12="","",IF(OR('②-1職員名簿'!AJ12="○",'②-1職員名簿'!AJ12="●"),IF($E12="正規職員","正",IF($E12="契約上の就業時間を記載","",IF($E12&gt;=M$5,"常",M12))),"-"))</f>
        <v/>
      </c>
      <c r="Z12" s="104" t="str">
        <f>IF($B12="","",IF(OR('②-1職員名簿'!AK12="○",'②-1職員名簿'!AK12="●"),IF($E12="正規職員","正",IF($E12="契約上の就業時間を記載","",IF($E12&gt;=N$5,"常",N12))),"-"))</f>
        <v/>
      </c>
      <c r="AA12" s="104" t="str">
        <f>IF($B12="","",IF(OR('②-1職員名簿'!AL12="○",'②-1職員名簿'!AL12="●"),IF($E12="正規職員","正",IF($E12="契約上の就業時間を記載","",IF($E12&gt;=O$5,"常",O12))),"-"))</f>
        <v/>
      </c>
      <c r="AB12" s="104" t="str">
        <f>IF($B12="","",IF(OR('②-1職員名簿'!AM12="○",'②-1職員名簿'!AM12="●"),IF($E12="正規職員","正",IF($E12="契約上の就業時間を記載","",IF($E12&gt;=P$5,"常",P12))),"-"))</f>
        <v/>
      </c>
      <c r="AC12" s="104" t="str">
        <f>IF($B12="","",IF(OR('②-1職員名簿'!AN12="○",'②-1職員名簿'!AN12="●"),IF($E12="正規職員","正",IF($E12="契約上の就業時間を記載","",IF($E12&gt;=Q$5,"常",Q12))),"-"))</f>
        <v/>
      </c>
      <c r="AE12" s="101" t="str">
        <f>IF('②-1職員名簿'!W12="","",'②-1職員名簿'!W12)</f>
        <v/>
      </c>
      <c r="AG12" s="135">
        <v>9</v>
      </c>
      <c r="AH12" s="106">
        <f>K5</f>
        <v>0</v>
      </c>
      <c r="AJ12" s="106" t="str">
        <f t="shared" si="11"/>
        <v>○</v>
      </c>
      <c r="AK12" s="106" t="str">
        <f t="shared" si="12"/>
        <v>○</v>
      </c>
      <c r="AL12" s="106" t="str">
        <f t="shared" si="13"/>
        <v>○</v>
      </c>
      <c r="AM12" s="106" t="str">
        <f t="shared" si="14"/>
        <v>○</v>
      </c>
      <c r="AN12" s="106" t="str">
        <f t="shared" si="15"/>
        <v>○</v>
      </c>
      <c r="AO12" s="106" t="str">
        <f t="shared" si="16"/>
        <v>○</v>
      </c>
      <c r="AP12" s="106" t="str">
        <f t="shared" si="17"/>
        <v>○</v>
      </c>
      <c r="AQ12" s="106" t="str">
        <f t="shared" si="18"/>
        <v>○</v>
      </c>
      <c r="AR12" s="106" t="str">
        <f t="shared" si="19"/>
        <v>○</v>
      </c>
      <c r="AS12" s="106" t="str">
        <f t="shared" si="20"/>
        <v>○</v>
      </c>
      <c r="AT12" s="106" t="str">
        <f t="shared" si="21"/>
        <v>○</v>
      </c>
      <c r="AU12" s="106" t="str">
        <f t="shared" si="22"/>
        <v>○</v>
      </c>
    </row>
    <row r="13" spans="1:47" s="106" customFormat="1" ht="23.15" customHeight="1">
      <c r="A13" s="102">
        <v>7</v>
      </c>
      <c r="B13" s="101" t="str">
        <f>IF('②-1職員名簿'!E13="","",'②-1職員名簿'!Y13)</f>
        <v/>
      </c>
      <c r="C13" s="104" t="str">
        <f>'②-1職員名簿'!BE13</f>
        <v/>
      </c>
      <c r="D13" s="136" t="str">
        <f t="shared" si="9"/>
        <v/>
      </c>
      <c r="E13" s="20" t="str">
        <f>IF($B13="","",IF(AND('②-1職員名簿'!C13="正",'②-1職員名簿'!D13="常"),"正規職員","契約上の就業時間を記載"))</f>
        <v/>
      </c>
      <c r="F13" s="10" t="str">
        <f>IF($B13="","",IF(OR('②-1職員名簿'!AC13="○",'②-1職員名簿'!AC13="●"),IF($E13="正規職員","正",IF($E13="契約上の就業時間を記載","","実績を入力")),"-"))</f>
        <v/>
      </c>
      <c r="G13" s="10" t="str">
        <f>IF($B13="","",IF(OR('②-1職員名簿'!AD13="○",'②-1職員名簿'!AD13="●"),IF($E13="正規職員","正",IF($E13="契約上の就業時間を記載","","実績を入力")),"-"))</f>
        <v/>
      </c>
      <c r="H13" s="10" t="str">
        <f>IF($B13="","",IF(OR('②-1職員名簿'!AE13="○",'②-1職員名簿'!AE13="●"),IF($E13="正規職員","正",IF($E13="契約上の就業時間を記載","","実績を入力")),"-"))</f>
        <v/>
      </c>
      <c r="I13" s="10" t="str">
        <f>IF($B13="","",IF(OR('②-1職員名簿'!AF13="○",'②-1職員名簿'!AF13="●"),IF($E13="正規職員","正",IF($E13="契約上の就業時間を記載","","実績を入力")),"-"))</f>
        <v/>
      </c>
      <c r="J13" s="10" t="str">
        <f>IF($B13="","",IF(OR('②-1職員名簿'!AG13="○",'②-1職員名簿'!AG13="●"),IF($E13="正規職員","正",IF($E13="契約上の就業時間を記載","","実績を入力")),"-"))</f>
        <v/>
      </c>
      <c r="K13" s="10" t="str">
        <f>IF($B13="","",IF(OR('②-1職員名簿'!AH13="○",'②-1職員名簿'!AH13="●"),IF($E13="正規職員","正",IF($E13="契約上の就業時間を記載","","実績を入力")),"-"))</f>
        <v/>
      </c>
      <c r="L13" s="10" t="str">
        <f>IF($B13="","",IF(OR('②-1職員名簿'!AI13="○",'②-1職員名簿'!AI13="●"),IF($E13="正規職員","正",IF($E13="契約上の就業時間を記載","","実績を入力")),"-"))</f>
        <v/>
      </c>
      <c r="M13" s="10" t="str">
        <f>IF($B13="","",IF(OR('②-1職員名簿'!AJ13="○",'②-1職員名簿'!AJ13="●"),IF($E13="正規職員","正",IF($E13="契約上の就業時間を記載","","実績を入力")),"-"))</f>
        <v/>
      </c>
      <c r="N13" s="10" t="str">
        <f>IF($B13="","",IF(OR('②-1職員名簿'!AK13="○",'②-1職員名簿'!AK13="●"),IF($E13="正規職員","正",IF($E13="契約上の就業時間を記載","","実績を入力")),"-"))</f>
        <v/>
      </c>
      <c r="O13" s="10" t="str">
        <f>IF($B13="","",IF(OR('②-1職員名簿'!AL13="○",'②-1職員名簿'!AL13="●"),IF($E13="正規職員","正",IF($E13="契約上の就業時間を記載","","実績を入力")),"-"))</f>
        <v/>
      </c>
      <c r="P13" s="10" t="str">
        <f>IF($B13="","",IF(OR('②-1職員名簿'!AM13="○",'②-1職員名簿'!AM13="●"),IF($E13="正規職員","正",IF($E13="契約上の就業時間を記載","","実績を入力")),"-"))</f>
        <v/>
      </c>
      <c r="Q13" s="10" t="str">
        <f>IF($B13="","",IF(OR('②-1職員名簿'!AN13="○",'②-1職員名簿'!AN13="●"),IF($E13="正規職員","正",IF($E13="契約上の就業時間を記載","","実績を入力")),"-"))</f>
        <v/>
      </c>
      <c r="R13" s="104" t="str">
        <f>IF($B13="","",IF(OR('②-1職員名簿'!AC13="○",'②-1職員名簿'!AC13="●"),IF($E13="正規職員","正",IF($E13="契約上の就業時間を記載","",IF($E13&gt;=F$5,"常",F13))),"-"))</f>
        <v/>
      </c>
      <c r="S13" s="104" t="str">
        <f>IF($B13="","",IF(OR('②-1職員名簿'!AD13="○",'②-1職員名簿'!AD13="●"),IF($E13="正規職員","正",IF($E13="契約上の就業時間を記載","",IF($E13&gt;=G$5,"常",G13))),"-"))</f>
        <v/>
      </c>
      <c r="T13" s="104" t="str">
        <f>IF($B13="","",IF(OR('②-1職員名簿'!AE13="○",'②-1職員名簿'!AE13="●"),IF($E13="正規職員","正",IF($E13="契約上の就業時間を記載","",IF($E13&gt;=H$5,"常",H13))),"-"))</f>
        <v/>
      </c>
      <c r="U13" s="104" t="str">
        <f>IF($B13="","",IF(OR('②-1職員名簿'!AF13="○",'②-1職員名簿'!AF13="●"),IF($E13="正規職員","正",IF($E13="契約上の就業時間を記載","",IF($E13&gt;=I$5,"常",I13))),"-"))</f>
        <v/>
      </c>
      <c r="V13" s="104" t="str">
        <f>IF($B13="","",IF(OR('②-1職員名簿'!AG13="○",'②-1職員名簿'!AG13="●"),IF($E13="正規職員","正",IF($E13="契約上の就業時間を記載","",IF($E13&gt;=J$5,"常",J13))),"-"))</f>
        <v/>
      </c>
      <c r="W13" s="104" t="str">
        <f>IF($B13="","",IF(OR('②-1職員名簿'!AH13="○",'②-1職員名簿'!AH13="●"),IF($E13="正規職員","正",IF($E13="契約上の就業時間を記載","",IF($E13&gt;=K$5,"常",K13))),"-"))</f>
        <v/>
      </c>
      <c r="X13" s="104" t="str">
        <f>IF($B13="","",IF(OR('②-1職員名簿'!AI13="○",'②-1職員名簿'!AI13="●"),IF($E13="正規職員","正",IF($E13="契約上の就業時間を記載","",IF($E13&gt;=L$5,"常",L13))),"-"))</f>
        <v/>
      </c>
      <c r="Y13" s="104" t="str">
        <f>IF($B13="","",IF(OR('②-1職員名簿'!AJ13="○",'②-1職員名簿'!AJ13="●"),IF($E13="正規職員","正",IF($E13="契約上の就業時間を記載","",IF($E13&gt;=M$5,"常",M13))),"-"))</f>
        <v/>
      </c>
      <c r="Z13" s="104" t="str">
        <f>IF($B13="","",IF(OR('②-1職員名簿'!AK13="○",'②-1職員名簿'!AK13="●"),IF($E13="正規職員","正",IF($E13="契約上の就業時間を記載","",IF($E13&gt;=N$5,"常",N13))),"-"))</f>
        <v/>
      </c>
      <c r="AA13" s="104" t="str">
        <f>IF($B13="","",IF(OR('②-1職員名簿'!AL13="○",'②-1職員名簿'!AL13="●"),IF($E13="正規職員","正",IF($E13="契約上の就業時間を記載","",IF($E13&gt;=O$5,"常",O13))),"-"))</f>
        <v/>
      </c>
      <c r="AB13" s="104" t="str">
        <f>IF($B13="","",IF(OR('②-1職員名簿'!AM13="○",'②-1職員名簿'!AM13="●"),IF($E13="正規職員","正",IF($E13="契約上の就業時間を記載","",IF($E13&gt;=P$5,"常",P13))),"-"))</f>
        <v/>
      </c>
      <c r="AC13" s="104" t="str">
        <f>IF($B13="","",IF(OR('②-1職員名簿'!AN13="○",'②-1職員名簿'!AN13="●"),IF($E13="正規職員","正",IF($E13="契約上の就業時間を記載","",IF($E13&gt;=Q$5,"常",Q13))),"-"))</f>
        <v/>
      </c>
      <c r="AE13" s="101" t="str">
        <f>IF('②-1職員名簿'!W13="","",'②-1職員名簿'!W13)</f>
        <v/>
      </c>
      <c r="AG13" s="135">
        <v>10</v>
      </c>
      <c r="AH13" s="106">
        <f>L5</f>
        <v>0</v>
      </c>
      <c r="AJ13" s="106" t="str">
        <f t="shared" si="11"/>
        <v>○</v>
      </c>
      <c r="AK13" s="106" t="str">
        <f t="shared" si="12"/>
        <v>○</v>
      </c>
      <c r="AL13" s="106" t="str">
        <f t="shared" si="13"/>
        <v>○</v>
      </c>
      <c r="AM13" s="106" t="str">
        <f t="shared" si="14"/>
        <v>○</v>
      </c>
      <c r="AN13" s="106" t="str">
        <f t="shared" si="15"/>
        <v>○</v>
      </c>
      <c r="AO13" s="106" t="str">
        <f t="shared" si="16"/>
        <v>○</v>
      </c>
      <c r="AP13" s="106" t="str">
        <f t="shared" si="17"/>
        <v>○</v>
      </c>
      <c r="AQ13" s="106" t="str">
        <f t="shared" si="18"/>
        <v>○</v>
      </c>
      <c r="AR13" s="106" t="str">
        <f t="shared" si="19"/>
        <v>○</v>
      </c>
      <c r="AS13" s="106" t="str">
        <f t="shared" si="20"/>
        <v>○</v>
      </c>
      <c r="AT13" s="106" t="str">
        <f t="shared" si="21"/>
        <v>○</v>
      </c>
      <c r="AU13" s="106" t="str">
        <f t="shared" si="22"/>
        <v>○</v>
      </c>
    </row>
    <row r="14" spans="1:47" s="106" customFormat="1" ht="23.15" customHeight="1">
      <c r="A14" s="102">
        <v>8</v>
      </c>
      <c r="B14" s="101" t="str">
        <f>IF('②-1職員名簿'!E14="","",'②-1職員名簿'!Y14)</f>
        <v/>
      </c>
      <c r="C14" s="104" t="str">
        <f>'②-1職員名簿'!BE14</f>
        <v/>
      </c>
      <c r="D14" s="136" t="str">
        <f t="shared" si="9"/>
        <v/>
      </c>
      <c r="E14" s="20" t="str">
        <f>IF($B14="","",IF(AND('②-1職員名簿'!C14="正",'②-1職員名簿'!D14="常"),"正規職員","契約上の就業時間を記載"))</f>
        <v/>
      </c>
      <c r="F14" s="10" t="str">
        <f>IF($B14="","",IF(OR('②-1職員名簿'!AC14="○",'②-1職員名簿'!AC14="●"),IF($E14="正規職員","正",IF($E14="契約上の就業時間を記載","","実績を入力")),"-"))</f>
        <v/>
      </c>
      <c r="G14" s="10" t="str">
        <f>IF($B14="","",IF(OR('②-1職員名簿'!AD14="○",'②-1職員名簿'!AD14="●"),IF($E14="正規職員","正",IF($E14="契約上の就業時間を記載","","実績を入力")),"-"))</f>
        <v/>
      </c>
      <c r="H14" s="10" t="str">
        <f>IF($B14="","",IF(OR('②-1職員名簿'!AE14="○",'②-1職員名簿'!AE14="●"),IF($E14="正規職員","正",IF($E14="契約上の就業時間を記載","","実績を入力")),"-"))</f>
        <v/>
      </c>
      <c r="I14" s="10" t="str">
        <f>IF($B14="","",IF(OR('②-1職員名簿'!AF14="○",'②-1職員名簿'!AF14="●"),IF($E14="正規職員","正",IF($E14="契約上の就業時間を記載","","実績を入力")),"-"))</f>
        <v/>
      </c>
      <c r="J14" s="10" t="str">
        <f>IF($B14="","",IF(OR('②-1職員名簿'!AG14="○",'②-1職員名簿'!AG14="●"),IF($E14="正規職員","正",IF($E14="契約上の就業時間を記載","","実績を入力")),"-"))</f>
        <v/>
      </c>
      <c r="K14" s="10" t="str">
        <f>IF($B14="","",IF(OR('②-1職員名簿'!AH14="○",'②-1職員名簿'!AH14="●"),IF($E14="正規職員","正",IF($E14="契約上の就業時間を記載","","実績を入力")),"-"))</f>
        <v/>
      </c>
      <c r="L14" s="10" t="str">
        <f>IF($B14="","",IF(OR('②-1職員名簿'!AI14="○",'②-1職員名簿'!AI14="●"),IF($E14="正規職員","正",IF($E14="契約上の就業時間を記載","","実績を入力")),"-"))</f>
        <v/>
      </c>
      <c r="M14" s="10" t="str">
        <f>IF($B14="","",IF(OR('②-1職員名簿'!AJ14="○",'②-1職員名簿'!AJ14="●"),IF($E14="正規職員","正",IF($E14="契約上の就業時間を記載","","実績を入力")),"-"))</f>
        <v/>
      </c>
      <c r="N14" s="10" t="str">
        <f>IF($B14="","",IF(OR('②-1職員名簿'!AK14="○",'②-1職員名簿'!AK14="●"),IF($E14="正規職員","正",IF($E14="契約上の就業時間を記載","","実績を入力")),"-"))</f>
        <v/>
      </c>
      <c r="O14" s="10" t="str">
        <f>IF($B14="","",IF(OR('②-1職員名簿'!AL14="○",'②-1職員名簿'!AL14="●"),IF($E14="正規職員","正",IF($E14="契約上の就業時間を記載","","実績を入力")),"-"))</f>
        <v/>
      </c>
      <c r="P14" s="10" t="str">
        <f>IF($B14="","",IF(OR('②-1職員名簿'!AM14="○",'②-1職員名簿'!AM14="●"),IF($E14="正規職員","正",IF($E14="契約上の就業時間を記載","","実績を入力")),"-"))</f>
        <v/>
      </c>
      <c r="Q14" s="10" t="str">
        <f>IF($B14="","",IF(OR('②-1職員名簿'!AN14="○",'②-1職員名簿'!AN14="●"),IF($E14="正規職員","正",IF($E14="契約上の就業時間を記載","","実績を入力")),"-"))</f>
        <v/>
      </c>
      <c r="R14" s="104" t="str">
        <f>IF($B14="","",IF(OR('②-1職員名簿'!AC14="○",'②-1職員名簿'!AC14="●"),IF($E14="正規職員","正",IF($E14="契約上の就業時間を記載","",IF($E14&gt;=F$5,"常",F14))),"-"))</f>
        <v/>
      </c>
      <c r="S14" s="104" t="str">
        <f>IF($B14="","",IF(OR('②-1職員名簿'!AD14="○",'②-1職員名簿'!AD14="●"),IF($E14="正規職員","正",IF($E14="契約上の就業時間を記載","",IF($E14&gt;=G$5,"常",G14))),"-"))</f>
        <v/>
      </c>
      <c r="T14" s="104" t="str">
        <f>IF($B14="","",IF(OR('②-1職員名簿'!AE14="○",'②-1職員名簿'!AE14="●"),IF($E14="正規職員","正",IF($E14="契約上の就業時間を記載","",IF($E14&gt;=H$5,"常",H14))),"-"))</f>
        <v/>
      </c>
      <c r="U14" s="104" t="str">
        <f>IF($B14="","",IF(OR('②-1職員名簿'!AF14="○",'②-1職員名簿'!AF14="●"),IF($E14="正規職員","正",IF($E14="契約上の就業時間を記載","",IF($E14&gt;=I$5,"常",I14))),"-"))</f>
        <v/>
      </c>
      <c r="V14" s="104" t="str">
        <f>IF($B14="","",IF(OR('②-1職員名簿'!AG14="○",'②-1職員名簿'!AG14="●"),IF($E14="正規職員","正",IF($E14="契約上の就業時間を記載","",IF($E14&gt;=J$5,"常",J14))),"-"))</f>
        <v/>
      </c>
      <c r="W14" s="104" t="str">
        <f>IF($B14="","",IF(OR('②-1職員名簿'!AH14="○",'②-1職員名簿'!AH14="●"),IF($E14="正規職員","正",IF($E14="契約上の就業時間を記載","",IF($E14&gt;=K$5,"常",K14))),"-"))</f>
        <v/>
      </c>
      <c r="X14" s="104" t="str">
        <f>IF($B14="","",IF(OR('②-1職員名簿'!AI14="○",'②-1職員名簿'!AI14="●"),IF($E14="正規職員","正",IF($E14="契約上の就業時間を記載","",IF($E14&gt;=L$5,"常",L14))),"-"))</f>
        <v/>
      </c>
      <c r="Y14" s="104" t="str">
        <f>IF($B14="","",IF(OR('②-1職員名簿'!AJ14="○",'②-1職員名簿'!AJ14="●"),IF($E14="正規職員","正",IF($E14="契約上の就業時間を記載","",IF($E14&gt;=M$5,"常",M14))),"-"))</f>
        <v/>
      </c>
      <c r="Z14" s="104" t="str">
        <f>IF($B14="","",IF(OR('②-1職員名簿'!AK14="○",'②-1職員名簿'!AK14="●"),IF($E14="正規職員","正",IF($E14="契約上の就業時間を記載","",IF($E14&gt;=N$5,"常",N14))),"-"))</f>
        <v/>
      </c>
      <c r="AA14" s="104" t="str">
        <f>IF($B14="","",IF(OR('②-1職員名簿'!AL14="○",'②-1職員名簿'!AL14="●"),IF($E14="正規職員","正",IF($E14="契約上の就業時間を記載","",IF($E14&gt;=O$5,"常",O14))),"-"))</f>
        <v/>
      </c>
      <c r="AB14" s="104" t="str">
        <f>IF($B14="","",IF(OR('②-1職員名簿'!AM14="○",'②-1職員名簿'!AM14="●"),IF($E14="正規職員","正",IF($E14="契約上の就業時間を記載","",IF($E14&gt;=P$5,"常",P14))),"-"))</f>
        <v/>
      </c>
      <c r="AC14" s="104" t="str">
        <f>IF($B14="","",IF(OR('②-1職員名簿'!AN14="○",'②-1職員名簿'!AN14="●"),IF($E14="正規職員","正",IF($E14="契約上の就業時間を記載","",IF($E14&gt;=Q$5,"常",Q14))),"-"))</f>
        <v/>
      </c>
      <c r="AE14" s="101" t="str">
        <f>IF('②-1職員名簿'!W14="","",'②-1職員名簿'!W14)</f>
        <v/>
      </c>
      <c r="AG14" s="135">
        <v>11</v>
      </c>
      <c r="AH14" s="106">
        <f>M5</f>
        <v>0</v>
      </c>
      <c r="AJ14" s="106" t="str">
        <f t="shared" si="11"/>
        <v>○</v>
      </c>
      <c r="AK14" s="106" t="str">
        <f t="shared" si="12"/>
        <v>○</v>
      </c>
      <c r="AL14" s="106" t="str">
        <f t="shared" si="13"/>
        <v>○</v>
      </c>
      <c r="AM14" s="106" t="str">
        <f t="shared" si="14"/>
        <v>○</v>
      </c>
      <c r="AN14" s="106" t="str">
        <f t="shared" si="15"/>
        <v>○</v>
      </c>
      <c r="AO14" s="106" t="str">
        <f t="shared" si="16"/>
        <v>○</v>
      </c>
      <c r="AP14" s="106" t="str">
        <f t="shared" si="17"/>
        <v>○</v>
      </c>
      <c r="AQ14" s="106" t="str">
        <f t="shared" si="18"/>
        <v>○</v>
      </c>
      <c r="AR14" s="106" t="str">
        <f t="shared" si="19"/>
        <v>○</v>
      </c>
      <c r="AS14" s="106" t="str">
        <f t="shared" si="20"/>
        <v>○</v>
      </c>
      <c r="AT14" s="106" t="str">
        <f t="shared" si="21"/>
        <v>○</v>
      </c>
      <c r="AU14" s="106" t="str">
        <f t="shared" si="22"/>
        <v>○</v>
      </c>
    </row>
    <row r="15" spans="1:47" s="106" customFormat="1" ht="23.15" customHeight="1">
      <c r="A15" s="102">
        <v>9</v>
      </c>
      <c r="B15" s="101" t="str">
        <f>IF('②-1職員名簿'!E15="","",'②-1職員名簿'!Y15)</f>
        <v/>
      </c>
      <c r="C15" s="104" t="str">
        <f>'②-1職員名簿'!BE15</f>
        <v/>
      </c>
      <c r="D15" s="136" t="str">
        <f t="shared" si="9"/>
        <v/>
      </c>
      <c r="E15" s="20" t="str">
        <f>IF($B15="","",IF(AND('②-1職員名簿'!C15="正",'②-1職員名簿'!D15="常"),"正規職員","契約上の就業時間を記載"))</f>
        <v/>
      </c>
      <c r="F15" s="10" t="str">
        <f>IF($B15="","",IF(OR('②-1職員名簿'!AC15="○",'②-1職員名簿'!AC15="●"),IF($E15="正規職員","正",IF($E15="契約上の就業時間を記載","","実績を入力")),"-"))</f>
        <v/>
      </c>
      <c r="G15" s="10" t="str">
        <f>IF($B15="","",IF(OR('②-1職員名簿'!AD15="○",'②-1職員名簿'!AD15="●"),IF($E15="正規職員","正",IF($E15="契約上の就業時間を記載","","実績を入力")),"-"))</f>
        <v/>
      </c>
      <c r="H15" s="10" t="str">
        <f>IF($B15="","",IF(OR('②-1職員名簿'!AE15="○",'②-1職員名簿'!AE15="●"),IF($E15="正規職員","正",IF($E15="契約上の就業時間を記載","","実績を入力")),"-"))</f>
        <v/>
      </c>
      <c r="I15" s="10" t="str">
        <f>IF($B15="","",IF(OR('②-1職員名簿'!AF15="○",'②-1職員名簿'!AF15="●"),IF($E15="正規職員","正",IF($E15="契約上の就業時間を記載","","実績を入力")),"-"))</f>
        <v/>
      </c>
      <c r="J15" s="10" t="str">
        <f>IF($B15="","",IF(OR('②-1職員名簿'!AG15="○",'②-1職員名簿'!AG15="●"),IF($E15="正規職員","正",IF($E15="契約上の就業時間を記載","","実績を入力")),"-"))</f>
        <v/>
      </c>
      <c r="K15" s="10" t="str">
        <f>IF($B15="","",IF(OR('②-1職員名簿'!AH15="○",'②-1職員名簿'!AH15="●"),IF($E15="正規職員","正",IF($E15="契約上の就業時間を記載","","実績を入力")),"-"))</f>
        <v/>
      </c>
      <c r="L15" s="10" t="str">
        <f>IF($B15="","",IF(OR('②-1職員名簿'!AI15="○",'②-1職員名簿'!AI15="●"),IF($E15="正規職員","正",IF($E15="契約上の就業時間を記載","","実績を入力")),"-"))</f>
        <v/>
      </c>
      <c r="M15" s="10" t="str">
        <f>IF($B15="","",IF(OR('②-1職員名簿'!AJ15="○",'②-1職員名簿'!AJ15="●"),IF($E15="正規職員","正",IF($E15="契約上の就業時間を記載","","実績を入力")),"-"))</f>
        <v/>
      </c>
      <c r="N15" s="10" t="str">
        <f>IF($B15="","",IF(OR('②-1職員名簿'!AK15="○",'②-1職員名簿'!AK15="●"),IF($E15="正規職員","正",IF($E15="契約上の就業時間を記載","","実績を入力")),"-"))</f>
        <v/>
      </c>
      <c r="O15" s="10" t="str">
        <f>IF($B15="","",IF(OR('②-1職員名簿'!AL15="○",'②-1職員名簿'!AL15="●"),IF($E15="正規職員","正",IF($E15="契約上の就業時間を記載","","実績を入力")),"-"))</f>
        <v/>
      </c>
      <c r="P15" s="10" t="str">
        <f>IF($B15="","",IF(OR('②-1職員名簿'!AM15="○",'②-1職員名簿'!AM15="●"),IF($E15="正規職員","正",IF($E15="契約上の就業時間を記載","","実績を入力")),"-"))</f>
        <v/>
      </c>
      <c r="Q15" s="10" t="str">
        <f>IF($B15="","",IF(OR('②-1職員名簿'!AN15="○",'②-1職員名簿'!AN15="●"),IF($E15="正規職員","正",IF($E15="契約上の就業時間を記載","","実績を入力")),"-"))</f>
        <v/>
      </c>
      <c r="R15" s="104" t="str">
        <f>IF($B15="","",IF(OR('②-1職員名簿'!AC15="○",'②-1職員名簿'!AC15="●"),IF($E15="正規職員","正",IF($E15="契約上の就業時間を記載","",IF($E15&gt;=F$5,"常",F15))),"-"))</f>
        <v/>
      </c>
      <c r="S15" s="104" t="str">
        <f>IF($B15="","",IF(OR('②-1職員名簿'!AD15="○",'②-1職員名簿'!AD15="●"),IF($E15="正規職員","正",IF($E15="契約上の就業時間を記載","",IF($E15&gt;=G$5,"常",G15))),"-"))</f>
        <v/>
      </c>
      <c r="T15" s="104" t="str">
        <f>IF($B15="","",IF(OR('②-1職員名簿'!AE15="○",'②-1職員名簿'!AE15="●"),IF($E15="正規職員","正",IF($E15="契約上の就業時間を記載","",IF($E15&gt;=H$5,"常",H15))),"-"))</f>
        <v/>
      </c>
      <c r="U15" s="104" t="str">
        <f>IF($B15="","",IF(OR('②-1職員名簿'!AF15="○",'②-1職員名簿'!AF15="●"),IF($E15="正規職員","正",IF($E15="契約上の就業時間を記載","",IF($E15&gt;=I$5,"常",I15))),"-"))</f>
        <v/>
      </c>
      <c r="V15" s="104" t="str">
        <f>IF($B15="","",IF(OR('②-1職員名簿'!AG15="○",'②-1職員名簿'!AG15="●"),IF($E15="正規職員","正",IF($E15="契約上の就業時間を記載","",IF($E15&gt;=J$5,"常",J15))),"-"))</f>
        <v/>
      </c>
      <c r="W15" s="104" t="str">
        <f>IF($B15="","",IF(OR('②-1職員名簿'!AH15="○",'②-1職員名簿'!AH15="●"),IF($E15="正規職員","正",IF($E15="契約上の就業時間を記載","",IF($E15&gt;=K$5,"常",K15))),"-"))</f>
        <v/>
      </c>
      <c r="X15" s="104" t="str">
        <f>IF($B15="","",IF(OR('②-1職員名簿'!AI15="○",'②-1職員名簿'!AI15="●"),IF($E15="正規職員","正",IF($E15="契約上の就業時間を記載","",IF($E15&gt;=L$5,"常",L15))),"-"))</f>
        <v/>
      </c>
      <c r="Y15" s="104" t="str">
        <f>IF($B15="","",IF(OR('②-1職員名簿'!AJ15="○",'②-1職員名簿'!AJ15="●"),IF($E15="正規職員","正",IF($E15="契約上の就業時間を記載","",IF($E15&gt;=M$5,"常",M15))),"-"))</f>
        <v/>
      </c>
      <c r="Z15" s="104" t="str">
        <f>IF($B15="","",IF(OR('②-1職員名簿'!AK15="○",'②-1職員名簿'!AK15="●"),IF($E15="正規職員","正",IF($E15="契約上の就業時間を記載","",IF($E15&gt;=N$5,"常",N15))),"-"))</f>
        <v/>
      </c>
      <c r="AA15" s="104" t="str">
        <f>IF($B15="","",IF(OR('②-1職員名簿'!AL15="○",'②-1職員名簿'!AL15="●"),IF($E15="正規職員","正",IF($E15="契約上の就業時間を記載","",IF($E15&gt;=O$5,"常",O15))),"-"))</f>
        <v/>
      </c>
      <c r="AB15" s="104" t="str">
        <f>IF($B15="","",IF(OR('②-1職員名簿'!AM15="○",'②-1職員名簿'!AM15="●"),IF($E15="正規職員","正",IF($E15="契約上の就業時間を記載","",IF($E15&gt;=P$5,"常",P15))),"-"))</f>
        <v/>
      </c>
      <c r="AC15" s="104" t="str">
        <f>IF($B15="","",IF(OR('②-1職員名簿'!AN15="○",'②-1職員名簿'!AN15="●"),IF($E15="正規職員","正",IF($E15="契約上の就業時間を記載","",IF($E15&gt;=Q$5,"常",Q15))),"-"))</f>
        <v/>
      </c>
      <c r="AE15" s="101" t="str">
        <f>IF('②-1職員名簿'!W15="","",'②-1職員名簿'!W15)</f>
        <v/>
      </c>
      <c r="AG15" s="135">
        <v>12</v>
      </c>
      <c r="AH15" s="106">
        <f>N5</f>
        <v>0</v>
      </c>
      <c r="AJ15" s="106" t="str">
        <f t="shared" si="11"/>
        <v>○</v>
      </c>
      <c r="AK15" s="106" t="str">
        <f t="shared" si="12"/>
        <v>○</v>
      </c>
      <c r="AL15" s="106" t="str">
        <f t="shared" si="13"/>
        <v>○</v>
      </c>
      <c r="AM15" s="106" t="str">
        <f t="shared" si="14"/>
        <v>○</v>
      </c>
      <c r="AN15" s="106" t="str">
        <f t="shared" si="15"/>
        <v>○</v>
      </c>
      <c r="AO15" s="106" t="str">
        <f t="shared" si="16"/>
        <v>○</v>
      </c>
      <c r="AP15" s="106" t="str">
        <f t="shared" si="17"/>
        <v>○</v>
      </c>
      <c r="AQ15" s="106" t="str">
        <f t="shared" si="18"/>
        <v>○</v>
      </c>
      <c r="AR15" s="106" t="str">
        <f t="shared" si="19"/>
        <v>○</v>
      </c>
      <c r="AS15" s="106" t="str">
        <f t="shared" si="20"/>
        <v>○</v>
      </c>
      <c r="AT15" s="106" t="str">
        <f t="shared" si="21"/>
        <v>○</v>
      </c>
      <c r="AU15" s="106" t="str">
        <f t="shared" si="22"/>
        <v>○</v>
      </c>
    </row>
    <row r="16" spans="1:47" s="106" customFormat="1" ht="23.15" customHeight="1">
      <c r="A16" s="102">
        <v>10</v>
      </c>
      <c r="B16" s="101" t="str">
        <f>IF('②-1職員名簿'!E16="","",'②-1職員名簿'!Y16)</f>
        <v/>
      </c>
      <c r="C16" s="104" t="str">
        <f>'②-1職員名簿'!BE16</f>
        <v/>
      </c>
      <c r="D16" s="136" t="str">
        <f t="shared" si="9"/>
        <v/>
      </c>
      <c r="E16" s="20" t="str">
        <f>IF($B16="","",IF(AND('②-1職員名簿'!C16="正",'②-1職員名簿'!D16="常"),"正規職員","契約上の就業時間を記載"))</f>
        <v/>
      </c>
      <c r="F16" s="10" t="str">
        <f>IF($B16="","",IF(OR('②-1職員名簿'!AC16="○",'②-1職員名簿'!AC16="●"),IF($E16="正規職員","正",IF($E16="契約上の就業時間を記載","","実績を入力")),"-"))</f>
        <v/>
      </c>
      <c r="G16" s="10" t="str">
        <f>IF($B16="","",IF(OR('②-1職員名簿'!AD16="○",'②-1職員名簿'!AD16="●"),IF($E16="正規職員","正",IF($E16="契約上の就業時間を記載","","実績を入力")),"-"))</f>
        <v/>
      </c>
      <c r="H16" s="10" t="str">
        <f>IF($B16="","",IF(OR('②-1職員名簿'!AE16="○",'②-1職員名簿'!AE16="●"),IF($E16="正規職員","正",IF($E16="契約上の就業時間を記載","","実績を入力")),"-"))</f>
        <v/>
      </c>
      <c r="I16" s="10" t="str">
        <f>IF($B16="","",IF(OR('②-1職員名簿'!AF16="○",'②-1職員名簿'!AF16="●"),IF($E16="正規職員","正",IF($E16="契約上の就業時間を記載","","実績を入力")),"-"))</f>
        <v/>
      </c>
      <c r="J16" s="10" t="str">
        <f>IF($B16="","",IF(OR('②-1職員名簿'!AG16="○",'②-1職員名簿'!AG16="●"),IF($E16="正規職員","正",IF($E16="契約上の就業時間を記載","","実績を入力")),"-"))</f>
        <v/>
      </c>
      <c r="K16" s="10" t="str">
        <f>IF($B16="","",IF(OR('②-1職員名簿'!AH16="○",'②-1職員名簿'!AH16="●"),IF($E16="正規職員","正",IF($E16="契約上の就業時間を記載","","実績を入力")),"-"))</f>
        <v/>
      </c>
      <c r="L16" s="10" t="str">
        <f>IF($B16="","",IF(OR('②-1職員名簿'!AI16="○",'②-1職員名簿'!AI16="●"),IF($E16="正規職員","正",IF($E16="契約上の就業時間を記載","","実績を入力")),"-"))</f>
        <v/>
      </c>
      <c r="M16" s="10" t="str">
        <f>IF($B16="","",IF(OR('②-1職員名簿'!AJ16="○",'②-1職員名簿'!AJ16="●"),IF($E16="正規職員","正",IF($E16="契約上の就業時間を記載","","実績を入力")),"-"))</f>
        <v/>
      </c>
      <c r="N16" s="10" t="str">
        <f>IF($B16="","",IF(OR('②-1職員名簿'!AK16="○",'②-1職員名簿'!AK16="●"),IF($E16="正規職員","正",IF($E16="契約上の就業時間を記載","","実績を入力")),"-"))</f>
        <v/>
      </c>
      <c r="O16" s="10" t="str">
        <f>IF($B16="","",IF(OR('②-1職員名簿'!AL16="○",'②-1職員名簿'!AL16="●"),IF($E16="正規職員","正",IF($E16="契約上の就業時間を記載","","実績を入力")),"-"))</f>
        <v/>
      </c>
      <c r="P16" s="10" t="str">
        <f>IF($B16="","",IF(OR('②-1職員名簿'!AM16="○",'②-1職員名簿'!AM16="●"),IF($E16="正規職員","正",IF($E16="契約上の就業時間を記載","","実績を入力")),"-"))</f>
        <v/>
      </c>
      <c r="Q16" s="10" t="str">
        <f>IF($B16="","",IF(OR('②-1職員名簿'!AN16="○",'②-1職員名簿'!AN16="●"),IF($E16="正規職員","正",IF($E16="契約上の就業時間を記載","","実績を入力")),"-"))</f>
        <v/>
      </c>
      <c r="R16" s="104" t="str">
        <f>IF($B16="","",IF(OR('②-1職員名簿'!AC16="○",'②-1職員名簿'!AC16="●"),IF($E16="正規職員","正",IF($E16="契約上の就業時間を記載","",IF($E16&gt;=F$5,"常",F16))),"-"))</f>
        <v/>
      </c>
      <c r="S16" s="104" t="str">
        <f>IF($B16="","",IF(OR('②-1職員名簿'!AD16="○",'②-1職員名簿'!AD16="●"),IF($E16="正規職員","正",IF($E16="契約上の就業時間を記載","",IF($E16&gt;=G$5,"常",G16))),"-"))</f>
        <v/>
      </c>
      <c r="T16" s="104" t="str">
        <f>IF($B16="","",IF(OR('②-1職員名簿'!AE16="○",'②-1職員名簿'!AE16="●"),IF($E16="正規職員","正",IF($E16="契約上の就業時間を記載","",IF($E16&gt;=H$5,"常",H16))),"-"))</f>
        <v/>
      </c>
      <c r="U16" s="104" t="str">
        <f>IF($B16="","",IF(OR('②-1職員名簿'!AF16="○",'②-1職員名簿'!AF16="●"),IF($E16="正規職員","正",IF($E16="契約上の就業時間を記載","",IF($E16&gt;=I$5,"常",I16))),"-"))</f>
        <v/>
      </c>
      <c r="V16" s="104" t="str">
        <f>IF($B16="","",IF(OR('②-1職員名簿'!AG16="○",'②-1職員名簿'!AG16="●"),IF($E16="正規職員","正",IF($E16="契約上の就業時間を記載","",IF($E16&gt;=J$5,"常",J16))),"-"))</f>
        <v/>
      </c>
      <c r="W16" s="104" t="str">
        <f>IF($B16="","",IF(OR('②-1職員名簿'!AH16="○",'②-1職員名簿'!AH16="●"),IF($E16="正規職員","正",IF($E16="契約上の就業時間を記載","",IF($E16&gt;=K$5,"常",K16))),"-"))</f>
        <v/>
      </c>
      <c r="X16" s="104" t="str">
        <f>IF($B16="","",IF(OR('②-1職員名簿'!AI16="○",'②-1職員名簿'!AI16="●"),IF($E16="正規職員","正",IF($E16="契約上の就業時間を記載","",IF($E16&gt;=L$5,"常",L16))),"-"))</f>
        <v/>
      </c>
      <c r="Y16" s="104" t="str">
        <f>IF($B16="","",IF(OR('②-1職員名簿'!AJ16="○",'②-1職員名簿'!AJ16="●"),IF($E16="正規職員","正",IF($E16="契約上の就業時間を記載","",IF($E16&gt;=M$5,"常",M16))),"-"))</f>
        <v/>
      </c>
      <c r="Z16" s="104" t="str">
        <f>IF($B16="","",IF(OR('②-1職員名簿'!AK16="○",'②-1職員名簿'!AK16="●"),IF($E16="正規職員","正",IF($E16="契約上の就業時間を記載","",IF($E16&gt;=N$5,"常",N16))),"-"))</f>
        <v/>
      </c>
      <c r="AA16" s="104" t="str">
        <f>IF($B16="","",IF(OR('②-1職員名簿'!AL16="○",'②-1職員名簿'!AL16="●"),IF($E16="正規職員","正",IF($E16="契約上の就業時間を記載","",IF($E16&gt;=O$5,"常",O16))),"-"))</f>
        <v/>
      </c>
      <c r="AB16" s="104" t="str">
        <f>IF($B16="","",IF(OR('②-1職員名簿'!AM16="○",'②-1職員名簿'!AM16="●"),IF($E16="正規職員","正",IF($E16="契約上の就業時間を記載","",IF($E16&gt;=P$5,"常",P16))),"-"))</f>
        <v/>
      </c>
      <c r="AC16" s="104" t="str">
        <f>IF($B16="","",IF(OR('②-1職員名簿'!AN16="○",'②-1職員名簿'!AN16="●"),IF($E16="正規職員","正",IF($E16="契約上の就業時間を記載","",IF($E16&gt;=Q$5,"常",Q16))),"-"))</f>
        <v/>
      </c>
      <c r="AE16" s="101" t="str">
        <f>IF('②-1職員名簿'!W16="","",'②-1職員名簿'!W16)</f>
        <v/>
      </c>
      <c r="AG16" s="135">
        <v>1</v>
      </c>
      <c r="AH16" s="106">
        <f>O5</f>
        <v>0</v>
      </c>
      <c r="AJ16" s="106" t="str">
        <f t="shared" si="11"/>
        <v>○</v>
      </c>
      <c r="AK16" s="106" t="str">
        <f t="shared" si="12"/>
        <v>○</v>
      </c>
      <c r="AL16" s="106" t="str">
        <f t="shared" si="13"/>
        <v>○</v>
      </c>
      <c r="AM16" s="106" t="str">
        <f t="shared" si="14"/>
        <v>○</v>
      </c>
      <c r="AN16" s="106" t="str">
        <f t="shared" si="15"/>
        <v>○</v>
      </c>
      <c r="AO16" s="106" t="str">
        <f t="shared" si="16"/>
        <v>○</v>
      </c>
      <c r="AP16" s="106" t="str">
        <f t="shared" si="17"/>
        <v>○</v>
      </c>
      <c r="AQ16" s="106" t="str">
        <f t="shared" si="18"/>
        <v>○</v>
      </c>
      <c r="AR16" s="106" t="str">
        <f t="shared" si="19"/>
        <v>○</v>
      </c>
      <c r="AS16" s="106" t="str">
        <f t="shared" si="20"/>
        <v>○</v>
      </c>
      <c r="AT16" s="106" t="str">
        <f t="shared" si="21"/>
        <v>○</v>
      </c>
      <c r="AU16" s="106" t="str">
        <f t="shared" si="22"/>
        <v>○</v>
      </c>
    </row>
    <row r="17" spans="1:47" s="106" customFormat="1" ht="23.15" customHeight="1">
      <c r="A17" s="102">
        <v>11</v>
      </c>
      <c r="B17" s="101" t="str">
        <f>IF('②-1職員名簿'!E17="","",'②-1職員名簿'!Y17)</f>
        <v/>
      </c>
      <c r="C17" s="104" t="str">
        <f>'②-1職員名簿'!BE17</f>
        <v/>
      </c>
      <c r="D17" s="136" t="str">
        <f t="shared" si="9"/>
        <v/>
      </c>
      <c r="E17" s="20" t="str">
        <f>IF($B17="","",IF(AND('②-1職員名簿'!C17="正",'②-1職員名簿'!D17="常"),"正規職員","契約上の就業時間を記載"))</f>
        <v/>
      </c>
      <c r="F17" s="10" t="str">
        <f>IF($B17="","",IF(OR('②-1職員名簿'!AC17="○",'②-1職員名簿'!AC17="●"),IF($E17="正規職員","正",IF($E17="契約上の就業時間を記載","","実績を入力")),"-"))</f>
        <v/>
      </c>
      <c r="G17" s="10" t="str">
        <f>IF($B17="","",IF(OR('②-1職員名簿'!AD17="○",'②-1職員名簿'!AD17="●"),IF($E17="正規職員","正",IF($E17="契約上の就業時間を記載","","実績を入力")),"-"))</f>
        <v/>
      </c>
      <c r="H17" s="10" t="str">
        <f>IF($B17="","",IF(OR('②-1職員名簿'!AE17="○",'②-1職員名簿'!AE17="●"),IF($E17="正規職員","正",IF($E17="契約上の就業時間を記載","","実績を入力")),"-"))</f>
        <v/>
      </c>
      <c r="I17" s="10" t="str">
        <f>IF($B17="","",IF(OR('②-1職員名簿'!AF17="○",'②-1職員名簿'!AF17="●"),IF($E17="正規職員","正",IF($E17="契約上の就業時間を記載","","実績を入力")),"-"))</f>
        <v/>
      </c>
      <c r="J17" s="10" t="str">
        <f>IF($B17="","",IF(OR('②-1職員名簿'!AG17="○",'②-1職員名簿'!AG17="●"),IF($E17="正規職員","正",IF($E17="契約上の就業時間を記載","","実績を入力")),"-"))</f>
        <v/>
      </c>
      <c r="K17" s="10" t="str">
        <f>IF($B17="","",IF(OR('②-1職員名簿'!AH17="○",'②-1職員名簿'!AH17="●"),IF($E17="正規職員","正",IF($E17="契約上の就業時間を記載","","実績を入力")),"-"))</f>
        <v/>
      </c>
      <c r="L17" s="10" t="str">
        <f>IF($B17="","",IF(OR('②-1職員名簿'!AI17="○",'②-1職員名簿'!AI17="●"),IF($E17="正規職員","正",IF($E17="契約上の就業時間を記載","","実績を入力")),"-"))</f>
        <v/>
      </c>
      <c r="M17" s="10" t="str">
        <f>IF($B17="","",IF(OR('②-1職員名簿'!AJ17="○",'②-1職員名簿'!AJ17="●"),IF($E17="正規職員","正",IF($E17="契約上の就業時間を記載","","実績を入力")),"-"))</f>
        <v/>
      </c>
      <c r="N17" s="10" t="str">
        <f>IF($B17="","",IF(OR('②-1職員名簿'!AK17="○",'②-1職員名簿'!AK17="●"),IF($E17="正規職員","正",IF($E17="契約上の就業時間を記載","","実績を入力")),"-"))</f>
        <v/>
      </c>
      <c r="O17" s="10" t="str">
        <f>IF($B17="","",IF(OR('②-1職員名簿'!AL17="○",'②-1職員名簿'!AL17="●"),IF($E17="正規職員","正",IF($E17="契約上の就業時間を記載","","実績を入力")),"-"))</f>
        <v/>
      </c>
      <c r="P17" s="10" t="str">
        <f>IF($B17="","",IF(OR('②-1職員名簿'!AM17="○",'②-1職員名簿'!AM17="●"),IF($E17="正規職員","正",IF($E17="契約上の就業時間を記載","","実績を入力")),"-"))</f>
        <v/>
      </c>
      <c r="Q17" s="10" t="str">
        <f>IF($B17="","",IF(OR('②-1職員名簿'!AN17="○",'②-1職員名簿'!AN17="●"),IF($E17="正規職員","正",IF($E17="契約上の就業時間を記載","","実績を入力")),"-"))</f>
        <v/>
      </c>
      <c r="R17" s="104" t="str">
        <f>IF($B17="","",IF(OR('②-1職員名簿'!AC17="○",'②-1職員名簿'!AC17="●"),IF($E17="正規職員","正",IF($E17="契約上の就業時間を記載","",IF($E17&gt;=F$5,"常",F17))),"-"))</f>
        <v/>
      </c>
      <c r="S17" s="104" t="str">
        <f>IF($B17="","",IF(OR('②-1職員名簿'!AD17="○",'②-1職員名簿'!AD17="●"),IF($E17="正規職員","正",IF($E17="契約上の就業時間を記載","",IF($E17&gt;=G$5,"常",G17))),"-"))</f>
        <v/>
      </c>
      <c r="T17" s="104" t="str">
        <f>IF($B17="","",IF(OR('②-1職員名簿'!AE17="○",'②-1職員名簿'!AE17="●"),IF($E17="正規職員","正",IF($E17="契約上の就業時間を記載","",IF($E17&gt;=H$5,"常",H17))),"-"))</f>
        <v/>
      </c>
      <c r="U17" s="104" t="str">
        <f>IF($B17="","",IF(OR('②-1職員名簿'!AF17="○",'②-1職員名簿'!AF17="●"),IF($E17="正規職員","正",IF($E17="契約上の就業時間を記載","",IF($E17&gt;=I$5,"常",I17))),"-"))</f>
        <v/>
      </c>
      <c r="V17" s="104" t="str">
        <f>IF($B17="","",IF(OR('②-1職員名簿'!AG17="○",'②-1職員名簿'!AG17="●"),IF($E17="正規職員","正",IF($E17="契約上の就業時間を記載","",IF($E17&gt;=J$5,"常",J17))),"-"))</f>
        <v/>
      </c>
      <c r="W17" s="104" t="str">
        <f>IF($B17="","",IF(OR('②-1職員名簿'!AH17="○",'②-1職員名簿'!AH17="●"),IF($E17="正規職員","正",IF($E17="契約上の就業時間を記載","",IF($E17&gt;=K$5,"常",K17))),"-"))</f>
        <v/>
      </c>
      <c r="X17" s="104" t="str">
        <f>IF($B17="","",IF(OR('②-1職員名簿'!AI17="○",'②-1職員名簿'!AI17="●"),IF($E17="正規職員","正",IF($E17="契約上の就業時間を記載","",IF($E17&gt;=L$5,"常",L17))),"-"))</f>
        <v/>
      </c>
      <c r="Y17" s="104" t="str">
        <f>IF($B17="","",IF(OR('②-1職員名簿'!AJ17="○",'②-1職員名簿'!AJ17="●"),IF($E17="正規職員","正",IF($E17="契約上の就業時間を記載","",IF($E17&gt;=M$5,"常",M17))),"-"))</f>
        <v/>
      </c>
      <c r="Z17" s="104" t="str">
        <f>IF($B17="","",IF(OR('②-1職員名簿'!AK17="○",'②-1職員名簿'!AK17="●"),IF($E17="正規職員","正",IF($E17="契約上の就業時間を記載","",IF($E17&gt;=N$5,"常",N17))),"-"))</f>
        <v/>
      </c>
      <c r="AA17" s="104" t="str">
        <f>IF($B17="","",IF(OR('②-1職員名簿'!AL17="○",'②-1職員名簿'!AL17="●"),IF($E17="正規職員","正",IF($E17="契約上の就業時間を記載","",IF($E17&gt;=O$5,"常",O17))),"-"))</f>
        <v/>
      </c>
      <c r="AB17" s="104" t="str">
        <f>IF($B17="","",IF(OR('②-1職員名簿'!AM17="○",'②-1職員名簿'!AM17="●"),IF($E17="正規職員","正",IF($E17="契約上の就業時間を記載","",IF($E17&gt;=P$5,"常",P17))),"-"))</f>
        <v/>
      </c>
      <c r="AC17" s="104" t="str">
        <f>IF($B17="","",IF(OR('②-1職員名簿'!AN17="○",'②-1職員名簿'!AN17="●"),IF($E17="正規職員","正",IF($E17="契約上の就業時間を記載","",IF($E17&gt;=Q$5,"常",Q17))),"-"))</f>
        <v/>
      </c>
      <c r="AE17" s="101" t="str">
        <f>IF('②-1職員名簿'!W17="","",'②-1職員名簿'!W17)</f>
        <v/>
      </c>
      <c r="AG17" s="135">
        <v>2</v>
      </c>
      <c r="AH17" s="106">
        <f>P5</f>
        <v>0</v>
      </c>
      <c r="AJ17" s="106" t="str">
        <f t="shared" si="11"/>
        <v>○</v>
      </c>
      <c r="AK17" s="106" t="str">
        <f t="shared" si="12"/>
        <v>○</v>
      </c>
      <c r="AL17" s="106" t="str">
        <f t="shared" si="13"/>
        <v>○</v>
      </c>
      <c r="AM17" s="106" t="str">
        <f t="shared" si="14"/>
        <v>○</v>
      </c>
      <c r="AN17" s="106" t="str">
        <f t="shared" si="15"/>
        <v>○</v>
      </c>
      <c r="AO17" s="106" t="str">
        <f t="shared" si="16"/>
        <v>○</v>
      </c>
      <c r="AP17" s="106" t="str">
        <f t="shared" si="17"/>
        <v>○</v>
      </c>
      <c r="AQ17" s="106" t="str">
        <f t="shared" si="18"/>
        <v>○</v>
      </c>
      <c r="AR17" s="106" t="str">
        <f t="shared" si="19"/>
        <v>○</v>
      </c>
      <c r="AS17" s="106" t="str">
        <f t="shared" si="20"/>
        <v>○</v>
      </c>
      <c r="AT17" s="106" t="str">
        <f t="shared" si="21"/>
        <v>○</v>
      </c>
      <c r="AU17" s="106" t="str">
        <f t="shared" si="22"/>
        <v>○</v>
      </c>
    </row>
    <row r="18" spans="1:47" s="106" customFormat="1" ht="23.15" customHeight="1">
      <c r="A18" s="102">
        <v>12</v>
      </c>
      <c r="B18" s="101" t="str">
        <f>IF('②-1職員名簿'!E18="","",'②-1職員名簿'!Y18)</f>
        <v/>
      </c>
      <c r="C18" s="104" t="str">
        <f>'②-1職員名簿'!BE18</f>
        <v/>
      </c>
      <c r="D18" s="136" t="str">
        <f t="shared" si="9"/>
        <v/>
      </c>
      <c r="E18" s="20" t="str">
        <f>IF($B18="","",IF(AND('②-1職員名簿'!C18="正",'②-1職員名簿'!D18="常"),"正規職員","契約上の就業時間を記載"))</f>
        <v/>
      </c>
      <c r="F18" s="10" t="str">
        <f>IF($B18="","",IF(OR('②-1職員名簿'!AC18="○",'②-1職員名簿'!AC18="●"),IF($E18="正規職員","正",IF($E18="契約上の就業時間を記載","","実績を入力")),"-"))</f>
        <v/>
      </c>
      <c r="G18" s="10" t="str">
        <f>IF($B18="","",IF(OR('②-1職員名簿'!AD18="○",'②-1職員名簿'!AD18="●"),IF($E18="正規職員","正",IF($E18="契約上の就業時間を記載","","実績を入力")),"-"))</f>
        <v/>
      </c>
      <c r="H18" s="10" t="str">
        <f>IF($B18="","",IF(OR('②-1職員名簿'!AE18="○",'②-1職員名簿'!AE18="●"),IF($E18="正規職員","正",IF($E18="契約上の就業時間を記載","","実績を入力")),"-"))</f>
        <v/>
      </c>
      <c r="I18" s="10" t="str">
        <f>IF($B18="","",IF(OR('②-1職員名簿'!AF18="○",'②-1職員名簿'!AF18="●"),IF($E18="正規職員","正",IF($E18="契約上の就業時間を記載","","実績を入力")),"-"))</f>
        <v/>
      </c>
      <c r="J18" s="10" t="str">
        <f>IF($B18="","",IF(OR('②-1職員名簿'!AG18="○",'②-1職員名簿'!AG18="●"),IF($E18="正規職員","正",IF($E18="契約上の就業時間を記載","","実績を入力")),"-"))</f>
        <v/>
      </c>
      <c r="K18" s="10" t="str">
        <f>IF($B18="","",IF(OR('②-1職員名簿'!AH18="○",'②-1職員名簿'!AH18="●"),IF($E18="正規職員","正",IF($E18="契約上の就業時間を記載","","実績を入力")),"-"))</f>
        <v/>
      </c>
      <c r="L18" s="10" t="str">
        <f>IF($B18="","",IF(OR('②-1職員名簿'!AI18="○",'②-1職員名簿'!AI18="●"),IF($E18="正規職員","正",IF($E18="契約上の就業時間を記載","","実績を入力")),"-"))</f>
        <v/>
      </c>
      <c r="M18" s="10" t="str">
        <f>IF($B18="","",IF(OR('②-1職員名簿'!AJ18="○",'②-1職員名簿'!AJ18="●"),IF($E18="正規職員","正",IF($E18="契約上の就業時間を記載","","実績を入力")),"-"))</f>
        <v/>
      </c>
      <c r="N18" s="10" t="str">
        <f>IF($B18="","",IF(OR('②-1職員名簿'!AK18="○",'②-1職員名簿'!AK18="●"),IF($E18="正規職員","正",IF($E18="契約上の就業時間を記載","","実績を入力")),"-"))</f>
        <v/>
      </c>
      <c r="O18" s="10" t="str">
        <f>IF($B18="","",IF(OR('②-1職員名簿'!AL18="○",'②-1職員名簿'!AL18="●"),IF($E18="正規職員","正",IF($E18="契約上の就業時間を記載","","実績を入力")),"-"))</f>
        <v/>
      </c>
      <c r="P18" s="10" t="str">
        <f>IF($B18="","",IF(OR('②-1職員名簿'!AM18="○",'②-1職員名簿'!AM18="●"),IF($E18="正規職員","正",IF($E18="契約上の就業時間を記載","","実績を入力")),"-"))</f>
        <v/>
      </c>
      <c r="Q18" s="10" t="str">
        <f>IF($B18="","",IF(OR('②-1職員名簿'!AN18="○",'②-1職員名簿'!AN18="●"),IF($E18="正規職員","正",IF($E18="契約上の就業時間を記載","","実績を入力")),"-"))</f>
        <v/>
      </c>
      <c r="R18" s="104" t="str">
        <f>IF($B18="","",IF(OR('②-1職員名簿'!AC18="○",'②-1職員名簿'!AC18="●"),IF($E18="正規職員","正",IF($E18="契約上の就業時間を記載","",IF($E18&gt;=F$5,"常",F18))),"-"))</f>
        <v/>
      </c>
      <c r="S18" s="104" t="str">
        <f>IF($B18="","",IF(OR('②-1職員名簿'!AD18="○",'②-1職員名簿'!AD18="●"),IF($E18="正規職員","正",IF($E18="契約上の就業時間を記載","",IF($E18&gt;=G$5,"常",G18))),"-"))</f>
        <v/>
      </c>
      <c r="T18" s="104" t="str">
        <f>IF($B18="","",IF(OR('②-1職員名簿'!AE18="○",'②-1職員名簿'!AE18="●"),IF($E18="正規職員","正",IF($E18="契約上の就業時間を記載","",IF($E18&gt;=H$5,"常",H18))),"-"))</f>
        <v/>
      </c>
      <c r="U18" s="104" t="str">
        <f>IF($B18="","",IF(OR('②-1職員名簿'!AF18="○",'②-1職員名簿'!AF18="●"),IF($E18="正規職員","正",IF($E18="契約上の就業時間を記載","",IF($E18&gt;=I$5,"常",I18))),"-"))</f>
        <v/>
      </c>
      <c r="V18" s="104" t="str">
        <f>IF($B18="","",IF(OR('②-1職員名簿'!AG18="○",'②-1職員名簿'!AG18="●"),IF($E18="正規職員","正",IF($E18="契約上の就業時間を記載","",IF($E18&gt;=J$5,"常",J18))),"-"))</f>
        <v/>
      </c>
      <c r="W18" s="104" t="str">
        <f>IF($B18="","",IF(OR('②-1職員名簿'!AH18="○",'②-1職員名簿'!AH18="●"),IF($E18="正規職員","正",IF($E18="契約上の就業時間を記載","",IF($E18&gt;=K$5,"常",K18))),"-"))</f>
        <v/>
      </c>
      <c r="X18" s="104" t="str">
        <f>IF($B18="","",IF(OR('②-1職員名簿'!AI18="○",'②-1職員名簿'!AI18="●"),IF($E18="正規職員","正",IF($E18="契約上の就業時間を記載","",IF($E18&gt;=L$5,"常",L18))),"-"))</f>
        <v/>
      </c>
      <c r="Y18" s="104" t="str">
        <f>IF($B18="","",IF(OR('②-1職員名簿'!AJ18="○",'②-1職員名簿'!AJ18="●"),IF($E18="正規職員","正",IF($E18="契約上の就業時間を記載","",IF($E18&gt;=M$5,"常",M18))),"-"))</f>
        <v/>
      </c>
      <c r="Z18" s="104" t="str">
        <f>IF($B18="","",IF(OR('②-1職員名簿'!AK18="○",'②-1職員名簿'!AK18="●"),IF($E18="正規職員","正",IF($E18="契約上の就業時間を記載","",IF($E18&gt;=N$5,"常",N18))),"-"))</f>
        <v/>
      </c>
      <c r="AA18" s="104" t="str">
        <f>IF($B18="","",IF(OR('②-1職員名簿'!AL18="○",'②-1職員名簿'!AL18="●"),IF($E18="正規職員","正",IF($E18="契約上の就業時間を記載","",IF($E18&gt;=O$5,"常",O18))),"-"))</f>
        <v/>
      </c>
      <c r="AB18" s="104" t="str">
        <f>IF($B18="","",IF(OR('②-1職員名簿'!AM18="○",'②-1職員名簿'!AM18="●"),IF($E18="正規職員","正",IF($E18="契約上の就業時間を記載","",IF($E18&gt;=P$5,"常",P18))),"-"))</f>
        <v/>
      </c>
      <c r="AC18" s="104" t="str">
        <f>IF($B18="","",IF(OR('②-1職員名簿'!AN18="○",'②-1職員名簿'!AN18="●"),IF($E18="正規職員","正",IF($E18="契約上の就業時間を記載","",IF($E18&gt;=Q$5,"常",Q18))),"-"))</f>
        <v/>
      </c>
      <c r="AE18" s="101" t="str">
        <f>IF('②-1職員名簿'!W18="","",'②-1職員名簿'!W18)</f>
        <v/>
      </c>
      <c r="AG18" s="135">
        <v>3</v>
      </c>
      <c r="AH18" s="106">
        <f>Q5</f>
        <v>0</v>
      </c>
      <c r="AJ18" s="106" t="str">
        <f t="shared" si="11"/>
        <v>○</v>
      </c>
      <c r="AK18" s="106" t="str">
        <f t="shared" si="12"/>
        <v>○</v>
      </c>
      <c r="AL18" s="106" t="str">
        <f t="shared" si="13"/>
        <v>○</v>
      </c>
      <c r="AM18" s="106" t="str">
        <f t="shared" si="14"/>
        <v>○</v>
      </c>
      <c r="AN18" s="106" t="str">
        <f t="shared" si="15"/>
        <v>○</v>
      </c>
      <c r="AO18" s="106" t="str">
        <f t="shared" si="16"/>
        <v>○</v>
      </c>
      <c r="AP18" s="106" t="str">
        <f t="shared" si="17"/>
        <v>○</v>
      </c>
      <c r="AQ18" s="106" t="str">
        <f t="shared" si="18"/>
        <v>○</v>
      </c>
      <c r="AR18" s="106" t="str">
        <f t="shared" si="19"/>
        <v>○</v>
      </c>
      <c r="AS18" s="106" t="str">
        <f t="shared" si="20"/>
        <v>○</v>
      </c>
      <c r="AT18" s="106" t="str">
        <f t="shared" si="21"/>
        <v>○</v>
      </c>
      <c r="AU18" s="106" t="str">
        <f t="shared" si="22"/>
        <v>○</v>
      </c>
    </row>
    <row r="19" spans="1:47" s="106" customFormat="1" ht="23.15" customHeight="1">
      <c r="A19" s="102">
        <v>13</v>
      </c>
      <c r="B19" s="101" t="str">
        <f>IF('②-1職員名簿'!E19="","",'②-1職員名簿'!Y19)</f>
        <v/>
      </c>
      <c r="C19" s="104" t="str">
        <f>'②-1職員名簿'!BE19</f>
        <v/>
      </c>
      <c r="D19" s="136" t="str">
        <f t="shared" si="9"/>
        <v/>
      </c>
      <c r="E19" s="20" t="str">
        <f>IF($B19="","",IF(AND('②-1職員名簿'!C19="正",'②-1職員名簿'!D19="常"),"正規職員","契約上の就業時間を記載"))</f>
        <v/>
      </c>
      <c r="F19" s="10" t="str">
        <f>IF($B19="","",IF(OR('②-1職員名簿'!AC19="○",'②-1職員名簿'!AC19="●"),IF($E19="正規職員","正",IF($E19="契約上の就業時間を記載","","実績を入力")),"-"))</f>
        <v/>
      </c>
      <c r="G19" s="10" t="str">
        <f>IF($B19="","",IF(OR('②-1職員名簿'!AD19="○",'②-1職員名簿'!AD19="●"),IF($E19="正規職員","正",IF($E19="契約上の就業時間を記載","","実績を入力")),"-"))</f>
        <v/>
      </c>
      <c r="H19" s="10" t="str">
        <f>IF($B19="","",IF(OR('②-1職員名簿'!AE19="○",'②-1職員名簿'!AE19="●"),IF($E19="正規職員","正",IF($E19="契約上の就業時間を記載","","実績を入力")),"-"))</f>
        <v/>
      </c>
      <c r="I19" s="10" t="str">
        <f>IF($B19="","",IF(OR('②-1職員名簿'!AF19="○",'②-1職員名簿'!AF19="●"),IF($E19="正規職員","正",IF($E19="契約上の就業時間を記載","","実績を入力")),"-"))</f>
        <v/>
      </c>
      <c r="J19" s="10" t="str">
        <f>IF($B19="","",IF(OR('②-1職員名簿'!AG19="○",'②-1職員名簿'!AG19="●"),IF($E19="正規職員","正",IF($E19="契約上の就業時間を記載","","実績を入力")),"-"))</f>
        <v/>
      </c>
      <c r="K19" s="10" t="str">
        <f>IF($B19="","",IF(OR('②-1職員名簿'!AH19="○",'②-1職員名簿'!AH19="●"),IF($E19="正規職員","正",IF($E19="契約上の就業時間を記載","","実績を入力")),"-"))</f>
        <v/>
      </c>
      <c r="L19" s="10" t="str">
        <f>IF($B19="","",IF(OR('②-1職員名簿'!AI19="○",'②-1職員名簿'!AI19="●"),IF($E19="正規職員","正",IF($E19="契約上の就業時間を記載","","実績を入力")),"-"))</f>
        <v/>
      </c>
      <c r="M19" s="10" t="str">
        <f>IF($B19="","",IF(OR('②-1職員名簿'!AJ19="○",'②-1職員名簿'!AJ19="●"),IF($E19="正規職員","正",IF($E19="契約上の就業時間を記載","","実績を入力")),"-"))</f>
        <v/>
      </c>
      <c r="N19" s="10" t="str">
        <f>IF($B19="","",IF(OR('②-1職員名簿'!AK19="○",'②-1職員名簿'!AK19="●"),IF($E19="正規職員","正",IF($E19="契約上の就業時間を記載","","実績を入力")),"-"))</f>
        <v/>
      </c>
      <c r="O19" s="10" t="str">
        <f>IF($B19="","",IF(OR('②-1職員名簿'!AL19="○",'②-1職員名簿'!AL19="●"),IF($E19="正規職員","正",IF($E19="契約上の就業時間を記載","","実績を入力")),"-"))</f>
        <v/>
      </c>
      <c r="P19" s="10" t="str">
        <f>IF($B19="","",IF(OR('②-1職員名簿'!AM19="○",'②-1職員名簿'!AM19="●"),IF($E19="正規職員","正",IF($E19="契約上の就業時間を記載","","実績を入力")),"-"))</f>
        <v/>
      </c>
      <c r="Q19" s="10" t="str">
        <f>IF($B19="","",IF(OR('②-1職員名簿'!AN19="○",'②-1職員名簿'!AN19="●"),IF($E19="正規職員","正",IF($E19="契約上の就業時間を記載","","実績を入力")),"-"))</f>
        <v/>
      </c>
      <c r="R19" s="104" t="str">
        <f>IF($B19="","",IF(OR('②-1職員名簿'!AC19="○",'②-1職員名簿'!AC19="●"),IF($E19="正規職員","正",IF($E19="契約上の就業時間を記載","",IF($E19&gt;=F$5,"常",F19))),"-"))</f>
        <v/>
      </c>
      <c r="S19" s="104" t="str">
        <f>IF($B19="","",IF(OR('②-1職員名簿'!AD19="○",'②-1職員名簿'!AD19="●"),IF($E19="正規職員","正",IF($E19="契約上の就業時間を記載","",IF($E19&gt;=G$5,"常",G19))),"-"))</f>
        <v/>
      </c>
      <c r="T19" s="104" t="str">
        <f>IF($B19="","",IF(OR('②-1職員名簿'!AE19="○",'②-1職員名簿'!AE19="●"),IF($E19="正規職員","正",IF($E19="契約上の就業時間を記載","",IF($E19&gt;=H$5,"常",H19))),"-"))</f>
        <v/>
      </c>
      <c r="U19" s="104" t="str">
        <f>IF($B19="","",IF(OR('②-1職員名簿'!AF19="○",'②-1職員名簿'!AF19="●"),IF($E19="正規職員","正",IF($E19="契約上の就業時間を記載","",IF($E19&gt;=I$5,"常",I19))),"-"))</f>
        <v/>
      </c>
      <c r="V19" s="104" t="str">
        <f>IF($B19="","",IF(OR('②-1職員名簿'!AG19="○",'②-1職員名簿'!AG19="●"),IF($E19="正規職員","正",IF($E19="契約上の就業時間を記載","",IF($E19&gt;=J$5,"常",J19))),"-"))</f>
        <v/>
      </c>
      <c r="W19" s="104" t="str">
        <f>IF($B19="","",IF(OR('②-1職員名簿'!AH19="○",'②-1職員名簿'!AH19="●"),IF($E19="正規職員","正",IF($E19="契約上の就業時間を記載","",IF($E19&gt;=K$5,"常",K19))),"-"))</f>
        <v/>
      </c>
      <c r="X19" s="104" t="str">
        <f>IF($B19="","",IF(OR('②-1職員名簿'!AI19="○",'②-1職員名簿'!AI19="●"),IF($E19="正規職員","正",IF($E19="契約上の就業時間を記載","",IF($E19&gt;=L$5,"常",L19))),"-"))</f>
        <v/>
      </c>
      <c r="Y19" s="104" t="str">
        <f>IF($B19="","",IF(OR('②-1職員名簿'!AJ19="○",'②-1職員名簿'!AJ19="●"),IF($E19="正規職員","正",IF($E19="契約上の就業時間を記載","",IF($E19&gt;=M$5,"常",M19))),"-"))</f>
        <v/>
      </c>
      <c r="Z19" s="104" t="str">
        <f>IF($B19="","",IF(OR('②-1職員名簿'!AK19="○",'②-1職員名簿'!AK19="●"),IF($E19="正規職員","正",IF($E19="契約上の就業時間を記載","",IF($E19&gt;=N$5,"常",N19))),"-"))</f>
        <v/>
      </c>
      <c r="AA19" s="104" t="str">
        <f>IF($B19="","",IF(OR('②-1職員名簿'!AL19="○",'②-1職員名簿'!AL19="●"),IF($E19="正規職員","正",IF($E19="契約上の就業時間を記載","",IF($E19&gt;=O$5,"常",O19))),"-"))</f>
        <v/>
      </c>
      <c r="AB19" s="104" t="str">
        <f>IF($B19="","",IF(OR('②-1職員名簿'!AM19="○",'②-1職員名簿'!AM19="●"),IF($E19="正規職員","正",IF($E19="契約上の就業時間を記載","",IF($E19&gt;=P$5,"常",P19))),"-"))</f>
        <v/>
      </c>
      <c r="AC19" s="104" t="str">
        <f>IF($B19="","",IF(OR('②-1職員名簿'!AN19="○",'②-1職員名簿'!AN19="●"),IF($E19="正規職員","正",IF($E19="契約上の就業時間を記載","",IF($E19&gt;=Q$5,"常",Q19))),"-"))</f>
        <v/>
      </c>
      <c r="AE19" s="101" t="str">
        <f>IF('②-1職員名簿'!W19="","",'②-1職員名簿'!W19)</f>
        <v/>
      </c>
      <c r="AJ19" s="106" t="str">
        <f t="shared" si="11"/>
        <v>○</v>
      </c>
      <c r="AK19" s="106" t="str">
        <f t="shared" si="12"/>
        <v>○</v>
      </c>
      <c r="AL19" s="106" t="str">
        <f t="shared" si="13"/>
        <v>○</v>
      </c>
      <c r="AM19" s="106" t="str">
        <f t="shared" si="14"/>
        <v>○</v>
      </c>
      <c r="AN19" s="106" t="str">
        <f t="shared" si="15"/>
        <v>○</v>
      </c>
      <c r="AO19" s="106" t="str">
        <f t="shared" si="16"/>
        <v>○</v>
      </c>
      <c r="AP19" s="106" t="str">
        <f t="shared" si="17"/>
        <v>○</v>
      </c>
      <c r="AQ19" s="106" t="str">
        <f t="shared" si="18"/>
        <v>○</v>
      </c>
      <c r="AR19" s="106" t="str">
        <f t="shared" si="19"/>
        <v>○</v>
      </c>
      <c r="AS19" s="106" t="str">
        <f t="shared" si="20"/>
        <v>○</v>
      </c>
      <c r="AT19" s="106" t="str">
        <f t="shared" si="21"/>
        <v>○</v>
      </c>
      <c r="AU19" s="106" t="str">
        <f t="shared" si="22"/>
        <v>○</v>
      </c>
    </row>
    <row r="20" spans="1:47" s="106" customFormat="1" ht="23.15" customHeight="1">
      <c r="A20" s="102">
        <v>14</v>
      </c>
      <c r="B20" s="101" t="str">
        <f>IF('②-1職員名簿'!E20="","",'②-1職員名簿'!Y20)</f>
        <v/>
      </c>
      <c r="C20" s="104" t="str">
        <f>'②-1職員名簿'!BE20</f>
        <v/>
      </c>
      <c r="D20" s="136" t="str">
        <f t="shared" si="9"/>
        <v/>
      </c>
      <c r="E20" s="20" t="str">
        <f>IF($B20="","",IF(AND('②-1職員名簿'!C20="正",'②-1職員名簿'!D20="常"),"正規職員","契約上の就業時間を記載"))</f>
        <v/>
      </c>
      <c r="F20" s="10" t="str">
        <f>IF($B20="","",IF(OR('②-1職員名簿'!AC20="○",'②-1職員名簿'!AC20="●"),IF($E20="正規職員","正",IF($E20="契約上の就業時間を記載","","実績を入力")),"-"))</f>
        <v/>
      </c>
      <c r="G20" s="10" t="str">
        <f>IF($B20="","",IF(OR('②-1職員名簿'!AD20="○",'②-1職員名簿'!AD20="●"),IF($E20="正規職員","正",IF($E20="契約上の就業時間を記載","","実績を入力")),"-"))</f>
        <v/>
      </c>
      <c r="H20" s="10" t="str">
        <f>IF($B20="","",IF(OR('②-1職員名簿'!AE20="○",'②-1職員名簿'!AE20="●"),IF($E20="正規職員","正",IF($E20="契約上の就業時間を記載","","実績を入力")),"-"))</f>
        <v/>
      </c>
      <c r="I20" s="10" t="str">
        <f>IF($B20="","",IF(OR('②-1職員名簿'!AF20="○",'②-1職員名簿'!AF20="●"),IF($E20="正規職員","正",IF($E20="契約上の就業時間を記載","","実績を入力")),"-"))</f>
        <v/>
      </c>
      <c r="J20" s="10" t="str">
        <f>IF($B20="","",IF(OR('②-1職員名簿'!AG20="○",'②-1職員名簿'!AG20="●"),IF($E20="正規職員","正",IF($E20="契約上の就業時間を記載","","実績を入力")),"-"))</f>
        <v/>
      </c>
      <c r="K20" s="10" t="str">
        <f>IF($B20="","",IF(OR('②-1職員名簿'!AH20="○",'②-1職員名簿'!AH20="●"),IF($E20="正規職員","正",IF($E20="契約上の就業時間を記載","","実績を入力")),"-"))</f>
        <v/>
      </c>
      <c r="L20" s="10" t="str">
        <f>IF($B20="","",IF(OR('②-1職員名簿'!AI20="○",'②-1職員名簿'!AI20="●"),IF($E20="正規職員","正",IF($E20="契約上の就業時間を記載","","実績を入力")),"-"))</f>
        <v/>
      </c>
      <c r="M20" s="10" t="str">
        <f>IF($B20="","",IF(OR('②-1職員名簿'!AJ20="○",'②-1職員名簿'!AJ20="●"),IF($E20="正規職員","正",IF($E20="契約上の就業時間を記載","","実績を入力")),"-"))</f>
        <v/>
      </c>
      <c r="N20" s="10" t="str">
        <f>IF($B20="","",IF(OR('②-1職員名簿'!AK20="○",'②-1職員名簿'!AK20="●"),IF($E20="正規職員","正",IF($E20="契約上の就業時間を記載","","実績を入力")),"-"))</f>
        <v/>
      </c>
      <c r="O20" s="10" t="str">
        <f>IF($B20="","",IF(OR('②-1職員名簿'!AL20="○",'②-1職員名簿'!AL20="●"),IF($E20="正規職員","正",IF($E20="契約上の就業時間を記載","","実績を入力")),"-"))</f>
        <v/>
      </c>
      <c r="P20" s="10" t="str">
        <f>IF($B20="","",IF(OR('②-1職員名簿'!AM20="○",'②-1職員名簿'!AM20="●"),IF($E20="正規職員","正",IF($E20="契約上の就業時間を記載","","実績を入力")),"-"))</f>
        <v/>
      </c>
      <c r="Q20" s="10" t="str">
        <f>IF($B20="","",IF(OR('②-1職員名簿'!AN20="○",'②-1職員名簿'!AN20="●"),IF($E20="正規職員","正",IF($E20="契約上の就業時間を記載","","実績を入力")),"-"))</f>
        <v/>
      </c>
      <c r="R20" s="104" t="str">
        <f>IF($B20="","",IF(OR('②-1職員名簿'!AC20="○",'②-1職員名簿'!AC20="●"),IF($E20="正規職員","正",IF($E20="契約上の就業時間を記載","",IF($E20&gt;=F$5,"常",F20))),"-"))</f>
        <v/>
      </c>
      <c r="S20" s="104" t="str">
        <f>IF($B20="","",IF(OR('②-1職員名簿'!AD20="○",'②-1職員名簿'!AD20="●"),IF($E20="正規職員","正",IF($E20="契約上の就業時間を記載","",IF($E20&gt;=G$5,"常",G20))),"-"))</f>
        <v/>
      </c>
      <c r="T20" s="104" t="str">
        <f>IF($B20="","",IF(OR('②-1職員名簿'!AE20="○",'②-1職員名簿'!AE20="●"),IF($E20="正規職員","正",IF($E20="契約上の就業時間を記載","",IF($E20&gt;=H$5,"常",H20))),"-"))</f>
        <v/>
      </c>
      <c r="U20" s="104" t="str">
        <f>IF($B20="","",IF(OR('②-1職員名簿'!AF20="○",'②-1職員名簿'!AF20="●"),IF($E20="正規職員","正",IF($E20="契約上の就業時間を記載","",IF($E20&gt;=I$5,"常",I20))),"-"))</f>
        <v/>
      </c>
      <c r="V20" s="104" t="str">
        <f>IF($B20="","",IF(OR('②-1職員名簿'!AG20="○",'②-1職員名簿'!AG20="●"),IF($E20="正規職員","正",IF($E20="契約上の就業時間を記載","",IF($E20&gt;=J$5,"常",J20))),"-"))</f>
        <v/>
      </c>
      <c r="W20" s="104" t="str">
        <f>IF($B20="","",IF(OR('②-1職員名簿'!AH20="○",'②-1職員名簿'!AH20="●"),IF($E20="正規職員","正",IF($E20="契約上の就業時間を記載","",IF($E20&gt;=K$5,"常",K20))),"-"))</f>
        <v/>
      </c>
      <c r="X20" s="104" t="str">
        <f>IF($B20="","",IF(OR('②-1職員名簿'!AI20="○",'②-1職員名簿'!AI20="●"),IF($E20="正規職員","正",IF($E20="契約上の就業時間を記載","",IF($E20&gt;=L$5,"常",L20))),"-"))</f>
        <v/>
      </c>
      <c r="Y20" s="104" t="str">
        <f>IF($B20="","",IF(OR('②-1職員名簿'!AJ20="○",'②-1職員名簿'!AJ20="●"),IF($E20="正規職員","正",IF($E20="契約上の就業時間を記載","",IF($E20&gt;=M$5,"常",M20))),"-"))</f>
        <v/>
      </c>
      <c r="Z20" s="104" t="str">
        <f>IF($B20="","",IF(OR('②-1職員名簿'!AK20="○",'②-1職員名簿'!AK20="●"),IF($E20="正規職員","正",IF($E20="契約上の就業時間を記載","",IF($E20&gt;=N$5,"常",N20))),"-"))</f>
        <v/>
      </c>
      <c r="AA20" s="104" t="str">
        <f>IF($B20="","",IF(OR('②-1職員名簿'!AL20="○",'②-1職員名簿'!AL20="●"),IF($E20="正規職員","正",IF($E20="契約上の就業時間を記載","",IF($E20&gt;=O$5,"常",O20))),"-"))</f>
        <v/>
      </c>
      <c r="AB20" s="104" t="str">
        <f>IF($B20="","",IF(OR('②-1職員名簿'!AM20="○",'②-1職員名簿'!AM20="●"),IF($E20="正規職員","正",IF($E20="契約上の就業時間を記載","",IF($E20&gt;=P$5,"常",P20))),"-"))</f>
        <v/>
      </c>
      <c r="AC20" s="104" t="str">
        <f>IF($B20="","",IF(OR('②-1職員名簿'!AN20="○",'②-1職員名簿'!AN20="●"),IF($E20="正規職員","正",IF($E20="契約上の就業時間を記載","",IF($E20&gt;=Q$5,"常",Q20))),"-"))</f>
        <v/>
      </c>
      <c r="AE20" s="101" t="str">
        <f>IF('②-1職員名簿'!W20="","",'②-1職員名簿'!W20)</f>
        <v/>
      </c>
      <c r="AJ20" s="106" t="str">
        <f t="shared" si="11"/>
        <v>○</v>
      </c>
      <c r="AK20" s="106" t="str">
        <f t="shared" si="12"/>
        <v>○</v>
      </c>
      <c r="AL20" s="106" t="str">
        <f t="shared" si="13"/>
        <v>○</v>
      </c>
      <c r="AM20" s="106" t="str">
        <f t="shared" si="14"/>
        <v>○</v>
      </c>
      <c r="AN20" s="106" t="str">
        <f t="shared" si="15"/>
        <v>○</v>
      </c>
      <c r="AO20" s="106" t="str">
        <f t="shared" si="16"/>
        <v>○</v>
      </c>
      <c r="AP20" s="106" t="str">
        <f t="shared" si="17"/>
        <v>○</v>
      </c>
      <c r="AQ20" s="106" t="str">
        <f t="shared" si="18"/>
        <v>○</v>
      </c>
      <c r="AR20" s="106" t="str">
        <f t="shared" si="19"/>
        <v>○</v>
      </c>
      <c r="AS20" s="106" t="str">
        <f t="shared" si="20"/>
        <v>○</v>
      </c>
      <c r="AT20" s="106" t="str">
        <f t="shared" si="21"/>
        <v>○</v>
      </c>
      <c r="AU20" s="106" t="str">
        <f t="shared" si="22"/>
        <v>○</v>
      </c>
    </row>
    <row r="21" spans="1:47" s="106" customFormat="1" ht="23.15" customHeight="1">
      <c r="A21" s="102">
        <v>15</v>
      </c>
      <c r="B21" s="101" t="str">
        <f>IF('②-1職員名簿'!E21="","",'②-1職員名簿'!Y21)</f>
        <v/>
      </c>
      <c r="C21" s="104" t="str">
        <f>'②-1職員名簿'!BE21</f>
        <v/>
      </c>
      <c r="D21" s="136" t="str">
        <f t="shared" si="9"/>
        <v/>
      </c>
      <c r="E21" s="20" t="str">
        <f>IF($B21="","",IF(AND('②-1職員名簿'!C21="正",'②-1職員名簿'!D21="常"),"正規職員","契約上の就業時間を記載"))</f>
        <v/>
      </c>
      <c r="F21" s="10" t="str">
        <f>IF($B21="","",IF(OR('②-1職員名簿'!AC21="○",'②-1職員名簿'!AC21="●"),IF($E21="正規職員","正",IF($E21="契約上の就業時間を記載","","実績を入力")),"-"))</f>
        <v/>
      </c>
      <c r="G21" s="10" t="str">
        <f>IF($B21="","",IF(OR('②-1職員名簿'!AD21="○",'②-1職員名簿'!AD21="●"),IF($E21="正規職員","正",IF($E21="契約上の就業時間を記載","","実績を入力")),"-"))</f>
        <v/>
      </c>
      <c r="H21" s="10" t="str">
        <f>IF($B21="","",IF(OR('②-1職員名簿'!AE21="○",'②-1職員名簿'!AE21="●"),IF($E21="正規職員","正",IF($E21="契約上の就業時間を記載","","実績を入力")),"-"))</f>
        <v/>
      </c>
      <c r="I21" s="10" t="str">
        <f>IF($B21="","",IF(OR('②-1職員名簿'!AF21="○",'②-1職員名簿'!AF21="●"),IF($E21="正規職員","正",IF($E21="契約上の就業時間を記載","","実績を入力")),"-"))</f>
        <v/>
      </c>
      <c r="J21" s="10" t="str">
        <f>IF($B21="","",IF(OR('②-1職員名簿'!AG21="○",'②-1職員名簿'!AG21="●"),IF($E21="正規職員","正",IF($E21="契約上の就業時間を記載","","実績を入力")),"-"))</f>
        <v/>
      </c>
      <c r="K21" s="10" t="str">
        <f>IF($B21="","",IF(OR('②-1職員名簿'!AH21="○",'②-1職員名簿'!AH21="●"),IF($E21="正規職員","正",IF($E21="契約上の就業時間を記載","","実績を入力")),"-"))</f>
        <v/>
      </c>
      <c r="L21" s="10" t="str">
        <f>IF($B21="","",IF(OR('②-1職員名簿'!AI21="○",'②-1職員名簿'!AI21="●"),IF($E21="正規職員","正",IF($E21="契約上の就業時間を記載","","実績を入力")),"-"))</f>
        <v/>
      </c>
      <c r="M21" s="10" t="str">
        <f>IF($B21="","",IF(OR('②-1職員名簿'!AJ21="○",'②-1職員名簿'!AJ21="●"),IF($E21="正規職員","正",IF($E21="契約上の就業時間を記載","","実績を入力")),"-"))</f>
        <v/>
      </c>
      <c r="N21" s="10" t="str">
        <f>IF($B21="","",IF(OR('②-1職員名簿'!AK21="○",'②-1職員名簿'!AK21="●"),IF($E21="正規職員","正",IF($E21="契約上の就業時間を記載","","実績を入力")),"-"))</f>
        <v/>
      </c>
      <c r="O21" s="10" t="str">
        <f>IF($B21="","",IF(OR('②-1職員名簿'!AL21="○",'②-1職員名簿'!AL21="●"),IF($E21="正規職員","正",IF($E21="契約上の就業時間を記載","","実績を入力")),"-"))</f>
        <v/>
      </c>
      <c r="P21" s="10" t="str">
        <f>IF($B21="","",IF(OR('②-1職員名簿'!AM21="○",'②-1職員名簿'!AM21="●"),IF($E21="正規職員","正",IF($E21="契約上の就業時間を記載","","実績を入力")),"-"))</f>
        <v/>
      </c>
      <c r="Q21" s="10" t="str">
        <f>IF($B21="","",IF(OR('②-1職員名簿'!AN21="○",'②-1職員名簿'!AN21="●"),IF($E21="正規職員","正",IF($E21="契約上の就業時間を記載","","実績を入力")),"-"))</f>
        <v/>
      </c>
      <c r="R21" s="104" t="str">
        <f>IF($B21="","",IF(OR('②-1職員名簿'!AC21="○",'②-1職員名簿'!AC21="●"),IF($E21="正規職員","正",IF($E21="契約上の就業時間を記載","",IF($E21&gt;=F$5,"常",F21))),"-"))</f>
        <v/>
      </c>
      <c r="S21" s="104" t="str">
        <f>IF($B21="","",IF(OR('②-1職員名簿'!AD21="○",'②-1職員名簿'!AD21="●"),IF($E21="正規職員","正",IF($E21="契約上の就業時間を記載","",IF($E21&gt;=G$5,"常",G21))),"-"))</f>
        <v/>
      </c>
      <c r="T21" s="104" t="str">
        <f>IF($B21="","",IF(OR('②-1職員名簿'!AE21="○",'②-1職員名簿'!AE21="●"),IF($E21="正規職員","正",IF($E21="契約上の就業時間を記載","",IF($E21&gt;=H$5,"常",H21))),"-"))</f>
        <v/>
      </c>
      <c r="U21" s="104" t="str">
        <f>IF($B21="","",IF(OR('②-1職員名簿'!AF21="○",'②-1職員名簿'!AF21="●"),IF($E21="正規職員","正",IF($E21="契約上の就業時間を記載","",IF($E21&gt;=I$5,"常",I21))),"-"))</f>
        <v/>
      </c>
      <c r="V21" s="104" t="str">
        <f>IF($B21="","",IF(OR('②-1職員名簿'!AG21="○",'②-1職員名簿'!AG21="●"),IF($E21="正規職員","正",IF($E21="契約上の就業時間を記載","",IF($E21&gt;=J$5,"常",J21))),"-"))</f>
        <v/>
      </c>
      <c r="W21" s="104" t="str">
        <f>IF($B21="","",IF(OR('②-1職員名簿'!AH21="○",'②-1職員名簿'!AH21="●"),IF($E21="正規職員","正",IF($E21="契約上の就業時間を記載","",IF($E21&gt;=K$5,"常",K21))),"-"))</f>
        <v/>
      </c>
      <c r="X21" s="104" t="str">
        <f>IF($B21="","",IF(OR('②-1職員名簿'!AI21="○",'②-1職員名簿'!AI21="●"),IF($E21="正規職員","正",IF($E21="契約上の就業時間を記載","",IF($E21&gt;=L$5,"常",L21))),"-"))</f>
        <v/>
      </c>
      <c r="Y21" s="104" t="str">
        <f>IF($B21="","",IF(OR('②-1職員名簿'!AJ21="○",'②-1職員名簿'!AJ21="●"),IF($E21="正規職員","正",IF($E21="契約上の就業時間を記載","",IF($E21&gt;=M$5,"常",M21))),"-"))</f>
        <v/>
      </c>
      <c r="Z21" s="104" t="str">
        <f>IF($B21="","",IF(OR('②-1職員名簿'!AK21="○",'②-1職員名簿'!AK21="●"),IF($E21="正規職員","正",IF($E21="契約上の就業時間を記載","",IF($E21&gt;=N$5,"常",N21))),"-"))</f>
        <v/>
      </c>
      <c r="AA21" s="104" t="str">
        <f>IF($B21="","",IF(OR('②-1職員名簿'!AL21="○",'②-1職員名簿'!AL21="●"),IF($E21="正規職員","正",IF($E21="契約上の就業時間を記載","",IF($E21&gt;=O$5,"常",O21))),"-"))</f>
        <v/>
      </c>
      <c r="AB21" s="104" t="str">
        <f>IF($B21="","",IF(OR('②-1職員名簿'!AM21="○",'②-1職員名簿'!AM21="●"),IF($E21="正規職員","正",IF($E21="契約上の就業時間を記載","",IF($E21&gt;=P$5,"常",P21))),"-"))</f>
        <v/>
      </c>
      <c r="AC21" s="104" t="str">
        <f>IF($B21="","",IF(OR('②-1職員名簿'!AN21="○",'②-1職員名簿'!AN21="●"),IF($E21="正規職員","正",IF($E21="契約上の就業時間を記載","",IF($E21&gt;=Q$5,"常",Q21))),"-"))</f>
        <v/>
      </c>
      <c r="AE21" s="101" t="str">
        <f>IF('②-1職員名簿'!W21="","",'②-1職員名簿'!W21)</f>
        <v/>
      </c>
      <c r="AJ21" s="106" t="str">
        <f t="shared" si="11"/>
        <v>○</v>
      </c>
      <c r="AK21" s="106" t="str">
        <f t="shared" si="12"/>
        <v>○</v>
      </c>
      <c r="AL21" s="106" t="str">
        <f t="shared" si="13"/>
        <v>○</v>
      </c>
      <c r="AM21" s="106" t="str">
        <f t="shared" si="14"/>
        <v>○</v>
      </c>
      <c r="AN21" s="106" t="str">
        <f t="shared" si="15"/>
        <v>○</v>
      </c>
      <c r="AO21" s="106" t="str">
        <f t="shared" si="16"/>
        <v>○</v>
      </c>
      <c r="AP21" s="106" t="str">
        <f t="shared" si="17"/>
        <v>○</v>
      </c>
      <c r="AQ21" s="106" t="str">
        <f t="shared" si="18"/>
        <v>○</v>
      </c>
      <c r="AR21" s="106" t="str">
        <f t="shared" si="19"/>
        <v>○</v>
      </c>
      <c r="AS21" s="106" t="str">
        <f t="shared" si="20"/>
        <v>○</v>
      </c>
      <c r="AT21" s="106" t="str">
        <f t="shared" si="21"/>
        <v>○</v>
      </c>
      <c r="AU21" s="106" t="str">
        <f t="shared" si="22"/>
        <v>○</v>
      </c>
    </row>
    <row r="22" spans="1:47" s="106" customFormat="1" ht="23.15" customHeight="1">
      <c r="A22" s="102">
        <v>16</v>
      </c>
      <c r="B22" s="101" t="str">
        <f>IF('②-1職員名簿'!E22="","",'②-1職員名簿'!Y22)</f>
        <v/>
      </c>
      <c r="C22" s="104" t="str">
        <f>'②-1職員名簿'!BE22</f>
        <v/>
      </c>
      <c r="D22" s="136" t="str">
        <f t="shared" si="9"/>
        <v/>
      </c>
      <c r="E22" s="20" t="str">
        <f>IF($B22="","",IF(AND('②-1職員名簿'!C22="正",'②-1職員名簿'!D22="常"),"正規職員","契約上の就業時間を記載"))</f>
        <v/>
      </c>
      <c r="F22" s="10" t="str">
        <f>IF($B22="","",IF(OR('②-1職員名簿'!AC22="○",'②-1職員名簿'!AC22="●"),IF($E22="正規職員","正",IF($E22="契約上の就業時間を記載","","実績を入力")),"-"))</f>
        <v/>
      </c>
      <c r="G22" s="10" t="str">
        <f>IF($B22="","",IF(OR('②-1職員名簿'!AD22="○",'②-1職員名簿'!AD22="●"),IF($E22="正規職員","正",IF($E22="契約上の就業時間を記載","","実績を入力")),"-"))</f>
        <v/>
      </c>
      <c r="H22" s="10" t="str">
        <f>IF($B22="","",IF(OR('②-1職員名簿'!AE22="○",'②-1職員名簿'!AE22="●"),IF($E22="正規職員","正",IF($E22="契約上の就業時間を記載","","実績を入力")),"-"))</f>
        <v/>
      </c>
      <c r="I22" s="10" t="str">
        <f>IF($B22="","",IF(OR('②-1職員名簿'!AF22="○",'②-1職員名簿'!AF22="●"),IF($E22="正規職員","正",IF($E22="契約上の就業時間を記載","","実績を入力")),"-"))</f>
        <v/>
      </c>
      <c r="J22" s="10" t="str">
        <f>IF($B22="","",IF(OR('②-1職員名簿'!AG22="○",'②-1職員名簿'!AG22="●"),IF($E22="正規職員","正",IF($E22="契約上の就業時間を記載","","実績を入力")),"-"))</f>
        <v/>
      </c>
      <c r="K22" s="10" t="str">
        <f>IF($B22="","",IF(OR('②-1職員名簿'!AH22="○",'②-1職員名簿'!AH22="●"),IF($E22="正規職員","正",IF($E22="契約上の就業時間を記載","","実績を入力")),"-"))</f>
        <v/>
      </c>
      <c r="L22" s="10" t="str">
        <f>IF($B22="","",IF(OR('②-1職員名簿'!AI22="○",'②-1職員名簿'!AI22="●"),IF($E22="正規職員","正",IF($E22="契約上の就業時間を記載","","実績を入力")),"-"))</f>
        <v/>
      </c>
      <c r="M22" s="10" t="str">
        <f>IF($B22="","",IF(OR('②-1職員名簿'!AJ22="○",'②-1職員名簿'!AJ22="●"),IF($E22="正規職員","正",IF($E22="契約上の就業時間を記載","","実績を入力")),"-"))</f>
        <v/>
      </c>
      <c r="N22" s="10" t="str">
        <f>IF($B22="","",IF(OR('②-1職員名簿'!AK22="○",'②-1職員名簿'!AK22="●"),IF($E22="正規職員","正",IF($E22="契約上の就業時間を記載","","実績を入力")),"-"))</f>
        <v/>
      </c>
      <c r="O22" s="10" t="str">
        <f>IF($B22="","",IF(OR('②-1職員名簿'!AL22="○",'②-1職員名簿'!AL22="●"),IF($E22="正規職員","正",IF($E22="契約上の就業時間を記載","","実績を入力")),"-"))</f>
        <v/>
      </c>
      <c r="P22" s="10" t="str">
        <f>IF($B22="","",IF(OR('②-1職員名簿'!AM22="○",'②-1職員名簿'!AM22="●"),IF($E22="正規職員","正",IF($E22="契約上の就業時間を記載","","実績を入力")),"-"))</f>
        <v/>
      </c>
      <c r="Q22" s="10" t="str">
        <f>IF($B22="","",IF(OR('②-1職員名簿'!AN22="○",'②-1職員名簿'!AN22="●"),IF($E22="正規職員","正",IF($E22="契約上の就業時間を記載","","実績を入力")),"-"))</f>
        <v/>
      </c>
      <c r="R22" s="104" t="str">
        <f>IF($B22="","",IF(OR('②-1職員名簿'!AC22="○",'②-1職員名簿'!AC22="●"),IF($E22="正規職員","正",IF($E22="契約上の就業時間を記載","",IF($E22&gt;=F$5,"常",F22))),"-"))</f>
        <v/>
      </c>
      <c r="S22" s="104" t="str">
        <f>IF($B22="","",IF(OR('②-1職員名簿'!AD22="○",'②-1職員名簿'!AD22="●"),IF($E22="正規職員","正",IF($E22="契約上の就業時間を記載","",IF($E22&gt;=G$5,"常",G22))),"-"))</f>
        <v/>
      </c>
      <c r="T22" s="104" t="str">
        <f>IF($B22="","",IF(OR('②-1職員名簿'!AE22="○",'②-1職員名簿'!AE22="●"),IF($E22="正規職員","正",IF($E22="契約上の就業時間を記載","",IF($E22&gt;=H$5,"常",H22))),"-"))</f>
        <v/>
      </c>
      <c r="U22" s="104" t="str">
        <f>IF($B22="","",IF(OR('②-1職員名簿'!AF22="○",'②-1職員名簿'!AF22="●"),IF($E22="正規職員","正",IF($E22="契約上の就業時間を記載","",IF($E22&gt;=I$5,"常",I22))),"-"))</f>
        <v/>
      </c>
      <c r="V22" s="104" t="str">
        <f>IF($B22="","",IF(OR('②-1職員名簿'!AG22="○",'②-1職員名簿'!AG22="●"),IF($E22="正規職員","正",IF($E22="契約上の就業時間を記載","",IF($E22&gt;=J$5,"常",J22))),"-"))</f>
        <v/>
      </c>
      <c r="W22" s="104" t="str">
        <f>IF($B22="","",IF(OR('②-1職員名簿'!AH22="○",'②-1職員名簿'!AH22="●"),IF($E22="正規職員","正",IF($E22="契約上の就業時間を記載","",IF($E22&gt;=K$5,"常",K22))),"-"))</f>
        <v/>
      </c>
      <c r="X22" s="104" t="str">
        <f>IF($B22="","",IF(OR('②-1職員名簿'!AI22="○",'②-1職員名簿'!AI22="●"),IF($E22="正規職員","正",IF($E22="契約上の就業時間を記載","",IF($E22&gt;=L$5,"常",L22))),"-"))</f>
        <v/>
      </c>
      <c r="Y22" s="104" t="str">
        <f>IF($B22="","",IF(OR('②-1職員名簿'!AJ22="○",'②-1職員名簿'!AJ22="●"),IF($E22="正規職員","正",IF($E22="契約上の就業時間を記載","",IF($E22&gt;=M$5,"常",M22))),"-"))</f>
        <v/>
      </c>
      <c r="Z22" s="104" t="str">
        <f>IF($B22="","",IF(OR('②-1職員名簿'!AK22="○",'②-1職員名簿'!AK22="●"),IF($E22="正規職員","正",IF($E22="契約上の就業時間を記載","",IF($E22&gt;=N$5,"常",N22))),"-"))</f>
        <v/>
      </c>
      <c r="AA22" s="104" t="str">
        <f>IF($B22="","",IF(OR('②-1職員名簿'!AL22="○",'②-1職員名簿'!AL22="●"),IF($E22="正規職員","正",IF($E22="契約上の就業時間を記載","",IF($E22&gt;=O$5,"常",O22))),"-"))</f>
        <v/>
      </c>
      <c r="AB22" s="104" t="str">
        <f>IF($B22="","",IF(OR('②-1職員名簿'!AM22="○",'②-1職員名簿'!AM22="●"),IF($E22="正規職員","正",IF($E22="契約上の就業時間を記載","",IF($E22&gt;=P$5,"常",P22))),"-"))</f>
        <v/>
      </c>
      <c r="AC22" s="104" t="str">
        <f>IF($B22="","",IF(OR('②-1職員名簿'!AN22="○",'②-1職員名簿'!AN22="●"),IF($E22="正規職員","正",IF($E22="契約上の就業時間を記載","",IF($E22&gt;=Q$5,"常",Q22))),"-"))</f>
        <v/>
      </c>
      <c r="AE22" s="101" t="str">
        <f>IF('②-1職員名簿'!W22="","",'②-1職員名簿'!W22)</f>
        <v/>
      </c>
      <c r="AJ22" s="106" t="str">
        <f t="shared" si="11"/>
        <v>○</v>
      </c>
      <c r="AK22" s="106" t="str">
        <f t="shared" si="12"/>
        <v>○</v>
      </c>
      <c r="AL22" s="106" t="str">
        <f t="shared" si="13"/>
        <v>○</v>
      </c>
      <c r="AM22" s="106" t="str">
        <f t="shared" si="14"/>
        <v>○</v>
      </c>
      <c r="AN22" s="106" t="str">
        <f t="shared" si="15"/>
        <v>○</v>
      </c>
      <c r="AO22" s="106" t="str">
        <f t="shared" si="16"/>
        <v>○</v>
      </c>
      <c r="AP22" s="106" t="str">
        <f t="shared" si="17"/>
        <v>○</v>
      </c>
      <c r="AQ22" s="106" t="str">
        <f t="shared" si="18"/>
        <v>○</v>
      </c>
      <c r="AR22" s="106" t="str">
        <f t="shared" si="19"/>
        <v>○</v>
      </c>
      <c r="AS22" s="106" t="str">
        <f t="shared" si="20"/>
        <v>○</v>
      </c>
      <c r="AT22" s="106" t="str">
        <f t="shared" si="21"/>
        <v>○</v>
      </c>
      <c r="AU22" s="106" t="str">
        <f t="shared" si="22"/>
        <v>○</v>
      </c>
    </row>
    <row r="23" spans="1:47" s="106" customFormat="1" ht="23.15" customHeight="1">
      <c r="A23" s="102">
        <v>17</v>
      </c>
      <c r="B23" s="101" t="str">
        <f>IF('②-1職員名簿'!E23="","",'②-1職員名簿'!Y23)</f>
        <v/>
      </c>
      <c r="C23" s="104" t="str">
        <f>'②-1職員名簿'!BE23</f>
        <v/>
      </c>
      <c r="D23" s="136" t="str">
        <f t="shared" si="9"/>
        <v/>
      </c>
      <c r="E23" s="20" t="str">
        <f>IF($B23="","",IF(AND('②-1職員名簿'!C23="正",'②-1職員名簿'!D23="常"),"正規職員","契約上の就業時間を記載"))</f>
        <v/>
      </c>
      <c r="F23" s="10" t="str">
        <f>IF($B23="","",IF(OR('②-1職員名簿'!AC23="○",'②-1職員名簿'!AC23="●"),IF($E23="正規職員","正",IF($E23="契約上の就業時間を記載","","実績を入力")),"-"))</f>
        <v/>
      </c>
      <c r="G23" s="10" t="str">
        <f>IF($B23="","",IF(OR('②-1職員名簿'!AD23="○",'②-1職員名簿'!AD23="●"),IF($E23="正規職員","正",IF($E23="契約上の就業時間を記載","","実績を入力")),"-"))</f>
        <v/>
      </c>
      <c r="H23" s="10" t="str">
        <f>IF($B23="","",IF(OR('②-1職員名簿'!AE23="○",'②-1職員名簿'!AE23="●"),IF($E23="正規職員","正",IF($E23="契約上の就業時間を記載","","実績を入力")),"-"))</f>
        <v/>
      </c>
      <c r="I23" s="10" t="str">
        <f>IF($B23="","",IF(OR('②-1職員名簿'!AF23="○",'②-1職員名簿'!AF23="●"),IF($E23="正規職員","正",IF($E23="契約上の就業時間を記載","","実績を入力")),"-"))</f>
        <v/>
      </c>
      <c r="J23" s="10" t="str">
        <f>IF($B23="","",IF(OR('②-1職員名簿'!AG23="○",'②-1職員名簿'!AG23="●"),IF($E23="正規職員","正",IF($E23="契約上の就業時間を記載","","実績を入力")),"-"))</f>
        <v/>
      </c>
      <c r="K23" s="10" t="str">
        <f>IF($B23="","",IF(OR('②-1職員名簿'!AH23="○",'②-1職員名簿'!AH23="●"),IF($E23="正規職員","正",IF($E23="契約上の就業時間を記載","","実績を入力")),"-"))</f>
        <v/>
      </c>
      <c r="L23" s="10" t="str">
        <f>IF($B23="","",IF(OR('②-1職員名簿'!AI23="○",'②-1職員名簿'!AI23="●"),IF($E23="正規職員","正",IF($E23="契約上の就業時間を記載","","実績を入力")),"-"))</f>
        <v/>
      </c>
      <c r="M23" s="10" t="str">
        <f>IF($B23="","",IF(OR('②-1職員名簿'!AJ23="○",'②-1職員名簿'!AJ23="●"),IF($E23="正規職員","正",IF($E23="契約上の就業時間を記載","","実績を入力")),"-"))</f>
        <v/>
      </c>
      <c r="N23" s="10" t="str">
        <f>IF($B23="","",IF(OR('②-1職員名簿'!AK23="○",'②-1職員名簿'!AK23="●"),IF($E23="正規職員","正",IF($E23="契約上の就業時間を記載","","実績を入力")),"-"))</f>
        <v/>
      </c>
      <c r="O23" s="10" t="str">
        <f>IF($B23="","",IF(OR('②-1職員名簿'!AL23="○",'②-1職員名簿'!AL23="●"),IF($E23="正規職員","正",IF($E23="契約上の就業時間を記載","","実績を入力")),"-"))</f>
        <v/>
      </c>
      <c r="P23" s="10" t="str">
        <f>IF($B23="","",IF(OR('②-1職員名簿'!AM23="○",'②-1職員名簿'!AM23="●"),IF($E23="正規職員","正",IF($E23="契約上の就業時間を記載","","実績を入力")),"-"))</f>
        <v/>
      </c>
      <c r="Q23" s="10" t="str">
        <f>IF($B23="","",IF(OR('②-1職員名簿'!AN23="○",'②-1職員名簿'!AN23="●"),IF($E23="正規職員","正",IF($E23="契約上の就業時間を記載","","実績を入力")),"-"))</f>
        <v/>
      </c>
      <c r="R23" s="104" t="str">
        <f>IF($B23="","",IF(OR('②-1職員名簿'!AC23="○",'②-1職員名簿'!AC23="●"),IF($E23="正規職員","正",IF($E23="契約上の就業時間を記載","",IF($E23&gt;=F$5,"常",F23))),"-"))</f>
        <v/>
      </c>
      <c r="S23" s="104" t="str">
        <f>IF($B23="","",IF(OR('②-1職員名簿'!AD23="○",'②-1職員名簿'!AD23="●"),IF($E23="正規職員","正",IF($E23="契約上の就業時間を記載","",IF($E23&gt;=G$5,"常",G23))),"-"))</f>
        <v/>
      </c>
      <c r="T23" s="104" t="str">
        <f>IF($B23="","",IF(OR('②-1職員名簿'!AE23="○",'②-1職員名簿'!AE23="●"),IF($E23="正規職員","正",IF($E23="契約上の就業時間を記載","",IF($E23&gt;=H$5,"常",H23))),"-"))</f>
        <v/>
      </c>
      <c r="U23" s="104" t="str">
        <f>IF($B23="","",IF(OR('②-1職員名簿'!AF23="○",'②-1職員名簿'!AF23="●"),IF($E23="正規職員","正",IF($E23="契約上の就業時間を記載","",IF($E23&gt;=I$5,"常",I23))),"-"))</f>
        <v/>
      </c>
      <c r="V23" s="104" t="str">
        <f>IF($B23="","",IF(OR('②-1職員名簿'!AG23="○",'②-1職員名簿'!AG23="●"),IF($E23="正規職員","正",IF($E23="契約上の就業時間を記載","",IF($E23&gt;=J$5,"常",J23))),"-"))</f>
        <v/>
      </c>
      <c r="W23" s="104" t="str">
        <f>IF($B23="","",IF(OR('②-1職員名簿'!AH23="○",'②-1職員名簿'!AH23="●"),IF($E23="正規職員","正",IF($E23="契約上の就業時間を記載","",IF($E23&gt;=K$5,"常",K23))),"-"))</f>
        <v/>
      </c>
      <c r="X23" s="104" t="str">
        <f>IF($B23="","",IF(OR('②-1職員名簿'!AI23="○",'②-1職員名簿'!AI23="●"),IF($E23="正規職員","正",IF($E23="契約上の就業時間を記載","",IF($E23&gt;=L$5,"常",L23))),"-"))</f>
        <v/>
      </c>
      <c r="Y23" s="104" t="str">
        <f>IF($B23="","",IF(OR('②-1職員名簿'!AJ23="○",'②-1職員名簿'!AJ23="●"),IF($E23="正規職員","正",IF($E23="契約上の就業時間を記載","",IF($E23&gt;=M$5,"常",M23))),"-"))</f>
        <v/>
      </c>
      <c r="Z23" s="104" t="str">
        <f>IF($B23="","",IF(OR('②-1職員名簿'!AK23="○",'②-1職員名簿'!AK23="●"),IF($E23="正規職員","正",IF($E23="契約上の就業時間を記載","",IF($E23&gt;=N$5,"常",N23))),"-"))</f>
        <v/>
      </c>
      <c r="AA23" s="104" t="str">
        <f>IF($B23="","",IF(OR('②-1職員名簿'!AL23="○",'②-1職員名簿'!AL23="●"),IF($E23="正規職員","正",IF($E23="契約上の就業時間を記載","",IF($E23&gt;=O$5,"常",O23))),"-"))</f>
        <v/>
      </c>
      <c r="AB23" s="104" t="str">
        <f>IF($B23="","",IF(OR('②-1職員名簿'!AM23="○",'②-1職員名簿'!AM23="●"),IF($E23="正規職員","正",IF($E23="契約上の就業時間を記載","",IF($E23&gt;=P$5,"常",P23))),"-"))</f>
        <v/>
      </c>
      <c r="AC23" s="104" t="str">
        <f>IF($B23="","",IF(OR('②-1職員名簿'!AN23="○",'②-1職員名簿'!AN23="●"),IF($E23="正規職員","正",IF($E23="契約上の就業時間を記載","",IF($E23&gt;=Q$5,"常",Q23))),"-"))</f>
        <v/>
      </c>
      <c r="AE23" s="101" t="str">
        <f>IF('②-1職員名簿'!W23="","",'②-1職員名簿'!W23)</f>
        <v/>
      </c>
      <c r="AJ23" s="106" t="str">
        <f t="shared" si="11"/>
        <v>○</v>
      </c>
      <c r="AK23" s="106" t="str">
        <f t="shared" ref="AK23:AK86" si="23">IF(AND($C23="常勤的非常勤",$E23&lt;G$5),"×",IF(AND($C23="短時間非常勤",G$5&lt;=$E23),"×",IF(AND($C23="嘱託常勤",$E23&lt;G$5),"×",IF(AND($C23="嘱託非常勤",G$5&lt;=$E23),"×","○"))))</f>
        <v>○</v>
      </c>
      <c r="AL23" s="106" t="str">
        <f t="shared" ref="AL23:AL86" si="24">IF(AND($C23="常勤的非常勤",$E23&lt;H$5),"×",IF(AND($C23="短時間非常勤",H$5&lt;=$E23),"×",IF(AND($C23="嘱託常勤",$E23&lt;H$5),"×",IF(AND($C23="嘱託非常勤",H$5&lt;=$E23),"×","○"))))</f>
        <v>○</v>
      </c>
      <c r="AM23" s="106" t="str">
        <f t="shared" ref="AM23:AM86" si="25">IF(AND($C23="常勤的非常勤",$E23&lt;I$5),"×",IF(AND($C23="短時間非常勤",I$5&lt;=$E23),"×",IF(AND($C23="嘱託常勤",$E23&lt;I$5),"×",IF(AND($C23="嘱託非常勤",I$5&lt;=$E23),"×","○"))))</f>
        <v>○</v>
      </c>
      <c r="AN23" s="106" t="str">
        <f t="shared" ref="AN23:AN86" si="26">IF(AND($C23="常勤的非常勤",$E23&lt;J$5),"×",IF(AND($C23="短時間非常勤",J$5&lt;=$E23),"×",IF(AND($C23="嘱託常勤",$E23&lt;J$5),"×",IF(AND($C23="嘱託非常勤",J$5&lt;=$E23),"×","○"))))</f>
        <v>○</v>
      </c>
      <c r="AO23" s="106" t="str">
        <f t="shared" ref="AO23:AO86" si="27">IF(AND($C23="常勤的非常勤",$E23&lt;K$5),"×",IF(AND($C23="短時間非常勤",K$5&lt;=$E23),"×",IF(AND($C23="嘱託常勤",$E23&lt;K$5),"×",IF(AND($C23="嘱託非常勤",K$5&lt;=$E23),"×","○"))))</f>
        <v>○</v>
      </c>
      <c r="AP23" s="106" t="str">
        <f t="shared" ref="AP23:AP86" si="28">IF(AND($C23="常勤的非常勤",$E23&lt;L$5),"×",IF(AND($C23="短時間非常勤",L$5&lt;=$E23),"×",IF(AND($C23="嘱託常勤",$E23&lt;L$5),"×",IF(AND($C23="嘱託非常勤",L$5&lt;=$E23),"×","○"))))</f>
        <v>○</v>
      </c>
      <c r="AQ23" s="106" t="str">
        <f t="shared" ref="AQ23:AQ86" si="29">IF(AND($C23="常勤的非常勤",$E23&lt;M$5),"×",IF(AND($C23="短時間非常勤",M$5&lt;=$E23),"×",IF(AND($C23="嘱託常勤",$E23&lt;M$5),"×",IF(AND($C23="嘱託非常勤",M$5&lt;=$E23),"×","○"))))</f>
        <v>○</v>
      </c>
      <c r="AR23" s="106" t="str">
        <f t="shared" ref="AR23:AR86" si="30">IF(AND($C23="常勤的非常勤",$E23&lt;N$5),"×",IF(AND($C23="短時間非常勤",N$5&lt;=$E23),"×",IF(AND($C23="嘱託常勤",$E23&lt;N$5),"×",IF(AND($C23="嘱託非常勤",N$5&lt;=$E23),"×","○"))))</f>
        <v>○</v>
      </c>
      <c r="AS23" s="106" t="str">
        <f t="shared" ref="AS23:AS86" si="31">IF(AND($C23="常勤的非常勤",$E23&lt;O$5),"×",IF(AND($C23="短時間非常勤",O$5&lt;=$E23),"×",IF(AND($C23="嘱託常勤",$E23&lt;O$5),"×",IF(AND($C23="嘱託非常勤",O$5&lt;=$E23),"×","○"))))</f>
        <v>○</v>
      </c>
      <c r="AT23" s="106" t="str">
        <f t="shared" ref="AT23:AT54" si="32">IF(AND($C23="常勤的非常勤",$E23&lt;P$5),"×",IF(AND($C23="短時間非常勤",P$5&lt;=$E23),"×",IF(AND($C23="嘱託常勤",$E23&lt;P$5),"×",IF(AND($C23="嘱託非常勤",P$5&lt;=$E23),"×","○"))))</f>
        <v>○</v>
      </c>
      <c r="AU23" s="106" t="str">
        <f t="shared" ref="AU23:AU54" si="33">IF(AND($C23="常勤的非常勤",$E23&lt;Q$5),"×",IF(AND($C23="短時間非常勤",Q$5&lt;=$E23),"×",IF(AND($C23="嘱託常勤",$E23&lt;Q$5),"×",IF(AND($C23="嘱託非常勤",Q$5&lt;=$E23),"×","○"))))</f>
        <v>○</v>
      </c>
    </row>
    <row r="24" spans="1:47" s="106" customFormat="1" ht="23.15" customHeight="1">
      <c r="A24" s="102">
        <v>18</v>
      </c>
      <c r="B24" s="101" t="str">
        <f>IF('②-1職員名簿'!E24="","",'②-1職員名簿'!Y24)</f>
        <v/>
      </c>
      <c r="C24" s="104" t="str">
        <f>'②-1職員名簿'!BE24</f>
        <v/>
      </c>
      <c r="D24" s="136" t="str">
        <f t="shared" si="9"/>
        <v/>
      </c>
      <c r="E24" s="20" t="str">
        <f>IF($B24="","",IF(AND('②-1職員名簿'!C24="正",'②-1職員名簿'!D24="常"),"正規職員","契約上の就業時間を記載"))</f>
        <v/>
      </c>
      <c r="F24" s="10" t="str">
        <f>IF($B24="","",IF(OR('②-1職員名簿'!AC24="○",'②-1職員名簿'!AC24="●"),IF($E24="正規職員","正",IF($E24="契約上の就業時間を記載","","実績を入力")),"-"))</f>
        <v/>
      </c>
      <c r="G24" s="10" t="str">
        <f>IF($B24="","",IF(OR('②-1職員名簿'!AD24="○",'②-1職員名簿'!AD24="●"),IF($E24="正規職員","正",IF($E24="契約上の就業時間を記載","","実績を入力")),"-"))</f>
        <v/>
      </c>
      <c r="H24" s="10" t="str">
        <f>IF($B24="","",IF(OR('②-1職員名簿'!AE24="○",'②-1職員名簿'!AE24="●"),IF($E24="正規職員","正",IF($E24="契約上の就業時間を記載","","実績を入力")),"-"))</f>
        <v/>
      </c>
      <c r="I24" s="10" t="str">
        <f>IF($B24="","",IF(OR('②-1職員名簿'!AF24="○",'②-1職員名簿'!AF24="●"),IF($E24="正規職員","正",IF($E24="契約上の就業時間を記載","","実績を入力")),"-"))</f>
        <v/>
      </c>
      <c r="J24" s="10" t="str">
        <f>IF($B24="","",IF(OR('②-1職員名簿'!AG24="○",'②-1職員名簿'!AG24="●"),IF($E24="正規職員","正",IF($E24="契約上の就業時間を記載","","実績を入力")),"-"))</f>
        <v/>
      </c>
      <c r="K24" s="10" t="str">
        <f>IF($B24="","",IF(OR('②-1職員名簿'!AH24="○",'②-1職員名簿'!AH24="●"),IF($E24="正規職員","正",IF($E24="契約上の就業時間を記載","","実績を入力")),"-"))</f>
        <v/>
      </c>
      <c r="L24" s="10" t="str">
        <f>IF($B24="","",IF(OR('②-1職員名簿'!AI24="○",'②-1職員名簿'!AI24="●"),IF($E24="正規職員","正",IF($E24="契約上の就業時間を記載","","実績を入力")),"-"))</f>
        <v/>
      </c>
      <c r="M24" s="10" t="str">
        <f>IF($B24="","",IF(OR('②-1職員名簿'!AJ24="○",'②-1職員名簿'!AJ24="●"),IF($E24="正規職員","正",IF($E24="契約上の就業時間を記載","","実績を入力")),"-"))</f>
        <v/>
      </c>
      <c r="N24" s="10" t="str">
        <f>IF($B24="","",IF(OR('②-1職員名簿'!AK24="○",'②-1職員名簿'!AK24="●"),IF($E24="正規職員","正",IF($E24="契約上の就業時間を記載","","実績を入力")),"-"))</f>
        <v/>
      </c>
      <c r="O24" s="10" t="str">
        <f>IF($B24="","",IF(OR('②-1職員名簿'!AL24="○",'②-1職員名簿'!AL24="●"),IF($E24="正規職員","正",IF($E24="契約上の就業時間を記載","","実績を入力")),"-"))</f>
        <v/>
      </c>
      <c r="P24" s="10" t="str">
        <f>IF($B24="","",IF(OR('②-1職員名簿'!AM24="○",'②-1職員名簿'!AM24="●"),IF($E24="正規職員","正",IF($E24="契約上の就業時間を記載","","実績を入力")),"-"))</f>
        <v/>
      </c>
      <c r="Q24" s="10" t="str">
        <f>IF($B24="","",IF(OR('②-1職員名簿'!AN24="○",'②-1職員名簿'!AN24="●"),IF($E24="正規職員","正",IF($E24="契約上の就業時間を記載","","実績を入力")),"-"))</f>
        <v/>
      </c>
      <c r="R24" s="104" t="str">
        <f>IF($B24="","",IF(OR('②-1職員名簿'!AC24="○",'②-1職員名簿'!AC24="●"),IF($E24="正規職員","正",IF($E24="契約上の就業時間を記載","",IF($E24&gt;=F$5,"常",F24))),"-"))</f>
        <v/>
      </c>
      <c r="S24" s="104" t="str">
        <f>IF($B24="","",IF(OR('②-1職員名簿'!AD24="○",'②-1職員名簿'!AD24="●"),IF($E24="正規職員","正",IF($E24="契約上の就業時間を記載","",IF($E24&gt;=G$5,"常",G24))),"-"))</f>
        <v/>
      </c>
      <c r="T24" s="104" t="str">
        <f>IF($B24="","",IF(OR('②-1職員名簿'!AE24="○",'②-1職員名簿'!AE24="●"),IF($E24="正規職員","正",IF($E24="契約上の就業時間を記載","",IF($E24&gt;=H$5,"常",H24))),"-"))</f>
        <v/>
      </c>
      <c r="U24" s="104" t="str">
        <f>IF($B24="","",IF(OR('②-1職員名簿'!AF24="○",'②-1職員名簿'!AF24="●"),IF($E24="正規職員","正",IF($E24="契約上の就業時間を記載","",IF($E24&gt;=I$5,"常",I24))),"-"))</f>
        <v/>
      </c>
      <c r="V24" s="104" t="str">
        <f>IF($B24="","",IF(OR('②-1職員名簿'!AG24="○",'②-1職員名簿'!AG24="●"),IF($E24="正規職員","正",IF($E24="契約上の就業時間を記載","",IF($E24&gt;=J$5,"常",J24))),"-"))</f>
        <v/>
      </c>
      <c r="W24" s="104" t="str">
        <f>IF($B24="","",IF(OR('②-1職員名簿'!AH24="○",'②-1職員名簿'!AH24="●"),IF($E24="正規職員","正",IF($E24="契約上の就業時間を記載","",IF($E24&gt;=K$5,"常",K24))),"-"))</f>
        <v/>
      </c>
      <c r="X24" s="104" t="str">
        <f>IF($B24="","",IF(OR('②-1職員名簿'!AI24="○",'②-1職員名簿'!AI24="●"),IF($E24="正規職員","正",IF($E24="契約上の就業時間を記載","",IF($E24&gt;=L$5,"常",L24))),"-"))</f>
        <v/>
      </c>
      <c r="Y24" s="104" t="str">
        <f>IF($B24="","",IF(OR('②-1職員名簿'!AJ24="○",'②-1職員名簿'!AJ24="●"),IF($E24="正規職員","正",IF($E24="契約上の就業時間を記載","",IF($E24&gt;=M$5,"常",M24))),"-"))</f>
        <v/>
      </c>
      <c r="Z24" s="104" t="str">
        <f>IF($B24="","",IF(OR('②-1職員名簿'!AK24="○",'②-1職員名簿'!AK24="●"),IF($E24="正規職員","正",IF($E24="契約上の就業時間を記載","",IF($E24&gt;=N$5,"常",N24))),"-"))</f>
        <v/>
      </c>
      <c r="AA24" s="104" t="str">
        <f>IF($B24="","",IF(OR('②-1職員名簿'!AL24="○",'②-1職員名簿'!AL24="●"),IF($E24="正規職員","正",IF($E24="契約上の就業時間を記載","",IF($E24&gt;=O$5,"常",O24))),"-"))</f>
        <v/>
      </c>
      <c r="AB24" s="104" t="str">
        <f>IF($B24="","",IF(OR('②-1職員名簿'!AM24="○",'②-1職員名簿'!AM24="●"),IF($E24="正規職員","正",IF($E24="契約上の就業時間を記載","",IF($E24&gt;=P$5,"常",P24))),"-"))</f>
        <v/>
      </c>
      <c r="AC24" s="104" t="str">
        <f>IF($B24="","",IF(OR('②-1職員名簿'!AN24="○",'②-1職員名簿'!AN24="●"),IF($E24="正規職員","正",IF($E24="契約上の就業時間を記載","",IF($E24&gt;=Q$5,"常",Q24))),"-"))</f>
        <v/>
      </c>
      <c r="AE24" s="101" t="str">
        <f>IF('②-1職員名簿'!W24="","",'②-1職員名簿'!W24)</f>
        <v/>
      </c>
      <c r="AJ24" s="106" t="str">
        <f t="shared" si="11"/>
        <v>○</v>
      </c>
      <c r="AK24" s="106" t="str">
        <f t="shared" si="23"/>
        <v>○</v>
      </c>
      <c r="AL24" s="106" t="str">
        <f t="shared" si="24"/>
        <v>○</v>
      </c>
      <c r="AM24" s="106" t="str">
        <f t="shared" si="25"/>
        <v>○</v>
      </c>
      <c r="AN24" s="106" t="str">
        <f t="shared" si="26"/>
        <v>○</v>
      </c>
      <c r="AO24" s="106" t="str">
        <f t="shared" si="27"/>
        <v>○</v>
      </c>
      <c r="AP24" s="106" t="str">
        <f t="shared" si="28"/>
        <v>○</v>
      </c>
      <c r="AQ24" s="106" t="str">
        <f t="shared" si="29"/>
        <v>○</v>
      </c>
      <c r="AR24" s="106" t="str">
        <f t="shared" si="30"/>
        <v>○</v>
      </c>
      <c r="AS24" s="106" t="str">
        <f t="shared" si="31"/>
        <v>○</v>
      </c>
      <c r="AT24" s="106" t="str">
        <f t="shared" si="32"/>
        <v>○</v>
      </c>
      <c r="AU24" s="106" t="str">
        <f t="shared" si="33"/>
        <v>○</v>
      </c>
    </row>
    <row r="25" spans="1:47" s="106" customFormat="1" ht="23.15" customHeight="1">
      <c r="A25" s="102">
        <v>19</v>
      </c>
      <c r="B25" s="101" t="str">
        <f>IF('②-1職員名簿'!E25="","",'②-1職員名簿'!Y25)</f>
        <v/>
      </c>
      <c r="C25" s="104" t="str">
        <f>'②-1職員名簿'!BE25</f>
        <v/>
      </c>
      <c r="D25" s="136" t="str">
        <f t="shared" si="9"/>
        <v/>
      </c>
      <c r="E25" s="20" t="str">
        <f>IF($B25="","",IF(AND('②-1職員名簿'!C25="正",'②-1職員名簿'!D25="常"),"正規職員","契約上の就業時間を記載"))</f>
        <v/>
      </c>
      <c r="F25" s="10" t="str">
        <f>IF($B25="","",IF(OR('②-1職員名簿'!AC25="○",'②-1職員名簿'!AC25="●"),IF($E25="正規職員","正",IF($E25="契約上の就業時間を記載","","実績を入力")),"-"))</f>
        <v/>
      </c>
      <c r="G25" s="10" t="str">
        <f>IF($B25="","",IF(OR('②-1職員名簿'!AD25="○",'②-1職員名簿'!AD25="●"),IF($E25="正規職員","正",IF($E25="契約上の就業時間を記載","","実績を入力")),"-"))</f>
        <v/>
      </c>
      <c r="H25" s="10" t="str">
        <f>IF($B25="","",IF(OR('②-1職員名簿'!AE25="○",'②-1職員名簿'!AE25="●"),IF($E25="正規職員","正",IF($E25="契約上の就業時間を記載","","実績を入力")),"-"))</f>
        <v/>
      </c>
      <c r="I25" s="10" t="str">
        <f>IF($B25="","",IF(OR('②-1職員名簿'!AF25="○",'②-1職員名簿'!AF25="●"),IF($E25="正規職員","正",IF($E25="契約上の就業時間を記載","","実績を入力")),"-"))</f>
        <v/>
      </c>
      <c r="J25" s="10" t="str">
        <f>IF($B25="","",IF(OR('②-1職員名簿'!AG25="○",'②-1職員名簿'!AG25="●"),IF($E25="正規職員","正",IF($E25="契約上の就業時間を記載","","実績を入力")),"-"))</f>
        <v/>
      </c>
      <c r="K25" s="10" t="str">
        <f>IF($B25="","",IF(OR('②-1職員名簿'!AH25="○",'②-1職員名簿'!AH25="●"),IF($E25="正規職員","正",IF($E25="契約上の就業時間を記載","","実績を入力")),"-"))</f>
        <v/>
      </c>
      <c r="L25" s="10" t="str">
        <f>IF($B25="","",IF(OR('②-1職員名簿'!AI25="○",'②-1職員名簿'!AI25="●"),IF($E25="正規職員","正",IF($E25="契約上の就業時間を記載","","実績を入力")),"-"))</f>
        <v/>
      </c>
      <c r="M25" s="10" t="str">
        <f>IF($B25="","",IF(OR('②-1職員名簿'!AJ25="○",'②-1職員名簿'!AJ25="●"),IF($E25="正規職員","正",IF($E25="契約上の就業時間を記載","","実績を入力")),"-"))</f>
        <v/>
      </c>
      <c r="N25" s="10" t="str">
        <f>IF($B25="","",IF(OR('②-1職員名簿'!AK25="○",'②-1職員名簿'!AK25="●"),IF($E25="正規職員","正",IF($E25="契約上の就業時間を記載","","実績を入力")),"-"))</f>
        <v/>
      </c>
      <c r="O25" s="10" t="str">
        <f>IF($B25="","",IF(OR('②-1職員名簿'!AL25="○",'②-1職員名簿'!AL25="●"),IF($E25="正規職員","正",IF($E25="契約上の就業時間を記載","","実績を入力")),"-"))</f>
        <v/>
      </c>
      <c r="P25" s="10" t="str">
        <f>IF($B25="","",IF(OR('②-1職員名簿'!AM25="○",'②-1職員名簿'!AM25="●"),IF($E25="正規職員","正",IF($E25="契約上の就業時間を記載","","実績を入力")),"-"))</f>
        <v/>
      </c>
      <c r="Q25" s="10" t="str">
        <f>IF($B25="","",IF(OR('②-1職員名簿'!AN25="○",'②-1職員名簿'!AN25="●"),IF($E25="正規職員","正",IF($E25="契約上の就業時間を記載","","実績を入力")),"-"))</f>
        <v/>
      </c>
      <c r="R25" s="104" t="str">
        <f>IF($B25="","",IF(OR('②-1職員名簿'!AC25="○",'②-1職員名簿'!AC25="●"),IF($E25="正規職員","正",IF($E25="契約上の就業時間を記載","",IF($E25&gt;=F$5,"常",F25))),"-"))</f>
        <v/>
      </c>
      <c r="S25" s="104" t="str">
        <f>IF($B25="","",IF(OR('②-1職員名簿'!AD25="○",'②-1職員名簿'!AD25="●"),IF($E25="正規職員","正",IF($E25="契約上の就業時間を記載","",IF($E25&gt;=G$5,"常",G25))),"-"))</f>
        <v/>
      </c>
      <c r="T25" s="104" t="str">
        <f>IF($B25="","",IF(OR('②-1職員名簿'!AE25="○",'②-1職員名簿'!AE25="●"),IF($E25="正規職員","正",IF($E25="契約上の就業時間を記載","",IF($E25&gt;=H$5,"常",H25))),"-"))</f>
        <v/>
      </c>
      <c r="U25" s="104" t="str">
        <f>IF($B25="","",IF(OR('②-1職員名簿'!AF25="○",'②-1職員名簿'!AF25="●"),IF($E25="正規職員","正",IF($E25="契約上の就業時間を記載","",IF($E25&gt;=I$5,"常",I25))),"-"))</f>
        <v/>
      </c>
      <c r="V25" s="104" t="str">
        <f>IF($B25="","",IF(OR('②-1職員名簿'!AG25="○",'②-1職員名簿'!AG25="●"),IF($E25="正規職員","正",IF($E25="契約上の就業時間を記載","",IF($E25&gt;=J$5,"常",J25))),"-"))</f>
        <v/>
      </c>
      <c r="W25" s="104" t="str">
        <f>IF($B25="","",IF(OR('②-1職員名簿'!AH25="○",'②-1職員名簿'!AH25="●"),IF($E25="正規職員","正",IF($E25="契約上の就業時間を記載","",IF($E25&gt;=K$5,"常",K25))),"-"))</f>
        <v/>
      </c>
      <c r="X25" s="104" t="str">
        <f>IF($B25="","",IF(OR('②-1職員名簿'!AI25="○",'②-1職員名簿'!AI25="●"),IF($E25="正規職員","正",IF($E25="契約上の就業時間を記載","",IF($E25&gt;=L$5,"常",L25))),"-"))</f>
        <v/>
      </c>
      <c r="Y25" s="104" t="str">
        <f>IF($B25="","",IF(OR('②-1職員名簿'!AJ25="○",'②-1職員名簿'!AJ25="●"),IF($E25="正規職員","正",IF($E25="契約上の就業時間を記載","",IF($E25&gt;=M$5,"常",M25))),"-"))</f>
        <v/>
      </c>
      <c r="Z25" s="104" t="str">
        <f>IF($B25="","",IF(OR('②-1職員名簿'!AK25="○",'②-1職員名簿'!AK25="●"),IF($E25="正規職員","正",IF($E25="契約上の就業時間を記載","",IF($E25&gt;=N$5,"常",N25))),"-"))</f>
        <v/>
      </c>
      <c r="AA25" s="104" t="str">
        <f>IF($B25="","",IF(OR('②-1職員名簿'!AL25="○",'②-1職員名簿'!AL25="●"),IF($E25="正規職員","正",IF($E25="契約上の就業時間を記載","",IF($E25&gt;=O$5,"常",O25))),"-"))</f>
        <v/>
      </c>
      <c r="AB25" s="104" t="str">
        <f>IF($B25="","",IF(OR('②-1職員名簿'!AM25="○",'②-1職員名簿'!AM25="●"),IF($E25="正規職員","正",IF($E25="契約上の就業時間を記載","",IF($E25&gt;=P$5,"常",P25))),"-"))</f>
        <v/>
      </c>
      <c r="AC25" s="104" t="str">
        <f>IF($B25="","",IF(OR('②-1職員名簿'!AN25="○",'②-1職員名簿'!AN25="●"),IF($E25="正規職員","正",IF($E25="契約上の就業時間を記載","",IF($E25&gt;=Q$5,"常",Q25))),"-"))</f>
        <v/>
      </c>
      <c r="AE25" s="101" t="str">
        <f>IF('②-1職員名簿'!W25="","",'②-1職員名簿'!W25)</f>
        <v/>
      </c>
      <c r="AJ25" s="106" t="str">
        <f t="shared" si="11"/>
        <v>○</v>
      </c>
      <c r="AK25" s="106" t="str">
        <f t="shared" si="23"/>
        <v>○</v>
      </c>
      <c r="AL25" s="106" t="str">
        <f t="shared" si="24"/>
        <v>○</v>
      </c>
      <c r="AM25" s="106" t="str">
        <f t="shared" si="25"/>
        <v>○</v>
      </c>
      <c r="AN25" s="106" t="str">
        <f t="shared" si="26"/>
        <v>○</v>
      </c>
      <c r="AO25" s="106" t="str">
        <f t="shared" si="27"/>
        <v>○</v>
      </c>
      <c r="AP25" s="106" t="str">
        <f t="shared" si="28"/>
        <v>○</v>
      </c>
      <c r="AQ25" s="106" t="str">
        <f t="shared" si="29"/>
        <v>○</v>
      </c>
      <c r="AR25" s="106" t="str">
        <f t="shared" si="30"/>
        <v>○</v>
      </c>
      <c r="AS25" s="106" t="str">
        <f t="shared" si="31"/>
        <v>○</v>
      </c>
      <c r="AT25" s="106" t="str">
        <f t="shared" si="32"/>
        <v>○</v>
      </c>
      <c r="AU25" s="106" t="str">
        <f t="shared" si="33"/>
        <v>○</v>
      </c>
    </row>
    <row r="26" spans="1:47" s="106" customFormat="1" ht="23.15" customHeight="1">
      <c r="A26" s="102">
        <v>20</v>
      </c>
      <c r="B26" s="101" t="str">
        <f>IF('②-1職員名簿'!E26="","",'②-1職員名簿'!Y26)</f>
        <v/>
      </c>
      <c r="C26" s="104" t="str">
        <f>'②-1職員名簿'!BE26</f>
        <v/>
      </c>
      <c r="D26" s="136" t="str">
        <f t="shared" si="9"/>
        <v/>
      </c>
      <c r="E26" s="20" t="str">
        <f>IF($B26="","",IF(AND('②-1職員名簿'!C26="正",'②-1職員名簿'!D26="常"),"正規職員","契約上の就業時間を記載"))</f>
        <v/>
      </c>
      <c r="F26" s="10" t="str">
        <f>IF($B26="","",IF(OR('②-1職員名簿'!AC26="○",'②-1職員名簿'!AC26="●"),IF($E26="正規職員","正",IF($E26="契約上の就業時間を記載","","実績を入力")),"-"))</f>
        <v/>
      </c>
      <c r="G26" s="10" t="str">
        <f>IF($B26="","",IF(OR('②-1職員名簿'!AD26="○",'②-1職員名簿'!AD26="●"),IF($E26="正規職員","正",IF($E26="契約上の就業時間を記載","","実績を入力")),"-"))</f>
        <v/>
      </c>
      <c r="H26" s="10" t="str">
        <f>IF($B26="","",IF(OR('②-1職員名簿'!AE26="○",'②-1職員名簿'!AE26="●"),IF($E26="正規職員","正",IF($E26="契約上の就業時間を記載","","実績を入力")),"-"))</f>
        <v/>
      </c>
      <c r="I26" s="10" t="str">
        <f>IF($B26="","",IF(OR('②-1職員名簿'!AF26="○",'②-1職員名簿'!AF26="●"),IF($E26="正規職員","正",IF($E26="契約上の就業時間を記載","","実績を入力")),"-"))</f>
        <v/>
      </c>
      <c r="J26" s="10" t="str">
        <f>IF($B26="","",IF(OR('②-1職員名簿'!AG26="○",'②-1職員名簿'!AG26="●"),IF($E26="正規職員","正",IF($E26="契約上の就業時間を記載","","実績を入力")),"-"))</f>
        <v/>
      </c>
      <c r="K26" s="10" t="str">
        <f>IF($B26="","",IF(OR('②-1職員名簿'!AH26="○",'②-1職員名簿'!AH26="●"),IF($E26="正規職員","正",IF($E26="契約上の就業時間を記載","","実績を入力")),"-"))</f>
        <v/>
      </c>
      <c r="L26" s="10" t="str">
        <f>IF($B26="","",IF(OR('②-1職員名簿'!AI26="○",'②-1職員名簿'!AI26="●"),IF($E26="正規職員","正",IF($E26="契約上の就業時間を記載","","実績を入力")),"-"))</f>
        <v/>
      </c>
      <c r="M26" s="10" t="str">
        <f>IF($B26="","",IF(OR('②-1職員名簿'!AJ26="○",'②-1職員名簿'!AJ26="●"),IF($E26="正規職員","正",IF($E26="契約上の就業時間を記載","","実績を入力")),"-"))</f>
        <v/>
      </c>
      <c r="N26" s="10" t="str">
        <f>IF($B26="","",IF(OR('②-1職員名簿'!AK26="○",'②-1職員名簿'!AK26="●"),IF($E26="正規職員","正",IF($E26="契約上の就業時間を記載","","実績を入力")),"-"))</f>
        <v/>
      </c>
      <c r="O26" s="10" t="str">
        <f>IF($B26="","",IF(OR('②-1職員名簿'!AL26="○",'②-1職員名簿'!AL26="●"),IF($E26="正規職員","正",IF($E26="契約上の就業時間を記載","","実績を入力")),"-"))</f>
        <v/>
      </c>
      <c r="P26" s="10" t="str">
        <f>IF($B26="","",IF(OR('②-1職員名簿'!AM26="○",'②-1職員名簿'!AM26="●"),IF($E26="正規職員","正",IF($E26="契約上の就業時間を記載","","実績を入力")),"-"))</f>
        <v/>
      </c>
      <c r="Q26" s="10" t="str">
        <f>IF($B26="","",IF(OR('②-1職員名簿'!AN26="○",'②-1職員名簿'!AN26="●"),IF($E26="正規職員","正",IF($E26="契約上の就業時間を記載","","実績を入力")),"-"))</f>
        <v/>
      </c>
      <c r="R26" s="104" t="str">
        <f>IF($B26="","",IF(OR('②-1職員名簿'!AC26="○",'②-1職員名簿'!AC26="●"),IF($E26="正規職員","正",IF($E26="契約上の就業時間を記載","",IF($E26&gt;=F$5,"常",F26))),"-"))</f>
        <v/>
      </c>
      <c r="S26" s="104" t="str">
        <f>IF($B26="","",IF(OR('②-1職員名簿'!AD26="○",'②-1職員名簿'!AD26="●"),IF($E26="正規職員","正",IF($E26="契約上の就業時間を記載","",IF($E26&gt;=G$5,"常",G26))),"-"))</f>
        <v/>
      </c>
      <c r="T26" s="104" t="str">
        <f>IF($B26="","",IF(OR('②-1職員名簿'!AE26="○",'②-1職員名簿'!AE26="●"),IF($E26="正規職員","正",IF($E26="契約上の就業時間を記載","",IF($E26&gt;=H$5,"常",H26))),"-"))</f>
        <v/>
      </c>
      <c r="U26" s="104" t="str">
        <f>IF($B26="","",IF(OR('②-1職員名簿'!AF26="○",'②-1職員名簿'!AF26="●"),IF($E26="正規職員","正",IF($E26="契約上の就業時間を記載","",IF($E26&gt;=I$5,"常",I26))),"-"))</f>
        <v/>
      </c>
      <c r="V26" s="104" t="str">
        <f>IF($B26="","",IF(OR('②-1職員名簿'!AG26="○",'②-1職員名簿'!AG26="●"),IF($E26="正規職員","正",IF($E26="契約上の就業時間を記載","",IF($E26&gt;=J$5,"常",J26))),"-"))</f>
        <v/>
      </c>
      <c r="W26" s="104" t="str">
        <f>IF($B26="","",IF(OR('②-1職員名簿'!AH26="○",'②-1職員名簿'!AH26="●"),IF($E26="正規職員","正",IF($E26="契約上の就業時間を記載","",IF($E26&gt;=K$5,"常",K26))),"-"))</f>
        <v/>
      </c>
      <c r="X26" s="104" t="str">
        <f>IF($B26="","",IF(OR('②-1職員名簿'!AI26="○",'②-1職員名簿'!AI26="●"),IF($E26="正規職員","正",IF($E26="契約上の就業時間を記載","",IF($E26&gt;=L$5,"常",L26))),"-"))</f>
        <v/>
      </c>
      <c r="Y26" s="104" t="str">
        <f>IF($B26="","",IF(OR('②-1職員名簿'!AJ26="○",'②-1職員名簿'!AJ26="●"),IF($E26="正規職員","正",IF($E26="契約上の就業時間を記載","",IF($E26&gt;=M$5,"常",M26))),"-"))</f>
        <v/>
      </c>
      <c r="Z26" s="104" t="str">
        <f>IF($B26="","",IF(OR('②-1職員名簿'!AK26="○",'②-1職員名簿'!AK26="●"),IF($E26="正規職員","正",IF($E26="契約上の就業時間を記載","",IF($E26&gt;=N$5,"常",N26))),"-"))</f>
        <v/>
      </c>
      <c r="AA26" s="104" t="str">
        <f>IF($B26="","",IF(OR('②-1職員名簿'!AL26="○",'②-1職員名簿'!AL26="●"),IF($E26="正規職員","正",IF($E26="契約上の就業時間を記載","",IF($E26&gt;=O$5,"常",O26))),"-"))</f>
        <v/>
      </c>
      <c r="AB26" s="104" t="str">
        <f>IF($B26="","",IF(OR('②-1職員名簿'!AM26="○",'②-1職員名簿'!AM26="●"),IF($E26="正規職員","正",IF($E26="契約上の就業時間を記載","",IF($E26&gt;=P$5,"常",P26))),"-"))</f>
        <v/>
      </c>
      <c r="AC26" s="104" t="str">
        <f>IF($B26="","",IF(OR('②-1職員名簿'!AN26="○",'②-1職員名簿'!AN26="●"),IF($E26="正規職員","正",IF($E26="契約上の就業時間を記載","",IF($E26&gt;=Q$5,"常",Q26))),"-"))</f>
        <v/>
      </c>
      <c r="AE26" s="101" t="str">
        <f>IF('②-1職員名簿'!W26="","",'②-1職員名簿'!W26)</f>
        <v/>
      </c>
      <c r="AJ26" s="106" t="str">
        <f t="shared" si="11"/>
        <v>○</v>
      </c>
      <c r="AK26" s="106" t="str">
        <f t="shared" si="23"/>
        <v>○</v>
      </c>
      <c r="AL26" s="106" t="str">
        <f t="shared" si="24"/>
        <v>○</v>
      </c>
      <c r="AM26" s="106" t="str">
        <f t="shared" si="25"/>
        <v>○</v>
      </c>
      <c r="AN26" s="106" t="str">
        <f t="shared" si="26"/>
        <v>○</v>
      </c>
      <c r="AO26" s="106" t="str">
        <f t="shared" si="27"/>
        <v>○</v>
      </c>
      <c r="AP26" s="106" t="str">
        <f t="shared" si="28"/>
        <v>○</v>
      </c>
      <c r="AQ26" s="106" t="str">
        <f t="shared" si="29"/>
        <v>○</v>
      </c>
      <c r="AR26" s="106" t="str">
        <f t="shared" si="30"/>
        <v>○</v>
      </c>
      <c r="AS26" s="106" t="str">
        <f t="shared" si="31"/>
        <v>○</v>
      </c>
      <c r="AT26" s="106" t="str">
        <f t="shared" si="32"/>
        <v>○</v>
      </c>
      <c r="AU26" s="106" t="str">
        <f t="shared" si="33"/>
        <v>○</v>
      </c>
    </row>
    <row r="27" spans="1:47" s="106" customFormat="1" ht="23.15" customHeight="1">
      <c r="A27" s="102">
        <v>21</v>
      </c>
      <c r="B27" s="101" t="str">
        <f>IF('②-1職員名簿'!E27="","",'②-1職員名簿'!Y27)</f>
        <v/>
      </c>
      <c r="C27" s="104" t="str">
        <f>'②-1職員名簿'!BE27</f>
        <v/>
      </c>
      <c r="D27" s="136" t="str">
        <f t="shared" si="9"/>
        <v/>
      </c>
      <c r="E27" s="20" t="str">
        <f>IF($B27="","",IF(AND('②-1職員名簿'!C27="正",'②-1職員名簿'!D27="常"),"正規職員","契約上の就業時間を記載"))</f>
        <v/>
      </c>
      <c r="F27" s="10" t="str">
        <f>IF($B27="","",IF(OR('②-1職員名簿'!AC27="○",'②-1職員名簿'!AC27="●"),IF($E27="正規職員","正",IF($E27="契約上の就業時間を記載","","実績を入力")),"-"))</f>
        <v/>
      </c>
      <c r="G27" s="10" t="str">
        <f>IF($B27="","",IF(OR('②-1職員名簿'!AD27="○",'②-1職員名簿'!AD27="●"),IF($E27="正規職員","正",IF($E27="契約上の就業時間を記載","","実績を入力")),"-"))</f>
        <v/>
      </c>
      <c r="H27" s="10" t="str">
        <f>IF($B27="","",IF(OR('②-1職員名簿'!AE27="○",'②-1職員名簿'!AE27="●"),IF($E27="正規職員","正",IF($E27="契約上の就業時間を記載","","実績を入力")),"-"))</f>
        <v/>
      </c>
      <c r="I27" s="10" t="str">
        <f>IF($B27="","",IF(OR('②-1職員名簿'!AF27="○",'②-1職員名簿'!AF27="●"),IF($E27="正規職員","正",IF($E27="契約上の就業時間を記載","","実績を入力")),"-"))</f>
        <v/>
      </c>
      <c r="J27" s="10" t="str">
        <f>IF($B27="","",IF(OR('②-1職員名簿'!AG27="○",'②-1職員名簿'!AG27="●"),IF($E27="正規職員","正",IF($E27="契約上の就業時間を記載","","実績を入力")),"-"))</f>
        <v/>
      </c>
      <c r="K27" s="10" t="str">
        <f>IF($B27="","",IF(OR('②-1職員名簿'!AH27="○",'②-1職員名簿'!AH27="●"),IF($E27="正規職員","正",IF($E27="契約上の就業時間を記載","","実績を入力")),"-"))</f>
        <v/>
      </c>
      <c r="L27" s="10" t="str">
        <f>IF($B27="","",IF(OR('②-1職員名簿'!AI27="○",'②-1職員名簿'!AI27="●"),IF($E27="正規職員","正",IF($E27="契約上の就業時間を記載","","実績を入力")),"-"))</f>
        <v/>
      </c>
      <c r="M27" s="10" t="str">
        <f>IF($B27="","",IF(OR('②-1職員名簿'!AJ27="○",'②-1職員名簿'!AJ27="●"),IF($E27="正規職員","正",IF($E27="契約上の就業時間を記載","","実績を入力")),"-"))</f>
        <v/>
      </c>
      <c r="N27" s="10" t="str">
        <f>IF($B27="","",IF(OR('②-1職員名簿'!AK27="○",'②-1職員名簿'!AK27="●"),IF($E27="正規職員","正",IF($E27="契約上の就業時間を記載","","実績を入力")),"-"))</f>
        <v/>
      </c>
      <c r="O27" s="10" t="str">
        <f>IF($B27="","",IF(OR('②-1職員名簿'!AL27="○",'②-1職員名簿'!AL27="●"),IF($E27="正規職員","正",IF($E27="契約上の就業時間を記載","","実績を入力")),"-"))</f>
        <v/>
      </c>
      <c r="P27" s="10" t="str">
        <f>IF($B27="","",IF(OR('②-1職員名簿'!AM27="○",'②-1職員名簿'!AM27="●"),IF($E27="正規職員","正",IF($E27="契約上の就業時間を記載","","実績を入力")),"-"))</f>
        <v/>
      </c>
      <c r="Q27" s="10" t="str">
        <f>IF($B27="","",IF(OR('②-1職員名簿'!AN27="○",'②-1職員名簿'!AN27="●"),IF($E27="正規職員","正",IF($E27="契約上の就業時間を記載","","実績を入力")),"-"))</f>
        <v/>
      </c>
      <c r="R27" s="104" t="str">
        <f>IF($B27="","",IF(OR('②-1職員名簿'!AC27="○",'②-1職員名簿'!AC27="●"),IF($E27="正規職員","正",IF($E27="契約上の就業時間を記載","",IF($E27&gt;=F$5,"常",F27))),"-"))</f>
        <v/>
      </c>
      <c r="S27" s="104" t="str">
        <f>IF($B27="","",IF(OR('②-1職員名簿'!AD27="○",'②-1職員名簿'!AD27="●"),IF($E27="正規職員","正",IF($E27="契約上の就業時間を記載","",IF($E27&gt;=G$5,"常",G27))),"-"))</f>
        <v/>
      </c>
      <c r="T27" s="104" t="str">
        <f>IF($B27="","",IF(OR('②-1職員名簿'!AE27="○",'②-1職員名簿'!AE27="●"),IF($E27="正規職員","正",IF($E27="契約上の就業時間を記載","",IF($E27&gt;=H$5,"常",H27))),"-"))</f>
        <v/>
      </c>
      <c r="U27" s="104" t="str">
        <f>IF($B27="","",IF(OR('②-1職員名簿'!AF27="○",'②-1職員名簿'!AF27="●"),IF($E27="正規職員","正",IF($E27="契約上の就業時間を記載","",IF($E27&gt;=I$5,"常",I27))),"-"))</f>
        <v/>
      </c>
      <c r="V27" s="104" t="str">
        <f>IF($B27="","",IF(OR('②-1職員名簿'!AG27="○",'②-1職員名簿'!AG27="●"),IF($E27="正規職員","正",IF($E27="契約上の就業時間を記載","",IF($E27&gt;=J$5,"常",J27))),"-"))</f>
        <v/>
      </c>
      <c r="W27" s="104" t="str">
        <f>IF($B27="","",IF(OR('②-1職員名簿'!AH27="○",'②-1職員名簿'!AH27="●"),IF($E27="正規職員","正",IF($E27="契約上の就業時間を記載","",IF($E27&gt;=K$5,"常",K27))),"-"))</f>
        <v/>
      </c>
      <c r="X27" s="104" t="str">
        <f>IF($B27="","",IF(OR('②-1職員名簿'!AI27="○",'②-1職員名簿'!AI27="●"),IF($E27="正規職員","正",IF($E27="契約上の就業時間を記載","",IF($E27&gt;=L$5,"常",L27))),"-"))</f>
        <v/>
      </c>
      <c r="Y27" s="104" t="str">
        <f>IF($B27="","",IF(OR('②-1職員名簿'!AJ27="○",'②-1職員名簿'!AJ27="●"),IF($E27="正規職員","正",IF($E27="契約上の就業時間を記載","",IF($E27&gt;=M$5,"常",M27))),"-"))</f>
        <v/>
      </c>
      <c r="Z27" s="104" t="str">
        <f>IF($B27="","",IF(OR('②-1職員名簿'!AK27="○",'②-1職員名簿'!AK27="●"),IF($E27="正規職員","正",IF($E27="契約上の就業時間を記載","",IF($E27&gt;=N$5,"常",N27))),"-"))</f>
        <v/>
      </c>
      <c r="AA27" s="104" t="str">
        <f>IF($B27="","",IF(OR('②-1職員名簿'!AL27="○",'②-1職員名簿'!AL27="●"),IF($E27="正規職員","正",IF($E27="契約上の就業時間を記載","",IF($E27&gt;=O$5,"常",O27))),"-"))</f>
        <v/>
      </c>
      <c r="AB27" s="104" t="str">
        <f>IF($B27="","",IF(OR('②-1職員名簿'!AM27="○",'②-1職員名簿'!AM27="●"),IF($E27="正規職員","正",IF($E27="契約上の就業時間を記載","",IF($E27&gt;=P$5,"常",P27))),"-"))</f>
        <v/>
      </c>
      <c r="AC27" s="104" t="str">
        <f>IF($B27="","",IF(OR('②-1職員名簿'!AN27="○",'②-1職員名簿'!AN27="●"),IF($E27="正規職員","正",IF($E27="契約上の就業時間を記載","",IF($E27&gt;=Q$5,"常",Q27))),"-"))</f>
        <v/>
      </c>
      <c r="AE27" s="101" t="str">
        <f>IF('②-1職員名簿'!W27="","",'②-1職員名簿'!W27)</f>
        <v/>
      </c>
      <c r="AJ27" s="106" t="str">
        <f t="shared" si="11"/>
        <v>○</v>
      </c>
      <c r="AK27" s="106" t="str">
        <f t="shared" si="23"/>
        <v>○</v>
      </c>
      <c r="AL27" s="106" t="str">
        <f t="shared" si="24"/>
        <v>○</v>
      </c>
      <c r="AM27" s="106" t="str">
        <f t="shared" si="25"/>
        <v>○</v>
      </c>
      <c r="AN27" s="106" t="str">
        <f t="shared" si="26"/>
        <v>○</v>
      </c>
      <c r="AO27" s="106" t="str">
        <f t="shared" si="27"/>
        <v>○</v>
      </c>
      <c r="AP27" s="106" t="str">
        <f t="shared" si="28"/>
        <v>○</v>
      </c>
      <c r="AQ27" s="106" t="str">
        <f t="shared" si="29"/>
        <v>○</v>
      </c>
      <c r="AR27" s="106" t="str">
        <f t="shared" si="30"/>
        <v>○</v>
      </c>
      <c r="AS27" s="106" t="str">
        <f t="shared" si="31"/>
        <v>○</v>
      </c>
      <c r="AT27" s="106" t="str">
        <f t="shared" si="32"/>
        <v>○</v>
      </c>
      <c r="AU27" s="106" t="str">
        <f t="shared" si="33"/>
        <v>○</v>
      </c>
    </row>
    <row r="28" spans="1:47" s="106" customFormat="1" ht="23.15" customHeight="1">
      <c r="A28" s="102">
        <v>22</v>
      </c>
      <c r="B28" s="101" t="str">
        <f>IF('②-1職員名簿'!E28="","",'②-1職員名簿'!Y28)</f>
        <v/>
      </c>
      <c r="C28" s="104" t="str">
        <f>'②-1職員名簿'!BE28</f>
        <v/>
      </c>
      <c r="D28" s="136" t="str">
        <f t="shared" si="9"/>
        <v/>
      </c>
      <c r="E28" s="20" t="str">
        <f>IF($B28="","",IF(AND('②-1職員名簿'!C28="正",'②-1職員名簿'!D28="常"),"正規職員","契約上の就業時間を記載"))</f>
        <v/>
      </c>
      <c r="F28" s="10" t="str">
        <f>IF($B28="","",IF(OR('②-1職員名簿'!AC28="○",'②-1職員名簿'!AC28="●"),IF($E28="正規職員","正",IF($E28="契約上の就業時間を記載","","実績を入力")),"-"))</f>
        <v/>
      </c>
      <c r="G28" s="10" t="str">
        <f>IF($B28="","",IF(OR('②-1職員名簿'!AD28="○",'②-1職員名簿'!AD28="●"),IF($E28="正規職員","正",IF($E28="契約上の就業時間を記載","","実績を入力")),"-"))</f>
        <v/>
      </c>
      <c r="H28" s="10" t="str">
        <f>IF($B28="","",IF(OR('②-1職員名簿'!AE28="○",'②-1職員名簿'!AE28="●"),IF($E28="正規職員","正",IF($E28="契約上の就業時間を記載","","実績を入力")),"-"))</f>
        <v/>
      </c>
      <c r="I28" s="10" t="str">
        <f>IF($B28="","",IF(OR('②-1職員名簿'!AF28="○",'②-1職員名簿'!AF28="●"),IF($E28="正規職員","正",IF($E28="契約上の就業時間を記載","","実績を入力")),"-"))</f>
        <v/>
      </c>
      <c r="J28" s="10" t="str">
        <f>IF($B28="","",IF(OR('②-1職員名簿'!AG28="○",'②-1職員名簿'!AG28="●"),IF($E28="正規職員","正",IF($E28="契約上の就業時間を記載","","実績を入力")),"-"))</f>
        <v/>
      </c>
      <c r="K28" s="10" t="str">
        <f>IF($B28="","",IF(OR('②-1職員名簿'!AH28="○",'②-1職員名簿'!AH28="●"),IF($E28="正規職員","正",IF($E28="契約上の就業時間を記載","","実績を入力")),"-"))</f>
        <v/>
      </c>
      <c r="L28" s="10" t="str">
        <f>IF($B28="","",IF(OR('②-1職員名簿'!AI28="○",'②-1職員名簿'!AI28="●"),IF($E28="正規職員","正",IF($E28="契約上の就業時間を記載","","実績を入力")),"-"))</f>
        <v/>
      </c>
      <c r="M28" s="10" t="str">
        <f>IF($B28="","",IF(OR('②-1職員名簿'!AJ28="○",'②-1職員名簿'!AJ28="●"),IF($E28="正規職員","正",IF($E28="契約上の就業時間を記載","","実績を入力")),"-"))</f>
        <v/>
      </c>
      <c r="N28" s="10" t="str">
        <f>IF($B28="","",IF(OR('②-1職員名簿'!AK28="○",'②-1職員名簿'!AK28="●"),IF($E28="正規職員","正",IF($E28="契約上の就業時間を記載","","実績を入力")),"-"))</f>
        <v/>
      </c>
      <c r="O28" s="10" t="str">
        <f>IF($B28="","",IF(OR('②-1職員名簿'!AL28="○",'②-1職員名簿'!AL28="●"),IF($E28="正規職員","正",IF($E28="契約上の就業時間を記載","","実績を入力")),"-"))</f>
        <v/>
      </c>
      <c r="P28" s="10" t="str">
        <f>IF($B28="","",IF(OR('②-1職員名簿'!AM28="○",'②-1職員名簿'!AM28="●"),IF($E28="正規職員","正",IF($E28="契約上の就業時間を記載","","実績を入力")),"-"))</f>
        <v/>
      </c>
      <c r="Q28" s="10" t="str">
        <f>IF($B28="","",IF(OR('②-1職員名簿'!AN28="○",'②-1職員名簿'!AN28="●"),IF($E28="正規職員","正",IF($E28="契約上の就業時間を記載","","実績を入力")),"-"))</f>
        <v/>
      </c>
      <c r="R28" s="104" t="str">
        <f>IF($B28="","",IF(OR('②-1職員名簿'!AC28="○",'②-1職員名簿'!AC28="●"),IF($E28="正規職員","正",IF($E28="契約上の就業時間を記載","",IF($E28&gt;=F$5,"常",F28))),"-"))</f>
        <v/>
      </c>
      <c r="S28" s="104" t="str">
        <f>IF($B28="","",IF(OR('②-1職員名簿'!AD28="○",'②-1職員名簿'!AD28="●"),IF($E28="正規職員","正",IF($E28="契約上の就業時間を記載","",IF($E28&gt;=G$5,"常",G28))),"-"))</f>
        <v/>
      </c>
      <c r="T28" s="104" t="str">
        <f>IF($B28="","",IF(OR('②-1職員名簿'!AE28="○",'②-1職員名簿'!AE28="●"),IF($E28="正規職員","正",IF($E28="契約上の就業時間を記載","",IF($E28&gt;=H$5,"常",H28))),"-"))</f>
        <v/>
      </c>
      <c r="U28" s="104" t="str">
        <f>IF($B28="","",IF(OR('②-1職員名簿'!AF28="○",'②-1職員名簿'!AF28="●"),IF($E28="正規職員","正",IF($E28="契約上の就業時間を記載","",IF($E28&gt;=I$5,"常",I28))),"-"))</f>
        <v/>
      </c>
      <c r="V28" s="104" t="str">
        <f>IF($B28="","",IF(OR('②-1職員名簿'!AG28="○",'②-1職員名簿'!AG28="●"),IF($E28="正規職員","正",IF($E28="契約上の就業時間を記載","",IF($E28&gt;=J$5,"常",J28))),"-"))</f>
        <v/>
      </c>
      <c r="W28" s="104" t="str">
        <f>IF($B28="","",IF(OR('②-1職員名簿'!AH28="○",'②-1職員名簿'!AH28="●"),IF($E28="正規職員","正",IF($E28="契約上の就業時間を記載","",IF($E28&gt;=K$5,"常",K28))),"-"))</f>
        <v/>
      </c>
      <c r="X28" s="104" t="str">
        <f>IF($B28="","",IF(OR('②-1職員名簿'!AI28="○",'②-1職員名簿'!AI28="●"),IF($E28="正規職員","正",IF($E28="契約上の就業時間を記載","",IF($E28&gt;=L$5,"常",L28))),"-"))</f>
        <v/>
      </c>
      <c r="Y28" s="104" t="str">
        <f>IF($B28="","",IF(OR('②-1職員名簿'!AJ28="○",'②-1職員名簿'!AJ28="●"),IF($E28="正規職員","正",IF($E28="契約上の就業時間を記載","",IF($E28&gt;=M$5,"常",M28))),"-"))</f>
        <v/>
      </c>
      <c r="Z28" s="104" t="str">
        <f>IF($B28="","",IF(OR('②-1職員名簿'!AK28="○",'②-1職員名簿'!AK28="●"),IF($E28="正規職員","正",IF($E28="契約上の就業時間を記載","",IF($E28&gt;=N$5,"常",N28))),"-"))</f>
        <v/>
      </c>
      <c r="AA28" s="104" t="str">
        <f>IF($B28="","",IF(OR('②-1職員名簿'!AL28="○",'②-1職員名簿'!AL28="●"),IF($E28="正規職員","正",IF($E28="契約上の就業時間を記載","",IF($E28&gt;=O$5,"常",O28))),"-"))</f>
        <v/>
      </c>
      <c r="AB28" s="104" t="str">
        <f>IF($B28="","",IF(OR('②-1職員名簿'!AM28="○",'②-1職員名簿'!AM28="●"),IF($E28="正規職員","正",IF($E28="契約上の就業時間を記載","",IF($E28&gt;=P$5,"常",P28))),"-"))</f>
        <v/>
      </c>
      <c r="AC28" s="104" t="str">
        <f>IF($B28="","",IF(OR('②-1職員名簿'!AN28="○",'②-1職員名簿'!AN28="●"),IF($E28="正規職員","正",IF($E28="契約上の就業時間を記載","",IF($E28&gt;=Q$5,"常",Q28))),"-"))</f>
        <v/>
      </c>
      <c r="AE28" s="101" t="str">
        <f>IF('②-1職員名簿'!W28="","",'②-1職員名簿'!W28)</f>
        <v/>
      </c>
      <c r="AJ28" s="106" t="str">
        <f t="shared" si="11"/>
        <v>○</v>
      </c>
      <c r="AK28" s="106" t="str">
        <f t="shared" si="23"/>
        <v>○</v>
      </c>
      <c r="AL28" s="106" t="str">
        <f t="shared" si="24"/>
        <v>○</v>
      </c>
      <c r="AM28" s="106" t="str">
        <f t="shared" si="25"/>
        <v>○</v>
      </c>
      <c r="AN28" s="106" t="str">
        <f t="shared" si="26"/>
        <v>○</v>
      </c>
      <c r="AO28" s="106" t="str">
        <f t="shared" si="27"/>
        <v>○</v>
      </c>
      <c r="AP28" s="106" t="str">
        <f t="shared" si="28"/>
        <v>○</v>
      </c>
      <c r="AQ28" s="106" t="str">
        <f t="shared" si="29"/>
        <v>○</v>
      </c>
      <c r="AR28" s="106" t="str">
        <f t="shared" si="30"/>
        <v>○</v>
      </c>
      <c r="AS28" s="106" t="str">
        <f t="shared" si="31"/>
        <v>○</v>
      </c>
      <c r="AT28" s="106" t="str">
        <f t="shared" si="32"/>
        <v>○</v>
      </c>
      <c r="AU28" s="106" t="str">
        <f t="shared" si="33"/>
        <v>○</v>
      </c>
    </row>
    <row r="29" spans="1:47" s="106" customFormat="1" ht="23.15" customHeight="1">
      <c r="A29" s="102">
        <v>23</v>
      </c>
      <c r="B29" s="101" t="str">
        <f>IF('②-1職員名簿'!E29="","",'②-1職員名簿'!Y29)</f>
        <v/>
      </c>
      <c r="C29" s="104" t="str">
        <f>'②-1職員名簿'!BE29</f>
        <v/>
      </c>
      <c r="D29" s="136" t="str">
        <f t="shared" si="9"/>
        <v/>
      </c>
      <c r="E29" s="20" t="str">
        <f>IF($B29="","",IF(AND('②-1職員名簿'!C29="正",'②-1職員名簿'!D29="常"),"正規職員","契約上の就業時間を記載"))</f>
        <v/>
      </c>
      <c r="F29" s="10" t="str">
        <f>IF($B29="","",IF(OR('②-1職員名簿'!AC29="○",'②-1職員名簿'!AC29="●"),IF($E29="正規職員","正",IF($E29="契約上の就業時間を記載","","実績を入力")),"-"))</f>
        <v/>
      </c>
      <c r="G29" s="10" t="str">
        <f>IF($B29="","",IF(OR('②-1職員名簿'!AD29="○",'②-1職員名簿'!AD29="●"),IF($E29="正規職員","正",IF($E29="契約上の就業時間を記載","","実績を入力")),"-"))</f>
        <v/>
      </c>
      <c r="H29" s="10" t="str">
        <f>IF($B29="","",IF(OR('②-1職員名簿'!AE29="○",'②-1職員名簿'!AE29="●"),IF($E29="正規職員","正",IF($E29="契約上の就業時間を記載","","実績を入力")),"-"))</f>
        <v/>
      </c>
      <c r="I29" s="10" t="str">
        <f>IF($B29="","",IF(OR('②-1職員名簿'!AF29="○",'②-1職員名簿'!AF29="●"),IF($E29="正規職員","正",IF($E29="契約上の就業時間を記載","","実績を入力")),"-"))</f>
        <v/>
      </c>
      <c r="J29" s="10" t="str">
        <f>IF($B29="","",IF(OR('②-1職員名簿'!AG29="○",'②-1職員名簿'!AG29="●"),IF($E29="正規職員","正",IF($E29="契約上の就業時間を記載","","実績を入力")),"-"))</f>
        <v/>
      </c>
      <c r="K29" s="10" t="str">
        <f>IF($B29="","",IF(OR('②-1職員名簿'!AH29="○",'②-1職員名簿'!AH29="●"),IF($E29="正規職員","正",IF($E29="契約上の就業時間を記載","","実績を入力")),"-"))</f>
        <v/>
      </c>
      <c r="L29" s="10" t="str">
        <f>IF($B29="","",IF(OR('②-1職員名簿'!AI29="○",'②-1職員名簿'!AI29="●"),IF($E29="正規職員","正",IF($E29="契約上の就業時間を記載","","実績を入力")),"-"))</f>
        <v/>
      </c>
      <c r="M29" s="10" t="str">
        <f>IF($B29="","",IF(OR('②-1職員名簿'!AJ29="○",'②-1職員名簿'!AJ29="●"),IF($E29="正規職員","正",IF($E29="契約上の就業時間を記載","","実績を入力")),"-"))</f>
        <v/>
      </c>
      <c r="N29" s="10" t="str">
        <f>IF($B29="","",IF(OR('②-1職員名簿'!AK29="○",'②-1職員名簿'!AK29="●"),IF($E29="正規職員","正",IF($E29="契約上の就業時間を記載","","実績を入力")),"-"))</f>
        <v/>
      </c>
      <c r="O29" s="10" t="str">
        <f>IF($B29="","",IF(OR('②-1職員名簿'!AL29="○",'②-1職員名簿'!AL29="●"),IF($E29="正規職員","正",IF($E29="契約上の就業時間を記載","","実績を入力")),"-"))</f>
        <v/>
      </c>
      <c r="P29" s="10" t="str">
        <f>IF($B29="","",IF(OR('②-1職員名簿'!AM29="○",'②-1職員名簿'!AM29="●"),IF($E29="正規職員","正",IF($E29="契約上の就業時間を記載","","実績を入力")),"-"))</f>
        <v/>
      </c>
      <c r="Q29" s="10" t="str">
        <f>IF($B29="","",IF(OR('②-1職員名簿'!AN29="○",'②-1職員名簿'!AN29="●"),IF($E29="正規職員","正",IF($E29="契約上の就業時間を記載","","実績を入力")),"-"))</f>
        <v/>
      </c>
      <c r="R29" s="104" t="str">
        <f>IF($B29="","",IF(OR('②-1職員名簿'!AC29="○",'②-1職員名簿'!AC29="●"),IF($E29="正規職員","正",IF($E29="契約上の就業時間を記載","",IF($E29&gt;=F$5,"常",F29))),"-"))</f>
        <v/>
      </c>
      <c r="S29" s="104" t="str">
        <f>IF($B29="","",IF(OR('②-1職員名簿'!AD29="○",'②-1職員名簿'!AD29="●"),IF($E29="正規職員","正",IF($E29="契約上の就業時間を記載","",IF($E29&gt;=G$5,"常",G29))),"-"))</f>
        <v/>
      </c>
      <c r="T29" s="104" t="str">
        <f>IF($B29="","",IF(OR('②-1職員名簿'!AE29="○",'②-1職員名簿'!AE29="●"),IF($E29="正規職員","正",IF($E29="契約上の就業時間を記載","",IF($E29&gt;=H$5,"常",H29))),"-"))</f>
        <v/>
      </c>
      <c r="U29" s="104" t="str">
        <f>IF($B29="","",IF(OR('②-1職員名簿'!AF29="○",'②-1職員名簿'!AF29="●"),IF($E29="正規職員","正",IF($E29="契約上の就業時間を記載","",IF($E29&gt;=I$5,"常",I29))),"-"))</f>
        <v/>
      </c>
      <c r="V29" s="104" t="str">
        <f>IF($B29="","",IF(OR('②-1職員名簿'!AG29="○",'②-1職員名簿'!AG29="●"),IF($E29="正規職員","正",IF($E29="契約上の就業時間を記載","",IF($E29&gt;=J$5,"常",J29))),"-"))</f>
        <v/>
      </c>
      <c r="W29" s="104" t="str">
        <f>IF($B29="","",IF(OR('②-1職員名簿'!AH29="○",'②-1職員名簿'!AH29="●"),IF($E29="正規職員","正",IF($E29="契約上の就業時間を記載","",IF($E29&gt;=K$5,"常",K29))),"-"))</f>
        <v/>
      </c>
      <c r="X29" s="104" t="str">
        <f>IF($B29="","",IF(OR('②-1職員名簿'!AI29="○",'②-1職員名簿'!AI29="●"),IF($E29="正規職員","正",IF($E29="契約上の就業時間を記載","",IF($E29&gt;=L$5,"常",L29))),"-"))</f>
        <v/>
      </c>
      <c r="Y29" s="104" t="str">
        <f>IF($B29="","",IF(OR('②-1職員名簿'!AJ29="○",'②-1職員名簿'!AJ29="●"),IF($E29="正規職員","正",IF($E29="契約上の就業時間を記載","",IF($E29&gt;=M$5,"常",M29))),"-"))</f>
        <v/>
      </c>
      <c r="Z29" s="104" t="str">
        <f>IF($B29="","",IF(OR('②-1職員名簿'!AK29="○",'②-1職員名簿'!AK29="●"),IF($E29="正規職員","正",IF($E29="契約上の就業時間を記載","",IF($E29&gt;=N$5,"常",N29))),"-"))</f>
        <v/>
      </c>
      <c r="AA29" s="104" t="str">
        <f>IF($B29="","",IF(OR('②-1職員名簿'!AL29="○",'②-1職員名簿'!AL29="●"),IF($E29="正規職員","正",IF($E29="契約上の就業時間を記載","",IF($E29&gt;=O$5,"常",O29))),"-"))</f>
        <v/>
      </c>
      <c r="AB29" s="104" t="str">
        <f>IF($B29="","",IF(OR('②-1職員名簿'!AM29="○",'②-1職員名簿'!AM29="●"),IF($E29="正規職員","正",IF($E29="契約上の就業時間を記載","",IF($E29&gt;=P$5,"常",P29))),"-"))</f>
        <v/>
      </c>
      <c r="AC29" s="104" t="str">
        <f>IF($B29="","",IF(OR('②-1職員名簿'!AN29="○",'②-1職員名簿'!AN29="●"),IF($E29="正規職員","正",IF($E29="契約上の就業時間を記載","",IF($E29&gt;=Q$5,"常",Q29))),"-"))</f>
        <v/>
      </c>
      <c r="AE29" s="101" t="str">
        <f>IF('②-1職員名簿'!W29="","",'②-1職員名簿'!W29)</f>
        <v/>
      </c>
      <c r="AJ29" s="106" t="str">
        <f t="shared" si="11"/>
        <v>○</v>
      </c>
      <c r="AK29" s="106" t="str">
        <f t="shared" si="23"/>
        <v>○</v>
      </c>
      <c r="AL29" s="106" t="str">
        <f t="shared" si="24"/>
        <v>○</v>
      </c>
      <c r="AM29" s="106" t="str">
        <f t="shared" si="25"/>
        <v>○</v>
      </c>
      <c r="AN29" s="106" t="str">
        <f t="shared" si="26"/>
        <v>○</v>
      </c>
      <c r="AO29" s="106" t="str">
        <f t="shared" si="27"/>
        <v>○</v>
      </c>
      <c r="AP29" s="106" t="str">
        <f t="shared" si="28"/>
        <v>○</v>
      </c>
      <c r="AQ29" s="106" t="str">
        <f t="shared" si="29"/>
        <v>○</v>
      </c>
      <c r="AR29" s="106" t="str">
        <f t="shared" si="30"/>
        <v>○</v>
      </c>
      <c r="AS29" s="106" t="str">
        <f t="shared" si="31"/>
        <v>○</v>
      </c>
      <c r="AT29" s="106" t="str">
        <f t="shared" si="32"/>
        <v>○</v>
      </c>
      <c r="AU29" s="106" t="str">
        <f t="shared" si="33"/>
        <v>○</v>
      </c>
    </row>
    <row r="30" spans="1:47" s="106" customFormat="1" ht="23.15" customHeight="1">
      <c r="A30" s="102">
        <v>24</v>
      </c>
      <c r="B30" s="101" t="str">
        <f>IF('②-1職員名簿'!E30="","",'②-1職員名簿'!Y30)</f>
        <v/>
      </c>
      <c r="C30" s="104" t="str">
        <f>'②-1職員名簿'!BE30</f>
        <v/>
      </c>
      <c r="D30" s="136" t="str">
        <f t="shared" si="9"/>
        <v/>
      </c>
      <c r="E30" s="20" t="str">
        <f>IF($B30="","",IF(AND('②-1職員名簿'!C30="正",'②-1職員名簿'!D30="常"),"正規職員","契約上の就業時間を記載"))</f>
        <v/>
      </c>
      <c r="F30" s="10" t="str">
        <f>IF($B30="","",IF(OR('②-1職員名簿'!AC30="○",'②-1職員名簿'!AC30="●"),IF($E30="正規職員","正",IF($E30="契約上の就業時間を記載","","実績を入力")),"-"))</f>
        <v/>
      </c>
      <c r="G30" s="10" t="str">
        <f>IF($B30="","",IF(OR('②-1職員名簿'!AD30="○",'②-1職員名簿'!AD30="●"),IF($E30="正規職員","正",IF($E30="契約上の就業時間を記載","","実績を入力")),"-"))</f>
        <v/>
      </c>
      <c r="H30" s="10" t="str">
        <f>IF($B30="","",IF(OR('②-1職員名簿'!AE30="○",'②-1職員名簿'!AE30="●"),IF($E30="正規職員","正",IF($E30="契約上の就業時間を記載","","実績を入力")),"-"))</f>
        <v/>
      </c>
      <c r="I30" s="10" t="str">
        <f>IF($B30="","",IF(OR('②-1職員名簿'!AF30="○",'②-1職員名簿'!AF30="●"),IF($E30="正規職員","正",IF($E30="契約上の就業時間を記載","","実績を入力")),"-"))</f>
        <v/>
      </c>
      <c r="J30" s="10" t="str">
        <f>IF($B30="","",IF(OR('②-1職員名簿'!AG30="○",'②-1職員名簿'!AG30="●"),IF($E30="正規職員","正",IF($E30="契約上の就業時間を記載","","実績を入力")),"-"))</f>
        <v/>
      </c>
      <c r="K30" s="10" t="str">
        <f>IF($B30="","",IF(OR('②-1職員名簿'!AH30="○",'②-1職員名簿'!AH30="●"),IF($E30="正規職員","正",IF($E30="契約上の就業時間を記載","","実績を入力")),"-"))</f>
        <v/>
      </c>
      <c r="L30" s="10" t="str">
        <f>IF($B30="","",IF(OR('②-1職員名簿'!AI30="○",'②-1職員名簿'!AI30="●"),IF($E30="正規職員","正",IF($E30="契約上の就業時間を記載","","実績を入力")),"-"))</f>
        <v/>
      </c>
      <c r="M30" s="10" t="str">
        <f>IF($B30="","",IF(OR('②-1職員名簿'!AJ30="○",'②-1職員名簿'!AJ30="●"),IF($E30="正規職員","正",IF($E30="契約上の就業時間を記載","","実績を入力")),"-"))</f>
        <v/>
      </c>
      <c r="N30" s="10" t="str">
        <f>IF($B30="","",IF(OR('②-1職員名簿'!AK30="○",'②-1職員名簿'!AK30="●"),IF($E30="正規職員","正",IF($E30="契約上の就業時間を記載","","実績を入力")),"-"))</f>
        <v/>
      </c>
      <c r="O30" s="10" t="str">
        <f>IF($B30="","",IF(OR('②-1職員名簿'!AL30="○",'②-1職員名簿'!AL30="●"),IF($E30="正規職員","正",IF($E30="契約上の就業時間を記載","","実績を入力")),"-"))</f>
        <v/>
      </c>
      <c r="P30" s="10" t="str">
        <f>IF($B30="","",IF(OR('②-1職員名簿'!AM30="○",'②-1職員名簿'!AM30="●"),IF($E30="正規職員","正",IF($E30="契約上の就業時間を記載","","実績を入力")),"-"))</f>
        <v/>
      </c>
      <c r="Q30" s="10" t="str">
        <f>IF($B30="","",IF(OR('②-1職員名簿'!AN30="○",'②-1職員名簿'!AN30="●"),IF($E30="正規職員","正",IF($E30="契約上の就業時間を記載","","実績を入力")),"-"))</f>
        <v/>
      </c>
      <c r="R30" s="104" t="str">
        <f>IF($B30="","",IF(OR('②-1職員名簿'!AC30="○",'②-1職員名簿'!AC30="●"),IF($E30="正規職員","正",IF($E30="契約上の就業時間を記載","",IF($E30&gt;=F$5,"常",F30))),"-"))</f>
        <v/>
      </c>
      <c r="S30" s="104" t="str">
        <f>IF($B30="","",IF(OR('②-1職員名簿'!AD30="○",'②-1職員名簿'!AD30="●"),IF($E30="正規職員","正",IF($E30="契約上の就業時間を記載","",IF($E30&gt;=G$5,"常",G30))),"-"))</f>
        <v/>
      </c>
      <c r="T30" s="104" t="str">
        <f>IF($B30="","",IF(OR('②-1職員名簿'!AE30="○",'②-1職員名簿'!AE30="●"),IF($E30="正規職員","正",IF($E30="契約上の就業時間を記載","",IF($E30&gt;=H$5,"常",H30))),"-"))</f>
        <v/>
      </c>
      <c r="U30" s="104" t="str">
        <f>IF($B30="","",IF(OR('②-1職員名簿'!AF30="○",'②-1職員名簿'!AF30="●"),IF($E30="正規職員","正",IF($E30="契約上の就業時間を記載","",IF($E30&gt;=I$5,"常",I30))),"-"))</f>
        <v/>
      </c>
      <c r="V30" s="104" t="str">
        <f>IF($B30="","",IF(OR('②-1職員名簿'!AG30="○",'②-1職員名簿'!AG30="●"),IF($E30="正規職員","正",IF($E30="契約上の就業時間を記載","",IF($E30&gt;=J$5,"常",J30))),"-"))</f>
        <v/>
      </c>
      <c r="W30" s="104" t="str">
        <f>IF($B30="","",IF(OR('②-1職員名簿'!AH30="○",'②-1職員名簿'!AH30="●"),IF($E30="正規職員","正",IF($E30="契約上の就業時間を記載","",IF($E30&gt;=K$5,"常",K30))),"-"))</f>
        <v/>
      </c>
      <c r="X30" s="104" t="str">
        <f>IF($B30="","",IF(OR('②-1職員名簿'!AI30="○",'②-1職員名簿'!AI30="●"),IF($E30="正規職員","正",IF($E30="契約上の就業時間を記載","",IF($E30&gt;=L$5,"常",L30))),"-"))</f>
        <v/>
      </c>
      <c r="Y30" s="104" t="str">
        <f>IF($B30="","",IF(OR('②-1職員名簿'!AJ30="○",'②-1職員名簿'!AJ30="●"),IF($E30="正規職員","正",IF($E30="契約上の就業時間を記載","",IF($E30&gt;=M$5,"常",M30))),"-"))</f>
        <v/>
      </c>
      <c r="Z30" s="104" t="str">
        <f>IF($B30="","",IF(OR('②-1職員名簿'!AK30="○",'②-1職員名簿'!AK30="●"),IF($E30="正規職員","正",IF($E30="契約上の就業時間を記載","",IF($E30&gt;=N$5,"常",N30))),"-"))</f>
        <v/>
      </c>
      <c r="AA30" s="104" t="str">
        <f>IF($B30="","",IF(OR('②-1職員名簿'!AL30="○",'②-1職員名簿'!AL30="●"),IF($E30="正規職員","正",IF($E30="契約上の就業時間を記載","",IF($E30&gt;=O$5,"常",O30))),"-"))</f>
        <v/>
      </c>
      <c r="AB30" s="104" t="str">
        <f>IF($B30="","",IF(OR('②-1職員名簿'!AM30="○",'②-1職員名簿'!AM30="●"),IF($E30="正規職員","正",IF($E30="契約上の就業時間を記載","",IF($E30&gt;=P$5,"常",P30))),"-"))</f>
        <v/>
      </c>
      <c r="AC30" s="104" t="str">
        <f>IF($B30="","",IF(OR('②-1職員名簿'!AN30="○",'②-1職員名簿'!AN30="●"),IF($E30="正規職員","正",IF($E30="契約上の就業時間を記載","",IF($E30&gt;=Q$5,"常",Q30))),"-"))</f>
        <v/>
      </c>
      <c r="AE30" s="101" t="str">
        <f>IF('②-1職員名簿'!W30="","",'②-1職員名簿'!W30)</f>
        <v/>
      </c>
      <c r="AJ30" s="106" t="str">
        <f t="shared" si="11"/>
        <v>○</v>
      </c>
      <c r="AK30" s="106" t="str">
        <f t="shared" si="23"/>
        <v>○</v>
      </c>
      <c r="AL30" s="106" t="str">
        <f t="shared" si="24"/>
        <v>○</v>
      </c>
      <c r="AM30" s="106" t="str">
        <f t="shared" si="25"/>
        <v>○</v>
      </c>
      <c r="AN30" s="106" t="str">
        <f t="shared" si="26"/>
        <v>○</v>
      </c>
      <c r="AO30" s="106" t="str">
        <f t="shared" si="27"/>
        <v>○</v>
      </c>
      <c r="AP30" s="106" t="str">
        <f t="shared" si="28"/>
        <v>○</v>
      </c>
      <c r="AQ30" s="106" t="str">
        <f t="shared" si="29"/>
        <v>○</v>
      </c>
      <c r="AR30" s="106" t="str">
        <f t="shared" si="30"/>
        <v>○</v>
      </c>
      <c r="AS30" s="106" t="str">
        <f t="shared" si="31"/>
        <v>○</v>
      </c>
      <c r="AT30" s="106" t="str">
        <f t="shared" si="32"/>
        <v>○</v>
      </c>
      <c r="AU30" s="106" t="str">
        <f t="shared" si="33"/>
        <v>○</v>
      </c>
    </row>
    <row r="31" spans="1:47" s="106" customFormat="1" ht="23.15" customHeight="1">
      <c r="A31" s="102">
        <v>25</v>
      </c>
      <c r="B31" s="101" t="str">
        <f>IF('②-1職員名簿'!E31="","",'②-1職員名簿'!Y31)</f>
        <v/>
      </c>
      <c r="C31" s="104" t="str">
        <f>'②-1職員名簿'!BE31</f>
        <v/>
      </c>
      <c r="D31" s="136" t="str">
        <f t="shared" si="9"/>
        <v/>
      </c>
      <c r="E31" s="20" t="str">
        <f>IF($B31="","",IF(AND('②-1職員名簿'!C31="正",'②-1職員名簿'!D31="常"),"正規職員","契約上の就業時間を記載"))</f>
        <v/>
      </c>
      <c r="F31" s="10" t="str">
        <f>IF($B31="","",IF(OR('②-1職員名簿'!AC31="○",'②-1職員名簿'!AC31="●"),IF($E31="正規職員","正",IF($E31="契約上の就業時間を記載","","実績を入力")),"-"))</f>
        <v/>
      </c>
      <c r="G31" s="10" t="str">
        <f>IF($B31="","",IF(OR('②-1職員名簿'!AD31="○",'②-1職員名簿'!AD31="●"),IF($E31="正規職員","正",IF($E31="契約上の就業時間を記載","","実績を入力")),"-"))</f>
        <v/>
      </c>
      <c r="H31" s="10" t="str">
        <f>IF($B31="","",IF(OR('②-1職員名簿'!AE31="○",'②-1職員名簿'!AE31="●"),IF($E31="正規職員","正",IF($E31="契約上の就業時間を記載","","実績を入力")),"-"))</f>
        <v/>
      </c>
      <c r="I31" s="10" t="str">
        <f>IF($B31="","",IF(OR('②-1職員名簿'!AF31="○",'②-1職員名簿'!AF31="●"),IF($E31="正規職員","正",IF($E31="契約上の就業時間を記載","","実績を入力")),"-"))</f>
        <v/>
      </c>
      <c r="J31" s="10" t="str">
        <f>IF($B31="","",IF(OR('②-1職員名簿'!AG31="○",'②-1職員名簿'!AG31="●"),IF($E31="正規職員","正",IF($E31="契約上の就業時間を記載","","実績を入力")),"-"))</f>
        <v/>
      </c>
      <c r="K31" s="10" t="str">
        <f>IF($B31="","",IF(OR('②-1職員名簿'!AH31="○",'②-1職員名簿'!AH31="●"),IF($E31="正規職員","正",IF($E31="契約上の就業時間を記載","","実績を入力")),"-"))</f>
        <v/>
      </c>
      <c r="L31" s="10" t="str">
        <f>IF($B31="","",IF(OR('②-1職員名簿'!AI31="○",'②-1職員名簿'!AI31="●"),IF($E31="正規職員","正",IF($E31="契約上の就業時間を記載","","実績を入力")),"-"))</f>
        <v/>
      </c>
      <c r="M31" s="10" t="str">
        <f>IF($B31="","",IF(OR('②-1職員名簿'!AJ31="○",'②-1職員名簿'!AJ31="●"),IF($E31="正規職員","正",IF($E31="契約上の就業時間を記載","","実績を入力")),"-"))</f>
        <v/>
      </c>
      <c r="N31" s="10" t="str">
        <f>IF($B31="","",IF(OR('②-1職員名簿'!AK31="○",'②-1職員名簿'!AK31="●"),IF($E31="正規職員","正",IF($E31="契約上の就業時間を記載","","実績を入力")),"-"))</f>
        <v/>
      </c>
      <c r="O31" s="10" t="str">
        <f>IF($B31="","",IF(OR('②-1職員名簿'!AL31="○",'②-1職員名簿'!AL31="●"),IF($E31="正規職員","正",IF($E31="契約上の就業時間を記載","","実績を入力")),"-"))</f>
        <v/>
      </c>
      <c r="P31" s="10" t="str">
        <f>IF($B31="","",IF(OR('②-1職員名簿'!AM31="○",'②-1職員名簿'!AM31="●"),IF($E31="正規職員","正",IF($E31="契約上の就業時間を記載","","実績を入力")),"-"))</f>
        <v/>
      </c>
      <c r="Q31" s="10" t="str">
        <f>IF($B31="","",IF(OR('②-1職員名簿'!AN31="○",'②-1職員名簿'!AN31="●"),IF($E31="正規職員","正",IF($E31="契約上の就業時間を記載","","実績を入力")),"-"))</f>
        <v/>
      </c>
      <c r="R31" s="104" t="str">
        <f>IF($B31="","",IF(OR('②-1職員名簿'!AC31="○",'②-1職員名簿'!AC31="●"),IF($E31="正規職員","正",IF($E31="契約上の就業時間を記載","",IF($E31&gt;=F$5,"常",F31))),"-"))</f>
        <v/>
      </c>
      <c r="S31" s="104" t="str">
        <f>IF($B31="","",IF(OR('②-1職員名簿'!AD31="○",'②-1職員名簿'!AD31="●"),IF($E31="正規職員","正",IF($E31="契約上の就業時間を記載","",IF($E31&gt;=G$5,"常",G31))),"-"))</f>
        <v/>
      </c>
      <c r="T31" s="104" t="str">
        <f>IF($B31="","",IF(OR('②-1職員名簿'!AE31="○",'②-1職員名簿'!AE31="●"),IF($E31="正規職員","正",IF($E31="契約上の就業時間を記載","",IF($E31&gt;=H$5,"常",H31))),"-"))</f>
        <v/>
      </c>
      <c r="U31" s="104" t="str">
        <f>IF($B31="","",IF(OR('②-1職員名簿'!AF31="○",'②-1職員名簿'!AF31="●"),IF($E31="正規職員","正",IF($E31="契約上の就業時間を記載","",IF($E31&gt;=I$5,"常",I31))),"-"))</f>
        <v/>
      </c>
      <c r="V31" s="104" t="str">
        <f>IF($B31="","",IF(OR('②-1職員名簿'!AG31="○",'②-1職員名簿'!AG31="●"),IF($E31="正規職員","正",IF($E31="契約上の就業時間を記載","",IF($E31&gt;=J$5,"常",J31))),"-"))</f>
        <v/>
      </c>
      <c r="W31" s="104" t="str">
        <f>IF($B31="","",IF(OR('②-1職員名簿'!AH31="○",'②-1職員名簿'!AH31="●"),IF($E31="正規職員","正",IF($E31="契約上の就業時間を記載","",IF($E31&gt;=K$5,"常",K31))),"-"))</f>
        <v/>
      </c>
      <c r="X31" s="104" t="str">
        <f>IF($B31="","",IF(OR('②-1職員名簿'!AI31="○",'②-1職員名簿'!AI31="●"),IF($E31="正規職員","正",IF($E31="契約上の就業時間を記載","",IF($E31&gt;=L$5,"常",L31))),"-"))</f>
        <v/>
      </c>
      <c r="Y31" s="104" t="str">
        <f>IF($B31="","",IF(OR('②-1職員名簿'!AJ31="○",'②-1職員名簿'!AJ31="●"),IF($E31="正規職員","正",IF($E31="契約上の就業時間を記載","",IF($E31&gt;=M$5,"常",M31))),"-"))</f>
        <v/>
      </c>
      <c r="Z31" s="104" t="str">
        <f>IF($B31="","",IF(OR('②-1職員名簿'!AK31="○",'②-1職員名簿'!AK31="●"),IF($E31="正規職員","正",IF($E31="契約上の就業時間を記載","",IF($E31&gt;=N$5,"常",N31))),"-"))</f>
        <v/>
      </c>
      <c r="AA31" s="104" t="str">
        <f>IF($B31="","",IF(OR('②-1職員名簿'!AL31="○",'②-1職員名簿'!AL31="●"),IF($E31="正規職員","正",IF($E31="契約上の就業時間を記載","",IF($E31&gt;=O$5,"常",O31))),"-"))</f>
        <v/>
      </c>
      <c r="AB31" s="104" t="str">
        <f>IF($B31="","",IF(OR('②-1職員名簿'!AM31="○",'②-1職員名簿'!AM31="●"),IF($E31="正規職員","正",IF($E31="契約上の就業時間を記載","",IF($E31&gt;=P$5,"常",P31))),"-"))</f>
        <v/>
      </c>
      <c r="AC31" s="104" t="str">
        <f>IF($B31="","",IF(OR('②-1職員名簿'!AN31="○",'②-1職員名簿'!AN31="●"),IF($E31="正規職員","正",IF($E31="契約上の就業時間を記載","",IF($E31&gt;=Q$5,"常",Q31))),"-"))</f>
        <v/>
      </c>
      <c r="AE31" s="101" t="str">
        <f>IF('②-1職員名簿'!W31="","",'②-1職員名簿'!W31)</f>
        <v/>
      </c>
      <c r="AJ31" s="106" t="str">
        <f t="shared" si="11"/>
        <v>○</v>
      </c>
      <c r="AK31" s="106" t="str">
        <f t="shared" si="23"/>
        <v>○</v>
      </c>
      <c r="AL31" s="106" t="str">
        <f t="shared" si="24"/>
        <v>○</v>
      </c>
      <c r="AM31" s="106" t="str">
        <f t="shared" si="25"/>
        <v>○</v>
      </c>
      <c r="AN31" s="106" t="str">
        <f t="shared" si="26"/>
        <v>○</v>
      </c>
      <c r="AO31" s="106" t="str">
        <f t="shared" si="27"/>
        <v>○</v>
      </c>
      <c r="AP31" s="106" t="str">
        <f t="shared" si="28"/>
        <v>○</v>
      </c>
      <c r="AQ31" s="106" t="str">
        <f t="shared" si="29"/>
        <v>○</v>
      </c>
      <c r="AR31" s="106" t="str">
        <f t="shared" si="30"/>
        <v>○</v>
      </c>
      <c r="AS31" s="106" t="str">
        <f t="shared" si="31"/>
        <v>○</v>
      </c>
      <c r="AT31" s="106" t="str">
        <f t="shared" si="32"/>
        <v>○</v>
      </c>
      <c r="AU31" s="106" t="str">
        <f t="shared" si="33"/>
        <v>○</v>
      </c>
    </row>
    <row r="32" spans="1:47" s="106" customFormat="1" ht="23.15" customHeight="1">
      <c r="A32" s="102">
        <v>26</v>
      </c>
      <c r="B32" s="101" t="str">
        <f>IF('②-1職員名簿'!E32="","",'②-1職員名簿'!Y32)</f>
        <v/>
      </c>
      <c r="C32" s="104" t="str">
        <f>'②-1職員名簿'!BE32</f>
        <v/>
      </c>
      <c r="D32" s="136" t="str">
        <f t="shared" si="9"/>
        <v/>
      </c>
      <c r="E32" s="20" t="str">
        <f>IF($B32="","",IF(AND('②-1職員名簿'!C32="正",'②-1職員名簿'!D32="常"),"正規職員","契約上の就業時間を記載"))</f>
        <v/>
      </c>
      <c r="F32" s="10" t="str">
        <f>IF($B32="","",IF(OR('②-1職員名簿'!AC32="○",'②-1職員名簿'!AC32="●"),IF($E32="正規職員","正",IF($E32="契約上の就業時間を記載","","実績を入力")),"-"))</f>
        <v/>
      </c>
      <c r="G32" s="10" t="str">
        <f>IF($B32="","",IF(OR('②-1職員名簿'!AD32="○",'②-1職員名簿'!AD32="●"),IF($E32="正規職員","正",IF($E32="契約上の就業時間を記載","","実績を入力")),"-"))</f>
        <v/>
      </c>
      <c r="H32" s="10" t="str">
        <f>IF($B32="","",IF(OR('②-1職員名簿'!AE32="○",'②-1職員名簿'!AE32="●"),IF($E32="正規職員","正",IF($E32="契約上の就業時間を記載","","実績を入力")),"-"))</f>
        <v/>
      </c>
      <c r="I32" s="10" t="str">
        <f>IF($B32="","",IF(OR('②-1職員名簿'!AF32="○",'②-1職員名簿'!AF32="●"),IF($E32="正規職員","正",IF($E32="契約上の就業時間を記載","","実績を入力")),"-"))</f>
        <v/>
      </c>
      <c r="J32" s="10" t="str">
        <f>IF($B32="","",IF(OR('②-1職員名簿'!AG32="○",'②-1職員名簿'!AG32="●"),IF($E32="正規職員","正",IF($E32="契約上の就業時間を記載","","実績を入力")),"-"))</f>
        <v/>
      </c>
      <c r="K32" s="10" t="str">
        <f>IF($B32="","",IF(OR('②-1職員名簿'!AH32="○",'②-1職員名簿'!AH32="●"),IF($E32="正規職員","正",IF($E32="契約上の就業時間を記載","","実績を入力")),"-"))</f>
        <v/>
      </c>
      <c r="L32" s="10" t="str">
        <f>IF($B32="","",IF(OR('②-1職員名簿'!AI32="○",'②-1職員名簿'!AI32="●"),IF($E32="正規職員","正",IF($E32="契約上の就業時間を記載","","実績を入力")),"-"))</f>
        <v/>
      </c>
      <c r="M32" s="10" t="str">
        <f>IF($B32="","",IF(OR('②-1職員名簿'!AJ32="○",'②-1職員名簿'!AJ32="●"),IF($E32="正規職員","正",IF($E32="契約上の就業時間を記載","","実績を入力")),"-"))</f>
        <v/>
      </c>
      <c r="N32" s="10" t="str">
        <f>IF($B32="","",IF(OR('②-1職員名簿'!AK32="○",'②-1職員名簿'!AK32="●"),IF($E32="正規職員","正",IF($E32="契約上の就業時間を記載","","実績を入力")),"-"))</f>
        <v/>
      </c>
      <c r="O32" s="10" t="str">
        <f>IF($B32="","",IF(OR('②-1職員名簿'!AL32="○",'②-1職員名簿'!AL32="●"),IF($E32="正規職員","正",IF($E32="契約上の就業時間を記載","","実績を入力")),"-"))</f>
        <v/>
      </c>
      <c r="P32" s="10" t="str">
        <f>IF($B32="","",IF(OR('②-1職員名簿'!AM32="○",'②-1職員名簿'!AM32="●"),IF($E32="正規職員","正",IF($E32="契約上の就業時間を記載","","実績を入力")),"-"))</f>
        <v/>
      </c>
      <c r="Q32" s="10" t="str">
        <f>IF($B32="","",IF(OR('②-1職員名簿'!AN32="○",'②-1職員名簿'!AN32="●"),IF($E32="正規職員","正",IF($E32="契約上の就業時間を記載","","実績を入力")),"-"))</f>
        <v/>
      </c>
      <c r="R32" s="104" t="str">
        <f>IF($B32="","",IF(OR('②-1職員名簿'!AC32="○",'②-1職員名簿'!AC32="●"),IF($E32="正規職員","正",IF($E32="契約上の就業時間を記載","",IF($E32&gt;=F$5,"常",F32))),"-"))</f>
        <v/>
      </c>
      <c r="S32" s="104" t="str">
        <f>IF($B32="","",IF(OR('②-1職員名簿'!AD32="○",'②-1職員名簿'!AD32="●"),IF($E32="正規職員","正",IF($E32="契約上の就業時間を記載","",IF($E32&gt;=G$5,"常",G32))),"-"))</f>
        <v/>
      </c>
      <c r="T32" s="104" t="str">
        <f>IF($B32="","",IF(OR('②-1職員名簿'!AE32="○",'②-1職員名簿'!AE32="●"),IF($E32="正規職員","正",IF($E32="契約上の就業時間を記載","",IF($E32&gt;=H$5,"常",H32))),"-"))</f>
        <v/>
      </c>
      <c r="U32" s="104" t="str">
        <f>IF($B32="","",IF(OR('②-1職員名簿'!AF32="○",'②-1職員名簿'!AF32="●"),IF($E32="正規職員","正",IF($E32="契約上の就業時間を記載","",IF($E32&gt;=I$5,"常",I32))),"-"))</f>
        <v/>
      </c>
      <c r="V32" s="104" t="str">
        <f>IF($B32="","",IF(OR('②-1職員名簿'!AG32="○",'②-1職員名簿'!AG32="●"),IF($E32="正規職員","正",IF($E32="契約上の就業時間を記載","",IF($E32&gt;=J$5,"常",J32))),"-"))</f>
        <v/>
      </c>
      <c r="W32" s="104" t="str">
        <f>IF($B32="","",IF(OR('②-1職員名簿'!AH32="○",'②-1職員名簿'!AH32="●"),IF($E32="正規職員","正",IF($E32="契約上の就業時間を記載","",IF($E32&gt;=K$5,"常",K32))),"-"))</f>
        <v/>
      </c>
      <c r="X32" s="104" t="str">
        <f>IF($B32="","",IF(OR('②-1職員名簿'!AI32="○",'②-1職員名簿'!AI32="●"),IF($E32="正規職員","正",IF($E32="契約上の就業時間を記載","",IF($E32&gt;=L$5,"常",L32))),"-"))</f>
        <v/>
      </c>
      <c r="Y32" s="104" t="str">
        <f>IF($B32="","",IF(OR('②-1職員名簿'!AJ32="○",'②-1職員名簿'!AJ32="●"),IF($E32="正規職員","正",IF($E32="契約上の就業時間を記載","",IF($E32&gt;=M$5,"常",M32))),"-"))</f>
        <v/>
      </c>
      <c r="Z32" s="104" t="str">
        <f>IF($B32="","",IF(OR('②-1職員名簿'!AK32="○",'②-1職員名簿'!AK32="●"),IF($E32="正規職員","正",IF($E32="契約上の就業時間を記載","",IF($E32&gt;=N$5,"常",N32))),"-"))</f>
        <v/>
      </c>
      <c r="AA32" s="104" t="str">
        <f>IF($B32="","",IF(OR('②-1職員名簿'!AL32="○",'②-1職員名簿'!AL32="●"),IF($E32="正規職員","正",IF($E32="契約上の就業時間を記載","",IF($E32&gt;=O$5,"常",O32))),"-"))</f>
        <v/>
      </c>
      <c r="AB32" s="104" t="str">
        <f>IF($B32="","",IF(OR('②-1職員名簿'!AM32="○",'②-1職員名簿'!AM32="●"),IF($E32="正規職員","正",IF($E32="契約上の就業時間を記載","",IF($E32&gt;=P$5,"常",P32))),"-"))</f>
        <v/>
      </c>
      <c r="AC32" s="104" t="str">
        <f>IF($B32="","",IF(OR('②-1職員名簿'!AN32="○",'②-1職員名簿'!AN32="●"),IF($E32="正規職員","正",IF($E32="契約上の就業時間を記載","",IF($E32&gt;=Q$5,"常",Q32))),"-"))</f>
        <v/>
      </c>
      <c r="AE32" s="101" t="str">
        <f>IF('②-1職員名簿'!W32="","",'②-1職員名簿'!W32)</f>
        <v/>
      </c>
      <c r="AJ32" s="106" t="str">
        <f t="shared" si="11"/>
        <v>○</v>
      </c>
      <c r="AK32" s="106" t="str">
        <f t="shared" si="23"/>
        <v>○</v>
      </c>
      <c r="AL32" s="106" t="str">
        <f t="shared" si="24"/>
        <v>○</v>
      </c>
      <c r="AM32" s="106" t="str">
        <f t="shared" si="25"/>
        <v>○</v>
      </c>
      <c r="AN32" s="106" t="str">
        <f t="shared" si="26"/>
        <v>○</v>
      </c>
      <c r="AO32" s="106" t="str">
        <f t="shared" si="27"/>
        <v>○</v>
      </c>
      <c r="AP32" s="106" t="str">
        <f t="shared" si="28"/>
        <v>○</v>
      </c>
      <c r="AQ32" s="106" t="str">
        <f t="shared" si="29"/>
        <v>○</v>
      </c>
      <c r="AR32" s="106" t="str">
        <f t="shared" si="30"/>
        <v>○</v>
      </c>
      <c r="AS32" s="106" t="str">
        <f t="shared" si="31"/>
        <v>○</v>
      </c>
      <c r="AT32" s="106" t="str">
        <f t="shared" si="32"/>
        <v>○</v>
      </c>
      <c r="AU32" s="106" t="str">
        <f t="shared" si="33"/>
        <v>○</v>
      </c>
    </row>
    <row r="33" spans="1:47" s="106" customFormat="1" ht="23.15" customHeight="1">
      <c r="A33" s="102">
        <v>27</v>
      </c>
      <c r="B33" s="101" t="str">
        <f>IF('②-1職員名簿'!E33="","",'②-1職員名簿'!Y33)</f>
        <v/>
      </c>
      <c r="C33" s="104" t="str">
        <f>'②-1職員名簿'!BE33</f>
        <v/>
      </c>
      <c r="D33" s="136" t="str">
        <f t="shared" si="9"/>
        <v/>
      </c>
      <c r="E33" s="20" t="str">
        <f>IF($B33="","",IF(AND('②-1職員名簿'!C33="正",'②-1職員名簿'!D33="常"),"正規職員","契約上の就業時間を記載"))</f>
        <v/>
      </c>
      <c r="F33" s="10" t="str">
        <f>IF($B33="","",IF(OR('②-1職員名簿'!AC33="○",'②-1職員名簿'!AC33="●"),IF($E33="正規職員","正",IF($E33="契約上の就業時間を記載","","実績を入力")),"-"))</f>
        <v/>
      </c>
      <c r="G33" s="10" t="str">
        <f>IF($B33="","",IF(OR('②-1職員名簿'!AD33="○",'②-1職員名簿'!AD33="●"),IF($E33="正規職員","正",IF($E33="契約上の就業時間を記載","","実績を入力")),"-"))</f>
        <v/>
      </c>
      <c r="H33" s="10" t="str">
        <f>IF($B33="","",IF(OR('②-1職員名簿'!AE33="○",'②-1職員名簿'!AE33="●"),IF($E33="正規職員","正",IF($E33="契約上の就業時間を記載","","実績を入力")),"-"))</f>
        <v/>
      </c>
      <c r="I33" s="10" t="str">
        <f>IF($B33="","",IF(OR('②-1職員名簿'!AF33="○",'②-1職員名簿'!AF33="●"),IF($E33="正規職員","正",IF($E33="契約上の就業時間を記載","","実績を入力")),"-"))</f>
        <v/>
      </c>
      <c r="J33" s="10" t="str">
        <f>IF($B33="","",IF(OR('②-1職員名簿'!AG33="○",'②-1職員名簿'!AG33="●"),IF($E33="正規職員","正",IF($E33="契約上の就業時間を記載","","実績を入力")),"-"))</f>
        <v/>
      </c>
      <c r="K33" s="10" t="str">
        <f>IF($B33="","",IF(OR('②-1職員名簿'!AH33="○",'②-1職員名簿'!AH33="●"),IF($E33="正規職員","正",IF($E33="契約上の就業時間を記載","","実績を入力")),"-"))</f>
        <v/>
      </c>
      <c r="L33" s="10" t="str">
        <f>IF($B33="","",IF(OR('②-1職員名簿'!AI33="○",'②-1職員名簿'!AI33="●"),IF($E33="正規職員","正",IF($E33="契約上の就業時間を記載","","実績を入力")),"-"))</f>
        <v/>
      </c>
      <c r="M33" s="10" t="str">
        <f>IF($B33="","",IF(OR('②-1職員名簿'!AJ33="○",'②-1職員名簿'!AJ33="●"),IF($E33="正規職員","正",IF($E33="契約上の就業時間を記載","","実績を入力")),"-"))</f>
        <v/>
      </c>
      <c r="N33" s="10" t="str">
        <f>IF($B33="","",IF(OR('②-1職員名簿'!AK33="○",'②-1職員名簿'!AK33="●"),IF($E33="正規職員","正",IF($E33="契約上の就業時間を記載","","実績を入力")),"-"))</f>
        <v/>
      </c>
      <c r="O33" s="10" t="str">
        <f>IF($B33="","",IF(OR('②-1職員名簿'!AL33="○",'②-1職員名簿'!AL33="●"),IF($E33="正規職員","正",IF($E33="契約上の就業時間を記載","","実績を入力")),"-"))</f>
        <v/>
      </c>
      <c r="P33" s="10" t="str">
        <f>IF($B33="","",IF(OR('②-1職員名簿'!AM33="○",'②-1職員名簿'!AM33="●"),IF($E33="正規職員","正",IF($E33="契約上の就業時間を記載","","実績を入力")),"-"))</f>
        <v/>
      </c>
      <c r="Q33" s="10" t="str">
        <f>IF($B33="","",IF(OR('②-1職員名簿'!AN33="○",'②-1職員名簿'!AN33="●"),IF($E33="正規職員","正",IF($E33="契約上の就業時間を記載","","実績を入力")),"-"))</f>
        <v/>
      </c>
      <c r="R33" s="104" t="str">
        <f>IF($B33="","",IF(OR('②-1職員名簿'!AC33="○",'②-1職員名簿'!AC33="●"),IF($E33="正規職員","正",IF($E33="契約上の就業時間を記載","",IF($E33&gt;=F$5,"常",F33))),"-"))</f>
        <v/>
      </c>
      <c r="S33" s="104" t="str">
        <f>IF($B33="","",IF(OR('②-1職員名簿'!AD33="○",'②-1職員名簿'!AD33="●"),IF($E33="正規職員","正",IF($E33="契約上の就業時間を記載","",IF($E33&gt;=G$5,"常",G33))),"-"))</f>
        <v/>
      </c>
      <c r="T33" s="104" t="str">
        <f>IF($B33="","",IF(OR('②-1職員名簿'!AE33="○",'②-1職員名簿'!AE33="●"),IF($E33="正規職員","正",IF($E33="契約上の就業時間を記載","",IF($E33&gt;=H$5,"常",H33))),"-"))</f>
        <v/>
      </c>
      <c r="U33" s="104" t="str">
        <f>IF($B33="","",IF(OR('②-1職員名簿'!AF33="○",'②-1職員名簿'!AF33="●"),IF($E33="正規職員","正",IF($E33="契約上の就業時間を記載","",IF($E33&gt;=I$5,"常",I33))),"-"))</f>
        <v/>
      </c>
      <c r="V33" s="104" t="str">
        <f>IF($B33="","",IF(OR('②-1職員名簿'!AG33="○",'②-1職員名簿'!AG33="●"),IF($E33="正規職員","正",IF($E33="契約上の就業時間を記載","",IF($E33&gt;=J$5,"常",J33))),"-"))</f>
        <v/>
      </c>
      <c r="W33" s="104" t="str">
        <f>IF($B33="","",IF(OR('②-1職員名簿'!AH33="○",'②-1職員名簿'!AH33="●"),IF($E33="正規職員","正",IF($E33="契約上の就業時間を記載","",IF($E33&gt;=K$5,"常",K33))),"-"))</f>
        <v/>
      </c>
      <c r="X33" s="104" t="str">
        <f>IF($B33="","",IF(OR('②-1職員名簿'!AI33="○",'②-1職員名簿'!AI33="●"),IF($E33="正規職員","正",IF($E33="契約上の就業時間を記載","",IF($E33&gt;=L$5,"常",L33))),"-"))</f>
        <v/>
      </c>
      <c r="Y33" s="104" t="str">
        <f>IF($B33="","",IF(OR('②-1職員名簿'!AJ33="○",'②-1職員名簿'!AJ33="●"),IF($E33="正規職員","正",IF($E33="契約上の就業時間を記載","",IF($E33&gt;=M$5,"常",M33))),"-"))</f>
        <v/>
      </c>
      <c r="Z33" s="104" t="str">
        <f>IF($B33="","",IF(OR('②-1職員名簿'!AK33="○",'②-1職員名簿'!AK33="●"),IF($E33="正規職員","正",IF($E33="契約上の就業時間を記載","",IF($E33&gt;=N$5,"常",N33))),"-"))</f>
        <v/>
      </c>
      <c r="AA33" s="104" t="str">
        <f>IF($B33="","",IF(OR('②-1職員名簿'!AL33="○",'②-1職員名簿'!AL33="●"),IF($E33="正規職員","正",IF($E33="契約上の就業時間を記載","",IF($E33&gt;=O$5,"常",O33))),"-"))</f>
        <v/>
      </c>
      <c r="AB33" s="104" t="str">
        <f>IF($B33="","",IF(OR('②-1職員名簿'!AM33="○",'②-1職員名簿'!AM33="●"),IF($E33="正規職員","正",IF($E33="契約上の就業時間を記載","",IF($E33&gt;=P$5,"常",P33))),"-"))</f>
        <v/>
      </c>
      <c r="AC33" s="104" t="str">
        <f>IF($B33="","",IF(OR('②-1職員名簿'!AN33="○",'②-1職員名簿'!AN33="●"),IF($E33="正規職員","正",IF($E33="契約上の就業時間を記載","",IF($E33&gt;=Q$5,"常",Q33))),"-"))</f>
        <v/>
      </c>
      <c r="AE33" s="101" t="str">
        <f>IF('②-1職員名簿'!W33="","",'②-1職員名簿'!W33)</f>
        <v/>
      </c>
      <c r="AJ33" s="106" t="str">
        <f t="shared" si="11"/>
        <v>○</v>
      </c>
      <c r="AK33" s="106" t="str">
        <f t="shared" si="23"/>
        <v>○</v>
      </c>
      <c r="AL33" s="106" t="str">
        <f t="shared" si="24"/>
        <v>○</v>
      </c>
      <c r="AM33" s="106" t="str">
        <f t="shared" si="25"/>
        <v>○</v>
      </c>
      <c r="AN33" s="106" t="str">
        <f t="shared" si="26"/>
        <v>○</v>
      </c>
      <c r="AO33" s="106" t="str">
        <f t="shared" si="27"/>
        <v>○</v>
      </c>
      <c r="AP33" s="106" t="str">
        <f t="shared" si="28"/>
        <v>○</v>
      </c>
      <c r="AQ33" s="106" t="str">
        <f t="shared" si="29"/>
        <v>○</v>
      </c>
      <c r="AR33" s="106" t="str">
        <f t="shared" si="30"/>
        <v>○</v>
      </c>
      <c r="AS33" s="106" t="str">
        <f t="shared" si="31"/>
        <v>○</v>
      </c>
      <c r="AT33" s="106" t="str">
        <f t="shared" si="32"/>
        <v>○</v>
      </c>
      <c r="AU33" s="106" t="str">
        <f t="shared" si="33"/>
        <v>○</v>
      </c>
    </row>
    <row r="34" spans="1:47" s="106" customFormat="1" ht="23.15" customHeight="1">
      <c r="A34" s="102">
        <v>28</v>
      </c>
      <c r="B34" s="101" t="str">
        <f>IF('②-1職員名簿'!E34="","",'②-1職員名簿'!Y34)</f>
        <v/>
      </c>
      <c r="C34" s="104" t="str">
        <f>'②-1職員名簿'!BE34</f>
        <v/>
      </c>
      <c r="D34" s="136" t="str">
        <f t="shared" si="9"/>
        <v/>
      </c>
      <c r="E34" s="20" t="str">
        <f>IF($B34="","",IF(AND('②-1職員名簿'!C34="正",'②-1職員名簿'!D34="常"),"正規職員","契約上の就業時間を記載"))</f>
        <v/>
      </c>
      <c r="F34" s="10" t="str">
        <f>IF($B34="","",IF(OR('②-1職員名簿'!AC34="○",'②-1職員名簿'!AC34="●"),IF($E34="正規職員","正",IF($E34="契約上の就業時間を記載","","実績を入力")),"-"))</f>
        <v/>
      </c>
      <c r="G34" s="10" t="str">
        <f>IF($B34="","",IF(OR('②-1職員名簿'!AD34="○",'②-1職員名簿'!AD34="●"),IF($E34="正規職員","正",IF($E34="契約上の就業時間を記載","","実績を入力")),"-"))</f>
        <v/>
      </c>
      <c r="H34" s="10" t="str">
        <f>IF($B34="","",IF(OR('②-1職員名簿'!AE34="○",'②-1職員名簿'!AE34="●"),IF($E34="正規職員","正",IF($E34="契約上の就業時間を記載","","実績を入力")),"-"))</f>
        <v/>
      </c>
      <c r="I34" s="10" t="str">
        <f>IF($B34="","",IF(OR('②-1職員名簿'!AF34="○",'②-1職員名簿'!AF34="●"),IF($E34="正規職員","正",IF($E34="契約上の就業時間を記載","","実績を入力")),"-"))</f>
        <v/>
      </c>
      <c r="J34" s="10" t="str">
        <f>IF($B34="","",IF(OR('②-1職員名簿'!AG34="○",'②-1職員名簿'!AG34="●"),IF($E34="正規職員","正",IF($E34="契約上の就業時間を記載","","実績を入力")),"-"))</f>
        <v/>
      </c>
      <c r="K34" s="10" t="str">
        <f>IF($B34="","",IF(OR('②-1職員名簿'!AH34="○",'②-1職員名簿'!AH34="●"),IF($E34="正規職員","正",IF($E34="契約上の就業時間を記載","","実績を入力")),"-"))</f>
        <v/>
      </c>
      <c r="L34" s="10" t="str">
        <f>IF($B34="","",IF(OR('②-1職員名簿'!AI34="○",'②-1職員名簿'!AI34="●"),IF($E34="正規職員","正",IF($E34="契約上の就業時間を記載","","実績を入力")),"-"))</f>
        <v/>
      </c>
      <c r="M34" s="10" t="str">
        <f>IF($B34="","",IF(OR('②-1職員名簿'!AJ34="○",'②-1職員名簿'!AJ34="●"),IF($E34="正規職員","正",IF($E34="契約上の就業時間を記載","","実績を入力")),"-"))</f>
        <v/>
      </c>
      <c r="N34" s="10" t="str">
        <f>IF($B34="","",IF(OR('②-1職員名簿'!AK34="○",'②-1職員名簿'!AK34="●"),IF($E34="正規職員","正",IF($E34="契約上の就業時間を記載","","実績を入力")),"-"))</f>
        <v/>
      </c>
      <c r="O34" s="10" t="str">
        <f>IF($B34="","",IF(OR('②-1職員名簿'!AL34="○",'②-1職員名簿'!AL34="●"),IF($E34="正規職員","正",IF($E34="契約上の就業時間を記載","","実績を入力")),"-"))</f>
        <v/>
      </c>
      <c r="P34" s="10" t="str">
        <f>IF($B34="","",IF(OR('②-1職員名簿'!AM34="○",'②-1職員名簿'!AM34="●"),IF($E34="正規職員","正",IF($E34="契約上の就業時間を記載","","実績を入力")),"-"))</f>
        <v/>
      </c>
      <c r="Q34" s="10" t="str">
        <f>IF($B34="","",IF(OR('②-1職員名簿'!AN34="○",'②-1職員名簿'!AN34="●"),IF($E34="正規職員","正",IF($E34="契約上の就業時間を記載","","実績を入力")),"-"))</f>
        <v/>
      </c>
      <c r="R34" s="104" t="str">
        <f>IF($B34="","",IF(OR('②-1職員名簿'!AC34="○",'②-1職員名簿'!AC34="●"),IF($E34="正規職員","正",IF($E34="契約上の就業時間を記載","",IF($E34&gt;=F$5,"常",F34))),"-"))</f>
        <v/>
      </c>
      <c r="S34" s="104" t="str">
        <f>IF($B34="","",IF(OR('②-1職員名簿'!AD34="○",'②-1職員名簿'!AD34="●"),IF($E34="正規職員","正",IF($E34="契約上の就業時間を記載","",IF($E34&gt;=G$5,"常",G34))),"-"))</f>
        <v/>
      </c>
      <c r="T34" s="104" t="str">
        <f>IF($B34="","",IF(OR('②-1職員名簿'!AE34="○",'②-1職員名簿'!AE34="●"),IF($E34="正規職員","正",IF($E34="契約上の就業時間を記載","",IF($E34&gt;=H$5,"常",H34))),"-"))</f>
        <v/>
      </c>
      <c r="U34" s="104" t="str">
        <f>IF($B34="","",IF(OR('②-1職員名簿'!AF34="○",'②-1職員名簿'!AF34="●"),IF($E34="正規職員","正",IF($E34="契約上の就業時間を記載","",IF($E34&gt;=I$5,"常",I34))),"-"))</f>
        <v/>
      </c>
      <c r="V34" s="104" t="str">
        <f>IF($B34="","",IF(OR('②-1職員名簿'!AG34="○",'②-1職員名簿'!AG34="●"),IF($E34="正規職員","正",IF($E34="契約上の就業時間を記載","",IF($E34&gt;=J$5,"常",J34))),"-"))</f>
        <v/>
      </c>
      <c r="W34" s="104" t="str">
        <f>IF($B34="","",IF(OR('②-1職員名簿'!AH34="○",'②-1職員名簿'!AH34="●"),IF($E34="正規職員","正",IF($E34="契約上の就業時間を記載","",IF($E34&gt;=K$5,"常",K34))),"-"))</f>
        <v/>
      </c>
      <c r="X34" s="104" t="str">
        <f>IF($B34="","",IF(OR('②-1職員名簿'!AI34="○",'②-1職員名簿'!AI34="●"),IF($E34="正規職員","正",IF($E34="契約上の就業時間を記載","",IF($E34&gt;=L$5,"常",L34))),"-"))</f>
        <v/>
      </c>
      <c r="Y34" s="104" t="str">
        <f>IF($B34="","",IF(OR('②-1職員名簿'!AJ34="○",'②-1職員名簿'!AJ34="●"),IF($E34="正規職員","正",IF($E34="契約上の就業時間を記載","",IF($E34&gt;=M$5,"常",M34))),"-"))</f>
        <v/>
      </c>
      <c r="Z34" s="104" t="str">
        <f>IF($B34="","",IF(OR('②-1職員名簿'!AK34="○",'②-1職員名簿'!AK34="●"),IF($E34="正規職員","正",IF($E34="契約上の就業時間を記載","",IF($E34&gt;=N$5,"常",N34))),"-"))</f>
        <v/>
      </c>
      <c r="AA34" s="104" t="str">
        <f>IF($B34="","",IF(OR('②-1職員名簿'!AL34="○",'②-1職員名簿'!AL34="●"),IF($E34="正規職員","正",IF($E34="契約上の就業時間を記載","",IF($E34&gt;=O$5,"常",O34))),"-"))</f>
        <v/>
      </c>
      <c r="AB34" s="104" t="str">
        <f>IF($B34="","",IF(OR('②-1職員名簿'!AM34="○",'②-1職員名簿'!AM34="●"),IF($E34="正規職員","正",IF($E34="契約上の就業時間を記載","",IF($E34&gt;=P$5,"常",P34))),"-"))</f>
        <v/>
      </c>
      <c r="AC34" s="104" t="str">
        <f>IF($B34="","",IF(OR('②-1職員名簿'!AN34="○",'②-1職員名簿'!AN34="●"),IF($E34="正規職員","正",IF($E34="契約上の就業時間を記載","",IF($E34&gt;=Q$5,"常",Q34))),"-"))</f>
        <v/>
      </c>
      <c r="AE34" s="101" t="str">
        <f>IF('②-1職員名簿'!W34="","",'②-1職員名簿'!W34)</f>
        <v/>
      </c>
      <c r="AJ34" s="106" t="str">
        <f t="shared" si="11"/>
        <v>○</v>
      </c>
      <c r="AK34" s="106" t="str">
        <f t="shared" si="23"/>
        <v>○</v>
      </c>
      <c r="AL34" s="106" t="str">
        <f t="shared" si="24"/>
        <v>○</v>
      </c>
      <c r="AM34" s="106" t="str">
        <f t="shared" si="25"/>
        <v>○</v>
      </c>
      <c r="AN34" s="106" t="str">
        <f t="shared" si="26"/>
        <v>○</v>
      </c>
      <c r="AO34" s="106" t="str">
        <f t="shared" si="27"/>
        <v>○</v>
      </c>
      <c r="AP34" s="106" t="str">
        <f t="shared" si="28"/>
        <v>○</v>
      </c>
      <c r="AQ34" s="106" t="str">
        <f t="shared" si="29"/>
        <v>○</v>
      </c>
      <c r="AR34" s="106" t="str">
        <f t="shared" si="30"/>
        <v>○</v>
      </c>
      <c r="AS34" s="106" t="str">
        <f t="shared" si="31"/>
        <v>○</v>
      </c>
      <c r="AT34" s="106" t="str">
        <f t="shared" si="32"/>
        <v>○</v>
      </c>
      <c r="AU34" s="106" t="str">
        <f t="shared" si="33"/>
        <v>○</v>
      </c>
    </row>
    <row r="35" spans="1:47" s="106" customFormat="1" ht="23.15" customHeight="1">
      <c r="A35" s="102">
        <v>29</v>
      </c>
      <c r="B35" s="101" t="str">
        <f>IF('②-1職員名簿'!E35="","",'②-1職員名簿'!Y35)</f>
        <v/>
      </c>
      <c r="C35" s="104" t="str">
        <f>'②-1職員名簿'!BE35</f>
        <v/>
      </c>
      <c r="D35" s="136" t="str">
        <f t="shared" si="9"/>
        <v/>
      </c>
      <c r="E35" s="20" t="str">
        <f>IF($B35="","",IF(AND('②-1職員名簿'!C35="正",'②-1職員名簿'!D35="常"),"正規職員","契約上の就業時間を記載"))</f>
        <v/>
      </c>
      <c r="F35" s="10" t="str">
        <f>IF($B35="","",IF(OR('②-1職員名簿'!AC35="○",'②-1職員名簿'!AC35="●"),IF($E35="正規職員","正",IF($E35="契約上の就業時間を記載","","実績を入力")),"-"))</f>
        <v/>
      </c>
      <c r="G35" s="10" t="str">
        <f>IF($B35="","",IF(OR('②-1職員名簿'!AD35="○",'②-1職員名簿'!AD35="●"),IF($E35="正規職員","正",IF($E35="契約上の就業時間を記載","","実績を入力")),"-"))</f>
        <v/>
      </c>
      <c r="H35" s="10" t="str">
        <f>IF($B35="","",IF(OR('②-1職員名簿'!AE35="○",'②-1職員名簿'!AE35="●"),IF($E35="正規職員","正",IF($E35="契約上の就業時間を記載","","実績を入力")),"-"))</f>
        <v/>
      </c>
      <c r="I35" s="10" t="str">
        <f>IF($B35="","",IF(OR('②-1職員名簿'!AF35="○",'②-1職員名簿'!AF35="●"),IF($E35="正規職員","正",IF($E35="契約上の就業時間を記載","","実績を入力")),"-"))</f>
        <v/>
      </c>
      <c r="J35" s="10" t="str">
        <f>IF($B35="","",IF(OR('②-1職員名簿'!AG35="○",'②-1職員名簿'!AG35="●"),IF($E35="正規職員","正",IF($E35="契約上の就業時間を記載","","実績を入力")),"-"))</f>
        <v/>
      </c>
      <c r="K35" s="10" t="str">
        <f>IF($B35="","",IF(OR('②-1職員名簿'!AH35="○",'②-1職員名簿'!AH35="●"),IF($E35="正規職員","正",IF($E35="契約上の就業時間を記載","","実績を入力")),"-"))</f>
        <v/>
      </c>
      <c r="L35" s="10" t="str">
        <f>IF($B35="","",IF(OR('②-1職員名簿'!AI35="○",'②-1職員名簿'!AI35="●"),IF($E35="正規職員","正",IF($E35="契約上の就業時間を記載","","実績を入力")),"-"))</f>
        <v/>
      </c>
      <c r="M35" s="10" t="str">
        <f>IF($B35="","",IF(OR('②-1職員名簿'!AJ35="○",'②-1職員名簿'!AJ35="●"),IF($E35="正規職員","正",IF($E35="契約上の就業時間を記載","","実績を入力")),"-"))</f>
        <v/>
      </c>
      <c r="N35" s="10" t="str">
        <f>IF($B35="","",IF(OR('②-1職員名簿'!AK35="○",'②-1職員名簿'!AK35="●"),IF($E35="正規職員","正",IF($E35="契約上の就業時間を記載","","実績を入力")),"-"))</f>
        <v/>
      </c>
      <c r="O35" s="10" t="str">
        <f>IF($B35="","",IF(OR('②-1職員名簿'!AL35="○",'②-1職員名簿'!AL35="●"),IF($E35="正規職員","正",IF($E35="契約上の就業時間を記載","","実績を入力")),"-"))</f>
        <v/>
      </c>
      <c r="P35" s="10" t="str">
        <f>IF($B35="","",IF(OR('②-1職員名簿'!AM35="○",'②-1職員名簿'!AM35="●"),IF($E35="正規職員","正",IF($E35="契約上の就業時間を記載","","実績を入力")),"-"))</f>
        <v/>
      </c>
      <c r="Q35" s="10" t="str">
        <f>IF($B35="","",IF(OR('②-1職員名簿'!AN35="○",'②-1職員名簿'!AN35="●"),IF($E35="正規職員","正",IF($E35="契約上の就業時間を記載","","実績を入力")),"-"))</f>
        <v/>
      </c>
      <c r="R35" s="104" t="str">
        <f>IF($B35="","",IF(OR('②-1職員名簿'!AC35="○",'②-1職員名簿'!AC35="●"),IF($E35="正規職員","正",IF($E35="契約上の就業時間を記載","",IF($E35&gt;=F$5,"常",F35))),"-"))</f>
        <v/>
      </c>
      <c r="S35" s="104" t="str">
        <f>IF($B35="","",IF(OR('②-1職員名簿'!AD35="○",'②-1職員名簿'!AD35="●"),IF($E35="正規職員","正",IF($E35="契約上の就業時間を記載","",IF($E35&gt;=G$5,"常",G35))),"-"))</f>
        <v/>
      </c>
      <c r="T35" s="104" t="str">
        <f>IF($B35="","",IF(OR('②-1職員名簿'!AE35="○",'②-1職員名簿'!AE35="●"),IF($E35="正規職員","正",IF($E35="契約上の就業時間を記載","",IF($E35&gt;=H$5,"常",H35))),"-"))</f>
        <v/>
      </c>
      <c r="U35" s="104" t="str">
        <f>IF($B35="","",IF(OR('②-1職員名簿'!AF35="○",'②-1職員名簿'!AF35="●"),IF($E35="正規職員","正",IF($E35="契約上の就業時間を記載","",IF($E35&gt;=I$5,"常",I35))),"-"))</f>
        <v/>
      </c>
      <c r="V35" s="104" t="str">
        <f>IF($B35="","",IF(OR('②-1職員名簿'!AG35="○",'②-1職員名簿'!AG35="●"),IF($E35="正規職員","正",IF($E35="契約上の就業時間を記載","",IF($E35&gt;=J$5,"常",J35))),"-"))</f>
        <v/>
      </c>
      <c r="W35" s="104" t="str">
        <f>IF($B35="","",IF(OR('②-1職員名簿'!AH35="○",'②-1職員名簿'!AH35="●"),IF($E35="正規職員","正",IF($E35="契約上の就業時間を記載","",IF($E35&gt;=K$5,"常",K35))),"-"))</f>
        <v/>
      </c>
      <c r="X35" s="104" t="str">
        <f>IF($B35="","",IF(OR('②-1職員名簿'!AI35="○",'②-1職員名簿'!AI35="●"),IF($E35="正規職員","正",IF($E35="契約上の就業時間を記載","",IF($E35&gt;=L$5,"常",L35))),"-"))</f>
        <v/>
      </c>
      <c r="Y35" s="104" t="str">
        <f>IF($B35="","",IF(OR('②-1職員名簿'!AJ35="○",'②-1職員名簿'!AJ35="●"),IF($E35="正規職員","正",IF($E35="契約上の就業時間を記載","",IF($E35&gt;=M$5,"常",M35))),"-"))</f>
        <v/>
      </c>
      <c r="Z35" s="104" t="str">
        <f>IF($B35="","",IF(OR('②-1職員名簿'!AK35="○",'②-1職員名簿'!AK35="●"),IF($E35="正規職員","正",IF($E35="契約上の就業時間を記載","",IF($E35&gt;=N$5,"常",N35))),"-"))</f>
        <v/>
      </c>
      <c r="AA35" s="104" t="str">
        <f>IF($B35="","",IF(OR('②-1職員名簿'!AL35="○",'②-1職員名簿'!AL35="●"),IF($E35="正規職員","正",IF($E35="契約上の就業時間を記載","",IF($E35&gt;=O$5,"常",O35))),"-"))</f>
        <v/>
      </c>
      <c r="AB35" s="104" t="str">
        <f>IF($B35="","",IF(OR('②-1職員名簿'!AM35="○",'②-1職員名簿'!AM35="●"),IF($E35="正規職員","正",IF($E35="契約上の就業時間を記載","",IF($E35&gt;=P$5,"常",P35))),"-"))</f>
        <v/>
      </c>
      <c r="AC35" s="104" t="str">
        <f>IF($B35="","",IF(OR('②-1職員名簿'!AN35="○",'②-1職員名簿'!AN35="●"),IF($E35="正規職員","正",IF($E35="契約上の就業時間を記載","",IF($E35&gt;=Q$5,"常",Q35))),"-"))</f>
        <v/>
      </c>
      <c r="AE35" s="101" t="str">
        <f>IF('②-1職員名簿'!W35="","",'②-1職員名簿'!W35)</f>
        <v/>
      </c>
      <c r="AJ35" s="106" t="str">
        <f t="shared" si="11"/>
        <v>○</v>
      </c>
      <c r="AK35" s="106" t="str">
        <f t="shared" si="23"/>
        <v>○</v>
      </c>
      <c r="AL35" s="106" t="str">
        <f t="shared" si="24"/>
        <v>○</v>
      </c>
      <c r="AM35" s="106" t="str">
        <f t="shared" si="25"/>
        <v>○</v>
      </c>
      <c r="AN35" s="106" t="str">
        <f t="shared" si="26"/>
        <v>○</v>
      </c>
      <c r="AO35" s="106" t="str">
        <f t="shared" si="27"/>
        <v>○</v>
      </c>
      <c r="AP35" s="106" t="str">
        <f t="shared" si="28"/>
        <v>○</v>
      </c>
      <c r="AQ35" s="106" t="str">
        <f t="shared" si="29"/>
        <v>○</v>
      </c>
      <c r="AR35" s="106" t="str">
        <f t="shared" si="30"/>
        <v>○</v>
      </c>
      <c r="AS35" s="106" t="str">
        <f t="shared" si="31"/>
        <v>○</v>
      </c>
      <c r="AT35" s="106" t="str">
        <f t="shared" si="32"/>
        <v>○</v>
      </c>
      <c r="AU35" s="106" t="str">
        <f t="shared" si="33"/>
        <v>○</v>
      </c>
    </row>
    <row r="36" spans="1:47" s="106" customFormat="1" ht="23.15" customHeight="1">
      <c r="A36" s="102">
        <v>30</v>
      </c>
      <c r="B36" s="101" t="str">
        <f>IF('②-1職員名簿'!E36="","",'②-1職員名簿'!Y36)</f>
        <v/>
      </c>
      <c r="C36" s="104" t="str">
        <f>'②-1職員名簿'!BE36</f>
        <v/>
      </c>
      <c r="D36" s="136" t="str">
        <f t="shared" si="9"/>
        <v/>
      </c>
      <c r="E36" s="20" t="str">
        <f>IF($B36="","",IF(AND('②-1職員名簿'!C36="正",'②-1職員名簿'!D36="常"),"正規職員","契約上の就業時間を記載"))</f>
        <v/>
      </c>
      <c r="F36" s="10" t="str">
        <f>IF($B36="","",IF(OR('②-1職員名簿'!AC36="○",'②-1職員名簿'!AC36="●"),IF($E36="正規職員","正",IF($E36="契約上の就業時間を記載","","実績を入力")),"-"))</f>
        <v/>
      </c>
      <c r="G36" s="10" t="str">
        <f>IF($B36="","",IF(OR('②-1職員名簿'!AD36="○",'②-1職員名簿'!AD36="●"),IF($E36="正規職員","正",IF($E36="契約上の就業時間を記載","","実績を入力")),"-"))</f>
        <v/>
      </c>
      <c r="H36" s="10" t="str">
        <f>IF($B36="","",IF(OR('②-1職員名簿'!AE36="○",'②-1職員名簿'!AE36="●"),IF($E36="正規職員","正",IF($E36="契約上の就業時間を記載","","実績を入力")),"-"))</f>
        <v/>
      </c>
      <c r="I36" s="10" t="str">
        <f>IF($B36="","",IF(OR('②-1職員名簿'!AF36="○",'②-1職員名簿'!AF36="●"),IF($E36="正規職員","正",IF($E36="契約上の就業時間を記載","","実績を入力")),"-"))</f>
        <v/>
      </c>
      <c r="J36" s="10" t="str">
        <f>IF($B36="","",IF(OR('②-1職員名簿'!AG36="○",'②-1職員名簿'!AG36="●"),IF($E36="正規職員","正",IF($E36="契約上の就業時間を記載","","実績を入力")),"-"))</f>
        <v/>
      </c>
      <c r="K36" s="10" t="str">
        <f>IF($B36="","",IF(OR('②-1職員名簿'!AH36="○",'②-1職員名簿'!AH36="●"),IF($E36="正規職員","正",IF($E36="契約上の就業時間を記載","","実績を入力")),"-"))</f>
        <v/>
      </c>
      <c r="L36" s="10" t="str">
        <f>IF($B36="","",IF(OR('②-1職員名簿'!AI36="○",'②-1職員名簿'!AI36="●"),IF($E36="正規職員","正",IF($E36="契約上の就業時間を記載","","実績を入力")),"-"))</f>
        <v/>
      </c>
      <c r="M36" s="10" t="str">
        <f>IF($B36="","",IF(OR('②-1職員名簿'!AJ36="○",'②-1職員名簿'!AJ36="●"),IF($E36="正規職員","正",IF($E36="契約上の就業時間を記載","","実績を入力")),"-"))</f>
        <v/>
      </c>
      <c r="N36" s="10" t="str">
        <f>IF($B36="","",IF(OR('②-1職員名簿'!AK36="○",'②-1職員名簿'!AK36="●"),IF($E36="正規職員","正",IF($E36="契約上の就業時間を記載","","実績を入力")),"-"))</f>
        <v/>
      </c>
      <c r="O36" s="10" t="str">
        <f>IF($B36="","",IF(OR('②-1職員名簿'!AL36="○",'②-1職員名簿'!AL36="●"),IF($E36="正規職員","正",IF($E36="契約上の就業時間を記載","","実績を入力")),"-"))</f>
        <v/>
      </c>
      <c r="P36" s="10" t="str">
        <f>IF($B36="","",IF(OR('②-1職員名簿'!AM36="○",'②-1職員名簿'!AM36="●"),IF($E36="正規職員","正",IF($E36="契約上の就業時間を記載","","実績を入力")),"-"))</f>
        <v/>
      </c>
      <c r="Q36" s="10" t="str">
        <f>IF($B36="","",IF(OR('②-1職員名簿'!AN36="○",'②-1職員名簿'!AN36="●"),IF($E36="正規職員","正",IF($E36="契約上の就業時間を記載","","実績を入力")),"-"))</f>
        <v/>
      </c>
      <c r="R36" s="104" t="str">
        <f>IF($B36="","",IF(OR('②-1職員名簿'!AC36="○",'②-1職員名簿'!AC36="●"),IF($E36="正規職員","正",IF($E36="契約上の就業時間を記載","",IF($E36&gt;=F$5,"常",F36))),"-"))</f>
        <v/>
      </c>
      <c r="S36" s="104" t="str">
        <f>IF($B36="","",IF(OR('②-1職員名簿'!AD36="○",'②-1職員名簿'!AD36="●"),IF($E36="正規職員","正",IF($E36="契約上の就業時間を記載","",IF($E36&gt;=G$5,"常",G36))),"-"))</f>
        <v/>
      </c>
      <c r="T36" s="104" t="str">
        <f>IF($B36="","",IF(OR('②-1職員名簿'!AE36="○",'②-1職員名簿'!AE36="●"),IF($E36="正規職員","正",IF($E36="契約上の就業時間を記載","",IF($E36&gt;=H$5,"常",H36))),"-"))</f>
        <v/>
      </c>
      <c r="U36" s="104" t="str">
        <f>IF($B36="","",IF(OR('②-1職員名簿'!AF36="○",'②-1職員名簿'!AF36="●"),IF($E36="正規職員","正",IF($E36="契約上の就業時間を記載","",IF($E36&gt;=I$5,"常",I36))),"-"))</f>
        <v/>
      </c>
      <c r="V36" s="104" t="str">
        <f>IF($B36="","",IF(OR('②-1職員名簿'!AG36="○",'②-1職員名簿'!AG36="●"),IF($E36="正規職員","正",IF($E36="契約上の就業時間を記載","",IF($E36&gt;=J$5,"常",J36))),"-"))</f>
        <v/>
      </c>
      <c r="W36" s="104" t="str">
        <f>IF($B36="","",IF(OR('②-1職員名簿'!AH36="○",'②-1職員名簿'!AH36="●"),IF($E36="正規職員","正",IF($E36="契約上の就業時間を記載","",IF($E36&gt;=K$5,"常",K36))),"-"))</f>
        <v/>
      </c>
      <c r="X36" s="104" t="str">
        <f>IF($B36="","",IF(OR('②-1職員名簿'!AI36="○",'②-1職員名簿'!AI36="●"),IF($E36="正規職員","正",IF($E36="契約上の就業時間を記載","",IF($E36&gt;=L$5,"常",L36))),"-"))</f>
        <v/>
      </c>
      <c r="Y36" s="104" t="str">
        <f>IF($B36="","",IF(OR('②-1職員名簿'!AJ36="○",'②-1職員名簿'!AJ36="●"),IF($E36="正規職員","正",IF($E36="契約上の就業時間を記載","",IF($E36&gt;=M$5,"常",M36))),"-"))</f>
        <v/>
      </c>
      <c r="Z36" s="104" t="str">
        <f>IF($B36="","",IF(OR('②-1職員名簿'!AK36="○",'②-1職員名簿'!AK36="●"),IF($E36="正規職員","正",IF($E36="契約上の就業時間を記載","",IF($E36&gt;=N$5,"常",N36))),"-"))</f>
        <v/>
      </c>
      <c r="AA36" s="104" t="str">
        <f>IF($B36="","",IF(OR('②-1職員名簿'!AL36="○",'②-1職員名簿'!AL36="●"),IF($E36="正規職員","正",IF($E36="契約上の就業時間を記載","",IF($E36&gt;=O$5,"常",O36))),"-"))</f>
        <v/>
      </c>
      <c r="AB36" s="104" t="str">
        <f>IF($B36="","",IF(OR('②-1職員名簿'!AM36="○",'②-1職員名簿'!AM36="●"),IF($E36="正規職員","正",IF($E36="契約上の就業時間を記載","",IF($E36&gt;=P$5,"常",P36))),"-"))</f>
        <v/>
      </c>
      <c r="AC36" s="104" t="str">
        <f>IF($B36="","",IF(OR('②-1職員名簿'!AN36="○",'②-1職員名簿'!AN36="●"),IF($E36="正規職員","正",IF($E36="契約上の就業時間を記載","",IF($E36&gt;=Q$5,"常",Q36))),"-"))</f>
        <v/>
      </c>
      <c r="AE36" s="101" t="str">
        <f>IF('②-1職員名簿'!W36="","",'②-1職員名簿'!W36)</f>
        <v/>
      </c>
      <c r="AJ36" s="106" t="str">
        <f t="shared" si="11"/>
        <v>○</v>
      </c>
      <c r="AK36" s="106" t="str">
        <f t="shared" si="23"/>
        <v>○</v>
      </c>
      <c r="AL36" s="106" t="str">
        <f t="shared" si="24"/>
        <v>○</v>
      </c>
      <c r="AM36" s="106" t="str">
        <f t="shared" si="25"/>
        <v>○</v>
      </c>
      <c r="AN36" s="106" t="str">
        <f t="shared" si="26"/>
        <v>○</v>
      </c>
      <c r="AO36" s="106" t="str">
        <f t="shared" si="27"/>
        <v>○</v>
      </c>
      <c r="AP36" s="106" t="str">
        <f t="shared" si="28"/>
        <v>○</v>
      </c>
      <c r="AQ36" s="106" t="str">
        <f t="shared" si="29"/>
        <v>○</v>
      </c>
      <c r="AR36" s="106" t="str">
        <f t="shared" si="30"/>
        <v>○</v>
      </c>
      <c r="AS36" s="106" t="str">
        <f t="shared" si="31"/>
        <v>○</v>
      </c>
      <c r="AT36" s="106" t="str">
        <f t="shared" si="32"/>
        <v>○</v>
      </c>
      <c r="AU36" s="106" t="str">
        <f t="shared" si="33"/>
        <v>○</v>
      </c>
    </row>
    <row r="37" spans="1:47" s="106" customFormat="1" ht="23.15" customHeight="1">
      <c r="A37" s="102">
        <v>31</v>
      </c>
      <c r="B37" s="101" t="str">
        <f>IF('②-1職員名簿'!E37="","",'②-1職員名簿'!Y37)</f>
        <v/>
      </c>
      <c r="C37" s="104" t="str">
        <f>'②-1職員名簿'!BE37</f>
        <v/>
      </c>
      <c r="D37" s="136" t="str">
        <f t="shared" si="9"/>
        <v/>
      </c>
      <c r="E37" s="20" t="str">
        <f>IF($B37="","",IF(AND('②-1職員名簿'!C37="正",'②-1職員名簿'!D37="常"),"正規職員","契約上の就業時間を記載"))</f>
        <v/>
      </c>
      <c r="F37" s="10" t="str">
        <f>IF($B37="","",IF(OR('②-1職員名簿'!AC37="○",'②-1職員名簿'!AC37="●"),IF($E37="正規職員","正",IF($E37="契約上の就業時間を記載","","実績を入力")),"-"))</f>
        <v/>
      </c>
      <c r="G37" s="10" t="str">
        <f>IF($B37="","",IF(OR('②-1職員名簿'!AD37="○",'②-1職員名簿'!AD37="●"),IF($E37="正規職員","正",IF($E37="契約上の就業時間を記載","","実績を入力")),"-"))</f>
        <v/>
      </c>
      <c r="H37" s="10" t="str">
        <f>IF($B37="","",IF(OR('②-1職員名簿'!AE37="○",'②-1職員名簿'!AE37="●"),IF($E37="正規職員","正",IF($E37="契約上の就業時間を記載","","実績を入力")),"-"))</f>
        <v/>
      </c>
      <c r="I37" s="10" t="str">
        <f>IF($B37="","",IF(OR('②-1職員名簿'!AF37="○",'②-1職員名簿'!AF37="●"),IF($E37="正規職員","正",IF($E37="契約上の就業時間を記載","","実績を入力")),"-"))</f>
        <v/>
      </c>
      <c r="J37" s="10" t="str">
        <f>IF($B37="","",IF(OR('②-1職員名簿'!AG37="○",'②-1職員名簿'!AG37="●"),IF($E37="正規職員","正",IF($E37="契約上の就業時間を記載","","実績を入力")),"-"))</f>
        <v/>
      </c>
      <c r="K37" s="10" t="str">
        <f>IF($B37="","",IF(OR('②-1職員名簿'!AH37="○",'②-1職員名簿'!AH37="●"),IF($E37="正規職員","正",IF($E37="契約上の就業時間を記載","","実績を入力")),"-"))</f>
        <v/>
      </c>
      <c r="L37" s="10" t="str">
        <f>IF($B37="","",IF(OR('②-1職員名簿'!AI37="○",'②-1職員名簿'!AI37="●"),IF($E37="正規職員","正",IF($E37="契約上の就業時間を記載","","実績を入力")),"-"))</f>
        <v/>
      </c>
      <c r="M37" s="10" t="str">
        <f>IF($B37="","",IF(OR('②-1職員名簿'!AJ37="○",'②-1職員名簿'!AJ37="●"),IF($E37="正規職員","正",IF($E37="契約上の就業時間を記載","","実績を入力")),"-"))</f>
        <v/>
      </c>
      <c r="N37" s="10" t="str">
        <f>IF($B37="","",IF(OR('②-1職員名簿'!AK37="○",'②-1職員名簿'!AK37="●"),IF($E37="正規職員","正",IF($E37="契約上の就業時間を記載","","実績を入力")),"-"))</f>
        <v/>
      </c>
      <c r="O37" s="10" t="str">
        <f>IF($B37="","",IF(OR('②-1職員名簿'!AL37="○",'②-1職員名簿'!AL37="●"),IF($E37="正規職員","正",IF($E37="契約上の就業時間を記載","","実績を入力")),"-"))</f>
        <v/>
      </c>
      <c r="P37" s="10" t="str">
        <f>IF($B37="","",IF(OR('②-1職員名簿'!AM37="○",'②-1職員名簿'!AM37="●"),IF($E37="正規職員","正",IF($E37="契約上の就業時間を記載","","実績を入力")),"-"))</f>
        <v/>
      </c>
      <c r="Q37" s="10" t="str">
        <f>IF($B37="","",IF(OR('②-1職員名簿'!AN37="○",'②-1職員名簿'!AN37="●"),IF($E37="正規職員","正",IF($E37="契約上の就業時間を記載","","実績を入力")),"-"))</f>
        <v/>
      </c>
      <c r="R37" s="104" t="str">
        <f>IF($B37="","",IF(OR('②-1職員名簿'!AC37="○",'②-1職員名簿'!AC37="●"),IF($E37="正規職員","正",IF($E37="契約上の就業時間を記載","",IF($E37&gt;=F$5,"常",F37))),"-"))</f>
        <v/>
      </c>
      <c r="S37" s="104" t="str">
        <f>IF($B37="","",IF(OR('②-1職員名簿'!AD37="○",'②-1職員名簿'!AD37="●"),IF($E37="正規職員","正",IF($E37="契約上の就業時間を記載","",IF($E37&gt;=G$5,"常",G37))),"-"))</f>
        <v/>
      </c>
      <c r="T37" s="104" t="str">
        <f>IF($B37="","",IF(OR('②-1職員名簿'!AE37="○",'②-1職員名簿'!AE37="●"),IF($E37="正規職員","正",IF($E37="契約上の就業時間を記載","",IF($E37&gt;=H$5,"常",H37))),"-"))</f>
        <v/>
      </c>
      <c r="U37" s="104" t="str">
        <f>IF($B37="","",IF(OR('②-1職員名簿'!AF37="○",'②-1職員名簿'!AF37="●"),IF($E37="正規職員","正",IF($E37="契約上の就業時間を記載","",IF($E37&gt;=I$5,"常",I37))),"-"))</f>
        <v/>
      </c>
      <c r="V37" s="104" t="str">
        <f>IF($B37="","",IF(OR('②-1職員名簿'!AG37="○",'②-1職員名簿'!AG37="●"),IF($E37="正規職員","正",IF($E37="契約上の就業時間を記載","",IF($E37&gt;=J$5,"常",J37))),"-"))</f>
        <v/>
      </c>
      <c r="W37" s="104" t="str">
        <f>IF($B37="","",IF(OR('②-1職員名簿'!AH37="○",'②-1職員名簿'!AH37="●"),IF($E37="正規職員","正",IF($E37="契約上の就業時間を記載","",IF($E37&gt;=K$5,"常",K37))),"-"))</f>
        <v/>
      </c>
      <c r="X37" s="104" t="str">
        <f>IF($B37="","",IF(OR('②-1職員名簿'!AI37="○",'②-1職員名簿'!AI37="●"),IF($E37="正規職員","正",IF($E37="契約上の就業時間を記載","",IF($E37&gt;=L$5,"常",L37))),"-"))</f>
        <v/>
      </c>
      <c r="Y37" s="104" t="str">
        <f>IF($B37="","",IF(OR('②-1職員名簿'!AJ37="○",'②-1職員名簿'!AJ37="●"),IF($E37="正規職員","正",IF($E37="契約上の就業時間を記載","",IF($E37&gt;=M$5,"常",M37))),"-"))</f>
        <v/>
      </c>
      <c r="Z37" s="104" t="str">
        <f>IF($B37="","",IF(OR('②-1職員名簿'!AK37="○",'②-1職員名簿'!AK37="●"),IF($E37="正規職員","正",IF($E37="契約上の就業時間を記載","",IF($E37&gt;=N$5,"常",N37))),"-"))</f>
        <v/>
      </c>
      <c r="AA37" s="104" t="str">
        <f>IF($B37="","",IF(OR('②-1職員名簿'!AL37="○",'②-1職員名簿'!AL37="●"),IF($E37="正規職員","正",IF($E37="契約上の就業時間を記載","",IF($E37&gt;=O$5,"常",O37))),"-"))</f>
        <v/>
      </c>
      <c r="AB37" s="104" t="str">
        <f>IF($B37="","",IF(OR('②-1職員名簿'!AM37="○",'②-1職員名簿'!AM37="●"),IF($E37="正規職員","正",IF($E37="契約上の就業時間を記載","",IF($E37&gt;=P$5,"常",P37))),"-"))</f>
        <v/>
      </c>
      <c r="AC37" s="104" t="str">
        <f>IF($B37="","",IF(OR('②-1職員名簿'!AN37="○",'②-1職員名簿'!AN37="●"),IF($E37="正規職員","正",IF($E37="契約上の就業時間を記載","",IF($E37&gt;=Q$5,"常",Q37))),"-"))</f>
        <v/>
      </c>
      <c r="AE37" s="101" t="str">
        <f>IF('②-1職員名簿'!W37="","",'②-1職員名簿'!W37)</f>
        <v/>
      </c>
      <c r="AJ37" s="106" t="str">
        <f t="shared" si="11"/>
        <v>○</v>
      </c>
      <c r="AK37" s="106" t="str">
        <f t="shared" si="23"/>
        <v>○</v>
      </c>
      <c r="AL37" s="106" t="str">
        <f t="shared" si="24"/>
        <v>○</v>
      </c>
      <c r="AM37" s="106" t="str">
        <f t="shared" si="25"/>
        <v>○</v>
      </c>
      <c r="AN37" s="106" t="str">
        <f t="shared" si="26"/>
        <v>○</v>
      </c>
      <c r="AO37" s="106" t="str">
        <f t="shared" si="27"/>
        <v>○</v>
      </c>
      <c r="AP37" s="106" t="str">
        <f t="shared" si="28"/>
        <v>○</v>
      </c>
      <c r="AQ37" s="106" t="str">
        <f t="shared" si="29"/>
        <v>○</v>
      </c>
      <c r="AR37" s="106" t="str">
        <f t="shared" si="30"/>
        <v>○</v>
      </c>
      <c r="AS37" s="106" t="str">
        <f t="shared" si="31"/>
        <v>○</v>
      </c>
      <c r="AT37" s="106" t="str">
        <f t="shared" si="32"/>
        <v>○</v>
      </c>
      <c r="AU37" s="106" t="str">
        <f t="shared" si="33"/>
        <v>○</v>
      </c>
    </row>
    <row r="38" spans="1:47" s="106" customFormat="1" ht="23.15" customHeight="1">
      <c r="A38" s="102">
        <v>32</v>
      </c>
      <c r="B38" s="101" t="str">
        <f>IF('②-1職員名簿'!E38="","",'②-1職員名簿'!Y38)</f>
        <v/>
      </c>
      <c r="C38" s="104" t="str">
        <f>'②-1職員名簿'!BE38</f>
        <v/>
      </c>
      <c r="D38" s="136" t="str">
        <f t="shared" si="9"/>
        <v/>
      </c>
      <c r="E38" s="20" t="str">
        <f>IF($B38="","",IF(AND('②-1職員名簿'!C38="正",'②-1職員名簿'!D38="常"),"正規職員","契約上の就業時間を記載"))</f>
        <v/>
      </c>
      <c r="F38" s="10" t="str">
        <f>IF($B38="","",IF(OR('②-1職員名簿'!AC38="○",'②-1職員名簿'!AC38="●"),IF($E38="正規職員","正",IF($E38="契約上の就業時間を記載","","実績を入力")),"-"))</f>
        <v/>
      </c>
      <c r="G38" s="10" t="str">
        <f>IF($B38="","",IF(OR('②-1職員名簿'!AD38="○",'②-1職員名簿'!AD38="●"),IF($E38="正規職員","正",IF($E38="契約上の就業時間を記載","","実績を入力")),"-"))</f>
        <v/>
      </c>
      <c r="H38" s="10" t="str">
        <f>IF($B38="","",IF(OR('②-1職員名簿'!AE38="○",'②-1職員名簿'!AE38="●"),IF($E38="正規職員","正",IF($E38="契約上の就業時間を記載","","実績を入力")),"-"))</f>
        <v/>
      </c>
      <c r="I38" s="10" t="str">
        <f>IF($B38="","",IF(OR('②-1職員名簿'!AF38="○",'②-1職員名簿'!AF38="●"),IF($E38="正規職員","正",IF($E38="契約上の就業時間を記載","","実績を入力")),"-"))</f>
        <v/>
      </c>
      <c r="J38" s="10" t="str">
        <f>IF($B38="","",IF(OR('②-1職員名簿'!AG38="○",'②-1職員名簿'!AG38="●"),IF($E38="正規職員","正",IF($E38="契約上の就業時間を記載","","実績を入力")),"-"))</f>
        <v/>
      </c>
      <c r="K38" s="10" t="str">
        <f>IF($B38="","",IF(OR('②-1職員名簿'!AH38="○",'②-1職員名簿'!AH38="●"),IF($E38="正規職員","正",IF($E38="契約上の就業時間を記載","","実績を入力")),"-"))</f>
        <v/>
      </c>
      <c r="L38" s="10" t="str">
        <f>IF($B38="","",IF(OR('②-1職員名簿'!AI38="○",'②-1職員名簿'!AI38="●"),IF($E38="正規職員","正",IF($E38="契約上の就業時間を記載","","実績を入力")),"-"))</f>
        <v/>
      </c>
      <c r="M38" s="10" t="str">
        <f>IF($B38="","",IF(OR('②-1職員名簿'!AJ38="○",'②-1職員名簿'!AJ38="●"),IF($E38="正規職員","正",IF($E38="契約上の就業時間を記載","","実績を入力")),"-"))</f>
        <v/>
      </c>
      <c r="N38" s="10" t="str">
        <f>IF($B38="","",IF(OR('②-1職員名簿'!AK38="○",'②-1職員名簿'!AK38="●"),IF($E38="正規職員","正",IF($E38="契約上の就業時間を記載","","実績を入力")),"-"))</f>
        <v/>
      </c>
      <c r="O38" s="10" t="str">
        <f>IF($B38="","",IF(OR('②-1職員名簿'!AL38="○",'②-1職員名簿'!AL38="●"),IF($E38="正規職員","正",IF($E38="契約上の就業時間を記載","","実績を入力")),"-"))</f>
        <v/>
      </c>
      <c r="P38" s="10" t="str">
        <f>IF($B38="","",IF(OR('②-1職員名簿'!AM38="○",'②-1職員名簿'!AM38="●"),IF($E38="正規職員","正",IF($E38="契約上の就業時間を記載","","実績を入力")),"-"))</f>
        <v/>
      </c>
      <c r="Q38" s="10" t="str">
        <f>IF($B38="","",IF(OR('②-1職員名簿'!AN38="○",'②-1職員名簿'!AN38="●"),IF($E38="正規職員","正",IF($E38="契約上の就業時間を記載","","実績を入力")),"-"))</f>
        <v/>
      </c>
      <c r="R38" s="104" t="str">
        <f>IF($B38="","",IF(OR('②-1職員名簿'!AC38="○",'②-1職員名簿'!AC38="●"),IF($E38="正規職員","正",IF($E38="契約上の就業時間を記載","",IF($E38&gt;=F$5,"常",F38))),"-"))</f>
        <v/>
      </c>
      <c r="S38" s="104" t="str">
        <f>IF($B38="","",IF(OR('②-1職員名簿'!AD38="○",'②-1職員名簿'!AD38="●"),IF($E38="正規職員","正",IF($E38="契約上の就業時間を記載","",IF($E38&gt;=G$5,"常",G38))),"-"))</f>
        <v/>
      </c>
      <c r="T38" s="104" t="str">
        <f>IF($B38="","",IF(OR('②-1職員名簿'!AE38="○",'②-1職員名簿'!AE38="●"),IF($E38="正規職員","正",IF($E38="契約上の就業時間を記載","",IF($E38&gt;=H$5,"常",H38))),"-"))</f>
        <v/>
      </c>
      <c r="U38" s="104" t="str">
        <f>IF($B38="","",IF(OR('②-1職員名簿'!AF38="○",'②-1職員名簿'!AF38="●"),IF($E38="正規職員","正",IF($E38="契約上の就業時間を記載","",IF($E38&gt;=I$5,"常",I38))),"-"))</f>
        <v/>
      </c>
      <c r="V38" s="104" t="str">
        <f>IF($B38="","",IF(OR('②-1職員名簿'!AG38="○",'②-1職員名簿'!AG38="●"),IF($E38="正規職員","正",IF($E38="契約上の就業時間を記載","",IF($E38&gt;=J$5,"常",J38))),"-"))</f>
        <v/>
      </c>
      <c r="W38" s="104" t="str">
        <f>IF($B38="","",IF(OR('②-1職員名簿'!AH38="○",'②-1職員名簿'!AH38="●"),IF($E38="正規職員","正",IF($E38="契約上の就業時間を記載","",IF($E38&gt;=K$5,"常",K38))),"-"))</f>
        <v/>
      </c>
      <c r="X38" s="104" t="str">
        <f>IF($B38="","",IF(OR('②-1職員名簿'!AI38="○",'②-1職員名簿'!AI38="●"),IF($E38="正規職員","正",IF($E38="契約上の就業時間を記載","",IF($E38&gt;=L$5,"常",L38))),"-"))</f>
        <v/>
      </c>
      <c r="Y38" s="104" t="str">
        <f>IF($B38="","",IF(OR('②-1職員名簿'!AJ38="○",'②-1職員名簿'!AJ38="●"),IF($E38="正規職員","正",IF($E38="契約上の就業時間を記載","",IF($E38&gt;=M$5,"常",M38))),"-"))</f>
        <v/>
      </c>
      <c r="Z38" s="104" t="str">
        <f>IF($B38="","",IF(OR('②-1職員名簿'!AK38="○",'②-1職員名簿'!AK38="●"),IF($E38="正規職員","正",IF($E38="契約上の就業時間を記載","",IF($E38&gt;=N$5,"常",N38))),"-"))</f>
        <v/>
      </c>
      <c r="AA38" s="104" t="str">
        <f>IF($B38="","",IF(OR('②-1職員名簿'!AL38="○",'②-1職員名簿'!AL38="●"),IF($E38="正規職員","正",IF($E38="契約上の就業時間を記載","",IF($E38&gt;=O$5,"常",O38))),"-"))</f>
        <v/>
      </c>
      <c r="AB38" s="104" t="str">
        <f>IF($B38="","",IF(OR('②-1職員名簿'!AM38="○",'②-1職員名簿'!AM38="●"),IF($E38="正規職員","正",IF($E38="契約上の就業時間を記載","",IF($E38&gt;=P$5,"常",P38))),"-"))</f>
        <v/>
      </c>
      <c r="AC38" s="104" t="str">
        <f>IF($B38="","",IF(OR('②-1職員名簿'!AN38="○",'②-1職員名簿'!AN38="●"),IF($E38="正規職員","正",IF($E38="契約上の就業時間を記載","",IF($E38&gt;=Q$5,"常",Q38))),"-"))</f>
        <v/>
      </c>
      <c r="AE38" s="101" t="str">
        <f>IF('②-1職員名簿'!W38="","",'②-1職員名簿'!W38)</f>
        <v/>
      </c>
      <c r="AJ38" s="106" t="str">
        <f t="shared" si="11"/>
        <v>○</v>
      </c>
      <c r="AK38" s="106" t="str">
        <f t="shared" si="23"/>
        <v>○</v>
      </c>
      <c r="AL38" s="106" t="str">
        <f t="shared" si="24"/>
        <v>○</v>
      </c>
      <c r="AM38" s="106" t="str">
        <f t="shared" si="25"/>
        <v>○</v>
      </c>
      <c r="AN38" s="106" t="str">
        <f t="shared" si="26"/>
        <v>○</v>
      </c>
      <c r="AO38" s="106" t="str">
        <f t="shared" si="27"/>
        <v>○</v>
      </c>
      <c r="AP38" s="106" t="str">
        <f t="shared" si="28"/>
        <v>○</v>
      </c>
      <c r="AQ38" s="106" t="str">
        <f t="shared" si="29"/>
        <v>○</v>
      </c>
      <c r="AR38" s="106" t="str">
        <f t="shared" si="30"/>
        <v>○</v>
      </c>
      <c r="AS38" s="106" t="str">
        <f t="shared" si="31"/>
        <v>○</v>
      </c>
      <c r="AT38" s="106" t="str">
        <f t="shared" si="32"/>
        <v>○</v>
      </c>
      <c r="AU38" s="106" t="str">
        <f t="shared" si="33"/>
        <v>○</v>
      </c>
    </row>
    <row r="39" spans="1:47" s="106" customFormat="1" ht="23.15" customHeight="1">
      <c r="A39" s="102">
        <v>33</v>
      </c>
      <c r="B39" s="101" t="str">
        <f>IF('②-1職員名簿'!E39="","",'②-1職員名簿'!Y39)</f>
        <v/>
      </c>
      <c r="C39" s="104" t="str">
        <f>'②-1職員名簿'!BE39</f>
        <v/>
      </c>
      <c r="D39" s="136" t="str">
        <f t="shared" si="9"/>
        <v/>
      </c>
      <c r="E39" s="20" t="str">
        <f>IF($B39="","",IF(AND('②-1職員名簿'!C39="正",'②-1職員名簿'!D39="常"),"正規職員","契約上の就業時間を記載"))</f>
        <v/>
      </c>
      <c r="F39" s="10" t="str">
        <f>IF($B39="","",IF(OR('②-1職員名簿'!AC39="○",'②-1職員名簿'!AC39="●"),IF($E39="正規職員","正",IF($E39="契約上の就業時間を記載","","実績を入力")),"-"))</f>
        <v/>
      </c>
      <c r="G39" s="10" t="str">
        <f>IF($B39="","",IF(OR('②-1職員名簿'!AD39="○",'②-1職員名簿'!AD39="●"),IF($E39="正規職員","正",IF($E39="契約上の就業時間を記載","","実績を入力")),"-"))</f>
        <v/>
      </c>
      <c r="H39" s="10" t="str">
        <f>IF($B39="","",IF(OR('②-1職員名簿'!AE39="○",'②-1職員名簿'!AE39="●"),IF($E39="正規職員","正",IF($E39="契約上の就業時間を記載","","実績を入力")),"-"))</f>
        <v/>
      </c>
      <c r="I39" s="10" t="str">
        <f>IF($B39="","",IF(OR('②-1職員名簿'!AF39="○",'②-1職員名簿'!AF39="●"),IF($E39="正規職員","正",IF($E39="契約上の就業時間を記載","","実績を入力")),"-"))</f>
        <v/>
      </c>
      <c r="J39" s="10" t="str">
        <f>IF($B39="","",IF(OR('②-1職員名簿'!AG39="○",'②-1職員名簿'!AG39="●"),IF($E39="正規職員","正",IF($E39="契約上の就業時間を記載","","実績を入力")),"-"))</f>
        <v/>
      </c>
      <c r="K39" s="10" t="str">
        <f>IF($B39="","",IF(OR('②-1職員名簿'!AH39="○",'②-1職員名簿'!AH39="●"),IF($E39="正規職員","正",IF($E39="契約上の就業時間を記載","","実績を入力")),"-"))</f>
        <v/>
      </c>
      <c r="L39" s="10" t="str">
        <f>IF($B39="","",IF(OR('②-1職員名簿'!AI39="○",'②-1職員名簿'!AI39="●"),IF($E39="正規職員","正",IF($E39="契約上の就業時間を記載","","実績を入力")),"-"))</f>
        <v/>
      </c>
      <c r="M39" s="10" t="str">
        <f>IF($B39="","",IF(OR('②-1職員名簿'!AJ39="○",'②-1職員名簿'!AJ39="●"),IF($E39="正規職員","正",IF($E39="契約上の就業時間を記載","","実績を入力")),"-"))</f>
        <v/>
      </c>
      <c r="N39" s="10" t="str">
        <f>IF($B39="","",IF(OR('②-1職員名簿'!AK39="○",'②-1職員名簿'!AK39="●"),IF($E39="正規職員","正",IF($E39="契約上の就業時間を記載","","実績を入力")),"-"))</f>
        <v/>
      </c>
      <c r="O39" s="10" t="str">
        <f>IF($B39="","",IF(OR('②-1職員名簿'!AL39="○",'②-1職員名簿'!AL39="●"),IF($E39="正規職員","正",IF($E39="契約上の就業時間を記載","","実績を入力")),"-"))</f>
        <v/>
      </c>
      <c r="P39" s="10" t="str">
        <f>IF($B39="","",IF(OR('②-1職員名簿'!AM39="○",'②-1職員名簿'!AM39="●"),IF($E39="正規職員","正",IF($E39="契約上の就業時間を記載","","実績を入力")),"-"))</f>
        <v/>
      </c>
      <c r="Q39" s="10" t="str">
        <f>IF($B39="","",IF(OR('②-1職員名簿'!AN39="○",'②-1職員名簿'!AN39="●"),IF($E39="正規職員","正",IF($E39="契約上の就業時間を記載","","実績を入力")),"-"))</f>
        <v/>
      </c>
      <c r="R39" s="104" t="str">
        <f>IF($B39="","",IF(OR('②-1職員名簿'!AC39="○",'②-1職員名簿'!AC39="●"),IF($E39="正規職員","正",IF($E39="契約上の就業時間を記載","",IF($E39&gt;=F$5,"常",F39))),"-"))</f>
        <v/>
      </c>
      <c r="S39" s="104" t="str">
        <f>IF($B39="","",IF(OR('②-1職員名簿'!AD39="○",'②-1職員名簿'!AD39="●"),IF($E39="正規職員","正",IF($E39="契約上の就業時間を記載","",IF($E39&gt;=G$5,"常",G39))),"-"))</f>
        <v/>
      </c>
      <c r="T39" s="104" t="str">
        <f>IF($B39="","",IF(OR('②-1職員名簿'!AE39="○",'②-1職員名簿'!AE39="●"),IF($E39="正規職員","正",IF($E39="契約上の就業時間を記載","",IF($E39&gt;=H$5,"常",H39))),"-"))</f>
        <v/>
      </c>
      <c r="U39" s="104" t="str">
        <f>IF($B39="","",IF(OR('②-1職員名簿'!AF39="○",'②-1職員名簿'!AF39="●"),IF($E39="正規職員","正",IF($E39="契約上の就業時間を記載","",IF($E39&gt;=I$5,"常",I39))),"-"))</f>
        <v/>
      </c>
      <c r="V39" s="104" t="str">
        <f>IF($B39="","",IF(OR('②-1職員名簿'!AG39="○",'②-1職員名簿'!AG39="●"),IF($E39="正規職員","正",IF($E39="契約上の就業時間を記載","",IF($E39&gt;=J$5,"常",J39))),"-"))</f>
        <v/>
      </c>
      <c r="W39" s="104" t="str">
        <f>IF($B39="","",IF(OR('②-1職員名簿'!AH39="○",'②-1職員名簿'!AH39="●"),IF($E39="正規職員","正",IF($E39="契約上の就業時間を記載","",IF($E39&gt;=K$5,"常",K39))),"-"))</f>
        <v/>
      </c>
      <c r="X39" s="104" t="str">
        <f>IF($B39="","",IF(OR('②-1職員名簿'!AI39="○",'②-1職員名簿'!AI39="●"),IF($E39="正規職員","正",IF($E39="契約上の就業時間を記載","",IF($E39&gt;=L$5,"常",L39))),"-"))</f>
        <v/>
      </c>
      <c r="Y39" s="104" t="str">
        <f>IF($B39="","",IF(OR('②-1職員名簿'!AJ39="○",'②-1職員名簿'!AJ39="●"),IF($E39="正規職員","正",IF($E39="契約上の就業時間を記載","",IF($E39&gt;=M$5,"常",M39))),"-"))</f>
        <v/>
      </c>
      <c r="Z39" s="104" t="str">
        <f>IF($B39="","",IF(OR('②-1職員名簿'!AK39="○",'②-1職員名簿'!AK39="●"),IF($E39="正規職員","正",IF($E39="契約上の就業時間を記載","",IF($E39&gt;=N$5,"常",N39))),"-"))</f>
        <v/>
      </c>
      <c r="AA39" s="104" t="str">
        <f>IF($B39="","",IF(OR('②-1職員名簿'!AL39="○",'②-1職員名簿'!AL39="●"),IF($E39="正規職員","正",IF($E39="契約上の就業時間を記載","",IF($E39&gt;=O$5,"常",O39))),"-"))</f>
        <v/>
      </c>
      <c r="AB39" s="104" t="str">
        <f>IF($B39="","",IF(OR('②-1職員名簿'!AM39="○",'②-1職員名簿'!AM39="●"),IF($E39="正規職員","正",IF($E39="契約上の就業時間を記載","",IF($E39&gt;=P$5,"常",P39))),"-"))</f>
        <v/>
      </c>
      <c r="AC39" s="104" t="str">
        <f>IF($B39="","",IF(OR('②-1職員名簿'!AN39="○",'②-1職員名簿'!AN39="●"),IF($E39="正規職員","正",IF($E39="契約上の就業時間を記載","",IF($E39&gt;=Q$5,"常",Q39))),"-"))</f>
        <v/>
      </c>
      <c r="AE39" s="101" t="str">
        <f>IF('②-1職員名簿'!W39="","",'②-1職員名簿'!W39)</f>
        <v/>
      </c>
      <c r="AJ39" s="106" t="str">
        <f t="shared" si="11"/>
        <v>○</v>
      </c>
      <c r="AK39" s="106" t="str">
        <f t="shared" si="23"/>
        <v>○</v>
      </c>
      <c r="AL39" s="106" t="str">
        <f t="shared" si="24"/>
        <v>○</v>
      </c>
      <c r="AM39" s="106" t="str">
        <f t="shared" si="25"/>
        <v>○</v>
      </c>
      <c r="AN39" s="106" t="str">
        <f t="shared" si="26"/>
        <v>○</v>
      </c>
      <c r="AO39" s="106" t="str">
        <f t="shared" si="27"/>
        <v>○</v>
      </c>
      <c r="AP39" s="106" t="str">
        <f t="shared" si="28"/>
        <v>○</v>
      </c>
      <c r="AQ39" s="106" t="str">
        <f t="shared" si="29"/>
        <v>○</v>
      </c>
      <c r="AR39" s="106" t="str">
        <f t="shared" si="30"/>
        <v>○</v>
      </c>
      <c r="AS39" s="106" t="str">
        <f t="shared" si="31"/>
        <v>○</v>
      </c>
      <c r="AT39" s="106" t="str">
        <f t="shared" si="32"/>
        <v>○</v>
      </c>
      <c r="AU39" s="106" t="str">
        <f t="shared" si="33"/>
        <v>○</v>
      </c>
    </row>
    <row r="40" spans="1:47" s="106" customFormat="1" ht="23.15" customHeight="1">
      <c r="A40" s="102">
        <v>34</v>
      </c>
      <c r="B40" s="101" t="str">
        <f>IF('②-1職員名簿'!E40="","",'②-1職員名簿'!Y40)</f>
        <v/>
      </c>
      <c r="C40" s="104" t="str">
        <f>'②-1職員名簿'!BE40</f>
        <v/>
      </c>
      <c r="D40" s="136" t="str">
        <f>B40&amp;C40</f>
        <v/>
      </c>
      <c r="E40" s="20" t="str">
        <f>IF($B40="","",IF(AND('②-1職員名簿'!C40="正",'②-1職員名簿'!D40="常"),"正規職員","契約上の就業時間を記載"))</f>
        <v/>
      </c>
      <c r="F40" s="10" t="str">
        <f>IF($B40="","",IF(OR('②-1職員名簿'!AC40="○",'②-1職員名簿'!AC40="●"),IF($E40="正規職員","正",IF($E40="契約上の就業時間を記載","","実績を入力")),"-"))</f>
        <v/>
      </c>
      <c r="G40" s="10" t="str">
        <f>IF($B40="","",IF(OR('②-1職員名簿'!AD40="○",'②-1職員名簿'!AD40="●"),IF($E40="正規職員","正",IF($E40="契約上の就業時間を記載","","実績を入力")),"-"))</f>
        <v/>
      </c>
      <c r="H40" s="10" t="str">
        <f>IF($B40="","",IF(OR('②-1職員名簿'!AE40="○",'②-1職員名簿'!AE40="●"),IF($E40="正規職員","正",IF($E40="契約上の就業時間を記載","","実績を入力")),"-"))</f>
        <v/>
      </c>
      <c r="I40" s="10" t="str">
        <f>IF($B40="","",IF(OR('②-1職員名簿'!AF40="○",'②-1職員名簿'!AF40="●"),IF($E40="正規職員","正",IF($E40="契約上の就業時間を記載","","実績を入力")),"-"))</f>
        <v/>
      </c>
      <c r="J40" s="10" t="str">
        <f>IF($B40="","",IF(OR('②-1職員名簿'!AG40="○",'②-1職員名簿'!AG40="●"),IF($E40="正規職員","正",IF($E40="契約上の就業時間を記載","","実績を入力")),"-"))</f>
        <v/>
      </c>
      <c r="K40" s="10" t="str">
        <f>IF($B40="","",IF(OR('②-1職員名簿'!AH40="○",'②-1職員名簿'!AH40="●"),IF($E40="正規職員","正",IF($E40="契約上の就業時間を記載","","実績を入力")),"-"))</f>
        <v/>
      </c>
      <c r="L40" s="10" t="str">
        <f>IF($B40="","",IF(OR('②-1職員名簿'!AI40="○",'②-1職員名簿'!AI40="●"),IF($E40="正規職員","正",IF($E40="契約上の就業時間を記載","","実績を入力")),"-"))</f>
        <v/>
      </c>
      <c r="M40" s="10" t="str">
        <f>IF($B40="","",IF(OR('②-1職員名簿'!AJ40="○",'②-1職員名簿'!AJ40="●"),IF($E40="正規職員","正",IF($E40="契約上の就業時間を記載","","実績を入力")),"-"))</f>
        <v/>
      </c>
      <c r="N40" s="10" t="str">
        <f>IF($B40="","",IF(OR('②-1職員名簿'!AK40="○",'②-1職員名簿'!AK40="●"),IF($E40="正規職員","正",IF($E40="契約上の就業時間を記載","","実績を入力")),"-"))</f>
        <v/>
      </c>
      <c r="O40" s="10" t="str">
        <f>IF($B40="","",IF(OR('②-1職員名簿'!AL40="○",'②-1職員名簿'!AL40="●"),IF($E40="正規職員","正",IF($E40="契約上の就業時間を記載","","実績を入力")),"-"))</f>
        <v/>
      </c>
      <c r="P40" s="10" t="str">
        <f>IF($B40="","",IF(OR('②-1職員名簿'!AM40="○",'②-1職員名簿'!AM40="●"),IF($E40="正規職員","正",IF($E40="契約上の就業時間を記載","","実績を入力")),"-"))</f>
        <v/>
      </c>
      <c r="Q40" s="10" t="str">
        <f>IF($B40="","",IF(OR('②-1職員名簿'!AN40="○",'②-1職員名簿'!AN40="●"),IF($E40="正規職員","正",IF($E40="契約上の就業時間を記載","","実績を入力")),"-"))</f>
        <v/>
      </c>
      <c r="R40" s="104" t="str">
        <f>IF($B40="","",IF(OR('②-1職員名簿'!AC40="○",'②-1職員名簿'!AC40="●"),IF($E40="正規職員","正",IF($E40="契約上の就業時間を記載","",IF($E40&gt;=F$5,"常",F40))),"-"))</f>
        <v/>
      </c>
      <c r="S40" s="104" t="str">
        <f>IF($B40="","",IF(OR('②-1職員名簿'!AD40="○",'②-1職員名簿'!AD40="●"),IF($E40="正規職員","正",IF($E40="契約上の就業時間を記載","",IF($E40&gt;=G$5,"常",G40))),"-"))</f>
        <v/>
      </c>
      <c r="T40" s="104" t="str">
        <f>IF($B40="","",IF(OR('②-1職員名簿'!AE40="○",'②-1職員名簿'!AE40="●"),IF($E40="正規職員","正",IF($E40="契約上の就業時間を記載","",IF($E40&gt;=H$5,"常",H40))),"-"))</f>
        <v/>
      </c>
      <c r="U40" s="104" t="str">
        <f>IF($B40="","",IF(OR('②-1職員名簿'!AF40="○",'②-1職員名簿'!AF40="●"),IF($E40="正規職員","正",IF($E40="契約上の就業時間を記載","",IF($E40&gt;=I$5,"常",I40))),"-"))</f>
        <v/>
      </c>
      <c r="V40" s="104" t="str">
        <f>IF($B40="","",IF(OR('②-1職員名簿'!AG40="○",'②-1職員名簿'!AG40="●"),IF($E40="正規職員","正",IF($E40="契約上の就業時間を記載","",IF($E40&gt;=J$5,"常",J40))),"-"))</f>
        <v/>
      </c>
      <c r="W40" s="104" t="str">
        <f>IF($B40="","",IF(OR('②-1職員名簿'!AH40="○",'②-1職員名簿'!AH40="●"),IF($E40="正規職員","正",IF($E40="契約上の就業時間を記載","",IF($E40&gt;=K$5,"常",K40))),"-"))</f>
        <v/>
      </c>
      <c r="X40" s="104" t="str">
        <f>IF($B40="","",IF(OR('②-1職員名簿'!AI40="○",'②-1職員名簿'!AI40="●"),IF($E40="正規職員","正",IF($E40="契約上の就業時間を記載","",IF($E40&gt;=L$5,"常",L40))),"-"))</f>
        <v/>
      </c>
      <c r="Y40" s="104" t="str">
        <f>IF($B40="","",IF(OR('②-1職員名簿'!AJ40="○",'②-1職員名簿'!AJ40="●"),IF($E40="正規職員","正",IF($E40="契約上の就業時間を記載","",IF($E40&gt;=M$5,"常",M40))),"-"))</f>
        <v/>
      </c>
      <c r="Z40" s="104" t="str">
        <f>IF($B40="","",IF(OR('②-1職員名簿'!AK40="○",'②-1職員名簿'!AK40="●"),IF($E40="正規職員","正",IF($E40="契約上の就業時間を記載","",IF($E40&gt;=N$5,"常",N40))),"-"))</f>
        <v/>
      </c>
      <c r="AA40" s="104" t="str">
        <f>IF($B40="","",IF(OR('②-1職員名簿'!AL40="○",'②-1職員名簿'!AL40="●"),IF($E40="正規職員","正",IF($E40="契約上の就業時間を記載","",IF($E40&gt;=O$5,"常",O40))),"-"))</f>
        <v/>
      </c>
      <c r="AB40" s="104" t="str">
        <f>IF($B40="","",IF(OR('②-1職員名簿'!AM40="○",'②-1職員名簿'!AM40="●"),IF($E40="正規職員","正",IF($E40="契約上の就業時間を記載","",IF($E40&gt;=P$5,"常",P40))),"-"))</f>
        <v/>
      </c>
      <c r="AC40" s="104" t="str">
        <f>IF($B40="","",IF(OR('②-1職員名簿'!AN40="○",'②-1職員名簿'!AN40="●"),IF($E40="正規職員","正",IF($E40="契約上の就業時間を記載","",IF($E40&gt;=Q$5,"常",Q40))),"-"))</f>
        <v/>
      </c>
      <c r="AE40" s="101" t="str">
        <f>IF('②-1職員名簿'!W40="","",'②-1職員名簿'!W40)</f>
        <v/>
      </c>
      <c r="AJ40" s="106" t="str">
        <f t="shared" si="11"/>
        <v>○</v>
      </c>
      <c r="AK40" s="106" t="str">
        <f t="shared" si="23"/>
        <v>○</v>
      </c>
      <c r="AL40" s="106" t="str">
        <f t="shared" si="24"/>
        <v>○</v>
      </c>
      <c r="AM40" s="106" t="str">
        <f t="shared" si="25"/>
        <v>○</v>
      </c>
      <c r="AN40" s="106" t="str">
        <f t="shared" si="26"/>
        <v>○</v>
      </c>
      <c r="AO40" s="106" t="str">
        <f t="shared" si="27"/>
        <v>○</v>
      </c>
      <c r="AP40" s="106" t="str">
        <f t="shared" si="28"/>
        <v>○</v>
      </c>
      <c r="AQ40" s="106" t="str">
        <f t="shared" si="29"/>
        <v>○</v>
      </c>
      <c r="AR40" s="106" t="str">
        <f t="shared" si="30"/>
        <v>○</v>
      </c>
      <c r="AS40" s="106" t="str">
        <f t="shared" si="31"/>
        <v>○</v>
      </c>
      <c r="AT40" s="106" t="str">
        <f t="shared" si="32"/>
        <v>○</v>
      </c>
      <c r="AU40" s="106" t="str">
        <f t="shared" si="33"/>
        <v>○</v>
      </c>
    </row>
    <row r="41" spans="1:47" s="106" customFormat="1" ht="23.15" customHeight="1">
      <c r="A41" s="102">
        <v>35</v>
      </c>
      <c r="B41" s="101" t="str">
        <f>IF('②-1職員名簿'!E41="","",'②-1職員名簿'!Y41)</f>
        <v/>
      </c>
      <c r="C41" s="104" t="str">
        <f>'②-1職員名簿'!BE41</f>
        <v/>
      </c>
      <c r="D41" s="136" t="str">
        <f t="shared" si="9"/>
        <v/>
      </c>
      <c r="E41" s="20" t="str">
        <f>IF($B41="","",IF(AND('②-1職員名簿'!C41="正",'②-1職員名簿'!D41="常"),"正規職員","契約上の就業時間を記載"))</f>
        <v/>
      </c>
      <c r="F41" s="10" t="str">
        <f>IF($B41="","",IF(OR('②-1職員名簿'!AC41="○",'②-1職員名簿'!AC41="●"),IF($E41="正規職員","正",IF($E41="契約上の就業時間を記載","","実績を入力")),"-"))</f>
        <v/>
      </c>
      <c r="G41" s="10" t="str">
        <f>IF($B41="","",IF(OR('②-1職員名簿'!AD41="○",'②-1職員名簿'!AD41="●"),IF($E41="正規職員","正",IF($E41="契約上の就業時間を記載","","実績を入力")),"-"))</f>
        <v/>
      </c>
      <c r="H41" s="10" t="str">
        <f>IF($B41="","",IF(OR('②-1職員名簿'!AE41="○",'②-1職員名簿'!AE41="●"),IF($E41="正規職員","正",IF($E41="契約上の就業時間を記載","","実績を入力")),"-"))</f>
        <v/>
      </c>
      <c r="I41" s="10" t="str">
        <f>IF($B41="","",IF(OR('②-1職員名簿'!AF41="○",'②-1職員名簿'!AF41="●"),IF($E41="正規職員","正",IF($E41="契約上の就業時間を記載","","実績を入力")),"-"))</f>
        <v/>
      </c>
      <c r="J41" s="10" t="str">
        <f>IF($B41="","",IF(OR('②-1職員名簿'!AG41="○",'②-1職員名簿'!AG41="●"),IF($E41="正規職員","正",IF($E41="契約上の就業時間を記載","","実績を入力")),"-"))</f>
        <v/>
      </c>
      <c r="K41" s="10" t="str">
        <f>IF($B41="","",IF(OR('②-1職員名簿'!AH41="○",'②-1職員名簿'!AH41="●"),IF($E41="正規職員","正",IF($E41="契約上の就業時間を記載","","実績を入力")),"-"))</f>
        <v/>
      </c>
      <c r="L41" s="10" t="str">
        <f>IF($B41="","",IF(OR('②-1職員名簿'!AI41="○",'②-1職員名簿'!AI41="●"),IF($E41="正規職員","正",IF($E41="契約上の就業時間を記載","","実績を入力")),"-"))</f>
        <v/>
      </c>
      <c r="M41" s="10" t="str">
        <f>IF($B41="","",IF(OR('②-1職員名簿'!AJ41="○",'②-1職員名簿'!AJ41="●"),IF($E41="正規職員","正",IF($E41="契約上の就業時間を記載","","実績を入力")),"-"))</f>
        <v/>
      </c>
      <c r="N41" s="10" t="str">
        <f>IF($B41="","",IF(OR('②-1職員名簿'!AK41="○",'②-1職員名簿'!AK41="●"),IF($E41="正規職員","正",IF($E41="契約上の就業時間を記載","","実績を入力")),"-"))</f>
        <v/>
      </c>
      <c r="O41" s="10" t="str">
        <f>IF($B41="","",IF(OR('②-1職員名簿'!AL41="○",'②-1職員名簿'!AL41="●"),IF($E41="正規職員","正",IF($E41="契約上の就業時間を記載","","実績を入力")),"-"))</f>
        <v/>
      </c>
      <c r="P41" s="10" t="str">
        <f>IF($B41="","",IF(OR('②-1職員名簿'!AM41="○",'②-1職員名簿'!AM41="●"),IF($E41="正規職員","正",IF($E41="契約上の就業時間を記載","","実績を入力")),"-"))</f>
        <v/>
      </c>
      <c r="Q41" s="10" t="str">
        <f>IF($B41="","",IF(OR('②-1職員名簿'!AN41="○",'②-1職員名簿'!AN41="●"),IF($E41="正規職員","正",IF($E41="契約上の就業時間を記載","","実績を入力")),"-"))</f>
        <v/>
      </c>
      <c r="R41" s="104" t="str">
        <f>IF($B41="","",IF(OR('②-1職員名簿'!AC41="○",'②-1職員名簿'!AC41="●"),IF($E41="正規職員","正",IF($E41="契約上の就業時間を記載","",IF($E41&gt;=F$5,"常",F41))),"-"))</f>
        <v/>
      </c>
      <c r="S41" s="104" t="str">
        <f>IF($B41="","",IF(OR('②-1職員名簿'!AD41="○",'②-1職員名簿'!AD41="●"),IF($E41="正規職員","正",IF($E41="契約上の就業時間を記載","",IF($E41&gt;=G$5,"常",G41))),"-"))</f>
        <v/>
      </c>
      <c r="T41" s="104" t="str">
        <f>IF($B41="","",IF(OR('②-1職員名簿'!AE41="○",'②-1職員名簿'!AE41="●"),IF($E41="正規職員","正",IF($E41="契約上の就業時間を記載","",IF($E41&gt;=H$5,"常",H41))),"-"))</f>
        <v/>
      </c>
      <c r="U41" s="104" t="str">
        <f>IF($B41="","",IF(OR('②-1職員名簿'!AF41="○",'②-1職員名簿'!AF41="●"),IF($E41="正規職員","正",IF($E41="契約上の就業時間を記載","",IF($E41&gt;=I$5,"常",I41))),"-"))</f>
        <v/>
      </c>
      <c r="V41" s="104" t="str">
        <f>IF($B41="","",IF(OR('②-1職員名簿'!AG41="○",'②-1職員名簿'!AG41="●"),IF($E41="正規職員","正",IF($E41="契約上の就業時間を記載","",IF($E41&gt;=J$5,"常",J41))),"-"))</f>
        <v/>
      </c>
      <c r="W41" s="104" t="str">
        <f>IF($B41="","",IF(OR('②-1職員名簿'!AH41="○",'②-1職員名簿'!AH41="●"),IF($E41="正規職員","正",IF($E41="契約上の就業時間を記載","",IF($E41&gt;=K$5,"常",K41))),"-"))</f>
        <v/>
      </c>
      <c r="X41" s="104" t="str">
        <f>IF($B41="","",IF(OR('②-1職員名簿'!AI41="○",'②-1職員名簿'!AI41="●"),IF($E41="正規職員","正",IF($E41="契約上の就業時間を記載","",IF($E41&gt;=L$5,"常",L41))),"-"))</f>
        <v/>
      </c>
      <c r="Y41" s="104" t="str">
        <f>IF($B41="","",IF(OR('②-1職員名簿'!AJ41="○",'②-1職員名簿'!AJ41="●"),IF($E41="正規職員","正",IF($E41="契約上の就業時間を記載","",IF($E41&gt;=M$5,"常",M41))),"-"))</f>
        <v/>
      </c>
      <c r="Z41" s="104" t="str">
        <f>IF($B41="","",IF(OR('②-1職員名簿'!AK41="○",'②-1職員名簿'!AK41="●"),IF($E41="正規職員","正",IF($E41="契約上の就業時間を記載","",IF($E41&gt;=N$5,"常",N41))),"-"))</f>
        <v/>
      </c>
      <c r="AA41" s="104" t="str">
        <f>IF($B41="","",IF(OR('②-1職員名簿'!AL41="○",'②-1職員名簿'!AL41="●"),IF($E41="正規職員","正",IF($E41="契約上の就業時間を記載","",IF($E41&gt;=O$5,"常",O41))),"-"))</f>
        <v/>
      </c>
      <c r="AB41" s="104" t="str">
        <f>IF($B41="","",IF(OR('②-1職員名簿'!AM41="○",'②-1職員名簿'!AM41="●"),IF($E41="正規職員","正",IF($E41="契約上の就業時間を記載","",IF($E41&gt;=P$5,"常",P41))),"-"))</f>
        <v/>
      </c>
      <c r="AC41" s="104" t="str">
        <f>IF($B41="","",IF(OR('②-1職員名簿'!AN41="○",'②-1職員名簿'!AN41="●"),IF($E41="正規職員","正",IF($E41="契約上の就業時間を記載","",IF($E41&gt;=Q$5,"常",Q41))),"-"))</f>
        <v/>
      </c>
      <c r="AE41" s="101" t="str">
        <f>IF('②-1職員名簿'!W41="","",'②-1職員名簿'!W41)</f>
        <v/>
      </c>
      <c r="AJ41" s="106" t="str">
        <f t="shared" si="11"/>
        <v>○</v>
      </c>
      <c r="AK41" s="106" t="str">
        <f t="shared" si="23"/>
        <v>○</v>
      </c>
      <c r="AL41" s="106" t="str">
        <f t="shared" si="24"/>
        <v>○</v>
      </c>
      <c r="AM41" s="106" t="str">
        <f t="shared" si="25"/>
        <v>○</v>
      </c>
      <c r="AN41" s="106" t="str">
        <f t="shared" si="26"/>
        <v>○</v>
      </c>
      <c r="AO41" s="106" t="str">
        <f t="shared" si="27"/>
        <v>○</v>
      </c>
      <c r="AP41" s="106" t="str">
        <f t="shared" si="28"/>
        <v>○</v>
      </c>
      <c r="AQ41" s="106" t="str">
        <f t="shared" si="29"/>
        <v>○</v>
      </c>
      <c r="AR41" s="106" t="str">
        <f t="shared" si="30"/>
        <v>○</v>
      </c>
      <c r="AS41" s="106" t="str">
        <f t="shared" si="31"/>
        <v>○</v>
      </c>
      <c r="AT41" s="106" t="str">
        <f t="shared" si="32"/>
        <v>○</v>
      </c>
      <c r="AU41" s="106" t="str">
        <f t="shared" si="33"/>
        <v>○</v>
      </c>
    </row>
    <row r="42" spans="1:47" s="106" customFormat="1" ht="23.15" customHeight="1">
      <c r="A42" s="102">
        <v>36</v>
      </c>
      <c r="B42" s="101" t="str">
        <f>IF('②-1職員名簿'!E42="","",'②-1職員名簿'!Y42)</f>
        <v/>
      </c>
      <c r="C42" s="104" t="str">
        <f>'②-1職員名簿'!BE42</f>
        <v/>
      </c>
      <c r="D42" s="136" t="str">
        <f t="shared" si="9"/>
        <v/>
      </c>
      <c r="E42" s="20" t="str">
        <f>IF($B42="","",IF(AND('②-1職員名簿'!C42="正",'②-1職員名簿'!D42="常"),"正規職員","契約上の就業時間を記載"))</f>
        <v/>
      </c>
      <c r="F42" s="10" t="str">
        <f>IF($B42="","",IF(OR('②-1職員名簿'!AC42="○",'②-1職員名簿'!AC42="●"),IF($E42="正規職員","正",IF($E42="契約上の就業時間を記載","","実績を入力")),"-"))</f>
        <v/>
      </c>
      <c r="G42" s="10" t="str">
        <f>IF($B42="","",IF(OR('②-1職員名簿'!AD42="○",'②-1職員名簿'!AD42="●"),IF($E42="正規職員","正",IF($E42="契約上の就業時間を記載","","実績を入力")),"-"))</f>
        <v/>
      </c>
      <c r="H42" s="10" t="str">
        <f>IF($B42="","",IF(OR('②-1職員名簿'!AE42="○",'②-1職員名簿'!AE42="●"),IF($E42="正規職員","正",IF($E42="契約上の就業時間を記載","","実績を入力")),"-"))</f>
        <v/>
      </c>
      <c r="I42" s="10" t="str">
        <f>IF($B42="","",IF(OR('②-1職員名簿'!AF42="○",'②-1職員名簿'!AF42="●"),IF($E42="正規職員","正",IF($E42="契約上の就業時間を記載","","実績を入力")),"-"))</f>
        <v/>
      </c>
      <c r="J42" s="10" t="str">
        <f>IF($B42="","",IF(OR('②-1職員名簿'!AG42="○",'②-1職員名簿'!AG42="●"),IF($E42="正規職員","正",IF($E42="契約上の就業時間を記載","","実績を入力")),"-"))</f>
        <v/>
      </c>
      <c r="K42" s="10" t="str">
        <f>IF($B42="","",IF(OR('②-1職員名簿'!AH42="○",'②-1職員名簿'!AH42="●"),IF($E42="正規職員","正",IF($E42="契約上の就業時間を記載","","実績を入力")),"-"))</f>
        <v/>
      </c>
      <c r="L42" s="10" t="str">
        <f>IF($B42="","",IF(OR('②-1職員名簿'!AI42="○",'②-1職員名簿'!AI42="●"),IF($E42="正規職員","正",IF($E42="契約上の就業時間を記載","","実績を入力")),"-"))</f>
        <v/>
      </c>
      <c r="M42" s="10" t="str">
        <f>IF($B42="","",IF(OR('②-1職員名簿'!AJ42="○",'②-1職員名簿'!AJ42="●"),IF($E42="正規職員","正",IF($E42="契約上の就業時間を記載","","実績を入力")),"-"))</f>
        <v/>
      </c>
      <c r="N42" s="10" t="str">
        <f>IF($B42="","",IF(OR('②-1職員名簿'!AK42="○",'②-1職員名簿'!AK42="●"),IF($E42="正規職員","正",IF($E42="契約上の就業時間を記載","","実績を入力")),"-"))</f>
        <v/>
      </c>
      <c r="O42" s="10" t="str">
        <f>IF($B42="","",IF(OR('②-1職員名簿'!AL42="○",'②-1職員名簿'!AL42="●"),IF($E42="正規職員","正",IF($E42="契約上の就業時間を記載","","実績を入力")),"-"))</f>
        <v/>
      </c>
      <c r="P42" s="10" t="str">
        <f>IF($B42="","",IF(OR('②-1職員名簿'!AM42="○",'②-1職員名簿'!AM42="●"),IF($E42="正規職員","正",IF($E42="契約上の就業時間を記載","","実績を入力")),"-"))</f>
        <v/>
      </c>
      <c r="Q42" s="10" t="str">
        <f>IF($B42="","",IF(OR('②-1職員名簿'!AN42="○",'②-1職員名簿'!AN42="●"),IF($E42="正規職員","正",IF($E42="契約上の就業時間を記載","","実績を入力")),"-"))</f>
        <v/>
      </c>
      <c r="R42" s="104" t="str">
        <f>IF($B42="","",IF(OR('②-1職員名簿'!AC42="○",'②-1職員名簿'!AC42="●"),IF($E42="正規職員","正",IF($E42="契約上の就業時間を記載","",IF($E42&gt;=F$5,"常",F42))),"-"))</f>
        <v/>
      </c>
      <c r="S42" s="104" t="str">
        <f>IF($B42="","",IF(OR('②-1職員名簿'!AD42="○",'②-1職員名簿'!AD42="●"),IF($E42="正規職員","正",IF($E42="契約上の就業時間を記載","",IF($E42&gt;=G$5,"常",G42))),"-"))</f>
        <v/>
      </c>
      <c r="T42" s="104" t="str">
        <f>IF($B42="","",IF(OR('②-1職員名簿'!AE42="○",'②-1職員名簿'!AE42="●"),IF($E42="正規職員","正",IF($E42="契約上の就業時間を記載","",IF($E42&gt;=H$5,"常",H42))),"-"))</f>
        <v/>
      </c>
      <c r="U42" s="104" t="str">
        <f>IF($B42="","",IF(OR('②-1職員名簿'!AF42="○",'②-1職員名簿'!AF42="●"),IF($E42="正規職員","正",IF($E42="契約上の就業時間を記載","",IF($E42&gt;=I$5,"常",I42))),"-"))</f>
        <v/>
      </c>
      <c r="V42" s="104" t="str">
        <f>IF($B42="","",IF(OR('②-1職員名簿'!AG42="○",'②-1職員名簿'!AG42="●"),IF($E42="正規職員","正",IF($E42="契約上の就業時間を記載","",IF($E42&gt;=J$5,"常",J42))),"-"))</f>
        <v/>
      </c>
      <c r="W42" s="104" t="str">
        <f>IF($B42="","",IF(OR('②-1職員名簿'!AH42="○",'②-1職員名簿'!AH42="●"),IF($E42="正規職員","正",IF($E42="契約上の就業時間を記載","",IF($E42&gt;=K$5,"常",K42))),"-"))</f>
        <v/>
      </c>
      <c r="X42" s="104" t="str">
        <f>IF($B42="","",IF(OR('②-1職員名簿'!AI42="○",'②-1職員名簿'!AI42="●"),IF($E42="正規職員","正",IF($E42="契約上の就業時間を記載","",IF($E42&gt;=L$5,"常",L42))),"-"))</f>
        <v/>
      </c>
      <c r="Y42" s="104" t="str">
        <f>IF($B42="","",IF(OR('②-1職員名簿'!AJ42="○",'②-1職員名簿'!AJ42="●"),IF($E42="正規職員","正",IF($E42="契約上の就業時間を記載","",IF($E42&gt;=M$5,"常",M42))),"-"))</f>
        <v/>
      </c>
      <c r="Z42" s="104" t="str">
        <f>IF($B42="","",IF(OR('②-1職員名簿'!AK42="○",'②-1職員名簿'!AK42="●"),IF($E42="正規職員","正",IF($E42="契約上の就業時間を記載","",IF($E42&gt;=N$5,"常",N42))),"-"))</f>
        <v/>
      </c>
      <c r="AA42" s="104" t="str">
        <f>IF($B42="","",IF(OR('②-1職員名簿'!AL42="○",'②-1職員名簿'!AL42="●"),IF($E42="正規職員","正",IF($E42="契約上の就業時間を記載","",IF($E42&gt;=O$5,"常",O42))),"-"))</f>
        <v/>
      </c>
      <c r="AB42" s="104" t="str">
        <f>IF($B42="","",IF(OR('②-1職員名簿'!AM42="○",'②-1職員名簿'!AM42="●"),IF($E42="正規職員","正",IF($E42="契約上の就業時間を記載","",IF($E42&gt;=P$5,"常",P42))),"-"))</f>
        <v/>
      </c>
      <c r="AC42" s="104" t="str">
        <f>IF($B42="","",IF(OR('②-1職員名簿'!AN42="○",'②-1職員名簿'!AN42="●"),IF($E42="正規職員","正",IF($E42="契約上の就業時間を記載","",IF($E42&gt;=Q$5,"常",Q42))),"-"))</f>
        <v/>
      </c>
      <c r="AE42" s="101" t="str">
        <f>IF('②-1職員名簿'!W42="","",'②-1職員名簿'!W42)</f>
        <v/>
      </c>
      <c r="AJ42" s="106" t="str">
        <f t="shared" si="11"/>
        <v>○</v>
      </c>
      <c r="AK42" s="106" t="str">
        <f t="shared" si="23"/>
        <v>○</v>
      </c>
      <c r="AL42" s="106" t="str">
        <f t="shared" si="24"/>
        <v>○</v>
      </c>
      <c r="AM42" s="106" t="str">
        <f t="shared" si="25"/>
        <v>○</v>
      </c>
      <c r="AN42" s="106" t="str">
        <f t="shared" si="26"/>
        <v>○</v>
      </c>
      <c r="AO42" s="106" t="str">
        <f t="shared" si="27"/>
        <v>○</v>
      </c>
      <c r="AP42" s="106" t="str">
        <f t="shared" si="28"/>
        <v>○</v>
      </c>
      <c r="AQ42" s="106" t="str">
        <f t="shared" si="29"/>
        <v>○</v>
      </c>
      <c r="AR42" s="106" t="str">
        <f t="shared" si="30"/>
        <v>○</v>
      </c>
      <c r="AS42" s="106" t="str">
        <f t="shared" si="31"/>
        <v>○</v>
      </c>
      <c r="AT42" s="106" t="str">
        <f t="shared" si="32"/>
        <v>○</v>
      </c>
      <c r="AU42" s="106" t="str">
        <f t="shared" si="33"/>
        <v>○</v>
      </c>
    </row>
    <row r="43" spans="1:47" s="106" customFormat="1" ht="23.15" customHeight="1">
      <c r="A43" s="102">
        <v>37</v>
      </c>
      <c r="B43" s="101" t="str">
        <f>IF('②-1職員名簿'!E43="","",'②-1職員名簿'!Y43)</f>
        <v/>
      </c>
      <c r="C43" s="104" t="str">
        <f>'②-1職員名簿'!BE43</f>
        <v/>
      </c>
      <c r="D43" s="136" t="str">
        <f t="shared" si="9"/>
        <v/>
      </c>
      <c r="E43" s="20" t="str">
        <f>IF($B43="","",IF(AND('②-1職員名簿'!C43="正",'②-1職員名簿'!D43="常"),"正規職員","契約上の就業時間を記載"))</f>
        <v/>
      </c>
      <c r="F43" s="10" t="str">
        <f>IF($B43="","",IF(OR('②-1職員名簿'!AC43="○",'②-1職員名簿'!AC43="●"),IF($E43="正規職員","正",IF($E43="契約上の就業時間を記載","","実績を入力")),"-"))</f>
        <v/>
      </c>
      <c r="G43" s="10" t="str">
        <f>IF($B43="","",IF(OR('②-1職員名簿'!AD43="○",'②-1職員名簿'!AD43="●"),IF($E43="正規職員","正",IF($E43="契約上の就業時間を記載","","実績を入力")),"-"))</f>
        <v/>
      </c>
      <c r="H43" s="10" t="str">
        <f>IF($B43="","",IF(OR('②-1職員名簿'!AE43="○",'②-1職員名簿'!AE43="●"),IF($E43="正規職員","正",IF($E43="契約上の就業時間を記載","","実績を入力")),"-"))</f>
        <v/>
      </c>
      <c r="I43" s="10" t="str">
        <f>IF($B43="","",IF(OR('②-1職員名簿'!AF43="○",'②-1職員名簿'!AF43="●"),IF($E43="正規職員","正",IF($E43="契約上の就業時間を記載","","実績を入力")),"-"))</f>
        <v/>
      </c>
      <c r="J43" s="10" t="str">
        <f>IF($B43="","",IF(OR('②-1職員名簿'!AG43="○",'②-1職員名簿'!AG43="●"),IF($E43="正規職員","正",IF($E43="契約上の就業時間を記載","","実績を入力")),"-"))</f>
        <v/>
      </c>
      <c r="K43" s="10" t="str">
        <f>IF($B43="","",IF(OR('②-1職員名簿'!AH43="○",'②-1職員名簿'!AH43="●"),IF($E43="正規職員","正",IF($E43="契約上の就業時間を記載","","実績を入力")),"-"))</f>
        <v/>
      </c>
      <c r="L43" s="10" t="str">
        <f>IF($B43="","",IF(OR('②-1職員名簿'!AI43="○",'②-1職員名簿'!AI43="●"),IF($E43="正規職員","正",IF($E43="契約上の就業時間を記載","","実績を入力")),"-"))</f>
        <v/>
      </c>
      <c r="M43" s="10" t="str">
        <f>IF($B43="","",IF(OR('②-1職員名簿'!AJ43="○",'②-1職員名簿'!AJ43="●"),IF($E43="正規職員","正",IF($E43="契約上の就業時間を記載","","実績を入力")),"-"))</f>
        <v/>
      </c>
      <c r="N43" s="10" t="str">
        <f>IF($B43="","",IF(OR('②-1職員名簿'!AK43="○",'②-1職員名簿'!AK43="●"),IF($E43="正規職員","正",IF($E43="契約上の就業時間を記載","","実績を入力")),"-"))</f>
        <v/>
      </c>
      <c r="O43" s="10" t="str">
        <f>IF($B43="","",IF(OR('②-1職員名簿'!AL43="○",'②-1職員名簿'!AL43="●"),IF($E43="正規職員","正",IF($E43="契約上の就業時間を記載","","実績を入力")),"-"))</f>
        <v/>
      </c>
      <c r="P43" s="10" t="str">
        <f>IF($B43="","",IF(OR('②-1職員名簿'!AM43="○",'②-1職員名簿'!AM43="●"),IF($E43="正規職員","正",IF($E43="契約上の就業時間を記載","","実績を入力")),"-"))</f>
        <v/>
      </c>
      <c r="Q43" s="10" t="str">
        <f>IF($B43="","",IF(OR('②-1職員名簿'!AN43="○",'②-1職員名簿'!AN43="●"),IF($E43="正規職員","正",IF($E43="契約上の就業時間を記載","","実績を入力")),"-"))</f>
        <v/>
      </c>
      <c r="R43" s="104" t="str">
        <f>IF($B43="","",IF(OR('②-1職員名簿'!AC43="○",'②-1職員名簿'!AC43="●"),IF($E43="正規職員","正",IF($E43="契約上の就業時間を記載","",IF($E43&gt;=F$5,"常",F43))),"-"))</f>
        <v/>
      </c>
      <c r="S43" s="104" t="str">
        <f>IF($B43="","",IF(OR('②-1職員名簿'!AD43="○",'②-1職員名簿'!AD43="●"),IF($E43="正規職員","正",IF($E43="契約上の就業時間を記載","",IF($E43&gt;=G$5,"常",G43))),"-"))</f>
        <v/>
      </c>
      <c r="T43" s="104" t="str">
        <f>IF($B43="","",IF(OR('②-1職員名簿'!AE43="○",'②-1職員名簿'!AE43="●"),IF($E43="正規職員","正",IF($E43="契約上の就業時間を記載","",IF($E43&gt;=H$5,"常",H43))),"-"))</f>
        <v/>
      </c>
      <c r="U43" s="104" t="str">
        <f>IF($B43="","",IF(OR('②-1職員名簿'!AF43="○",'②-1職員名簿'!AF43="●"),IF($E43="正規職員","正",IF($E43="契約上の就業時間を記載","",IF($E43&gt;=I$5,"常",I43))),"-"))</f>
        <v/>
      </c>
      <c r="V43" s="104" t="str">
        <f>IF($B43="","",IF(OR('②-1職員名簿'!AG43="○",'②-1職員名簿'!AG43="●"),IF($E43="正規職員","正",IF($E43="契約上の就業時間を記載","",IF($E43&gt;=J$5,"常",J43))),"-"))</f>
        <v/>
      </c>
      <c r="W43" s="104" t="str">
        <f>IF($B43="","",IF(OR('②-1職員名簿'!AH43="○",'②-1職員名簿'!AH43="●"),IF($E43="正規職員","正",IF($E43="契約上の就業時間を記載","",IF($E43&gt;=K$5,"常",K43))),"-"))</f>
        <v/>
      </c>
      <c r="X43" s="104" t="str">
        <f>IF($B43="","",IF(OR('②-1職員名簿'!AI43="○",'②-1職員名簿'!AI43="●"),IF($E43="正規職員","正",IF($E43="契約上の就業時間を記載","",IF($E43&gt;=L$5,"常",L43))),"-"))</f>
        <v/>
      </c>
      <c r="Y43" s="104" t="str">
        <f>IF($B43="","",IF(OR('②-1職員名簿'!AJ43="○",'②-1職員名簿'!AJ43="●"),IF($E43="正規職員","正",IF($E43="契約上の就業時間を記載","",IF($E43&gt;=M$5,"常",M43))),"-"))</f>
        <v/>
      </c>
      <c r="Z43" s="104" t="str">
        <f>IF($B43="","",IF(OR('②-1職員名簿'!AK43="○",'②-1職員名簿'!AK43="●"),IF($E43="正規職員","正",IF($E43="契約上の就業時間を記載","",IF($E43&gt;=N$5,"常",N43))),"-"))</f>
        <v/>
      </c>
      <c r="AA43" s="104" t="str">
        <f>IF($B43="","",IF(OR('②-1職員名簿'!AL43="○",'②-1職員名簿'!AL43="●"),IF($E43="正規職員","正",IF($E43="契約上の就業時間を記載","",IF($E43&gt;=O$5,"常",O43))),"-"))</f>
        <v/>
      </c>
      <c r="AB43" s="104" t="str">
        <f>IF($B43="","",IF(OR('②-1職員名簿'!AM43="○",'②-1職員名簿'!AM43="●"),IF($E43="正規職員","正",IF($E43="契約上の就業時間を記載","",IF($E43&gt;=P$5,"常",P43))),"-"))</f>
        <v/>
      </c>
      <c r="AC43" s="104" t="str">
        <f>IF($B43="","",IF(OR('②-1職員名簿'!AN43="○",'②-1職員名簿'!AN43="●"),IF($E43="正規職員","正",IF($E43="契約上の就業時間を記載","",IF($E43&gt;=Q$5,"常",Q43))),"-"))</f>
        <v/>
      </c>
      <c r="AE43" s="101" t="str">
        <f>IF('②-1職員名簿'!W43="","",'②-1職員名簿'!W43)</f>
        <v/>
      </c>
      <c r="AJ43" s="106" t="str">
        <f t="shared" si="11"/>
        <v>○</v>
      </c>
      <c r="AK43" s="106" t="str">
        <f t="shared" si="23"/>
        <v>○</v>
      </c>
      <c r="AL43" s="106" t="str">
        <f t="shared" si="24"/>
        <v>○</v>
      </c>
      <c r="AM43" s="106" t="str">
        <f t="shared" si="25"/>
        <v>○</v>
      </c>
      <c r="AN43" s="106" t="str">
        <f t="shared" si="26"/>
        <v>○</v>
      </c>
      <c r="AO43" s="106" t="str">
        <f t="shared" si="27"/>
        <v>○</v>
      </c>
      <c r="AP43" s="106" t="str">
        <f t="shared" si="28"/>
        <v>○</v>
      </c>
      <c r="AQ43" s="106" t="str">
        <f t="shared" si="29"/>
        <v>○</v>
      </c>
      <c r="AR43" s="106" t="str">
        <f t="shared" si="30"/>
        <v>○</v>
      </c>
      <c r="AS43" s="106" t="str">
        <f t="shared" si="31"/>
        <v>○</v>
      </c>
      <c r="AT43" s="106" t="str">
        <f t="shared" si="32"/>
        <v>○</v>
      </c>
      <c r="AU43" s="106" t="str">
        <f t="shared" si="33"/>
        <v>○</v>
      </c>
    </row>
    <row r="44" spans="1:47" s="106" customFormat="1" ht="23.15" customHeight="1">
      <c r="A44" s="102">
        <v>38</v>
      </c>
      <c r="B44" s="101" t="str">
        <f>IF('②-1職員名簿'!E44="","",'②-1職員名簿'!Y44)</f>
        <v/>
      </c>
      <c r="C44" s="104" t="str">
        <f>'②-1職員名簿'!BE44</f>
        <v/>
      </c>
      <c r="D44" s="136" t="str">
        <f t="shared" si="9"/>
        <v/>
      </c>
      <c r="E44" s="20" t="str">
        <f>IF($B44="","",IF(AND('②-1職員名簿'!C44="正",'②-1職員名簿'!D44="常"),"正規職員","契約上の就業時間を記載"))</f>
        <v/>
      </c>
      <c r="F44" s="10" t="str">
        <f>IF($B44="","",IF(OR('②-1職員名簿'!AC44="○",'②-1職員名簿'!AC44="●"),IF($E44="正規職員","正",IF($E44="契約上の就業時間を記載","","実績を入力")),"-"))</f>
        <v/>
      </c>
      <c r="G44" s="10" t="str">
        <f>IF($B44="","",IF(OR('②-1職員名簿'!AD44="○",'②-1職員名簿'!AD44="●"),IF($E44="正規職員","正",IF($E44="契約上の就業時間を記載","","実績を入力")),"-"))</f>
        <v/>
      </c>
      <c r="H44" s="10" t="str">
        <f>IF($B44="","",IF(OR('②-1職員名簿'!AE44="○",'②-1職員名簿'!AE44="●"),IF($E44="正規職員","正",IF($E44="契約上の就業時間を記載","","実績を入力")),"-"))</f>
        <v/>
      </c>
      <c r="I44" s="10" t="str">
        <f>IF($B44="","",IF(OR('②-1職員名簿'!AF44="○",'②-1職員名簿'!AF44="●"),IF($E44="正規職員","正",IF($E44="契約上の就業時間を記載","","実績を入力")),"-"))</f>
        <v/>
      </c>
      <c r="J44" s="10" t="str">
        <f>IF($B44="","",IF(OR('②-1職員名簿'!AG44="○",'②-1職員名簿'!AG44="●"),IF($E44="正規職員","正",IF($E44="契約上の就業時間を記載","","実績を入力")),"-"))</f>
        <v/>
      </c>
      <c r="K44" s="10" t="str">
        <f>IF($B44="","",IF(OR('②-1職員名簿'!AH44="○",'②-1職員名簿'!AH44="●"),IF($E44="正規職員","正",IF($E44="契約上の就業時間を記載","","実績を入力")),"-"))</f>
        <v/>
      </c>
      <c r="L44" s="10" t="str">
        <f>IF($B44="","",IF(OR('②-1職員名簿'!AI44="○",'②-1職員名簿'!AI44="●"),IF($E44="正規職員","正",IF($E44="契約上の就業時間を記載","","実績を入力")),"-"))</f>
        <v/>
      </c>
      <c r="M44" s="10" t="str">
        <f>IF($B44="","",IF(OR('②-1職員名簿'!AJ44="○",'②-1職員名簿'!AJ44="●"),IF($E44="正規職員","正",IF($E44="契約上の就業時間を記載","","実績を入力")),"-"))</f>
        <v/>
      </c>
      <c r="N44" s="10" t="str">
        <f>IF($B44="","",IF(OR('②-1職員名簿'!AK44="○",'②-1職員名簿'!AK44="●"),IF($E44="正規職員","正",IF($E44="契約上の就業時間を記載","","実績を入力")),"-"))</f>
        <v/>
      </c>
      <c r="O44" s="10" t="str">
        <f>IF($B44="","",IF(OR('②-1職員名簿'!AL44="○",'②-1職員名簿'!AL44="●"),IF($E44="正規職員","正",IF($E44="契約上の就業時間を記載","","実績を入力")),"-"))</f>
        <v/>
      </c>
      <c r="P44" s="10" t="str">
        <f>IF($B44="","",IF(OR('②-1職員名簿'!AM44="○",'②-1職員名簿'!AM44="●"),IF($E44="正規職員","正",IF($E44="契約上の就業時間を記載","","実績を入力")),"-"))</f>
        <v/>
      </c>
      <c r="Q44" s="10" t="str">
        <f>IF($B44="","",IF(OR('②-1職員名簿'!AN44="○",'②-1職員名簿'!AN44="●"),IF($E44="正規職員","正",IF($E44="契約上の就業時間を記載","","実績を入力")),"-"))</f>
        <v/>
      </c>
      <c r="R44" s="104" t="str">
        <f>IF($B44="","",IF(OR('②-1職員名簿'!AC44="○",'②-1職員名簿'!AC44="●"),IF($E44="正規職員","正",IF($E44="契約上の就業時間を記載","",IF($E44&gt;=F$5,"常",F44))),"-"))</f>
        <v/>
      </c>
      <c r="S44" s="104" t="str">
        <f>IF($B44="","",IF(OR('②-1職員名簿'!AD44="○",'②-1職員名簿'!AD44="●"),IF($E44="正規職員","正",IF($E44="契約上の就業時間を記載","",IF($E44&gt;=G$5,"常",G44))),"-"))</f>
        <v/>
      </c>
      <c r="T44" s="104" t="str">
        <f>IF($B44="","",IF(OR('②-1職員名簿'!AE44="○",'②-1職員名簿'!AE44="●"),IF($E44="正規職員","正",IF($E44="契約上の就業時間を記載","",IF($E44&gt;=H$5,"常",H44))),"-"))</f>
        <v/>
      </c>
      <c r="U44" s="104" t="str">
        <f>IF($B44="","",IF(OR('②-1職員名簿'!AF44="○",'②-1職員名簿'!AF44="●"),IF($E44="正規職員","正",IF($E44="契約上の就業時間を記載","",IF($E44&gt;=I$5,"常",I44))),"-"))</f>
        <v/>
      </c>
      <c r="V44" s="104" t="str">
        <f>IF($B44="","",IF(OR('②-1職員名簿'!AG44="○",'②-1職員名簿'!AG44="●"),IF($E44="正規職員","正",IF($E44="契約上の就業時間を記載","",IF($E44&gt;=J$5,"常",J44))),"-"))</f>
        <v/>
      </c>
      <c r="W44" s="104" t="str">
        <f>IF($B44="","",IF(OR('②-1職員名簿'!AH44="○",'②-1職員名簿'!AH44="●"),IF($E44="正規職員","正",IF($E44="契約上の就業時間を記載","",IF($E44&gt;=K$5,"常",K44))),"-"))</f>
        <v/>
      </c>
      <c r="X44" s="104" t="str">
        <f>IF($B44="","",IF(OR('②-1職員名簿'!AI44="○",'②-1職員名簿'!AI44="●"),IF($E44="正規職員","正",IF($E44="契約上の就業時間を記載","",IF($E44&gt;=L$5,"常",L44))),"-"))</f>
        <v/>
      </c>
      <c r="Y44" s="104" t="str">
        <f>IF($B44="","",IF(OR('②-1職員名簿'!AJ44="○",'②-1職員名簿'!AJ44="●"),IF($E44="正規職員","正",IF($E44="契約上の就業時間を記載","",IF($E44&gt;=M$5,"常",M44))),"-"))</f>
        <v/>
      </c>
      <c r="Z44" s="104" t="str">
        <f>IF($B44="","",IF(OR('②-1職員名簿'!AK44="○",'②-1職員名簿'!AK44="●"),IF($E44="正規職員","正",IF($E44="契約上の就業時間を記載","",IF($E44&gt;=N$5,"常",N44))),"-"))</f>
        <v/>
      </c>
      <c r="AA44" s="104" t="str">
        <f>IF($B44="","",IF(OR('②-1職員名簿'!AL44="○",'②-1職員名簿'!AL44="●"),IF($E44="正規職員","正",IF($E44="契約上の就業時間を記載","",IF($E44&gt;=O$5,"常",O44))),"-"))</f>
        <v/>
      </c>
      <c r="AB44" s="104" t="str">
        <f>IF($B44="","",IF(OR('②-1職員名簿'!AM44="○",'②-1職員名簿'!AM44="●"),IF($E44="正規職員","正",IF($E44="契約上の就業時間を記載","",IF($E44&gt;=P$5,"常",P44))),"-"))</f>
        <v/>
      </c>
      <c r="AC44" s="104" t="str">
        <f>IF($B44="","",IF(OR('②-1職員名簿'!AN44="○",'②-1職員名簿'!AN44="●"),IF($E44="正規職員","正",IF($E44="契約上の就業時間を記載","",IF($E44&gt;=Q$5,"常",Q44))),"-"))</f>
        <v/>
      </c>
      <c r="AE44" s="101" t="str">
        <f>IF('②-1職員名簿'!W44="","",'②-1職員名簿'!W44)</f>
        <v/>
      </c>
      <c r="AJ44" s="106" t="str">
        <f t="shared" si="11"/>
        <v>○</v>
      </c>
      <c r="AK44" s="106" t="str">
        <f t="shared" si="23"/>
        <v>○</v>
      </c>
      <c r="AL44" s="106" t="str">
        <f t="shared" si="24"/>
        <v>○</v>
      </c>
      <c r="AM44" s="106" t="str">
        <f t="shared" si="25"/>
        <v>○</v>
      </c>
      <c r="AN44" s="106" t="str">
        <f t="shared" si="26"/>
        <v>○</v>
      </c>
      <c r="AO44" s="106" t="str">
        <f t="shared" si="27"/>
        <v>○</v>
      </c>
      <c r="AP44" s="106" t="str">
        <f t="shared" si="28"/>
        <v>○</v>
      </c>
      <c r="AQ44" s="106" t="str">
        <f t="shared" si="29"/>
        <v>○</v>
      </c>
      <c r="AR44" s="106" t="str">
        <f t="shared" si="30"/>
        <v>○</v>
      </c>
      <c r="AS44" s="106" t="str">
        <f t="shared" si="31"/>
        <v>○</v>
      </c>
      <c r="AT44" s="106" t="str">
        <f t="shared" si="32"/>
        <v>○</v>
      </c>
      <c r="AU44" s="106" t="str">
        <f t="shared" si="33"/>
        <v>○</v>
      </c>
    </row>
    <row r="45" spans="1:47" s="106" customFormat="1" ht="23.15" customHeight="1">
      <c r="A45" s="102">
        <v>39</v>
      </c>
      <c r="B45" s="101" t="str">
        <f>IF('②-1職員名簿'!E45="","",'②-1職員名簿'!Y45)</f>
        <v/>
      </c>
      <c r="C45" s="104" t="str">
        <f>'②-1職員名簿'!BE45</f>
        <v/>
      </c>
      <c r="D45" s="136" t="str">
        <f t="shared" si="9"/>
        <v/>
      </c>
      <c r="E45" s="20" t="str">
        <f>IF($B45="","",IF(AND('②-1職員名簿'!C45="正",'②-1職員名簿'!D45="常"),"正規職員","契約上の就業時間を記載"))</f>
        <v/>
      </c>
      <c r="F45" s="10" t="str">
        <f>IF($B45="","",IF(OR('②-1職員名簿'!AC45="○",'②-1職員名簿'!AC45="●"),IF($E45="正規職員","正",IF($E45="契約上の就業時間を記載","","実績を入力")),"-"))</f>
        <v/>
      </c>
      <c r="G45" s="10" t="str">
        <f>IF($B45="","",IF(OR('②-1職員名簿'!AD45="○",'②-1職員名簿'!AD45="●"),IF($E45="正規職員","正",IF($E45="契約上の就業時間を記載","","実績を入力")),"-"))</f>
        <v/>
      </c>
      <c r="H45" s="10" t="str">
        <f>IF($B45="","",IF(OR('②-1職員名簿'!AE45="○",'②-1職員名簿'!AE45="●"),IF($E45="正規職員","正",IF($E45="契約上の就業時間を記載","","実績を入力")),"-"))</f>
        <v/>
      </c>
      <c r="I45" s="10" t="str">
        <f>IF($B45="","",IF(OR('②-1職員名簿'!AF45="○",'②-1職員名簿'!AF45="●"),IF($E45="正規職員","正",IF($E45="契約上の就業時間を記載","","実績を入力")),"-"))</f>
        <v/>
      </c>
      <c r="J45" s="10" t="str">
        <f>IF($B45="","",IF(OR('②-1職員名簿'!AG45="○",'②-1職員名簿'!AG45="●"),IF($E45="正規職員","正",IF($E45="契約上の就業時間を記載","","実績を入力")),"-"))</f>
        <v/>
      </c>
      <c r="K45" s="10" t="str">
        <f>IF($B45="","",IF(OR('②-1職員名簿'!AH45="○",'②-1職員名簿'!AH45="●"),IF($E45="正規職員","正",IF($E45="契約上の就業時間を記載","","実績を入力")),"-"))</f>
        <v/>
      </c>
      <c r="L45" s="10" t="str">
        <f>IF($B45="","",IF(OR('②-1職員名簿'!AI45="○",'②-1職員名簿'!AI45="●"),IF($E45="正規職員","正",IF($E45="契約上の就業時間を記載","","実績を入力")),"-"))</f>
        <v/>
      </c>
      <c r="M45" s="10" t="str">
        <f>IF($B45="","",IF(OR('②-1職員名簿'!AJ45="○",'②-1職員名簿'!AJ45="●"),IF($E45="正規職員","正",IF($E45="契約上の就業時間を記載","","実績を入力")),"-"))</f>
        <v/>
      </c>
      <c r="N45" s="10" t="str">
        <f>IF($B45="","",IF(OR('②-1職員名簿'!AK45="○",'②-1職員名簿'!AK45="●"),IF($E45="正規職員","正",IF($E45="契約上の就業時間を記載","","実績を入力")),"-"))</f>
        <v/>
      </c>
      <c r="O45" s="10" t="str">
        <f>IF($B45="","",IF(OR('②-1職員名簿'!AL45="○",'②-1職員名簿'!AL45="●"),IF($E45="正規職員","正",IF($E45="契約上の就業時間を記載","","実績を入力")),"-"))</f>
        <v/>
      </c>
      <c r="P45" s="10" t="str">
        <f>IF($B45="","",IF(OR('②-1職員名簿'!AM45="○",'②-1職員名簿'!AM45="●"),IF($E45="正規職員","正",IF($E45="契約上の就業時間を記載","","実績を入力")),"-"))</f>
        <v/>
      </c>
      <c r="Q45" s="10" t="str">
        <f>IF($B45="","",IF(OR('②-1職員名簿'!AN45="○",'②-1職員名簿'!AN45="●"),IF($E45="正規職員","正",IF($E45="契約上の就業時間を記載","","実績を入力")),"-"))</f>
        <v/>
      </c>
      <c r="R45" s="104" t="str">
        <f>IF($B45="","",IF(OR('②-1職員名簿'!AC45="○",'②-1職員名簿'!AC45="●"),IF($E45="正規職員","正",IF($E45="契約上の就業時間を記載","",IF($E45&gt;=F$5,"常",F45))),"-"))</f>
        <v/>
      </c>
      <c r="S45" s="104" t="str">
        <f>IF($B45="","",IF(OR('②-1職員名簿'!AD45="○",'②-1職員名簿'!AD45="●"),IF($E45="正規職員","正",IF($E45="契約上の就業時間を記載","",IF($E45&gt;=G$5,"常",G45))),"-"))</f>
        <v/>
      </c>
      <c r="T45" s="104" t="str">
        <f>IF($B45="","",IF(OR('②-1職員名簿'!AE45="○",'②-1職員名簿'!AE45="●"),IF($E45="正規職員","正",IF($E45="契約上の就業時間を記載","",IF($E45&gt;=H$5,"常",H45))),"-"))</f>
        <v/>
      </c>
      <c r="U45" s="104" t="str">
        <f>IF($B45="","",IF(OR('②-1職員名簿'!AF45="○",'②-1職員名簿'!AF45="●"),IF($E45="正規職員","正",IF($E45="契約上の就業時間を記載","",IF($E45&gt;=I$5,"常",I45))),"-"))</f>
        <v/>
      </c>
      <c r="V45" s="104" t="str">
        <f>IF($B45="","",IF(OR('②-1職員名簿'!AG45="○",'②-1職員名簿'!AG45="●"),IF($E45="正規職員","正",IF($E45="契約上の就業時間を記載","",IF($E45&gt;=J$5,"常",J45))),"-"))</f>
        <v/>
      </c>
      <c r="W45" s="104" t="str">
        <f>IF($B45="","",IF(OR('②-1職員名簿'!AH45="○",'②-1職員名簿'!AH45="●"),IF($E45="正規職員","正",IF($E45="契約上の就業時間を記載","",IF($E45&gt;=K$5,"常",K45))),"-"))</f>
        <v/>
      </c>
      <c r="X45" s="104" t="str">
        <f>IF($B45="","",IF(OR('②-1職員名簿'!AI45="○",'②-1職員名簿'!AI45="●"),IF($E45="正規職員","正",IF($E45="契約上の就業時間を記載","",IF($E45&gt;=L$5,"常",L45))),"-"))</f>
        <v/>
      </c>
      <c r="Y45" s="104" t="str">
        <f>IF($B45="","",IF(OR('②-1職員名簿'!AJ45="○",'②-1職員名簿'!AJ45="●"),IF($E45="正規職員","正",IF($E45="契約上の就業時間を記載","",IF($E45&gt;=M$5,"常",M45))),"-"))</f>
        <v/>
      </c>
      <c r="Z45" s="104" t="str">
        <f>IF($B45="","",IF(OR('②-1職員名簿'!AK45="○",'②-1職員名簿'!AK45="●"),IF($E45="正規職員","正",IF($E45="契約上の就業時間を記載","",IF($E45&gt;=N$5,"常",N45))),"-"))</f>
        <v/>
      </c>
      <c r="AA45" s="104" t="str">
        <f>IF($B45="","",IF(OR('②-1職員名簿'!AL45="○",'②-1職員名簿'!AL45="●"),IF($E45="正規職員","正",IF($E45="契約上の就業時間を記載","",IF($E45&gt;=O$5,"常",O45))),"-"))</f>
        <v/>
      </c>
      <c r="AB45" s="104" t="str">
        <f>IF($B45="","",IF(OR('②-1職員名簿'!AM45="○",'②-1職員名簿'!AM45="●"),IF($E45="正規職員","正",IF($E45="契約上の就業時間を記載","",IF($E45&gt;=P$5,"常",P45))),"-"))</f>
        <v/>
      </c>
      <c r="AC45" s="104" t="str">
        <f>IF($B45="","",IF(OR('②-1職員名簿'!AN45="○",'②-1職員名簿'!AN45="●"),IF($E45="正規職員","正",IF($E45="契約上の就業時間を記載","",IF($E45&gt;=Q$5,"常",Q45))),"-"))</f>
        <v/>
      </c>
      <c r="AE45" s="101" t="str">
        <f>IF('②-1職員名簿'!W45="","",'②-1職員名簿'!W45)</f>
        <v/>
      </c>
      <c r="AJ45" s="106" t="str">
        <f t="shared" si="11"/>
        <v>○</v>
      </c>
      <c r="AK45" s="106" t="str">
        <f t="shared" si="23"/>
        <v>○</v>
      </c>
      <c r="AL45" s="106" t="str">
        <f t="shared" si="24"/>
        <v>○</v>
      </c>
      <c r="AM45" s="106" t="str">
        <f t="shared" si="25"/>
        <v>○</v>
      </c>
      <c r="AN45" s="106" t="str">
        <f t="shared" si="26"/>
        <v>○</v>
      </c>
      <c r="AO45" s="106" t="str">
        <f t="shared" si="27"/>
        <v>○</v>
      </c>
      <c r="AP45" s="106" t="str">
        <f t="shared" si="28"/>
        <v>○</v>
      </c>
      <c r="AQ45" s="106" t="str">
        <f t="shared" si="29"/>
        <v>○</v>
      </c>
      <c r="AR45" s="106" t="str">
        <f t="shared" si="30"/>
        <v>○</v>
      </c>
      <c r="AS45" s="106" t="str">
        <f t="shared" si="31"/>
        <v>○</v>
      </c>
      <c r="AT45" s="106" t="str">
        <f t="shared" si="32"/>
        <v>○</v>
      </c>
      <c r="AU45" s="106" t="str">
        <f t="shared" si="33"/>
        <v>○</v>
      </c>
    </row>
    <row r="46" spans="1:47" s="106" customFormat="1" ht="23.15" customHeight="1">
      <c r="A46" s="102">
        <v>40</v>
      </c>
      <c r="B46" s="101" t="str">
        <f>IF('②-1職員名簿'!E46="","",'②-1職員名簿'!Y46)</f>
        <v/>
      </c>
      <c r="C46" s="104" t="str">
        <f>'②-1職員名簿'!BE46</f>
        <v/>
      </c>
      <c r="D46" s="136" t="str">
        <f t="shared" si="9"/>
        <v/>
      </c>
      <c r="E46" s="20" t="str">
        <f>IF($B46="","",IF(AND('②-1職員名簿'!C46="正",'②-1職員名簿'!D46="常"),"正規職員","契約上の就業時間を記載"))</f>
        <v/>
      </c>
      <c r="F46" s="10" t="str">
        <f>IF($B46="","",IF(OR('②-1職員名簿'!AC46="○",'②-1職員名簿'!AC46="●"),IF($E46="正規職員","正",IF($E46="契約上の就業時間を記載","","実績を入力")),"-"))</f>
        <v/>
      </c>
      <c r="G46" s="10" t="str">
        <f>IF($B46="","",IF(OR('②-1職員名簿'!AD46="○",'②-1職員名簿'!AD46="●"),IF($E46="正規職員","正",IF($E46="契約上の就業時間を記載","","実績を入力")),"-"))</f>
        <v/>
      </c>
      <c r="H46" s="10" t="str">
        <f>IF($B46="","",IF(OR('②-1職員名簿'!AE46="○",'②-1職員名簿'!AE46="●"),IF($E46="正規職員","正",IF($E46="契約上の就業時間を記載","","実績を入力")),"-"))</f>
        <v/>
      </c>
      <c r="I46" s="10" t="str">
        <f>IF($B46="","",IF(OR('②-1職員名簿'!AF46="○",'②-1職員名簿'!AF46="●"),IF($E46="正規職員","正",IF($E46="契約上の就業時間を記載","","実績を入力")),"-"))</f>
        <v/>
      </c>
      <c r="J46" s="10" t="str">
        <f>IF($B46="","",IF(OR('②-1職員名簿'!AG46="○",'②-1職員名簿'!AG46="●"),IF($E46="正規職員","正",IF($E46="契約上の就業時間を記載","","実績を入力")),"-"))</f>
        <v/>
      </c>
      <c r="K46" s="10" t="str">
        <f>IF($B46="","",IF(OR('②-1職員名簿'!AH46="○",'②-1職員名簿'!AH46="●"),IF($E46="正規職員","正",IF($E46="契約上の就業時間を記載","","実績を入力")),"-"))</f>
        <v/>
      </c>
      <c r="L46" s="10" t="str">
        <f>IF($B46="","",IF(OR('②-1職員名簿'!AI46="○",'②-1職員名簿'!AI46="●"),IF($E46="正規職員","正",IF($E46="契約上の就業時間を記載","","実績を入力")),"-"))</f>
        <v/>
      </c>
      <c r="M46" s="10" t="str">
        <f>IF($B46="","",IF(OR('②-1職員名簿'!AJ46="○",'②-1職員名簿'!AJ46="●"),IF($E46="正規職員","正",IF($E46="契約上の就業時間を記載","","実績を入力")),"-"))</f>
        <v/>
      </c>
      <c r="N46" s="10" t="str">
        <f>IF($B46="","",IF(OR('②-1職員名簿'!AK46="○",'②-1職員名簿'!AK46="●"),IF($E46="正規職員","正",IF($E46="契約上の就業時間を記載","","実績を入力")),"-"))</f>
        <v/>
      </c>
      <c r="O46" s="10" t="str">
        <f>IF($B46="","",IF(OR('②-1職員名簿'!AL46="○",'②-1職員名簿'!AL46="●"),IF($E46="正規職員","正",IF($E46="契約上の就業時間を記載","","実績を入力")),"-"))</f>
        <v/>
      </c>
      <c r="P46" s="10" t="str">
        <f>IF($B46="","",IF(OR('②-1職員名簿'!AM46="○",'②-1職員名簿'!AM46="●"),IF($E46="正規職員","正",IF($E46="契約上の就業時間を記載","","実績を入力")),"-"))</f>
        <v/>
      </c>
      <c r="Q46" s="10" t="str">
        <f>IF($B46="","",IF(OR('②-1職員名簿'!AN46="○",'②-1職員名簿'!AN46="●"),IF($E46="正規職員","正",IF($E46="契約上の就業時間を記載","","実績を入力")),"-"))</f>
        <v/>
      </c>
      <c r="R46" s="104" t="str">
        <f>IF($B46="","",IF(OR('②-1職員名簿'!AC46="○",'②-1職員名簿'!AC46="●"),IF($E46="正規職員","正",IF($E46="契約上の就業時間を記載","",IF($E46&gt;=F$5,"常",F46))),"-"))</f>
        <v/>
      </c>
      <c r="S46" s="104" t="str">
        <f>IF($B46="","",IF(OR('②-1職員名簿'!AD46="○",'②-1職員名簿'!AD46="●"),IF($E46="正規職員","正",IF($E46="契約上の就業時間を記載","",IF($E46&gt;=G$5,"常",G46))),"-"))</f>
        <v/>
      </c>
      <c r="T46" s="104" t="str">
        <f>IF($B46="","",IF(OR('②-1職員名簿'!AE46="○",'②-1職員名簿'!AE46="●"),IF($E46="正規職員","正",IF($E46="契約上の就業時間を記載","",IF($E46&gt;=H$5,"常",H46))),"-"))</f>
        <v/>
      </c>
      <c r="U46" s="104" t="str">
        <f>IF($B46="","",IF(OR('②-1職員名簿'!AF46="○",'②-1職員名簿'!AF46="●"),IF($E46="正規職員","正",IF($E46="契約上の就業時間を記載","",IF($E46&gt;=I$5,"常",I46))),"-"))</f>
        <v/>
      </c>
      <c r="V46" s="104" t="str">
        <f>IF($B46="","",IF(OR('②-1職員名簿'!AG46="○",'②-1職員名簿'!AG46="●"),IF($E46="正規職員","正",IF($E46="契約上の就業時間を記載","",IF($E46&gt;=J$5,"常",J46))),"-"))</f>
        <v/>
      </c>
      <c r="W46" s="104" t="str">
        <f>IF($B46="","",IF(OR('②-1職員名簿'!AH46="○",'②-1職員名簿'!AH46="●"),IF($E46="正規職員","正",IF($E46="契約上の就業時間を記載","",IF($E46&gt;=K$5,"常",K46))),"-"))</f>
        <v/>
      </c>
      <c r="X46" s="104" t="str">
        <f>IF($B46="","",IF(OR('②-1職員名簿'!AI46="○",'②-1職員名簿'!AI46="●"),IF($E46="正規職員","正",IF($E46="契約上の就業時間を記載","",IF($E46&gt;=L$5,"常",L46))),"-"))</f>
        <v/>
      </c>
      <c r="Y46" s="104" t="str">
        <f>IF($B46="","",IF(OR('②-1職員名簿'!AJ46="○",'②-1職員名簿'!AJ46="●"),IF($E46="正規職員","正",IF($E46="契約上の就業時間を記載","",IF($E46&gt;=M$5,"常",M46))),"-"))</f>
        <v/>
      </c>
      <c r="Z46" s="104" t="str">
        <f>IF($B46="","",IF(OR('②-1職員名簿'!AK46="○",'②-1職員名簿'!AK46="●"),IF($E46="正規職員","正",IF($E46="契約上の就業時間を記載","",IF($E46&gt;=N$5,"常",N46))),"-"))</f>
        <v/>
      </c>
      <c r="AA46" s="104" t="str">
        <f>IF($B46="","",IF(OR('②-1職員名簿'!AL46="○",'②-1職員名簿'!AL46="●"),IF($E46="正規職員","正",IF($E46="契約上の就業時間を記載","",IF($E46&gt;=O$5,"常",O46))),"-"))</f>
        <v/>
      </c>
      <c r="AB46" s="104" t="str">
        <f>IF($B46="","",IF(OR('②-1職員名簿'!AM46="○",'②-1職員名簿'!AM46="●"),IF($E46="正規職員","正",IF($E46="契約上の就業時間を記載","",IF($E46&gt;=P$5,"常",P46))),"-"))</f>
        <v/>
      </c>
      <c r="AC46" s="104" t="str">
        <f>IF($B46="","",IF(OR('②-1職員名簿'!AN46="○",'②-1職員名簿'!AN46="●"),IF($E46="正規職員","正",IF($E46="契約上の就業時間を記載","",IF($E46&gt;=Q$5,"常",Q46))),"-"))</f>
        <v/>
      </c>
      <c r="AE46" s="101" t="str">
        <f>IF('②-1職員名簿'!W46="","",'②-1職員名簿'!W46)</f>
        <v/>
      </c>
      <c r="AJ46" s="106" t="str">
        <f t="shared" si="11"/>
        <v>○</v>
      </c>
      <c r="AK46" s="106" t="str">
        <f t="shared" si="23"/>
        <v>○</v>
      </c>
      <c r="AL46" s="106" t="str">
        <f t="shared" si="24"/>
        <v>○</v>
      </c>
      <c r="AM46" s="106" t="str">
        <f t="shared" si="25"/>
        <v>○</v>
      </c>
      <c r="AN46" s="106" t="str">
        <f t="shared" si="26"/>
        <v>○</v>
      </c>
      <c r="AO46" s="106" t="str">
        <f t="shared" si="27"/>
        <v>○</v>
      </c>
      <c r="AP46" s="106" t="str">
        <f t="shared" si="28"/>
        <v>○</v>
      </c>
      <c r="AQ46" s="106" t="str">
        <f t="shared" si="29"/>
        <v>○</v>
      </c>
      <c r="AR46" s="106" t="str">
        <f t="shared" si="30"/>
        <v>○</v>
      </c>
      <c r="AS46" s="106" t="str">
        <f t="shared" si="31"/>
        <v>○</v>
      </c>
      <c r="AT46" s="106" t="str">
        <f t="shared" si="32"/>
        <v>○</v>
      </c>
      <c r="AU46" s="106" t="str">
        <f t="shared" si="33"/>
        <v>○</v>
      </c>
    </row>
    <row r="47" spans="1:47" s="106" customFormat="1" ht="23.15" customHeight="1">
      <c r="A47" s="102">
        <v>41</v>
      </c>
      <c r="B47" s="101" t="str">
        <f>IF('②-1職員名簿'!E47="","",'②-1職員名簿'!Y47)</f>
        <v/>
      </c>
      <c r="C47" s="104" t="str">
        <f>'②-1職員名簿'!BE47</f>
        <v/>
      </c>
      <c r="D47" s="136" t="str">
        <f t="shared" si="9"/>
        <v/>
      </c>
      <c r="E47" s="20" t="str">
        <f>IF($B47="","",IF(AND('②-1職員名簿'!C47="正",'②-1職員名簿'!D47="常"),"正規職員","契約上の就業時間を記載"))</f>
        <v/>
      </c>
      <c r="F47" s="10" t="str">
        <f>IF($B47="","",IF(OR('②-1職員名簿'!AC47="○",'②-1職員名簿'!AC47="●"),IF($E47="正規職員","正",IF($E47="契約上の就業時間を記載","","実績を入力")),"-"))</f>
        <v/>
      </c>
      <c r="G47" s="10" t="str">
        <f>IF($B47="","",IF(OR('②-1職員名簿'!AD47="○",'②-1職員名簿'!AD47="●"),IF($E47="正規職員","正",IF($E47="契約上の就業時間を記載","","実績を入力")),"-"))</f>
        <v/>
      </c>
      <c r="H47" s="10" t="str">
        <f>IF($B47="","",IF(OR('②-1職員名簿'!AE47="○",'②-1職員名簿'!AE47="●"),IF($E47="正規職員","正",IF($E47="契約上の就業時間を記載","","実績を入力")),"-"))</f>
        <v/>
      </c>
      <c r="I47" s="10" t="str">
        <f>IF($B47="","",IF(OR('②-1職員名簿'!AF47="○",'②-1職員名簿'!AF47="●"),IF($E47="正規職員","正",IF($E47="契約上の就業時間を記載","","実績を入力")),"-"))</f>
        <v/>
      </c>
      <c r="J47" s="10" t="str">
        <f>IF($B47="","",IF(OR('②-1職員名簿'!AG47="○",'②-1職員名簿'!AG47="●"),IF($E47="正規職員","正",IF($E47="契約上の就業時間を記載","","実績を入力")),"-"))</f>
        <v/>
      </c>
      <c r="K47" s="10" t="str">
        <f>IF($B47="","",IF(OR('②-1職員名簿'!AH47="○",'②-1職員名簿'!AH47="●"),IF($E47="正規職員","正",IF($E47="契約上の就業時間を記載","","実績を入力")),"-"))</f>
        <v/>
      </c>
      <c r="L47" s="10" t="str">
        <f>IF($B47="","",IF(OR('②-1職員名簿'!AI47="○",'②-1職員名簿'!AI47="●"),IF($E47="正規職員","正",IF($E47="契約上の就業時間を記載","","実績を入力")),"-"))</f>
        <v/>
      </c>
      <c r="M47" s="10" t="str">
        <f>IF($B47="","",IF(OR('②-1職員名簿'!AJ47="○",'②-1職員名簿'!AJ47="●"),IF($E47="正規職員","正",IF($E47="契約上の就業時間を記載","","実績を入力")),"-"))</f>
        <v/>
      </c>
      <c r="N47" s="10" t="str">
        <f>IF($B47="","",IF(OR('②-1職員名簿'!AK47="○",'②-1職員名簿'!AK47="●"),IF($E47="正規職員","正",IF($E47="契約上の就業時間を記載","","実績を入力")),"-"))</f>
        <v/>
      </c>
      <c r="O47" s="10" t="str">
        <f>IF($B47="","",IF(OR('②-1職員名簿'!AL47="○",'②-1職員名簿'!AL47="●"),IF($E47="正規職員","正",IF($E47="契約上の就業時間を記載","","実績を入力")),"-"))</f>
        <v/>
      </c>
      <c r="P47" s="10" t="str">
        <f>IF($B47="","",IF(OR('②-1職員名簿'!AM47="○",'②-1職員名簿'!AM47="●"),IF($E47="正規職員","正",IF($E47="契約上の就業時間を記載","","実績を入力")),"-"))</f>
        <v/>
      </c>
      <c r="Q47" s="10" t="str">
        <f>IF($B47="","",IF(OR('②-1職員名簿'!AN47="○",'②-1職員名簿'!AN47="●"),IF($E47="正規職員","正",IF($E47="契約上の就業時間を記載","","実績を入力")),"-"))</f>
        <v/>
      </c>
      <c r="R47" s="104" t="str">
        <f>IF($B47="","",IF(OR('②-1職員名簿'!AC47="○",'②-1職員名簿'!AC47="●"),IF($E47="正規職員","正",IF($E47="契約上の就業時間を記載","",IF($E47&gt;=F$5,"常",F47))),"-"))</f>
        <v/>
      </c>
      <c r="S47" s="104" t="str">
        <f>IF($B47="","",IF(OR('②-1職員名簿'!AD47="○",'②-1職員名簿'!AD47="●"),IF($E47="正規職員","正",IF($E47="契約上の就業時間を記載","",IF($E47&gt;=G$5,"常",G47))),"-"))</f>
        <v/>
      </c>
      <c r="T47" s="104" t="str">
        <f>IF($B47="","",IF(OR('②-1職員名簿'!AE47="○",'②-1職員名簿'!AE47="●"),IF($E47="正規職員","正",IF($E47="契約上の就業時間を記載","",IF($E47&gt;=H$5,"常",H47))),"-"))</f>
        <v/>
      </c>
      <c r="U47" s="104" t="str">
        <f>IF($B47="","",IF(OR('②-1職員名簿'!AF47="○",'②-1職員名簿'!AF47="●"),IF($E47="正規職員","正",IF($E47="契約上の就業時間を記載","",IF($E47&gt;=I$5,"常",I47))),"-"))</f>
        <v/>
      </c>
      <c r="V47" s="104" t="str">
        <f>IF($B47="","",IF(OR('②-1職員名簿'!AG47="○",'②-1職員名簿'!AG47="●"),IF($E47="正規職員","正",IF($E47="契約上の就業時間を記載","",IF($E47&gt;=J$5,"常",J47))),"-"))</f>
        <v/>
      </c>
      <c r="W47" s="104" t="str">
        <f>IF($B47="","",IF(OR('②-1職員名簿'!AH47="○",'②-1職員名簿'!AH47="●"),IF($E47="正規職員","正",IF($E47="契約上の就業時間を記載","",IF($E47&gt;=K$5,"常",K47))),"-"))</f>
        <v/>
      </c>
      <c r="X47" s="104" t="str">
        <f>IF($B47="","",IF(OR('②-1職員名簿'!AI47="○",'②-1職員名簿'!AI47="●"),IF($E47="正規職員","正",IF($E47="契約上の就業時間を記載","",IF($E47&gt;=L$5,"常",L47))),"-"))</f>
        <v/>
      </c>
      <c r="Y47" s="104" t="str">
        <f>IF($B47="","",IF(OR('②-1職員名簿'!AJ47="○",'②-1職員名簿'!AJ47="●"),IF($E47="正規職員","正",IF($E47="契約上の就業時間を記載","",IF($E47&gt;=M$5,"常",M47))),"-"))</f>
        <v/>
      </c>
      <c r="Z47" s="104" t="str">
        <f>IF($B47="","",IF(OR('②-1職員名簿'!AK47="○",'②-1職員名簿'!AK47="●"),IF($E47="正規職員","正",IF($E47="契約上の就業時間を記載","",IF($E47&gt;=N$5,"常",N47))),"-"))</f>
        <v/>
      </c>
      <c r="AA47" s="104" t="str">
        <f>IF($B47="","",IF(OR('②-1職員名簿'!AL47="○",'②-1職員名簿'!AL47="●"),IF($E47="正規職員","正",IF($E47="契約上の就業時間を記載","",IF($E47&gt;=O$5,"常",O47))),"-"))</f>
        <v/>
      </c>
      <c r="AB47" s="104" t="str">
        <f>IF($B47="","",IF(OR('②-1職員名簿'!AM47="○",'②-1職員名簿'!AM47="●"),IF($E47="正規職員","正",IF($E47="契約上の就業時間を記載","",IF($E47&gt;=P$5,"常",P47))),"-"))</f>
        <v/>
      </c>
      <c r="AC47" s="104" t="str">
        <f>IF($B47="","",IF(OR('②-1職員名簿'!AN47="○",'②-1職員名簿'!AN47="●"),IF($E47="正規職員","正",IF($E47="契約上の就業時間を記載","",IF($E47&gt;=Q$5,"常",Q47))),"-"))</f>
        <v/>
      </c>
      <c r="AE47" s="101" t="str">
        <f>IF('②-1職員名簿'!W47="","",'②-1職員名簿'!W47)</f>
        <v/>
      </c>
      <c r="AJ47" s="106" t="str">
        <f t="shared" si="11"/>
        <v>○</v>
      </c>
      <c r="AK47" s="106" t="str">
        <f t="shared" si="23"/>
        <v>○</v>
      </c>
      <c r="AL47" s="106" t="str">
        <f t="shared" si="24"/>
        <v>○</v>
      </c>
      <c r="AM47" s="106" t="str">
        <f t="shared" si="25"/>
        <v>○</v>
      </c>
      <c r="AN47" s="106" t="str">
        <f t="shared" si="26"/>
        <v>○</v>
      </c>
      <c r="AO47" s="106" t="str">
        <f t="shared" si="27"/>
        <v>○</v>
      </c>
      <c r="AP47" s="106" t="str">
        <f t="shared" si="28"/>
        <v>○</v>
      </c>
      <c r="AQ47" s="106" t="str">
        <f t="shared" si="29"/>
        <v>○</v>
      </c>
      <c r="AR47" s="106" t="str">
        <f t="shared" si="30"/>
        <v>○</v>
      </c>
      <c r="AS47" s="106" t="str">
        <f t="shared" si="31"/>
        <v>○</v>
      </c>
      <c r="AT47" s="106" t="str">
        <f t="shared" si="32"/>
        <v>○</v>
      </c>
      <c r="AU47" s="106" t="str">
        <f t="shared" si="33"/>
        <v>○</v>
      </c>
    </row>
    <row r="48" spans="1:47" s="106" customFormat="1" ht="23.15" customHeight="1">
      <c r="A48" s="102">
        <v>42</v>
      </c>
      <c r="B48" s="101" t="str">
        <f>IF('②-1職員名簿'!E48="","",'②-1職員名簿'!Y48)</f>
        <v/>
      </c>
      <c r="C48" s="104" t="str">
        <f>'②-1職員名簿'!BE48</f>
        <v/>
      </c>
      <c r="D48" s="136" t="str">
        <f t="shared" si="9"/>
        <v/>
      </c>
      <c r="E48" s="20" t="str">
        <f>IF($B48="","",IF(AND('②-1職員名簿'!C48="正",'②-1職員名簿'!D48="常"),"正規職員","契約上の就業時間を記載"))</f>
        <v/>
      </c>
      <c r="F48" s="10" t="str">
        <f>IF($B48="","",IF(OR('②-1職員名簿'!AC48="○",'②-1職員名簿'!AC48="●"),IF($E48="正規職員","正",IF($E48="契約上の就業時間を記載","","実績を入力")),"-"))</f>
        <v/>
      </c>
      <c r="G48" s="10" t="str">
        <f>IF($B48="","",IF(OR('②-1職員名簿'!AD48="○",'②-1職員名簿'!AD48="●"),IF($E48="正規職員","正",IF($E48="契約上の就業時間を記載","","実績を入力")),"-"))</f>
        <v/>
      </c>
      <c r="H48" s="10" t="str">
        <f>IF($B48="","",IF(OR('②-1職員名簿'!AE48="○",'②-1職員名簿'!AE48="●"),IF($E48="正規職員","正",IF($E48="契約上の就業時間を記載","","実績を入力")),"-"))</f>
        <v/>
      </c>
      <c r="I48" s="10" t="str">
        <f>IF($B48="","",IF(OR('②-1職員名簿'!AF48="○",'②-1職員名簿'!AF48="●"),IF($E48="正規職員","正",IF($E48="契約上の就業時間を記載","","実績を入力")),"-"))</f>
        <v/>
      </c>
      <c r="J48" s="10" t="str">
        <f>IF($B48="","",IF(OR('②-1職員名簿'!AG48="○",'②-1職員名簿'!AG48="●"),IF($E48="正規職員","正",IF($E48="契約上の就業時間を記載","","実績を入力")),"-"))</f>
        <v/>
      </c>
      <c r="K48" s="10" t="str">
        <f>IF($B48="","",IF(OR('②-1職員名簿'!AH48="○",'②-1職員名簿'!AH48="●"),IF($E48="正規職員","正",IF($E48="契約上の就業時間を記載","","実績を入力")),"-"))</f>
        <v/>
      </c>
      <c r="L48" s="10" t="str">
        <f>IF($B48="","",IF(OR('②-1職員名簿'!AI48="○",'②-1職員名簿'!AI48="●"),IF($E48="正規職員","正",IF($E48="契約上の就業時間を記載","","実績を入力")),"-"))</f>
        <v/>
      </c>
      <c r="M48" s="10" t="str">
        <f>IF($B48="","",IF(OR('②-1職員名簿'!AJ48="○",'②-1職員名簿'!AJ48="●"),IF($E48="正規職員","正",IF($E48="契約上の就業時間を記載","","実績を入力")),"-"))</f>
        <v/>
      </c>
      <c r="N48" s="10" t="str">
        <f>IF($B48="","",IF(OR('②-1職員名簿'!AK48="○",'②-1職員名簿'!AK48="●"),IF($E48="正規職員","正",IF($E48="契約上の就業時間を記載","","実績を入力")),"-"))</f>
        <v/>
      </c>
      <c r="O48" s="10" t="str">
        <f>IF($B48="","",IF(OR('②-1職員名簿'!AL48="○",'②-1職員名簿'!AL48="●"),IF($E48="正規職員","正",IF($E48="契約上の就業時間を記載","","実績を入力")),"-"))</f>
        <v/>
      </c>
      <c r="P48" s="10" t="str">
        <f>IF($B48="","",IF(OR('②-1職員名簿'!AM48="○",'②-1職員名簿'!AM48="●"),IF($E48="正規職員","正",IF($E48="契約上の就業時間を記載","","実績を入力")),"-"))</f>
        <v/>
      </c>
      <c r="Q48" s="10" t="str">
        <f>IF($B48="","",IF(OR('②-1職員名簿'!AN48="○",'②-1職員名簿'!AN48="●"),IF($E48="正規職員","正",IF($E48="契約上の就業時間を記載","","実績を入力")),"-"))</f>
        <v/>
      </c>
      <c r="R48" s="104" t="str">
        <f>IF($B48="","",IF(OR('②-1職員名簿'!AC48="○",'②-1職員名簿'!AC48="●"),IF($E48="正規職員","正",IF($E48="契約上の就業時間を記載","",IF($E48&gt;=F$5,"常",F48))),"-"))</f>
        <v/>
      </c>
      <c r="S48" s="104" t="str">
        <f>IF($B48="","",IF(OR('②-1職員名簿'!AD48="○",'②-1職員名簿'!AD48="●"),IF($E48="正規職員","正",IF($E48="契約上の就業時間を記載","",IF($E48&gt;=G$5,"常",G48))),"-"))</f>
        <v/>
      </c>
      <c r="T48" s="104" t="str">
        <f>IF($B48="","",IF(OR('②-1職員名簿'!AE48="○",'②-1職員名簿'!AE48="●"),IF($E48="正規職員","正",IF($E48="契約上の就業時間を記載","",IF($E48&gt;=H$5,"常",H48))),"-"))</f>
        <v/>
      </c>
      <c r="U48" s="104" t="str">
        <f>IF($B48="","",IF(OR('②-1職員名簿'!AF48="○",'②-1職員名簿'!AF48="●"),IF($E48="正規職員","正",IF($E48="契約上の就業時間を記載","",IF($E48&gt;=I$5,"常",I48))),"-"))</f>
        <v/>
      </c>
      <c r="V48" s="104" t="str">
        <f>IF($B48="","",IF(OR('②-1職員名簿'!AG48="○",'②-1職員名簿'!AG48="●"),IF($E48="正規職員","正",IF($E48="契約上の就業時間を記載","",IF($E48&gt;=J$5,"常",J48))),"-"))</f>
        <v/>
      </c>
      <c r="W48" s="104" t="str">
        <f>IF($B48="","",IF(OR('②-1職員名簿'!AH48="○",'②-1職員名簿'!AH48="●"),IF($E48="正規職員","正",IF($E48="契約上の就業時間を記載","",IF($E48&gt;=K$5,"常",K48))),"-"))</f>
        <v/>
      </c>
      <c r="X48" s="104" t="str">
        <f>IF($B48="","",IF(OR('②-1職員名簿'!AI48="○",'②-1職員名簿'!AI48="●"),IF($E48="正規職員","正",IF($E48="契約上の就業時間を記載","",IF($E48&gt;=L$5,"常",L48))),"-"))</f>
        <v/>
      </c>
      <c r="Y48" s="104" t="str">
        <f>IF($B48="","",IF(OR('②-1職員名簿'!AJ48="○",'②-1職員名簿'!AJ48="●"),IF($E48="正規職員","正",IF($E48="契約上の就業時間を記載","",IF($E48&gt;=M$5,"常",M48))),"-"))</f>
        <v/>
      </c>
      <c r="Z48" s="104" t="str">
        <f>IF($B48="","",IF(OR('②-1職員名簿'!AK48="○",'②-1職員名簿'!AK48="●"),IF($E48="正規職員","正",IF($E48="契約上の就業時間を記載","",IF($E48&gt;=N$5,"常",N48))),"-"))</f>
        <v/>
      </c>
      <c r="AA48" s="104" t="str">
        <f>IF($B48="","",IF(OR('②-1職員名簿'!AL48="○",'②-1職員名簿'!AL48="●"),IF($E48="正規職員","正",IF($E48="契約上の就業時間を記載","",IF($E48&gt;=O$5,"常",O48))),"-"))</f>
        <v/>
      </c>
      <c r="AB48" s="104" t="str">
        <f>IF($B48="","",IF(OR('②-1職員名簿'!AM48="○",'②-1職員名簿'!AM48="●"),IF($E48="正規職員","正",IF($E48="契約上の就業時間を記載","",IF($E48&gt;=P$5,"常",P48))),"-"))</f>
        <v/>
      </c>
      <c r="AC48" s="104" t="str">
        <f>IF($B48="","",IF(OR('②-1職員名簿'!AN48="○",'②-1職員名簿'!AN48="●"),IF($E48="正規職員","正",IF($E48="契約上の就業時間を記載","",IF($E48&gt;=Q$5,"常",Q48))),"-"))</f>
        <v/>
      </c>
      <c r="AE48" s="101" t="str">
        <f>IF('②-1職員名簿'!W48="","",'②-1職員名簿'!W48)</f>
        <v/>
      </c>
      <c r="AJ48" s="106" t="str">
        <f t="shared" si="11"/>
        <v>○</v>
      </c>
      <c r="AK48" s="106" t="str">
        <f t="shared" si="23"/>
        <v>○</v>
      </c>
      <c r="AL48" s="106" t="str">
        <f t="shared" si="24"/>
        <v>○</v>
      </c>
      <c r="AM48" s="106" t="str">
        <f t="shared" si="25"/>
        <v>○</v>
      </c>
      <c r="AN48" s="106" t="str">
        <f t="shared" si="26"/>
        <v>○</v>
      </c>
      <c r="AO48" s="106" t="str">
        <f t="shared" si="27"/>
        <v>○</v>
      </c>
      <c r="AP48" s="106" t="str">
        <f t="shared" si="28"/>
        <v>○</v>
      </c>
      <c r="AQ48" s="106" t="str">
        <f t="shared" si="29"/>
        <v>○</v>
      </c>
      <c r="AR48" s="106" t="str">
        <f t="shared" si="30"/>
        <v>○</v>
      </c>
      <c r="AS48" s="106" t="str">
        <f t="shared" si="31"/>
        <v>○</v>
      </c>
      <c r="AT48" s="106" t="str">
        <f t="shared" si="32"/>
        <v>○</v>
      </c>
      <c r="AU48" s="106" t="str">
        <f t="shared" si="33"/>
        <v>○</v>
      </c>
    </row>
    <row r="49" spans="1:47" s="106" customFormat="1" ht="23.15" customHeight="1">
      <c r="A49" s="102">
        <v>43</v>
      </c>
      <c r="B49" s="101" t="str">
        <f>IF('②-1職員名簿'!E49="","",'②-1職員名簿'!Y49)</f>
        <v/>
      </c>
      <c r="C49" s="104" t="str">
        <f>'②-1職員名簿'!BE49</f>
        <v/>
      </c>
      <c r="D49" s="136" t="str">
        <f t="shared" si="9"/>
        <v/>
      </c>
      <c r="E49" s="20" t="str">
        <f>IF($B49="","",IF(AND('②-1職員名簿'!C49="正",'②-1職員名簿'!D49="常"),"正規職員","契約上の就業時間を記載"))</f>
        <v/>
      </c>
      <c r="F49" s="10" t="str">
        <f>IF($B49="","",IF(OR('②-1職員名簿'!AC49="○",'②-1職員名簿'!AC49="●"),IF($E49="正規職員","正",IF($E49="契約上の就業時間を記載","","実績を入力")),"-"))</f>
        <v/>
      </c>
      <c r="G49" s="10" t="str">
        <f>IF($B49="","",IF(OR('②-1職員名簿'!AD49="○",'②-1職員名簿'!AD49="●"),IF($E49="正規職員","正",IF($E49="契約上の就業時間を記載","","実績を入力")),"-"))</f>
        <v/>
      </c>
      <c r="H49" s="10" t="str">
        <f>IF($B49="","",IF(OR('②-1職員名簿'!AE49="○",'②-1職員名簿'!AE49="●"),IF($E49="正規職員","正",IF($E49="契約上の就業時間を記載","","実績を入力")),"-"))</f>
        <v/>
      </c>
      <c r="I49" s="10" t="str">
        <f>IF($B49="","",IF(OR('②-1職員名簿'!AF49="○",'②-1職員名簿'!AF49="●"),IF($E49="正規職員","正",IF($E49="契約上の就業時間を記載","","実績を入力")),"-"))</f>
        <v/>
      </c>
      <c r="J49" s="10" t="str">
        <f>IF($B49="","",IF(OR('②-1職員名簿'!AG49="○",'②-1職員名簿'!AG49="●"),IF($E49="正規職員","正",IF($E49="契約上の就業時間を記載","","実績を入力")),"-"))</f>
        <v/>
      </c>
      <c r="K49" s="10" t="str">
        <f>IF($B49="","",IF(OR('②-1職員名簿'!AH49="○",'②-1職員名簿'!AH49="●"),IF($E49="正規職員","正",IF($E49="契約上の就業時間を記載","","実績を入力")),"-"))</f>
        <v/>
      </c>
      <c r="L49" s="10" t="str">
        <f>IF($B49="","",IF(OR('②-1職員名簿'!AI49="○",'②-1職員名簿'!AI49="●"),IF($E49="正規職員","正",IF($E49="契約上の就業時間を記載","","実績を入力")),"-"))</f>
        <v/>
      </c>
      <c r="M49" s="10" t="str">
        <f>IF($B49="","",IF(OR('②-1職員名簿'!AJ49="○",'②-1職員名簿'!AJ49="●"),IF($E49="正規職員","正",IF($E49="契約上の就業時間を記載","","実績を入力")),"-"))</f>
        <v/>
      </c>
      <c r="N49" s="10" t="str">
        <f>IF($B49="","",IF(OR('②-1職員名簿'!AK49="○",'②-1職員名簿'!AK49="●"),IF($E49="正規職員","正",IF($E49="契約上の就業時間を記載","","実績を入力")),"-"))</f>
        <v/>
      </c>
      <c r="O49" s="10" t="str">
        <f>IF($B49="","",IF(OR('②-1職員名簿'!AL49="○",'②-1職員名簿'!AL49="●"),IF($E49="正規職員","正",IF($E49="契約上の就業時間を記載","","実績を入力")),"-"))</f>
        <v/>
      </c>
      <c r="P49" s="10" t="str">
        <f>IF($B49="","",IF(OR('②-1職員名簿'!AM49="○",'②-1職員名簿'!AM49="●"),IF($E49="正規職員","正",IF($E49="契約上の就業時間を記載","","実績を入力")),"-"))</f>
        <v/>
      </c>
      <c r="Q49" s="10" t="str">
        <f>IF($B49="","",IF(OR('②-1職員名簿'!AN49="○",'②-1職員名簿'!AN49="●"),IF($E49="正規職員","正",IF($E49="契約上の就業時間を記載","","実績を入力")),"-"))</f>
        <v/>
      </c>
      <c r="R49" s="104" t="str">
        <f>IF($B49="","",IF(OR('②-1職員名簿'!AC49="○",'②-1職員名簿'!AC49="●"),IF($E49="正規職員","正",IF($E49="契約上の就業時間を記載","",IF($E49&gt;=F$5,"常",F49))),"-"))</f>
        <v/>
      </c>
      <c r="S49" s="104" t="str">
        <f>IF($B49="","",IF(OR('②-1職員名簿'!AD49="○",'②-1職員名簿'!AD49="●"),IF($E49="正規職員","正",IF($E49="契約上の就業時間を記載","",IF($E49&gt;=G$5,"常",G49))),"-"))</f>
        <v/>
      </c>
      <c r="T49" s="104" t="str">
        <f>IF($B49="","",IF(OR('②-1職員名簿'!AE49="○",'②-1職員名簿'!AE49="●"),IF($E49="正規職員","正",IF($E49="契約上の就業時間を記載","",IF($E49&gt;=H$5,"常",H49))),"-"))</f>
        <v/>
      </c>
      <c r="U49" s="104" t="str">
        <f>IF($B49="","",IF(OR('②-1職員名簿'!AF49="○",'②-1職員名簿'!AF49="●"),IF($E49="正規職員","正",IF($E49="契約上の就業時間を記載","",IF($E49&gt;=I$5,"常",I49))),"-"))</f>
        <v/>
      </c>
      <c r="V49" s="104" t="str">
        <f>IF($B49="","",IF(OR('②-1職員名簿'!AG49="○",'②-1職員名簿'!AG49="●"),IF($E49="正規職員","正",IF($E49="契約上の就業時間を記載","",IF($E49&gt;=J$5,"常",J49))),"-"))</f>
        <v/>
      </c>
      <c r="W49" s="104" t="str">
        <f>IF($B49="","",IF(OR('②-1職員名簿'!AH49="○",'②-1職員名簿'!AH49="●"),IF($E49="正規職員","正",IF($E49="契約上の就業時間を記載","",IF($E49&gt;=K$5,"常",K49))),"-"))</f>
        <v/>
      </c>
      <c r="X49" s="104" t="str">
        <f>IF($B49="","",IF(OR('②-1職員名簿'!AI49="○",'②-1職員名簿'!AI49="●"),IF($E49="正規職員","正",IF($E49="契約上の就業時間を記載","",IF($E49&gt;=L$5,"常",L49))),"-"))</f>
        <v/>
      </c>
      <c r="Y49" s="104" t="str">
        <f>IF($B49="","",IF(OR('②-1職員名簿'!AJ49="○",'②-1職員名簿'!AJ49="●"),IF($E49="正規職員","正",IF($E49="契約上の就業時間を記載","",IF($E49&gt;=M$5,"常",M49))),"-"))</f>
        <v/>
      </c>
      <c r="Z49" s="104" t="str">
        <f>IF($B49="","",IF(OR('②-1職員名簿'!AK49="○",'②-1職員名簿'!AK49="●"),IF($E49="正規職員","正",IF($E49="契約上の就業時間を記載","",IF($E49&gt;=N$5,"常",N49))),"-"))</f>
        <v/>
      </c>
      <c r="AA49" s="104" t="str">
        <f>IF($B49="","",IF(OR('②-1職員名簿'!AL49="○",'②-1職員名簿'!AL49="●"),IF($E49="正規職員","正",IF($E49="契約上の就業時間を記載","",IF($E49&gt;=O$5,"常",O49))),"-"))</f>
        <v/>
      </c>
      <c r="AB49" s="104" t="str">
        <f>IF($B49="","",IF(OR('②-1職員名簿'!AM49="○",'②-1職員名簿'!AM49="●"),IF($E49="正規職員","正",IF($E49="契約上の就業時間を記載","",IF($E49&gt;=P$5,"常",P49))),"-"))</f>
        <v/>
      </c>
      <c r="AC49" s="104" t="str">
        <f>IF($B49="","",IF(OR('②-1職員名簿'!AN49="○",'②-1職員名簿'!AN49="●"),IF($E49="正規職員","正",IF($E49="契約上の就業時間を記載","",IF($E49&gt;=Q$5,"常",Q49))),"-"))</f>
        <v/>
      </c>
      <c r="AE49" s="101" t="str">
        <f>IF('②-1職員名簿'!W49="","",'②-1職員名簿'!W49)</f>
        <v/>
      </c>
      <c r="AJ49" s="106" t="str">
        <f t="shared" si="11"/>
        <v>○</v>
      </c>
      <c r="AK49" s="106" t="str">
        <f t="shared" si="23"/>
        <v>○</v>
      </c>
      <c r="AL49" s="106" t="str">
        <f t="shared" si="24"/>
        <v>○</v>
      </c>
      <c r="AM49" s="106" t="str">
        <f t="shared" si="25"/>
        <v>○</v>
      </c>
      <c r="AN49" s="106" t="str">
        <f t="shared" si="26"/>
        <v>○</v>
      </c>
      <c r="AO49" s="106" t="str">
        <f t="shared" si="27"/>
        <v>○</v>
      </c>
      <c r="AP49" s="106" t="str">
        <f t="shared" si="28"/>
        <v>○</v>
      </c>
      <c r="AQ49" s="106" t="str">
        <f t="shared" si="29"/>
        <v>○</v>
      </c>
      <c r="AR49" s="106" t="str">
        <f t="shared" si="30"/>
        <v>○</v>
      </c>
      <c r="AS49" s="106" t="str">
        <f t="shared" si="31"/>
        <v>○</v>
      </c>
      <c r="AT49" s="106" t="str">
        <f t="shared" si="32"/>
        <v>○</v>
      </c>
      <c r="AU49" s="106" t="str">
        <f t="shared" si="33"/>
        <v>○</v>
      </c>
    </row>
    <row r="50" spans="1:47" s="106" customFormat="1" ht="23.15" customHeight="1">
      <c r="A50" s="102">
        <v>44</v>
      </c>
      <c r="B50" s="101" t="str">
        <f>IF('②-1職員名簿'!E50="","",'②-1職員名簿'!Y50)</f>
        <v/>
      </c>
      <c r="C50" s="104" t="str">
        <f>'②-1職員名簿'!BE50</f>
        <v/>
      </c>
      <c r="D50" s="136" t="str">
        <f t="shared" si="9"/>
        <v/>
      </c>
      <c r="E50" s="20" t="str">
        <f>IF($B50="","",IF(AND('②-1職員名簿'!C50="正",'②-1職員名簿'!D50="常"),"正規職員","契約上の就業時間を記載"))</f>
        <v/>
      </c>
      <c r="F50" s="10" t="str">
        <f>IF($B50="","",IF(OR('②-1職員名簿'!AC50="○",'②-1職員名簿'!AC50="●"),IF($E50="正規職員","正",IF($E50="契約上の就業時間を記載","","実績を入力")),"-"))</f>
        <v/>
      </c>
      <c r="G50" s="10" t="str">
        <f>IF($B50="","",IF(OR('②-1職員名簿'!AD50="○",'②-1職員名簿'!AD50="●"),IF($E50="正規職員","正",IF($E50="契約上の就業時間を記載","","実績を入力")),"-"))</f>
        <v/>
      </c>
      <c r="H50" s="10" t="str">
        <f>IF($B50="","",IF(OR('②-1職員名簿'!AE50="○",'②-1職員名簿'!AE50="●"),IF($E50="正規職員","正",IF($E50="契約上の就業時間を記載","","実績を入力")),"-"))</f>
        <v/>
      </c>
      <c r="I50" s="10" t="str">
        <f>IF($B50="","",IF(OR('②-1職員名簿'!AF50="○",'②-1職員名簿'!AF50="●"),IF($E50="正規職員","正",IF($E50="契約上の就業時間を記載","","実績を入力")),"-"))</f>
        <v/>
      </c>
      <c r="J50" s="10" t="str">
        <f>IF($B50="","",IF(OR('②-1職員名簿'!AG50="○",'②-1職員名簿'!AG50="●"),IF($E50="正規職員","正",IF($E50="契約上の就業時間を記載","","実績を入力")),"-"))</f>
        <v/>
      </c>
      <c r="K50" s="10" t="str">
        <f>IF($B50="","",IF(OR('②-1職員名簿'!AH50="○",'②-1職員名簿'!AH50="●"),IF($E50="正規職員","正",IF($E50="契約上の就業時間を記載","","実績を入力")),"-"))</f>
        <v/>
      </c>
      <c r="L50" s="10" t="str">
        <f>IF($B50="","",IF(OR('②-1職員名簿'!AI50="○",'②-1職員名簿'!AI50="●"),IF($E50="正規職員","正",IF($E50="契約上の就業時間を記載","","実績を入力")),"-"))</f>
        <v/>
      </c>
      <c r="M50" s="10" t="str">
        <f>IF($B50="","",IF(OR('②-1職員名簿'!AJ50="○",'②-1職員名簿'!AJ50="●"),IF($E50="正規職員","正",IF($E50="契約上の就業時間を記載","","実績を入力")),"-"))</f>
        <v/>
      </c>
      <c r="N50" s="10" t="str">
        <f>IF($B50="","",IF(OR('②-1職員名簿'!AK50="○",'②-1職員名簿'!AK50="●"),IF($E50="正規職員","正",IF($E50="契約上の就業時間を記載","","実績を入力")),"-"))</f>
        <v/>
      </c>
      <c r="O50" s="10" t="str">
        <f>IF($B50="","",IF(OR('②-1職員名簿'!AL50="○",'②-1職員名簿'!AL50="●"),IF($E50="正規職員","正",IF($E50="契約上の就業時間を記載","","実績を入力")),"-"))</f>
        <v/>
      </c>
      <c r="P50" s="10" t="str">
        <f>IF($B50="","",IF(OR('②-1職員名簿'!AM50="○",'②-1職員名簿'!AM50="●"),IF($E50="正規職員","正",IF($E50="契約上の就業時間を記載","","実績を入力")),"-"))</f>
        <v/>
      </c>
      <c r="Q50" s="10" t="str">
        <f>IF($B50="","",IF(OR('②-1職員名簿'!AN50="○",'②-1職員名簿'!AN50="●"),IF($E50="正規職員","正",IF($E50="契約上の就業時間を記載","","実績を入力")),"-"))</f>
        <v/>
      </c>
      <c r="R50" s="104" t="str">
        <f>IF($B50="","",IF(OR('②-1職員名簿'!AC50="○",'②-1職員名簿'!AC50="●"),IF($E50="正規職員","正",IF($E50="契約上の就業時間を記載","",IF($E50&gt;=F$5,"常",F50))),"-"))</f>
        <v/>
      </c>
      <c r="S50" s="104" t="str">
        <f>IF($B50="","",IF(OR('②-1職員名簿'!AD50="○",'②-1職員名簿'!AD50="●"),IF($E50="正規職員","正",IF($E50="契約上の就業時間を記載","",IF($E50&gt;=G$5,"常",G50))),"-"))</f>
        <v/>
      </c>
      <c r="T50" s="104" t="str">
        <f>IF($B50="","",IF(OR('②-1職員名簿'!AE50="○",'②-1職員名簿'!AE50="●"),IF($E50="正規職員","正",IF($E50="契約上の就業時間を記載","",IF($E50&gt;=H$5,"常",H50))),"-"))</f>
        <v/>
      </c>
      <c r="U50" s="104" t="str">
        <f>IF($B50="","",IF(OR('②-1職員名簿'!AF50="○",'②-1職員名簿'!AF50="●"),IF($E50="正規職員","正",IF($E50="契約上の就業時間を記載","",IF($E50&gt;=I$5,"常",I50))),"-"))</f>
        <v/>
      </c>
      <c r="V50" s="104" t="str">
        <f>IF($B50="","",IF(OR('②-1職員名簿'!AG50="○",'②-1職員名簿'!AG50="●"),IF($E50="正規職員","正",IF($E50="契約上の就業時間を記載","",IF($E50&gt;=J$5,"常",J50))),"-"))</f>
        <v/>
      </c>
      <c r="W50" s="104" t="str">
        <f>IF($B50="","",IF(OR('②-1職員名簿'!AH50="○",'②-1職員名簿'!AH50="●"),IF($E50="正規職員","正",IF($E50="契約上の就業時間を記載","",IF($E50&gt;=K$5,"常",K50))),"-"))</f>
        <v/>
      </c>
      <c r="X50" s="104" t="str">
        <f>IF($B50="","",IF(OR('②-1職員名簿'!AI50="○",'②-1職員名簿'!AI50="●"),IF($E50="正規職員","正",IF($E50="契約上の就業時間を記載","",IF($E50&gt;=L$5,"常",L50))),"-"))</f>
        <v/>
      </c>
      <c r="Y50" s="104" t="str">
        <f>IF($B50="","",IF(OR('②-1職員名簿'!AJ50="○",'②-1職員名簿'!AJ50="●"),IF($E50="正規職員","正",IF($E50="契約上の就業時間を記載","",IF($E50&gt;=M$5,"常",M50))),"-"))</f>
        <v/>
      </c>
      <c r="Z50" s="104" t="str">
        <f>IF($B50="","",IF(OR('②-1職員名簿'!AK50="○",'②-1職員名簿'!AK50="●"),IF($E50="正規職員","正",IF($E50="契約上の就業時間を記載","",IF($E50&gt;=N$5,"常",N50))),"-"))</f>
        <v/>
      </c>
      <c r="AA50" s="104" t="str">
        <f>IF($B50="","",IF(OR('②-1職員名簿'!AL50="○",'②-1職員名簿'!AL50="●"),IF($E50="正規職員","正",IF($E50="契約上の就業時間を記載","",IF($E50&gt;=O$5,"常",O50))),"-"))</f>
        <v/>
      </c>
      <c r="AB50" s="104" t="str">
        <f>IF($B50="","",IF(OR('②-1職員名簿'!AM50="○",'②-1職員名簿'!AM50="●"),IF($E50="正規職員","正",IF($E50="契約上の就業時間を記載","",IF($E50&gt;=P$5,"常",P50))),"-"))</f>
        <v/>
      </c>
      <c r="AC50" s="104" t="str">
        <f>IF($B50="","",IF(OR('②-1職員名簿'!AN50="○",'②-1職員名簿'!AN50="●"),IF($E50="正規職員","正",IF($E50="契約上の就業時間を記載","",IF($E50&gt;=Q$5,"常",Q50))),"-"))</f>
        <v/>
      </c>
      <c r="AE50" s="101" t="str">
        <f>IF('②-1職員名簿'!W50="","",'②-1職員名簿'!W50)</f>
        <v/>
      </c>
      <c r="AJ50" s="106" t="str">
        <f t="shared" si="11"/>
        <v>○</v>
      </c>
      <c r="AK50" s="106" t="str">
        <f t="shared" si="23"/>
        <v>○</v>
      </c>
      <c r="AL50" s="106" t="str">
        <f t="shared" si="24"/>
        <v>○</v>
      </c>
      <c r="AM50" s="106" t="str">
        <f t="shared" si="25"/>
        <v>○</v>
      </c>
      <c r="AN50" s="106" t="str">
        <f t="shared" si="26"/>
        <v>○</v>
      </c>
      <c r="AO50" s="106" t="str">
        <f t="shared" si="27"/>
        <v>○</v>
      </c>
      <c r="AP50" s="106" t="str">
        <f t="shared" si="28"/>
        <v>○</v>
      </c>
      <c r="AQ50" s="106" t="str">
        <f t="shared" si="29"/>
        <v>○</v>
      </c>
      <c r="AR50" s="106" t="str">
        <f t="shared" si="30"/>
        <v>○</v>
      </c>
      <c r="AS50" s="106" t="str">
        <f t="shared" si="31"/>
        <v>○</v>
      </c>
      <c r="AT50" s="106" t="str">
        <f t="shared" si="32"/>
        <v>○</v>
      </c>
      <c r="AU50" s="106" t="str">
        <f t="shared" si="33"/>
        <v>○</v>
      </c>
    </row>
    <row r="51" spans="1:47" s="106" customFormat="1" ht="23.15" customHeight="1">
      <c r="A51" s="102">
        <v>45</v>
      </c>
      <c r="B51" s="101" t="str">
        <f>IF('②-1職員名簿'!E51="","",'②-1職員名簿'!Y51)</f>
        <v/>
      </c>
      <c r="C51" s="104" t="str">
        <f>'②-1職員名簿'!BE51</f>
        <v/>
      </c>
      <c r="D51" s="136" t="str">
        <f t="shared" si="9"/>
        <v/>
      </c>
      <c r="E51" s="20" t="str">
        <f>IF($B51="","",IF(AND('②-1職員名簿'!C51="正",'②-1職員名簿'!D51="常"),"正規職員","契約上の就業時間を記載"))</f>
        <v/>
      </c>
      <c r="F51" s="10" t="str">
        <f>IF($B51="","",IF(OR('②-1職員名簿'!AC51="○",'②-1職員名簿'!AC51="●"),IF($E51="正規職員","正",IF($E51="契約上の就業時間を記載","","実績を入力")),"-"))</f>
        <v/>
      </c>
      <c r="G51" s="10" t="str">
        <f>IF($B51="","",IF(OR('②-1職員名簿'!AD51="○",'②-1職員名簿'!AD51="●"),IF($E51="正規職員","正",IF($E51="契約上の就業時間を記載","","実績を入力")),"-"))</f>
        <v/>
      </c>
      <c r="H51" s="10" t="str">
        <f>IF($B51="","",IF(OR('②-1職員名簿'!AE51="○",'②-1職員名簿'!AE51="●"),IF($E51="正規職員","正",IF($E51="契約上の就業時間を記載","","実績を入力")),"-"))</f>
        <v/>
      </c>
      <c r="I51" s="10" t="str">
        <f>IF($B51="","",IF(OR('②-1職員名簿'!AF51="○",'②-1職員名簿'!AF51="●"),IF($E51="正規職員","正",IF($E51="契約上の就業時間を記載","","実績を入力")),"-"))</f>
        <v/>
      </c>
      <c r="J51" s="10" t="str">
        <f>IF($B51="","",IF(OR('②-1職員名簿'!AG51="○",'②-1職員名簿'!AG51="●"),IF($E51="正規職員","正",IF($E51="契約上の就業時間を記載","","実績を入力")),"-"))</f>
        <v/>
      </c>
      <c r="K51" s="10" t="str">
        <f>IF($B51="","",IF(OR('②-1職員名簿'!AH51="○",'②-1職員名簿'!AH51="●"),IF($E51="正規職員","正",IF($E51="契約上の就業時間を記載","","実績を入力")),"-"))</f>
        <v/>
      </c>
      <c r="L51" s="10" t="str">
        <f>IF($B51="","",IF(OR('②-1職員名簿'!AI51="○",'②-1職員名簿'!AI51="●"),IF($E51="正規職員","正",IF($E51="契約上の就業時間を記載","","実績を入力")),"-"))</f>
        <v/>
      </c>
      <c r="M51" s="10" t="str">
        <f>IF($B51="","",IF(OR('②-1職員名簿'!AJ51="○",'②-1職員名簿'!AJ51="●"),IF($E51="正規職員","正",IF($E51="契約上の就業時間を記載","","実績を入力")),"-"))</f>
        <v/>
      </c>
      <c r="N51" s="10" t="str">
        <f>IF($B51="","",IF(OR('②-1職員名簿'!AK51="○",'②-1職員名簿'!AK51="●"),IF($E51="正規職員","正",IF($E51="契約上の就業時間を記載","","実績を入力")),"-"))</f>
        <v/>
      </c>
      <c r="O51" s="10" t="str">
        <f>IF($B51="","",IF(OR('②-1職員名簿'!AL51="○",'②-1職員名簿'!AL51="●"),IF($E51="正規職員","正",IF($E51="契約上の就業時間を記載","","実績を入力")),"-"))</f>
        <v/>
      </c>
      <c r="P51" s="10" t="str">
        <f>IF($B51="","",IF(OR('②-1職員名簿'!AM51="○",'②-1職員名簿'!AM51="●"),IF($E51="正規職員","正",IF($E51="契約上の就業時間を記載","","実績を入力")),"-"))</f>
        <v/>
      </c>
      <c r="Q51" s="10" t="str">
        <f>IF($B51="","",IF(OR('②-1職員名簿'!AN51="○",'②-1職員名簿'!AN51="●"),IF($E51="正規職員","正",IF($E51="契約上の就業時間を記載","","実績を入力")),"-"))</f>
        <v/>
      </c>
      <c r="R51" s="104" t="str">
        <f>IF($B51="","",IF(OR('②-1職員名簿'!AC51="○",'②-1職員名簿'!AC51="●"),IF($E51="正規職員","正",IF($E51="契約上の就業時間を記載","",IF($E51&gt;=F$5,"常",F51))),"-"))</f>
        <v/>
      </c>
      <c r="S51" s="104" t="str">
        <f>IF($B51="","",IF(OR('②-1職員名簿'!AD51="○",'②-1職員名簿'!AD51="●"),IF($E51="正規職員","正",IF($E51="契約上の就業時間を記載","",IF($E51&gt;=G$5,"常",G51))),"-"))</f>
        <v/>
      </c>
      <c r="T51" s="104" t="str">
        <f>IF($B51="","",IF(OR('②-1職員名簿'!AE51="○",'②-1職員名簿'!AE51="●"),IF($E51="正規職員","正",IF($E51="契約上の就業時間を記載","",IF($E51&gt;=H$5,"常",H51))),"-"))</f>
        <v/>
      </c>
      <c r="U51" s="104" t="str">
        <f>IF($B51="","",IF(OR('②-1職員名簿'!AF51="○",'②-1職員名簿'!AF51="●"),IF($E51="正規職員","正",IF($E51="契約上の就業時間を記載","",IF($E51&gt;=I$5,"常",I51))),"-"))</f>
        <v/>
      </c>
      <c r="V51" s="104" t="str">
        <f>IF($B51="","",IF(OR('②-1職員名簿'!AG51="○",'②-1職員名簿'!AG51="●"),IF($E51="正規職員","正",IF($E51="契約上の就業時間を記載","",IF($E51&gt;=J$5,"常",J51))),"-"))</f>
        <v/>
      </c>
      <c r="W51" s="104" t="str">
        <f>IF($B51="","",IF(OR('②-1職員名簿'!AH51="○",'②-1職員名簿'!AH51="●"),IF($E51="正規職員","正",IF($E51="契約上の就業時間を記載","",IF($E51&gt;=K$5,"常",K51))),"-"))</f>
        <v/>
      </c>
      <c r="X51" s="104" t="str">
        <f>IF($B51="","",IF(OR('②-1職員名簿'!AI51="○",'②-1職員名簿'!AI51="●"),IF($E51="正規職員","正",IF($E51="契約上の就業時間を記載","",IF($E51&gt;=L$5,"常",L51))),"-"))</f>
        <v/>
      </c>
      <c r="Y51" s="104" t="str">
        <f>IF($B51="","",IF(OR('②-1職員名簿'!AJ51="○",'②-1職員名簿'!AJ51="●"),IF($E51="正規職員","正",IF($E51="契約上の就業時間を記載","",IF($E51&gt;=M$5,"常",M51))),"-"))</f>
        <v/>
      </c>
      <c r="Z51" s="104" t="str">
        <f>IF($B51="","",IF(OR('②-1職員名簿'!AK51="○",'②-1職員名簿'!AK51="●"),IF($E51="正規職員","正",IF($E51="契約上の就業時間を記載","",IF($E51&gt;=N$5,"常",N51))),"-"))</f>
        <v/>
      </c>
      <c r="AA51" s="104" t="str">
        <f>IF($B51="","",IF(OR('②-1職員名簿'!AL51="○",'②-1職員名簿'!AL51="●"),IF($E51="正規職員","正",IF($E51="契約上の就業時間を記載","",IF($E51&gt;=O$5,"常",O51))),"-"))</f>
        <v/>
      </c>
      <c r="AB51" s="104" t="str">
        <f>IF($B51="","",IF(OR('②-1職員名簿'!AM51="○",'②-1職員名簿'!AM51="●"),IF($E51="正規職員","正",IF($E51="契約上の就業時間を記載","",IF($E51&gt;=P$5,"常",P51))),"-"))</f>
        <v/>
      </c>
      <c r="AC51" s="104" t="str">
        <f>IF($B51="","",IF(OR('②-1職員名簿'!AN51="○",'②-1職員名簿'!AN51="●"),IF($E51="正規職員","正",IF($E51="契約上の就業時間を記載","",IF($E51&gt;=Q$5,"常",Q51))),"-"))</f>
        <v/>
      </c>
      <c r="AE51" s="101" t="str">
        <f>IF('②-1職員名簿'!W51="","",'②-1職員名簿'!W51)</f>
        <v/>
      </c>
      <c r="AJ51" s="106" t="str">
        <f t="shared" si="11"/>
        <v>○</v>
      </c>
      <c r="AK51" s="106" t="str">
        <f t="shared" si="23"/>
        <v>○</v>
      </c>
      <c r="AL51" s="106" t="str">
        <f t="shared" si="24"/>
        <v>○</v>
      </c>
      <c r="AM51" s="106" t="str">
        <f t="shared" si="25"/>
        <v>○</v>
      </c>
      <c r="AN51" s="106" t="str">
        <f t="shared" si="26"/>
        <v>○</v>
      </c>
      <c r="AO51" s="106" t="str">
        <f t="shared" si="27"/>
        <v>○</v>
      </c>
      <c r="AP51" s="106" t="str">
        <f t="shared" si="28"/>
        <v>○</v>
      </c>
      <c r="AQ51" s="106" t="str">
        <f t="shared" si="29"/>
        <v>○</v>
      </c>
      <c r="AR51" s="106" t="str">
        <f t="shared" si="30"/>
        <v>○</v>
      </c>
      <c r="AS51" s="106" t="str">
        <f t="shared" si="31"/>
        <v>○</v>
      </c>
      <c r="AT51" s="106" t="str">
        <f t="shared" si="32"/>
        <v>○</v>
      </c>
      <c r="AU51" s="106" t="str">
        <f t="shared" si="33"/>
        <v>○</v>
      </c>
    </row>
    <row r="52" spans="1:47" s="106" customFormat="1" ht="23.15" customHeight="1">
      <c r="A52" s="102">
        <v>46</v>
      </c>
      <c r="B52" s="101" t="str">
        <f>IF('②-1職員名簿'!E52="","",'②-1職員名簿'!Y52)</f>
        <v/>
      </c>
      <c r="C52" s="104" t="str">
        <f>'②-1職員名簿'!BE52</f>
        <v/>
      </c>
      <c r="D52" s="136" t="str">
        <f t="shared" si="9"/>
        <v/>
      </c>
      <c r="E52" s="20" t="str">
        <f>IF($B52="","",IF(AND('②-1職員名簿'!C52="正",'②-1職員名簿'!D52="常"),"正規職員","契約上の就業時間を記載"))</f>
        <v/>
      </c>
      <c r="F52" s="10" t="str">
        <f>IF($B52="","",IF(OR('②-1職員名簿'!AC52="○",'②-1職員名簿'!AC52="●"),IF($E52="正規職員","正",IF($E52="契約上の就業時間を記載","","実績を入力")),"-"))</f>
        <v/>
      </c>
      <c r="G52" s="10" t="str">
        <f>IF($B52="","",IF(OR('②-1職員名簿'!AD52="○",'②-1職員名簿'!AD52="●"),IF($E52="正規職員","正",IF($E52="契約上の就業時間を記載","","実績を入力")),"-"))</f>
        <v/>
      </c>
      <c r="H52" s="10" t="str">
        <f>IF($B52="","",IF(OR('②-1職員名簿'!AE52="○",'②-1職員名簿'!AE52="●"),IF($E52="正規職員","正",IF($E52="契約上の就業時間を記載","","実績を入力")),"-"))</f>
        <v/>
      </c>
      <c r="I52" s="10" t="str">
        <f>IF($B52="","",IF(OR('②-1職員名簿'!AF52="○",'②-1職員名簿'!AF52="●"),IF($E52="正規職員","正",IF($E52="契約上の就業時間を記載","","実績を入力")),"-"))</f>
        <v/>
      </c>
      <c r="J52" s="10" t="str">
        <f>IF($B52="","",IF(OR('②-1職員名簿'!AG52="○",'②-1職員名簿'!AG52="●"),IF($E52="正規職員","正",IF($E52="契約上の就業時間を記載","","実績を入力")),"-"))</f>
        <v/>
      </c>
      <c r="K52" s="10" t="str">
        <f>IF($B52="","",IF(OR('②-1職員名簿'!AH52="○",'②-1職員名簿'!AH52="●"),IF($E52="正規職員","正",IF($E52="契約上の就業時間を記載","","実績を入力")),"-"))</f>
        <v/>
      </c>
      <c r="L52" s="10" t="str">
        <f>IF($B52="","",IF(OR('②-1職員名簿'!AI52="○",'②-1職員名簿'!AI52="●"),IF($E52="正規職員","正",IF($E52="契約上の就業時間を記載","","実績を入力")),"-"))</f>
        <v/>
      </c>
      <c r="M52" s="10" t="str">
        <f>IF($B52="","",IF(OR('②-1職員名簿'!AJ52="○",'②-1職員名簿'!AJ52="●"),IF($E52="正規職員","正",IF($E52="契約上の就業時間を記載","","実績を入力")),"-"))</f>
        <v/>
      </c>
      <c r="N52" s="10" t="str">
        <f>IF($B52="","",IF(OR('②-1職員名簿'!AK52="○",'②-1職員名簿'!AK52="●"),IF($E52="正規職員","正",IF($E52="契約上の就業時間を記載","","実績を入力")),"-"))</f>
        <v/>
      </c>
      <c r="O52" s="10" t="str">
        <f>IF($B52="","",IF(OR('②-1職員名簿'!AL52="○",'②-1職員名簿'!AL52="●"),IF($E52="正規職員","正",IF($E52="契約上の就業時間を記載","","実績を入力")),"-"))</f>
        <v/>
      </c>
      <c r="P52" s="10" t="str">
        <f>IF($B52="","",IF(OR('②-1職員名簿'!AM52="○",'②-1職員名簿'!AM52="●"),IF($E52="正規職員","正",IF($E52="契約上の就業時間を記載","","実績を入力")),"-"))</f>
        <v/>
      </c>
      <c r="Q52" s="10" t="str">
        <f>IF($B52="","",IF(OR('②-1職員名簿'!AN52="○",'②-1職員名簿'!AN52="●"),IF($E52="正規職員","正",IF($E52="契約上の就業時間を記載","","実績を入力")),"-"))</f>
        <v/>
      </c>
      <c r="R52" s="104" t="str">
        <f>IF($B52="","",IF(OR('②-1職員名簿'!AC52="○",'②-1職員名簿'!AC52="●"),IF($E52="正規職員","正",IF($E52="契約上の就業時間を記載","",IF($E52&gt;=F$5,"常",F52))),"-"))</f>
        <v/>
      </c>
      <c r="S52" s="104" t="str">
        <f>IF($B52="","",IF(OR('②-1職員名簿'!AD52="○",'②-1職員名簿'!AD52="●"),IF($E52="正規職員","正",IF($E52="契約上の就業時間を記載","",IF($E52&gt;=G$5,"常",G52))),"-"))</f>
        <v/>
      </c>
      <c r="T52" s="104" t="str">
        <f>IF($B52="","",IF(OR('②-1職員名簿'!AE52="○",'②-1職員名簿'!AE52="●"),IF($E52="正規職員","正",IF($E52="契約上の就業時間を記載","",IF($E52&gt;=H$5,"常",H52))),"-"))</f>
        <v/>
      </c>
      <c r="U52" s="104" t="str">
        <f>IF($B52="","",IF(OR('②-1職員名簿'!AF52="○",'②-1職員名簿'!AF52="●"),IF($E52="正規職員","正",IF($E52="契約上の就業時間を記載","",IF($E52&gt;=I$5,"常",I52))),"-"))</f>
        <v/>
      </c>
      <c r="V52" s="104" t="str">
        <f>IF($B52="","",IF(OR('②-1職員名簿'!AG52="○",'②-1職員名簿'!AG52="●"),IF($E52="正規職員","正",IF($E52="契約上の就業時間を記載","",IF($E52&gt;=J$5,"常",J52))),"-"))</f>
        <v/>
      </c>
      <c r="W52" s="104" t="str">
        <f>IF($B52="","",IF(OR('②-1職員名簿'!AH52="○",'②-1職員名簿'!AH52="●"),IF($E52="正規職員","正",IF($E52="契約上の就業時間を記載","",IF($E52&gt;=K$5,"常",K52))),"-"))</f>
        <v/>
      </c>
      <c r="X52" s="104" t="str">
        <f>IF($B52="","",IF(OR('②-1職員名簿'!AI52="○",'②-1職員名簿'!AI52="●"),IF($E52="正規職員","正",IF($E52="契約上の就業時間を記載","",IF($E52&gt;=L$5,"常",L52))),"-"))</f>
        <v/>
      </c>
      <c r="Y52" s="104" t="str">
        <f>IF($B52="","",IF(OR('②-1職員名簿'!AJ52="○",'②-1職員名簿'!AJ52="●"),IF($E52="正規職員","正",IF($E52="契約上の就業時間を記載","",IF($E52&gt;=M$5,"常",M52))),"-"))</f>
        <v/>
      </c>
      <c r="Z52" s="104" t="str">
        <f>IF($B52="","",IF(OR('②-1職員名簿'!AK52="○",'②-1職員名簿'!AK52="●"),IF($E52="正規職員","正",IF($E52="契約上の就業時間を記載","",IF($E52&gt;=N$5,"常",N52))),"-"))</f>
        <v/>
      </c>
      <c r="AA52" s="104" t="str">
        <f>IF($B52="","",IF(OR('②-1職員名簿'!AL52="○",'②-1職員名簿'!AL52="●"),IF($E52="正規職員","正",IF($E52="契約上の就業時間を記載","",IF($E52&gt;=O$5,"常",O52))),"-"))</f>
        <v/>
      </c>
      <c r="AB52" s="104" t="str">
        <f>IF($B52="","",IF(OR('②-1職員名簿'!AM52="○",'②-1職員名簿'!AM52="●"),IF($E52="正規職員","正",IF($E52="契約上の就業時間を記載","",IF($E52&gt;=P$5,"常",P52))),"-"))</f>
        <v/>
      </c>
      <c r="AC52" s="104" t="str">
        <f>IF($B52="","",IF(OR('②-1職員名簿'!AN52="○",'②-1職員名簿'!AN52="●"),IF($E52="正規職員","正",IF($E52="契約上の就業時間を記載","",IF($E52&gt;=Q$5,"常",Q52))),"-"))</f>
        <v/>
      </c>
      <c r="AE52" s="101" t="str">
        <f>IF('②-1職員名簿'!W52="","",'②-1職員名簿'!W52)</f>
        <v/>
      </c>
      <c r="AJ52" s="106" t="str">
        <f t="shared" si="11"/>
        <v>○</v>
      </c>
      <c r="AK52" s="106" t="str">
        <f t="shared" si="23"/>
        <v>○</v>
      </c>
      <c r="AL52" s="106" t="str">
        <f t="shared" si="24"/>
        <v>○</v>
      </c>
      <c r="AM52" s="106" t="str">
        <f t="shared" si="25"/>
        <v>○</v>
      </c>
      <c r="AN52" s="106" t="str">
        <f t="shared" si="26"/>
        <v>○</v>
      </c>
      <c r="AO52" s="106" t="str">
        <f t="shared" si="27"/>
        <v>○</v>
      </c>
      <c r="AP52" s="106" t="str">
        <f t="shared" si="28"/>
        <v>○</v>
      </c>
      <c r="AQ52" s="106" t="str">
        <f t="shared" si="29"/>
        <v>○</v>
      </c>
      <c r="AR52" s="106" t="str">
        <f t="shared" si="30"/>
        <v>○</v>
      </c>
      <c r="AS52" s="106" t="str">
        <f t="shared" si="31"/>
        <v>○</v>
      </c>
      <c r="AT52" s="106" t="str">
        <f t="shared" si="32"/>
        <v>○</v>
      </c>
      <c r="AU52" s="106" t="str">
        <f t="shared" si="33"/>
        <v>○</v>
      </c>
    </row>
    <row r="53" spans="1:47" s="106" customFormat="1" ht="23.15" customHeight="1">
      <c r="A53" s="102">
        <v>47</v>
      </c>
      <c r="B53" s="101" t="str">
        <f>IF('②-1職員名簿'!E53="","",'②-1職員名簿'!Y53)</f>
        <v/>
      </c>
      <c r="C53" s="104" t="str">
        <f>'②-1職員名簿'!BE53</f>
        <v/>
      </c>
      <c r="D53" s="136" t="str">
        <f t="shared" si="9"/>
        <v/>
      </c>
      <c r="E53" s="20" t="str">
        <f>IF($B53="","",IF(AND('②-1職員名簿'!C53="正",'②-1職員名簿'!D53="常"),"正規職員","契約上の就業時間を記載"))</f>
        <v/>
      </c>
      <c r="F53" s="10" t="str">
        <f>IF($B53="","",IF(OR('②-1職員名簿'!AC53="○",'②-1職員名簿'!AC53="●"),IF($E53="正規職員","正",IF($E53="契約上の就業時間を記載","","実績を入力")),"-"))</f>
        <v/>
      </c>
      <c r="G53" s="10" t="str">
        <f>IF($B53="","",IF(OR('②-1職員名簿'!AD53="○",'②-1職員名簿'!AD53="●"),IF($E53="正規職員","正",IF($E53="契約上の就業時間を記載","","実績を入力")),"-"))</f>
        <v/>
      </c>
      <c r="H53" s="10" t="str">
        <f>IF($B53="","",IF(OR('②-1職員名簿'!AE53="○",'②-1職員名簿'!AE53="●"),IF($E53="正規職員","正",IF($E53="契約上の就業時間を記載","","実績を入力")),"-"))</f>
        <v/>
      </c>
      <c r="I53" s="10" t="str">
        <f>IF($B53="","",IF(OR('②-1職員名簿'!AF53="○",'②-1職員名簿'!AF53="●"),IF($E53="正規職員","正",IF($E53="契約上の就業時間を記載","","実績を入力")),"-"))</f>
        <v/>
      </c>
      <c r="J53" s="10" t="str">
        <f>IF($B53="","",IF(OR('②-1職員名簿'!AG53="○",'②-1職員名簿'!AG53="●"),IF($E53="正規職員","正",IF($E53="契約上の就業時間を記載","","実績を入力")),"-"))</f>
        <v/>
      </c>
      <c r="K53" s="10" t="str">
        <f>IF($B53="","",IF(OR('②-1職員名簿'!AH53="○",'②-1職員名簿'!AH53="●"),IF($E53="正規職員","正",IF($E53="契約上の就業時間を記載","","実績を入力")),"-"))</f>
        <v/>
      </c>
      <c r="L53" s="10" t="str">
        <f>IF($B53="","",IF(OR('②-1職員名簿'!AI53="○",'②-1職員名簿'!AI53="●"),IF($E53="正規職員","正",IF($E53="契約上の就業時間を記載","","実績を入力")),"-"))</f>
        <v/>
      </c>
      <c r="M53" s="10" t="str">
        <f>IF($B53="","",IF(OR('②-1職員名簿'!AJ53="○",'②-1職員名簿'!AJ53="●"),IF($E53="正規職員","正",IF($E53="契約上の就業時間を記載","","実績を入力")),"-"))</f>
        <v/>
      </c>
      <c r="N53" s="10" t="str">
        <f>IF($B53="","",IF(OR('②-1職員名簿'!AK53="○",'②-1職員名簿'!AK53="●"),IF($E53="正規職員","正",IF($E53="契約上の就業時間を記載","","実績を入力")),"-"))</f>
        <v/>
      </c>
      <c r="O53" s="10" t="str">
        <f>IF($B53="","",IF(OR('②-1職員名簿'!AL53="○",'②-1職員名簿'!AL53="●"),IF($E53="正規職員","正",IF($E53="契約上の就業時間を記載","","実績を入力")),"-"))</f>
        <v/>
      </c>
      <c r="P53" s="10" t="str">
        <f>IF($B53="","",IF(OR('②-1職員名簿'!AM53="○",'②-1職員名簿'!AM53="●"),IF($E53="正規職員","正",IF($E53="契約上の就業時間を記載","","実績を入力")),"-"))</f>
        <v/>
      </c>
      <c r="Q53" s="10" t="str">
        <f>IF($B53="","",IF(OR('②-1職員名簿'!AN53="○",'②-1職員名簿'!AN53="●"),IF($E53="正規職員","正",IF($E53="契約上の就業時間を記載","","実績を入力")),"-"))</f>
        <v/>
      </c>
      <c r="R53" s="104" t="str">
        <f>IF($B53="","",IF(OR('②-1職員名簿'!AC53="○",'②-1職員名簿'!AC53="●"),IF($E53="正規職員","正",IF($E53="契約上の就業時間を記載","",IF($E53&gt;=F$5,"常",F53))),"-"))</f>
        <v/>
      </c>
      <c r="S53" s="104" t="str">
        <f>IF($B53="","",IF(OR('②-1職員名簿'!AD53="○",'②-1職員名簿'!AD53="●"),IF($E53="正規職員","正",IF($E53="契約上の就業時間を記載","",IF($E53&gt;=G$5,"常",G53))),"-"))</f>
        <v/>
      </c>
      <c r="T53" s="104" t="str">
        <f>IF($B53="","",IF(OR('②-1職員名簿'!AE53="○",'②-1職員名簿'!AE53="●"),IF($E53="正規職員","正",IF($E53="契約上の就業時間を記載","",IF($E53&gt;=H$5,"常",H53))),"-"))</f>
        <v/>
      </c>
      <c r="U53" s="104" t="str">
        <f>IF($B53="","",IF(OR('②-1職員名簿'!AF53="○",'②-1職員名簿'!AF53="●"),IF($E53="正規職員","正",IF($E53="契約上の就業時間を記載","",IF($E53&gt;=I$5,"常",I53))),"-"))</f>
        <v/>
      </c>
      <c r="V53" s="104" t="str">
        <f>IF($B53="","",IF(OR('②-1職員名簿'!AG53="○",'②-1職員名簿'!AG53="●"),IF($E53="正規職員","正",IF($E53="契約上の就業時間を記載","",IF($E53&gt;=J$5,"常",J53))),"-"))</f>
        <v/>
      </c>
      <c r="W53" s="104" t="str">
        <f>IF($B53="","",IF(OR('②-1職員名簿'!AH53="○",'②-1職員名簿'!AH53="●"),IF($E53="正規職員","正",IF($E53="契約上の就業時間を記載","",IF($E53&gt;=K$5,"常",K53))),"-"))</f>
        <v/>
      </c>
      <c r="X53" s="104" t="str">
        <f>IF($B53="","",IF(OR('②-1職員名簿'!AI53="○",'②-1職員名簿'!AI53="●"),IF($E53="正規職員","正",IF($E53="契約上の就業時間を記載","",IF($E53&gt;=L$5,"常",L53))),"-"))</f>
        <v/>
      </c>
      <c r="Y53" s="104" t="str">
        <f>IF($B53="","",IF(OR('②-1職員名簿'!AJ53="○",'②-1職員名簿'!AJ53="●"),IF($E53="正規職員","正",IF($E53="契約上の就業時間を記載","",IF($E53&gt;=M$5,"常",M53))),"-"))</f>
        <v/>
      </c>
      <c r="Z53" s="104" t="str">
        <f>IF($B53="","",IF(OR('②-1職員名簿'!AK53="○",'②-1職員名簿'!AK53="●"),IF($E53="正規職員","正",IF($E53="契約上の就業時間を記載","",IF($E53&gt;=N$5,"常",N53))),"-"))</f>
        <v/>
      </c>
      <c r="AA53" s="104" t="str">
        <f>IF($B53="","",IF(OR('②-1職員名簿'!AL53="○",'②-1職員名簿'!AL53="●"),IF($E53="正規職員","正",IF($E53="契約上の就業時間を記載","",IF($E53&gt;=O$5,"常",O53))),"-"))</f>
        <v/>
      </c>
      <c r="AB53" s="104" t="str">
        <f>IF($B53="","",IF(OR('②-1職員名簿'!AM53="○",'②-1職員名簿'!AM53="●"),IF($E53="正規職員","正",IF($E53="契約上の就業時間を記載","",IF($E53&gt;=P$5,"常",P53))),"-"))</f>
        <v/>
      </c>
      <c r="AC53" s="104" t="str">
        <f>IF($B53="","",IF(OR('②-1職員名簿'!AN53="○",'②-1職員名簿'!AN53="●"),IF($E53="正規職員","正",IF($E53="契約上の就業時間を記載","",IF($E53&gt;=Q$5,"常",Q53))),"-"))</f>
        <v/>
      </c>
      <c r="AE53" s="101" t="str">
        <f>IF('②-1職員名簿'!W53="","",'②-1職員名簿'!W53)</f>
        <v/>
      </c>
      <c r="AJ53" s="106" t="str">
        <f t="shared" si="11"/>
        <v>○</v>
      </c>
      <c r="AK53" s="106" t="str">
        <f t="shared" si="23"/>
        <v>○</v>
      </c>
      <c r="AL53" s="106" t="str">
        <f t="shared" si="24"/>
        <v>○</v>
      </c>
      <c r="AM53" s="106" t="str">
        <f t="shared" si="25"/>
        <v>○</v>
      </c>
      <c r="AN53" s="106" t="str">
        <f t="shared" si="26"/>
        <v>○</v>
      </c>
      <c r="AO53" s="106" t="str">
        <f t="shared" si="27"/>
        <v>○</v>
      </c>
      <c r="AP53" s="106" t="str">
        <f t="shared" si="28"/>
        <v>○</v>
      </c>
      <c r="AQ53" s="106" t="str">
        <f t="shared" si="29"/>
        <v>○</v>
      </c>
      <c r="AR53" s="106" t="str">
        <f t="shared" si="30"/>
        <v>○</v>
      </c>
      <c r="AS53" s="106" t="str">
        <f t="shared" si="31"/>
        <v>○</v>
      </c>
      <c r="AT53" s="106" t="str">
        <f t="shared" si="32"/>
        <v>○</v>
      </c>
      <c r="AU53" s="106" t="str">
        <f t="shared" si="33"/>
        <v>○</v>
      </c>
    </row>
    <row r="54" spans="1:47" s="106" customFormat="1" ht="23.15" customHeight="1">
      <c r="A54" s="102">
        <v>48</v>
      </c>
      <c r="B54" s="101" t="str">
        <f>IF('②-1職員名簿'!E54="","",'②-1職員名簿'!Y54)</f>
        <v/>
      </c>
      <c r="C54" s="104" t="str">
        <f>'②-1職員名簿'!BE54</f>
        <v/>
      </c>
      <c r="D54" s="136" t="str">
        <f t="shared" si="9"/>
        <v/>
      </c>
      <c r="E54" s="20" t="str">
        <f>IF($B54="","",IF(AND('②-1職員名簿'!C54="正",'②-1職員名簿'!D54="常"),"正規職員","契約上の就業時間を記載"))</f>
        <v/>
      </c>
      <c r="F54" s="10" t="str">
        <f>IF($B54="","",IF(OR('②-1職員名簿'!AC54="○",'②-1職員名簿'!AC54="●"),IF($E54="正規職員","正",IF($E54="契約上の就業時間を記載","","実績を入力")),"-"))</f>
        <v/>
      </c>
      <c r="G54" s="10" t="str">
        <f>IF($B54="","",IF(OR('②-1職員名簿'!AD54="○",'②-1職員名簿'!AD54="●"),IF($E54="正規職員","正",IF($E54="契約上の就業時間を記載","","実績を入力")),"-"))</f>
        <v/>
      </c>
      <c r="H54" s="10" t="str">
        <f>IF($B54="","",IF(OR('②-1職員名簿'!AE54="○",'②-1職員名簿'!AE54="●"),IF($E54="正規職員","正",IF($E54="契約上の就業時間を記載","","実績を入力")),"-"))</f>
        <v/>
      </c>
      <c r="I54" s="10" t="str">
        <f>IF($B54="","",IF(OR('②-1職員名簿'!AF54="○",'②-1職員名簿'!AF54="●"),IF($E54="正規職員","正",IF($E54="契約上の就業時間を記載","","実績を入力")),"-"))</f>
        <v/>
      </c>
      <c r="J54" s="10" t="str">
        <f>IF($B54="","",IF(OR('②-1職員名簿'!AG54="○",'②-1職員名簿'!AG54="●"),IF($E54="正規職員","正",IF($E54="契約上の就業時間を記載","","実績を入力")),"-"))</f>
        <v/>
      </c>
      <c r="K54" s="10" t="str">
        <f>IF($B54="","",IF(OR('②-1職員名簿'!AH54="○",'②-1職員名簿'!AH54="●"),IF($E54="正規職員","正",IF($E54="契約上の就業時間を記載","","実績を入力")),"-"))</f>
        <v/>
      </c>
      <c r="L54" s="10" t="str">
        <f>IF($B54="","",IF(OR('②-1職員名簿'!AI54="○",'②-1職員名簿'!AI54="●"),IF($E54="正規職員","正",IF($E54="契約上の就業時間を記載","","実績を入力")),"-"))</f>
        <v/>
      </c>
      <c r="M54" s="10" t="str">
        <f>IF($B54="","",IF(OR('②-1職員名簿'!AJ54="○",'②-1職員名簿'!AJ54="●"),IF($E54="正規職員","正",IF($E54="契約上の就業時間を記載","","実績を入力")),"-"))</f>
        <v/>
      </c>
      <c r="N54" s="10" t="str">
        <f>IF($B54="","",IF(OR('②-1職員名簿'!AK54="○",'②-1職員名簿'!AK54="●"),IF($E54="正規職員","正",IF($E54="契約上の就業時間を記載","","実績を入力")),"-"))</f>
        <v/>
      </c>
      <c r="O54" s="10" t="str">
        <f>IF($B54="","",IF(OR('②-1職員名簿'!AL54="○",'②-1職員名簿'!AL54="●"),IF($E54="正規職員","正",IF($E54="契約上の就業時間を記載","","実績を入力")),"-"))</f>
        <v/>
      </c>
      <c r="P54" s="10" t="str">
        <f>IF($B54="","",IF(OR('②-1職員名簿'!AM54="○",'②-1職員名簿'!AM54="●"),IF($E54="正規職員","正",IF($E54="契約上の就業時間を記載","","実績を入力")),"-"))</f>
        <v/>
      </c>
      <c r="Q54" s="10" t="str">
        <f>IF($B54="","",IF(OR('②-1職員名簿'!AN54="○",'②-1職員名簿'!AN54="●"),IF($E54="正規職員","正",IF($E54="契約上の就業時間を記載","","実績を入力")),"-"))</f>
        <v/>
      </c>
      <c r="R54" s="104" t="str">
        <f>IF($B54="","",IF(OR('②-1職員名簿'!AC54="○",'②-1職員名簿'!AC54="●"),IF($E54="正規職員","正",IF($E54="契約上の就業時間を記載","",IF($E54&gt;=F$5,"常",F54))),"-"))</f>
        <v/>
      </c>
      <c r="S54" s="104" t="str">
        <f>IF($B54="","",IF(OR('②-1職員名簿'!AD54="○",'②-1職員名簿'!AD54="●"),IF($E54="正規職員","正",IF($E54="契約上の就業時間を記載","",IF($E54&gt;=G$5,"常",G54))),"-"))</f>
        <v/>
      </c>
      <c r="T54" s="104" t="str">
        <f>IF($B54="","",IF(OR('②-1職員名簿'!AE54="○",'②-1職員名簿'!AE54="●"),IF($E54="正規職員","正",IF($E54="契約上の就業時間を記載","",IF($E54&gt;=H$5,"常",H54))),"-"))</f>
        <v/>
      </c>
      <c r="U54" s="104" t="str">
        <f>IF($B54="","",IF(OR('②-1職員名簿'!AF54="○",'②-1職員名簿'!AF54="●"),IF($E54="正規職員","正",IF($E54="契約上の就業時間を記載","",IF($E54&gt;=I$5,"常",I54))),"-"))</f>
        <v/>
      </c>
      <c r="V54" s="104" t="str">
        <f>IF($B54="","",IF(OR('②-1職員名簿'!AG54="○",'②-1職員名簿'!AG54="●"),IF($E54="正規職員","正",IF($E54="契約上の就業時間を記載","",IF($E54&gt;=J$5,"常",J54))),"-"))</f>
        <v/>
      </c>
      <c r="W54" s="104" t="str">
        <f>IF($B54="","",IF(OR('②-1職員名簿'!AH54="○",'②-1職員名簿'!AH54="●"),IF($E54="正規職員","正",IF($E54="契約上の就業時間を記載","",IF($E54&gt;=K$5,"常",K54))),"-"))</f>
        <v/>
      </c>
      <c r="X54" s="104" t="str">
        <f>IF($B54="","",IF(OR('②-1職員名簿'!AI54="○",'②-1職員名簿'!AI54="●"),IF($E54="正規職員","正",IF($E54="契約上の就業時間を記載","",IF($E54&gt;=L$5,"常",L54))),"-"))</f>
        <v/>
      </c>
      <c r="Y54" s="104" t="str">
        <f>IF($B54="","",IF(OR('②-1職員名簿'!AJ54="○",'②-1職員名簿'!AJ54="●"),IF($E54="正規職員","正",IF($E54="契約上の就業時間を記載","",IF($E54&gt;=M$5,"常",M54))),"-"))</f>
        <v/>
      </c>
      <c r="Z54" s="104" t="str">
        <f>IF($B54="","",IF(OR('②-1職員名簿'!AK54="○",'②-1職員名簿'!AK54="●"),IF($E54="正規職員","正",IF($E54="契約上の就業時間を記載","",IF($E54&gt;=N$5,"常",N54))),"-"))</f>
        <v/>
      </c>
      <c r="AA54" s="104" t="str">
        <f>IF($B54="","",IF(OR('②-1職員名簿'!AL54="○",'②-1職員名簿'!AL54="●"),IF($E54="正規職員","正",IF($E54="契約上の就業時間を記載","",IF($E54&gt;=O$5,"常",O54))),"-"))</f>
        <v/>
      </c>
      <c r="AB54" s="104" t="str">
        <f>IF($B54="","",IF(OR('②-1職員名簿'!AM54="○",'②-1職員名簿'!AM54="●"),IF($E54="正規職員","正",IF($E54="契約上の就業時間を記載","",IF($E54&gt;=P$5,"常",P54))),"-"))</f>
        <v/>
      </c>
      <c r="AC54" s="104" t="str">
        <f>IF($B54="","",IF(OR('②-1職員名簿'!AN54="○",'②-1職員名簿'!AN54="●"),IF($E54="正規職員","正",IF($E54="契約上の就業時間を記載","",IF($E54&gt;=Q$5,"常",Q54))),"-"))</f>
        <v/>
      </c>
      <c r="AE54" s="101" t="str">
        <f>IF('②-1職員名簿'!W54="","",'②-1職員名簿'!W54)</f>
        <v/>
      </c>
      <c r="AJ54" s="106" t="str">
        <f t="shared" si="11"/>
        <v>○</v>
      </c>
      <c r="AK54" s="106" t="str">
        <f t="shared" si="23"/>
        <v>○</v>
      </c>
      <c r="AL54" s="106" t="str">
        <f t="shared" si="24"/>
        <v>○</v>
      </c>
      <c r="AM54" s="106" t="str">
        <f t="shared" si="25"/>
        <v>○</v>
      </c>
      <c r="AN54" s="106" t="str">
        <f t="shared" si="26"/>
        <v>○</v>
      </c>
      <c r="AO54" s="106" t="str">
        <f t="shared" si="27"/>
        <v>○</v>
      </c>
      <c r="AP54" s="106" t="str">
        <f t="shared" si="28"/>
        <v>○</v>
      </c>
      <c r="AQ54" s="106" t="str">
        <f t="shared" si="29"/>
        <v>○</v>
      </c>
      <c r="AR54" s="106" t="str">
        <f t="shared" si="30"/>
        <v>○</v>
      </c>
      <c r="AS54" s="106" t="str">
        <f t="shared" si="31"/>
        <v>○</v>
      </c>
      <c r="AT54" s="106" t="str">
        <f t="shared" si="32"/>
        <v>○</v>
      </c>
      <c r="AU54" s="106" t="str">
        <f t="shared" si="33"/>
        <v>○</v>
      </c>
    </row>
    <row r="55" spans="1:47" s="106" customFormat="1" ht="23.15" customHeight="1">
      <c r="A55" s="102">
        <v>49</v>
      </c>
      <c r="B55" s="101" t="str">
        <f>IF('②-1職員名簿'!E55="","",'②-1職員名簿'!Y55)</f>
        <v/>
      </c>
      <c r="C55" s="104" t="str">
        <f>'②-1職員名簿'!BE55</f>
        <v/>
      </c>
      <c r="D55" s="136" t="str">
        <f t="shared" si="9"/>
        <v/>
      </c>
      <c r="E55" s="20" t="str">
        <f>IF($B55="","",IF(AND('②-1職員名簿'!C55="正",'②-1職員名簿'!D55="常"),"正規職員","契約上の就業時間を記載"))</f>
        <v/>
      </c>
      <c r="F55" s="10" t="str">
        <f>IF($B55="","",IF(OR('②-1職員名簿'!AC55="○",'②-1職員名簿'!AC55="●"),IF($E55="正規職員","正",IF($E55="契約上の就業時間を記載","","実績を入力")),"-"))</f>
        <v/>
      </c>
      <c r="G55" s="10" t="str">
        <f>IF($B55="","",IF(OR('②-1職員名簿'!AD55="○",'②-1職員名簿'!AD55="●"),IF($E55="正規職員","正",IF($E55="契約上の就業時間を記載","","実績を入力")),"-"))</f>
        <v/>
      </c>
      <c r="H55" s="10" t="str">
        <f>IF($B55="","",IF(OR('②-1職員名簿'!AE55="○",'②-1職員名簿'!AE55="●"),IF($E55="正規職員","正",IF($E55="契約上の就業時間を記載","","実績を入力")),"-"))</f>
        <v/>
      </c>
      <c r="I55" s="10" t="str">
        <f>IF($B55="","",IF(OR('②-1職員名簿'!AF55="○",'②-1職員名簿'!AF55="●"),IF($E55="正規職員","正",IF($E55="契約上の就業時間を記載","","実績を入力")),"-"))</f>
        <v/>
      </c>
      <c r="J55" s="10" t="str">
        <f>IF($B55="","",IF(OR('②-1職員名簿'!AG55="○",'②-1職員名簿'!AG55="●"),IF($E55="正規職員","正",IF($E55="契約上の就業時間を記載","","実績を入力")),"-"))</f>
        <v/>
      </c>
      <c r="K55" s="10" t="str">
        <f>IF($B55="","",IF(OR('②-1職員名簿'!AH55="○",'②-1職員名簿'!AH55="●"),IF($E55="正規職員","正",IF($E55="契約上の就業時間を記載","","実績を入力")),"-"))</f>
        <v/>
      </c>
      <c r="L55" s="10" t="str">
        <f>IF($B55="","",IF(OR('②-1職員名簿'!AI55="○",'②-1職員名簿'!AI55="●"),IF($E55="正規職員","正",IF($E55="契約上の就業時間を記載","","実績を入力")),"-"))</f>
        <v/>
      </c>
      <c r="M55" s="10" t="str">
        <f>IF($B55="","",IF(OR('②-1職員名簿'!AJ55="○",'②-1職員名簿'!AJ55="●"),IF($E55="正規職員","正",IF($E55="契約上の就業時間を記載","","実績を入力")),"-"))</f>
        <v/>
      </c>
      <c r="N55" s="10" t="str">
        <f>IF($B55="","",IF(OR('②-1職員名簿'!AK55="○",'②-1職員名簿'!AK55="●"),IF($E55="正規職員","正",IF($E55="契約上の就業時間を記載","","実績を入力")),"-"))</f>
        <v/>
      </c>
      <c r="O55" s="10" t="str">
        <f>IF($B55="","",IF(OR('②-1職員名簿'!AL55="○",'②-1職員名簿'!AL55="●"),IF($E55="正規職員","正",IF($E55="契約上の就業時間を記載","","実績を入力")),"-"))</f>
        <v/>
      </c>
      <c r="P55" s="10" t="str">
        <f>IF($B55="","",IF(OR('②-1職員名簿'!AM55="○",'②-1職員名簿'!AM55="●"),IF($E55="正規職員","正",IF($E55="契約上の就業時間を記載","","実績を入力")),"-"))</f>
        <v/>
      </c>
      <c r="Q55" s="10" t="str">
        <f>IF($B55="","",IF(OR('②-1職員名簿'!AN55="○",'②-1職員名簿'!AN55="●"),IF($E55="正規職員","正",IF($E55="契約上の就業時間を記載","","実績を入力")),"-"))</f>
        <v/>
      </c>
      <c r="R55" s="104" t="str">
        <f>IF($B55="","",IF(OR('②-1職員名簿'!AC55="○",'②-1職員名簿'!AC55="●"),IF($E55="正規職員","正",IF($E55="契約上の就業時間を記載","",IF($E55&gt;=F$5,"常",F55))),"-"))</f>
        <v/>
      </c>
      <c r="S55" s="104" t="str">
        <f>IF($B55="","",IF(OR('②-1職員名簿'!AD55="○",'②-1職員名簿'!AD55="●"),IF($E55="正規職員","正",IF($E55="契約上の就業時間を記載","",IF($E55&gt;=G$5,"常",G55))),"-"))</f>
        <v/>
      </c>
      <c r="T55" s="104" t="str">
        <f>IF($B55="","",IF(OR('②-1職員名簿'!AE55="○",'②-1職員名簿'!AE55="●"),IF($E55="正規職員","正",IF($E55="契約上の就業時間を記載","",IF($E55&gt;=H$5,"常",H55))),"-"))</f>
        <v/>
      </c>
      <c r="U55" s="104" t="str">
        <f>IF($B55="","",IF(OR('②-1職員名簿'!AF55="○",'②-1職員名簿'!AF55="●"),IF($E55="正規職員","正",IF($E55="契約上の就業時間を記載","",IF($E55&gt;=I$5,"常",I55))),"-"))</f>
        <v/>
      </c>
      <c r="V55" s="104" t="str">
        <f>IF($B55="","",IF(OR('②-1職員名簿'!AG55="○",'②-1職員名簿'!AG55="●"),IF($E55="正規職員","正",IF($E55="契約上の就業時間を記載","",IF($E55&gt;=J$5,"常",J55))),"-"))</f>
        <v/>
      </c>
      <c r="W55" s="104" t="str">
        <f>IF($B55="","",IF(OR('②-1職員名簿'!AH55="○",'②-1職員名簿'!AH55="●"),IF($E55="正規職員","正",IF($E55="契約上の就業時間を記載","",IF($E55&gt;=K$5,"常",K55))),"-"))</f>
        <v/>
      </c>
      <c r="X55" s="104" t="str">
        <f>IF($B55="","",IF(OR('②-1職員名簿'!AI55="○",'②-1職員名簿'!AI55="●"),IF($E55="正規職員","正",IF($E55="契約上の就業時間を記載","",IF($E55&gt;=L$5,"常",L55))),"-"))</f>
        <v/>
      </c>
      <c r="Y55" s="104" t="str">
        <f>IF($B55="","",IF(OR('②-1職員名簿'!AJ55="○",'②-1職員名簿'!AJ55="●"),IF($E55="正規職員","正",IF($E55="契約上の就業時間を記載","",IF($E55&gt;=M$5,"常",M55))),"-"))</f>
        <v/>
      </c>
      <c r="Z55" s="104" t="str">
        <f>IF($B55="","",IF(OR('②-1職員名簿'!AK55="○",'②-1職員名簿'!AK55="●"),IF($E55="正規職員","正",IF($E55="契約上の就業時間を記載","",IF($E55&gt;=N$5,"常",N55))),"-"))</f>
        <v/>
      </c>
      <c r="AA55" s="104" t="str">
        <f>IF($B55="","",IF(OR('②-1職員名簿'!AL55="○",'②-1職員名簿'!AL55="●"),IF($E55="正規職員","正",IF($E55="契約上の就業時間を記載","",IF($E55&gt;=O$5,"常",O55))),"-"))</f>
        <v/>
      </c>
      <c r="AB55" s="104" t="str">
        <f>IF($B55="","",IF(OR('②-1職員名簿'!AM55="○",'②-1職員名簿'!AM55="●"),IF($E55="正規職員","正",IF($E55="契約上の就業時間を記載","",IF($E55&gt;=P$5,"常",P55))),"-"))</f>
        <v/>
      </c>
      <c r="AC55" s="104" t="str">
        <f>IF($B55="","",IF(OR('②-1職員名簿'!AN55="○",'②-1職員名簿'!AN55="●"),IF($E55="正規職員","正",IF($E55="契約上の就業時間を記載","",IF($E55&gt;=Q$5,"常",Q55))),"-"))</f>
        <v/>
      </c>
      <c r="AE55" s="101" t="str">
        <f>IF('②-1職員名簿'!W55="","",'②-1職員名簿'!W55)</f>
        <v/>
      </c>
      <c r="AJ55" s="106" t="str">
        <f t="shared" si="11"/>
        <v>○</v>
      </c>
      <c r="AK55" s="106" t="str">
        <f t="shared" si="23"/>
        <v>○</v>
      </c>
      <c r="AL55" s="106" t="str">
        <f t="shared" si="24"/>
        <v>○</v>
      </c>
      <c r="AM55" s="106" t="str">
        <f t="shared" si="25"/>
        <v>○</v>
      </c>
      <c r="AN55" s="106" t="str">
        <f t="shared" si="26"/>
        <v>○</v>
      </c>
      <c r="AO55" s="106" t="str">
        <f t="shared" si="27"/>
        <v>○</v>
      </c>
      <c r="AP55" s="106" t="str">
        <f t="shared" si="28"/>
        <v>○</v>
      </c>
      <c r="AQ55" s="106" t="str">
        <f t="shared" si="29"/>
        <v>○</v>
      </c>
      <c r="AR55" s="106" t="str">
        <f t="shared" si="30"/>
        <v>○</v>
      </c>
      <c r="AS55" s="106" t="str">
        <f t="shared" si="31"/>
        <v>○</v>
      </c>
      <c r="AT55" s="106" t="str">
        <f t="shared" ref="AT55:AT86" si="34">IF(AND($C55="常勤的非常勤",$E55&lt;P$5),"×",IF(AND($C55="短時間非常勤",P$5&lt;=$E55),"×",IF(AND($C55="嘱託常勤",$E55&lt;P$5),"×",IF(AND($C55="嘱託非常勤",P$5&lt;=$E55),"×","○"))))</f>
        <v>○</v>
      </c>
      <c r="AU55" s="106" t="str">
        <f t="shared" ref="AU55:AU86" si="35">IF(AND($C55="常勤的非常勤",$E55&lt;Q$5),"×",IF(AND($C55="短時間非常勤",Q$5&lt;=$E55),"×",IF(AND($C55="嘱託常勤",$E55&lt;Q$5),"×",IF(AND($C55="嘱託非常勤",Q$5&lt;=$E55),"×","○"))))</f>
        <v>○</v>
      </c>
    </row>
    <row r="56" spans="1:47" s="106" customFormat="1" ht="23.15" customHeight="1">
      <c r="A56" s="102">
        <v>50</v>
      </c>
      <c r="B56" s="101" t="str">
        <f>IF('②-1職員名簿'!E56="","",'②-1職員名簿'!Y56)</f>
        <v/>
      </c>
      <c r="C56" s="104" t="str">
        <f>'②-1職員名簿'!BE56</f>
        <v/>
      </c>
      <c r="D56" s="136" t="str">
        <f t="shared" si="9"/>
        <v/>
      </c>
      <c r="E56" s="20" t="str">
        <f>IF($B56="","",IF(AND('②-1職員名簿'!C56="正",'②-1職員名簿'!D56="常"),"正規職員","契約上の就業時間を記載"))</f>
        <v/>
      </c>
      <c r="F56" s="10" t="str">
        <f>IF($B56="","",IF(OR('②-1職員名簿'!AC56="○",'②-1職員名簿'!AC56="●"),IF($E56="正規職員","正",IF($E56="契約上の就業時間を記載","","実績を入力")),"-"))</f>
        <v/>
      </c>
      <c r="G56" s="10" t="str">
        <f>IF($B56="","",IF(OR('②-1職員名簿'!AD56="○",'②-1職員名簿'!AD56="●"),IF($E56="正規職員","正",IF($E56="契約上の就業時間を記載","","実績を入力")),"-"))</f>
        <v/>
      </c>
      <c r="H56" s="10" t="str">
        <f>IF($B56="","",IF(OR('②-1職員名簿'!AE56="○",'②-1職員名簿'!AE56="●"),IF($E56="正規職員","正",IF($E56="契約上の就業時間を記載","","実績を入力")),"-"))</f>
        <v/>
      </c>
      <c r="I56" s="10" t="str">
        <f>IF($B56="","",IF(OR('②-1職員名簿'!AF56="○",'②-1職員名簿'!AF56="●"),IF($E56="正規職員","正",IF($E56="契約上の就業時間を記載","","実績を入力")),"-"))</f>
        <v/>
      </c>
      <c r="J56" s="10" t="str">
        <f>IF($B56="","",IF(OR('②-1職員名簿'!AG56="○",'②-1職員名簿'!AG56="●"),IF($E56="正規職員","正",IF($E56="契約上の就業時間を記載","","実績を入力")),"-"))</f>
        <v/>
      </c>
      <c r="K56" s="10" t="str">
        <f>IF($B56="","",IF(OR('②-1職員名簿'!AH56="○",'②-1職員名簿'!AH56="●"),IF($E56="正規職員","正",IF($E56="契約上の就業時間を記載","","実績を入力")),"-"))</f>
        <v/>
      </c>
      <c r="L56" s="10" t="str">
        <f>IF($B56="","",IF(OR('②-1職員名簿'!AI56="○",'②-1職員名簿'!AI56="●"),IF($E56="正規職員","正",IF($E56="契約上の就業時間を記載","","実績を入力")),"-"))</f>
        <v/>
      </c>
      <c r="M56" s="10" t="str">
        <f>IF($B56="","",IF(OR('②-1職員名簿'!AJ56="○",'②-1職員名簿'!AJ56="●"),IF($E56="正規職員","正",IF($E56="契約上の就業時間を記載","","実績を入力")),"-"))</f>
        <v/>
      </c>
      <c r="N56" s="10" t="str">
        <f>IF($B56="","",IF(OR('②-1職員名簿'!AK56="○",'②-1職員名簿'!AK56="●"),IF($E56="正規職員","正",IF($E56="契約上の就業時間を記載","","実績を入力")),"-"))</f>
        <v/>
      </c>
      <c r="O56" s="10" t="str">
        <f>IF($B56="","",IF(OR('②-1職員名簿'!AL56="○",'②-1職員名簿'!AL56="●"),IF($E56="正規職員","正",IF($E56="契約上の就業時間を記載","","実績を入力")),"-"))</f>
        <v/>
      </c>
      <c r="P56" s="10" t="str">
        <f>IF($B56="","",IF(OR('②-1職員名簿'!AM56="○",'②-1職員名簿'!AM56="●"),IF($E56="正規職員","正",IF($E56="契約上の就業時間を記載","","実績を入力")),"-"))</f>
        <v/>
      </c>
      <c r="Q56" s="10" t="str">
        <f>IF($B56="","",IF(OR('②-1職員名簿'!AN56="○",'②-1職員名簿'!AN56="●"),IF($E56="正規職員","正",IF($E56="契約上の就業時間を記載","","実績を入力")),"-"))</f>
        <v/>
      </c>
      <c r="R56" s="104" t="str">
        <f>IF($B56="","",IF(OR('②-1職員名簿'!AC56="○",'②-1職員名簿'!AC56="●"),IF($E56="正規職員","正",IF($E56="契約上の就業時間を記載","",IF($E56&gt;=F$5,"常",F56))),"-"))</f>
        <v/>
      </c>
      <c r="S56" s="104" t="str">
        <f>IF($B56="","",IF(OR('②-1職員名簿'!AD56="○",'②-1職員名簿'!AD56="●"),IF($E56="正規職員","正",IF($E56="契約上の就業時間を記載","",IF($E56&gt;=G$5,"常",G56))),"-"))</f>
        <v/>
      </c>
      <c r="T56" s="104" t="str">
        <f>IF($B56="","",IF(OR('②-1職員名簿'!AE56="○",'②-1職員名簿'!AE56="●"),IF($E56="正規職員","正",IF($E56="契約上の就業時間を記載","",IF($E56&gt;=H$5,"常",H56))),"-"))</f>
        <v/>
      </c>
      <c r="U56" s="104" t="str">
        <f>IF($B56="","",IF(OR('②-1職員名簿'!AF56="○",'②-1職員名簿'!AF56="●"),IF($E56="正規職員","正",IF($E56="契約上の就業時間を記載","",IF($E56&gt;=I$5,"常",I56))),"-"))</f>
        <v/>
      </c>
      <c r="V56" s="104" t="str">
        <f>IF($B56="","",IF(OR('②-1職員名簿'!AG56="○",'②-1職員名簿'!AG56="●"),IF($E56="正規職員","正",IF($E56="契約上の就業時間を記載","",IF($E56&gt;=J$5,"常",J56))),"-"))</f>
        <v/>
      </c>
      <c r="W56" s="104" t="str">
        <f>IF($B56="","",IF(OR('②-1職員名簿'!AH56="○",'②-1職員名簿'!AH56="●"),IF($E56="正規職員","正",IF($E56="契約上の就業時間を記載","",IF($E56&gt;=K$5,"常",K56))),"-"))</f>
        <v/>
      </c>
      <c r="X56" s="104" t="str">
        <f>IF($B56="","",IF(OR('②-1職員名簿'!AI56="○",'②-1職員名簿'!AI56="●"),IF($E56="正規職員","正",IF($E56="契約上の就業時間を記載","",IF($E56&gt;=L$5,"常",L56))),"-"))</f>
        <v/>
      </c>
      <c r="Y56" s="104" t="str">
        <f>IF($B56="","",IF(OR('②-1職員名簿'!AJ56="○",'②-1職員名簿'!AJ56="●"),IF($E56="正規職員","正",IF($E56="契約上の就業時間を記載","",IF($E56&gt;=M$5,"常",M56))),"-"))</f>
        <v/>
      </c>
      <c r="Z56" s="104" t="str">
        <f>IF($B56="","",IF(OR('②-1職員名簿'!AK56="○",'②-1職員名簿'!AK56="●"),IF($E56="正規職員","正",IF($E56="契約上の就業時間を記載","",IF($E56&gt;=N$5,"常",N56))),"-"))</f>
        <v/>
      </c>
      <c r="AA56" s="104" t="str">
        <f>IF($B56="","",IF(OR('②-1職員名簿'!AL56="○",'②-1職員名簿'!AL56="●"),IF($E56="正規職員","正",IF($E56="契約上の就業時間を記載","",IF($E56&gt;=O$5,"常",O56))),"-"))</f>
        <v/>
      </c>
      <c r="AB56" s="104" t="str">
        <f>IF($B56="","",IF(OR('②-1職員名簿'!AM56="○",'②-1職員名簿'!AM56="●"),IF($E56="正規職員","正",IF($E56="契約上の就業時間を記載","",IF($E56&gt;=P$5,"常",P56))),"-"))</f>
        <v/>
      </c>
      <c r="AC56" s="104" t="str">
        <f>IF($B56="","",IF(OR('②-1職員名簿'!AN56="○",'②-1職員名簿'!AN56="●"),IF($E56="正規職員","正",IF($E56="契約上の就業時間を記載","",IF($E56&gt;=Q$5,"常",Q56))),"-"))</f>
        <v/>
      </c>
      <c r="AE56" s="101" t="str">
        <f>IF('②-1職員名簿'!W56="","",'②-1職員名簿'!W56)</f>
        <v/>
      </c>
      <c r="AJ56" s="106" t="str">
        <f t="shared" si="11"/>
        <v>○</v>
      </c>
      <c r="AK56" s="106" t="str">
        <f t="shared" si="23"/>
        <v>○</v>
      </c>
      <c r="AL56" s="106" t="str">
        <f t="shared" si="24"/>
        <v>○</v>
      </c>
      <c r="AM56" s="106" t="str">
        <f t="shared" si="25"/>
        <v>○</v>
      </c>
      <c r="AN56" s="106" t="str">
        <f t="shared" si="26"/>
        <v>○</v>
      </c>
      <c r="AO56" s="106" t="str">
        <f t="shared" si="27"/>
        <v>○</v>
      </c>
      <c r="AP56" s="106" t="str">
        <f t="shared" si="28"/>
        <v>○</v>
      </c>
      <c r="AQ56" s="106" t="str">
        <f t="shared" si="29"/>
        <v>○</v>
      </c>
      <c r="AR56" s="106" t="str">
        <f t="shared" si="30"/>
        <v>○</v>
      </c>
      <c r="AS56" s="106" t="str">
        <f t="shared" si="31"/>
        <v>○</v>
      </c>
      <c r="AT56" s="106" t="str">
        <f t="shared" si="34"/>
        <v>○</v>
      </c>
      <c r="AU56" s="106" t="str">
        <f t="shared" si="35"/>
        <v>○</v>
      </c>
    </row>
    <row r="57" spans="1:47" s="106" customFormat="1" ht="23.15" customHeight="1">
      <c r="A57" s="102">
        <v>51</v>
      </c>
      <c r="B57" s="101" t="str">
        <f>IF('②-1職員名簿'!E57="","",'②-1職員名簿'!Y57)</f>
        <v/>
      </c>
      <c r="C57" s="104" t="str">
        <f>'②-1職員名簿'!BE57</f>
        <v/>
      </c>
      <c r="D57" s="136" t="str">
        <f t="shared" si="9"/>
        <v/>
      </c>
      <c r="E57" s="20" t="str">
        <f>IF($B57="","",IF(AND('②-1職員名簿'!C57="正",'②-1職員名簿'!D57="常"),"正規職員","契約上の就業時間を記載"))</f>
        <v/>
      </c>
      <c r="F57" s="10" t="str">
        <f>IF($B57="","",IF(OR('②-1職員名簿'!AC57="○",'②-1職員名簿'!AC57="●"),IF($E57="正規職員","正",IF($E57="契約上の就業時間を記載","","実績を入力")),"-"))</f>
        <v/>
      </c>
      <c r="G57" s="10" t="str">
        <f>IF($B57="","",IF(OR('②-1職員名簿'!AD57="○",'②-1職員名簿'!AD57="●"),IF($E57="正規職員","正",IF($E57="契約上の就業時間を記載","","実績を入力")),"-"))</f>
        <v/>
      </c>
      <c r="H57" s="10" t="str">
        <f>IF($B57="","",IF(OR('②-1職員名簿'!AE57="○",'②-1職員名簿'!AE57="●"),IF($E57="正規職員","正",IF($E57="契約上の就業時間を記載","","実績を入力")),"-"))</f>
        <v/>
      </c>
      <c r="I57" s="10" t="str">
        <f>IF($B57="","",IF(OR('②-1職員名簿'!AF57="○",'②-1職員名簿'!AF57="●"),IF($E57="正規職員","正",IF($E57="契約上の就業時間を記載","","実績を入力")),"-"))</f>
        <v/>
      </c>
      <c r="J57" s="10" t="str">
        <f>IF($B57="","",IF(OR('②-1職員名簿'!AG57="○",'②-1職員名簿'!AG57="●"),IF($E57="正規職員","正",IF($E57="契約上の就業時間を記載","","実績を入力")),"-"))</f>
        <v/>
      </c>
      <c r="K57" s="10" t="str">
        <f>IF($B57="","",IF(OR('②-1職員名簿'!AH57="○",'②-1職員名簿'!AH57="●"),IF($E57="正規職員","正",IF($E57="契約上の就業時間を記載","","実績を入力")),"-"))</f>
        <v/>
      </c>
      <c r="L57" s="10" t="str">
        <f>IF($B57="","",IF(OR('②-1職員名簿'!AI57="○",'②-1職員名簿'!AI57="●"),IF($E57="正規職員","正",IF($E57="契約上の就業時間を記載","","実績を入力")),"-"))</f>
        <v/>
      </c>
      <c r="M57" s="10" t="str">
        <f>IF($B57="","",IF(OR('②-1職員名簿'!AJ57="○",'②-1職員名簿'!AJ57="●"),IF($E57="正規職員","正",IF($E57="契約上の就業時間を記載","","実績を入力")),"-"))</f>
        <v/>
      </c>
      <c r="N57" s="10" t="str">
        <f>IF($B57="","",IF(OR('②-1職員名簿'!AK57="○",'②-1職員名簿'!AK57="●"),IF($E57="正規職員","正",IF($E57="契約上の就業時間を記載","","実績を入力")),"-"))</f>
        <v/>
      </c>
      <c r="O57" s="10" t="str">
        <f>IF($B57="","",IF(OR('②-1職員名簿'!AL57="○",'②-1職員名簿'!AL57="●"),IF($E57="正規職員","正",IF($E57="契約上の就業時間を記載","","実績を入力")),"-"))</f>
        <v/>
      </c>
      <c r="P57" s="10" t="str">
        <f>IF($B57="","",IF(OR('②-1職員名簿'!AM57="○",'②-1職員名簿'!AM57="●"),IF($E57="正規職員","正",IF($E57="契約上の就業時間を記載","","実績を入力")),"-"))</f>
        <v/>
      </c>
      <c r="Q57" s="10" t="str">
        <f>IF($B57="","",IF(OR('②-1職員名簿'!AN57="○",'②-1職員名簿'!AN57="●"),IF($E57="正規職員","正",IF($E57="契約上の就業時間を記載","","実績を入力")),"-"))</f>
        <v/>
      </c>
      <c r="R57" s="104" t="str">
        <f>IF($B57="","",IF(OR('②-1職員名簿'!AC57="○",'②-1職員名簿'!AC57="●"),IF($E57="正規職員","正",IF($E57="契約上の就業時間を記載","",IF($E57&gt;=F$5,"常",F57))),"-"))</f>
        <v/>
      </c>
      <c r="S57" s="104" t="str">
        <f>IF($B57="","",IF(OR('②-1職員名簿'!AD57="○",'②-1職員名簿'!AD57="●"),IF($E57="正規職員","正",IF($E57="契約上の就業時間を記載","",IF($E57&gt;=G$5,"常",G57))),"-"))</f>
        <v/>
      </c>
      <c r="T57" s="104" t="str">
        <f>IF($B57="","",IF(OR('②-1職員名簿'!AE57="○",'②-1職員名簿'!AE57="●"),IF($E57="正規職員","正",IF($E57="契約上の就業時間を記載","",IF($E57&gt;=H$5,"常",H57))),"-"))</f>
        <v/>
      </c>
      <c r="U57" s="104" t="str">
        <f>IF($B57="","",IF(OR('②-1職員名簿'!AF57="○",'②-1職員名簿'!AF57="●"),IF($E57="正規職員","正",IF($E57="契約上の就業時間を記載","",IF($E57&gt;=I$5,"常",I57))),"-"))</f>
        <v/>
      </c>
      <c r="V57" s="104" t="str">
        <f>IF($B57="","",IF(OR('②-1職員名簿'!AG57="○",'②-1職員名簿'!AG57="●"),IF($E57="正規職員","正",IF($E57="契約上の就業時間を記載","",IF($E57&gt;=J$5,"常",J57))),"-"))</f>
        <v/>
      </c>
      <c r="W57" s="104" t="str">
        <f>IF($B57="","",IF(OR('②-1職員名簿'!AH57="○",'②-1職員名簿'!AH57="●"),IF($E57="正規職員","正",IF($E57="契約上の就業時間を記載","",IF($E57&gt;=K$5,"常",K57))),"-"))</f>
        <v/>
      </c>
      <c r="X57" s="104" t="str">
        <f>IF($B57="","",IF(OR('②-1職員名簿'!AI57="○",'②-1職員名簿'!AI57="●"),IF($E57="正規職員","正",IF($E57="契約上の就業時間を記載","",IF($E57&gt;=L$5,"常",L57))),"-"))</f>
        <v/>
      </c>
      <c r="Y57" s="104" t="str">
        <f>IF($B57="","",IF(OR('②-1職員名簿'!AJ57="○",'②-1職員名簿'!AJ57="●"),IF($E57="正規職員","正",IF($E57="契約上の就業時間を記載","",IF($E57&gt;=M$5,"常",M57))),"-"))</f>
        <v/>
      </c>
      <c r="Z57" s="104" t="str">
        <f>IF($B57="","",IF(OR('②-1職員名簿'!AK57="○",'②-1職員名簿'!AK57="●"),IF($E57="正規職員","正",IF($E57="契約上の就業時間を記載","",IF($E57&gt;=N$5,"常",N57))),"-"))</f>
        <v/>
      </c>
      <c r="AA57" s="104" t="str">
        <f>IF($B57="","",IF(OR('②-1職員名簿'!AL57="○",'②-1職員名簿'!AL57="●"),IF($E57="正規職員","正",IF($E57="契約上の就業時間を記載","",IF($E57&gt;=O$5,"常",O57))),"-"))</f>
        <v/>
      </c>
      <c r="AB57" s="104" t="str">
        <f>IF($B57="","",IF(OR('②-1職員名簿'!AM57="○",'②-1職員名簿'!AM57="●"),IF($E57="正規職員","正",IF($E57="契約上の就業時間を記載","",IF($E57&gt;=P$5,"常",P57))),"-"))</f>
        <v/>
      </c>
      <c r="AC57" s="104" t="str">
        <f>IF($B57="","",IF(OR('②-1職員名簿'!AN57="○",'②-1職員名簿'!AN57="●"),IF($E57="正規職員","正",IF($E57="契約上の就業時間を記載","",IF($E57&gt;=Q$5,"常",Q57))),"-"))</f>
        <v/>
      </c>
      <c r="AE57" s="101" t="str">
        <f>IF('②-1職員名簿'!W57="","",'②-1職員名簿'!W57)</f>
        <v/>
      </c>
      <c r="AJ57" s="106" t="str">
        <f t="shared" si="11"/>
        <v>○</v>
      </c>
      <c r="AK57" s="106" t="str">
        <f t="shared" si="23"/>
        <v>○</v>
      </c>
      <c r="AL57" s="106" t="str">
        <f t="shared" si="24"/>
        <v>○</v>
      </c>
      <c r="AM57" s="106" t="str">
        <f t="shared" si="25"/>
        <v>○</v>
      </c>
      <c r="AN57" s="106" t="str">
        <f t="shared" si="26"/>
        <v>○</v>
      </c>
      <c r="AO57" s="106" t="str">
        <f t="shared" si="27"/>
        <v>○</v>
      </c>
      <c r="AP57" s="106" t="str">
        <f t="shared" si="28"/>
        <v>○</v>
      </c>
      <c r="AQ57" s="106" t="str">
        <f t="shared" si="29"/>
        <v>○</v>
      </c>
      <c r="AR57" s="106" t="str">
        <f t="shared" si="30"/>
        <v>○</v>
      </c>
      <c r="AS57" s="106" t="str">
        <f t="shared" si="31"/>
        <v>○</v>
      </c>
      <c r="AT57" s="106" t="str">
        <f t="shared" si="34"/>
        <v>○</v>
      </c>
      <c r="AU57" s="106" t="str">
        <f t="shared" si="35"/>
        <v>○</v>
      </c>
    </row>
    <row r="58" spans="1:47" s="106" customFormat="1" ht="23.15" customHeight="1">
      <c r="A58" s="102">
        <v>52</v>
      </c>
      <c r="B58" s="101" t="str">
        <f>IF('②-1職員名簿'!E58="","",'②-1職員名簿'!Y58)</f>
        <v/>
      </c>
      <c r="C58" s="104" t="str">
        <f>'②-1職員名簿'!BE58</f>
        <v/>
      </c>
      <c r="D58" s="136" t="str">
        <f t="shared" si="9"/>
        <v/>
      </c>
      <c r="E58" s="20" t="str">
        <f>IF($B58="","",IF(AND('②-1職員名簿'!C58="正",'②-1職員名簿'!D58="常"),"正規職員","契約上の就業時間を記載"))</f>
        <v/>
      </c>
      <c r="F58" s="10" t="str">
        <f>IF($B58="","",IF(OR('②-1職員名簿'!AC58="○",'②-1職員名簿'!AC58="●"),IF($E58="正規職員","正",IF($E58="契約上の就業時間を記載","","実績を入力")),"-"))</f>
        <v/>
      </c>
      <c r="G58" s="10" t="str">
        <f>IF($B58="","",IF(OR('②-1職員名簿'!AD58="○",'②-1職員名簿'!AD58="●"),IF($E58="正規職員","正",IF($E58="契約上の就業時間を記載","","実績を入力")),"-"))</f>
        <v/>
      </c>
      <c r="H58" s="10" t="str">
        <f>IF($B58="","",IF(OR('②-1職員名簿'!AE58="○",'②-1職員名簿'!AE58="●"),IF($E58="正規職員","正",IF($E58="契約上の就業時間を記載","","実績を入力")),"-"))</f>
        <v/>
      </c>
      <c r="I58" s="10" t="str">
        <f>IF($B58="","",IF(OR('②-1職員名簿'!AF58="○",'②-1職員名簿'!AF58="●"),IF($E58="正規職員","正",IF($E58="契約上の就業時間を記載","","実績を入力")),"-"))</f>
        <v/>
      </c>
      <c r="J58" s="10" t="str">
        <f>IF($B58="","",IF(OR('②-1職員名簿'!AG58="○",'②-1職員名簿'!AG58="●"),IF($E58="正規職員","正",IF($E58="契約上の就業時間を記載","","実績を入力")),"-"))</f>
        <v/>
      </c>
      <c r="K58" s="10" t="str">
        <f>IF($B58="","",IF(OR('②-1職員名簿'!AH58="○",'②-1職員名簿'!AH58="●"),IF($E58="正規職員","正",IF($E58="契約上の就業時間を記載","","実績を入力")),"-"))</f>
        <v/>
      </c>
      <c r="L58" s="10" t="str">
        <f>IF($B58="","",IF(OR('②-1職員名簿'!AI58="○",'②-1職員名簿'!AI58="●"),IF($E58="正規職員","正",IF($E58="契約上の就業時間を記載","","実績を入力")),"-"))</f>
        <v/>
      </c>
      <c r="M58" s="10" t="str">
        <f>IF($B58="","",IF(OR('②-1職員名簿'!AJ58="○",'②-1職員名簿'!AJ58="●"),IF($E58="正規職員","正",IF($E58="契約上の就業時間を記載","","実績を入力")),"-"))</f>
        <v/>
      </c>
      <c r="N58" s="10" t="str">
        <f>IF($B58="","",IF(OR('②-1職員名簿'!AK58="○",'②-1職員名簿'!AK58="●"),IF($E58="正規職員","正",IF($E58="契約上の就業時間を記載","","実績を入力")),"-"))</f>
        <v/>
      </c>
      <c r="O58" s="10" t="str">
        <f>IF($B58="","",IF(OR('②-1職員名簿'!AL58="○",'②-1職員名簿'!AL58="●"),IF($E58="正規職員","正",IF($E58="契約上の就業時間を記載","","実績を入力")),"-"))</f>
        <v/>
      </c>
      <c r="P58" s="10" t="str">
        <f>IF($B58="","",IF(OR('②-1職員名簿'!AM58="○",'②-1職員名簿'!AM58="●"),IF($E58="正規職員","正",IF($E58="契約上の就業時間を記載","","実績を入力")),"-"))</f>
        <v/>
      </c>
      <c r="Q58" s="10" t="str">
        <f>IF($B58="","",IF(OR('②-1職員名簿'!AN58="○",'②-1職員名簿'!AN58="●"),IF($E58="正規職員","正",IF($E58="契約上の就業時間を記載","","実績を入力")),"-"))</f>
        <v/>
      </c>
      <c r="R58" s="104" t="str">
        <f>IF($B58="","",IF(OR('②-1職員名簿'!AC58="○",'②-1職員名簿'!AC58="●"),IF($E58="正規職員","正",IF($E58="契約上の就業時間を記載","",IF($E58&gt;=F$5,"常",F58))),"-"))</f>
        <v/>
      </c>
      <c r="S58" s="104" t="str">
        <f>IF($B58="","",IF(OR('②-1職員名簿'!AD58="○",'②-1職員名簿'!AD58="●"),IF($E58="正規職員","正",IF($E58="契約上の就業時間を記載","",IF($E58&gt;=G$5,"常",G58))),"-"))</f>
        <v/>
      </c>
      <c r="T58" s="104" t="str">
        <f>IF($B58="","",IF(OR('②-1職員名簿'!AE58="○",'②-1職員名簿'!AE58="●"),IF($E58="正規職員","正",IF($E58="契約上の就業時間を記載","",IF($E58&gt;=H$5,"常",H58))),"-"))</f>
        <v/>
      </c>
      <c r="U58" s="104" t="str">
        <f>IF($B58="","",IF(OR('②-1職員名簿'!AF58="○",'②-1職員名簿'!AF58="●"),IF($E58="正規職員","正",IF($E58="契約上の就業時間を記載","",IF($E58&gt;=I$5,"常",I58))),"-"))</f>
        <v/>
      </c>
      <c r="V58" s="104" t="str">
        <f>IF($B58="","",IF(OR('②-1職員名簿'!AG58="○",'②-1職員名簿'!AG58="●"),IF($E58="正規職員","正",IF($E58="契約上の就業時間を記載","",IF($E58&gt;=J$5,"常",J58))),"-"))</f>
        <v/>
      </c>
      <c r="W58" s="104" t="str">
        <f>IF($B58="","",IF(OR('②-1職員名簿'!AH58="○",'②-1職員名簿'!AH58="●"),IF($E58="正規職員","正",IF($E58="契約上の就業時間を記載","",IF($E58&gt;=K$5,"常",K58))),"-"))</f>
        <v/>
      </c>
      <c r="X58" s="104" t="str">
        <f>IF($B58="","",IF(OR('②-1職員名簿'!AI58="○",'②-1職員名簿'!AI58="●"),IF($E58="正規職員","正",IF($E58="契約上の就業時間を記載","",IF($E58&gt;=L$5,"常",L58))),"-"))</f>
        <v/>
      </c>
      <c r="Y58" s="104" t="str">
        <f>IF($B58="","",IF(OR('②-1職員名簿'!AJ58="○",'②-1職員名簿'!AJ58="●"),IF($E58="正規職員","正",IF($E58="契約上の就業時間を記載","",IF($E58&gt;=M$5,"常",M58))),"-"))</f>
        <v/>
      </c>
      <c r="Z58" s="104" t="str">
        <f>IF($B58="","",IF(OR('②-1職員名簿'!AK58="○",'②-1職員名簿'!AK58="●"),IF($E58="正規職員","正",IF($E58="契約上の就業時間を記載","",IF($E58&gt;=N$5,"常",N58))),"-"))</f>
        <v/>
      </c>
      <c r="AA58" s="104" t="str">
        <f>IF($B58="","",IF(OR('②-1職員名簿'!AL58="○",'②-1職員名簿'!AL58="●"),IF($E58="正規職員","正",IF($E58="契約上の就業時間を記載","",IF($E58&gt;=O$5,"常",O58))),"-"))</f>
        <v/>
      </c>
      <c r="AB58" s="104" t="str">
        <f>IF($B58="","",IF(OR('②-1職員名簿'!AM58="○",'②-1職員名簿'!AM58="●"),IF($E58="正規職員","正",IF($E58="契約上の就業時間を記載","",IF($E58&gt;=P$5,"常",P58))),"-"))</f>
        <v/>
      </c>
      <c r="AC58" s="104" t="str">
        <f>IF($B58="","",IF(OR('②-1職員名簿'!AN58="○",'②-1職員名簿'!AN58="●"),IF($E58="正規職員","正",IF($E58="契約上の就業時間を記載","",IF($E58&gt;=Q$5,"常",Q58))),"-"))</f>
        <v/>
      </c>
      <c r="AE58" s="101" t="str">
        <f>IF('②-1職員名簿'!W58="","",'②-1職員名簿'!W58)</f>
        <v/>
      </c>
      <c r="AJ58" s="106" t="str">
        <f t="shared" si="11"/>
        <v>○</v>
      </c>
      <c r="AK58" s="106" t="str">
        <f t="shared" si="23"/>
        <v>○</v>
      </c>
      <c r="AL58" s="106" t="str">
        <f t="shared" si="24"/>
        <v>○</v>
      </c>
      <c r="AM58" s="106" t="str">
        <f t="shared" si="25"/>
        <v>○</v>
      </c>
      <c r="AN58" s="106" t="str">
        <f t="shared" si="26"/>
        <v>○</v>
      </c>
      <c r="AO58" s="106" t="str">
        <f t="shared" si="27"/>
        <v>○</v>
      </c>
      <c r="AP58" s="106" t="str">
        <f t="shared" si="28"/>
        <v>○</v>
      </c>
      <c r="AQ58" s="106" t="str">
        <f t="shared" si="29"/>
        <v>○</v>
      </c>
      <c r="AR58" s="106" t="str">
        <f t="shared" si="30"/>
        <v>○</v>
      </c>
      <c r="AS58" s="106" t="str">
        <f t="shared" si="31"/>
        <v>○</v>
      </c>
      <c r="AT58" s="106" t="str">
        <f t="shared" si="34"/>
        <v>○</v>
      </c>
      <c r="AU58" s="106" t="str">
        <f t="shared" si="35"/>
        <v>○</v>
      </c>
    </row>
    <row r="59" spans="1:47" s="106" customFormat="1" ht="23.15" customHeight="1">
      <c r="A59" s="102">
        <v>53</v>
      </c>
      <c r="B59" s="101" t="str">
        <f>IF('②-1職員名簿'!E59="","",'②-1職員名簿'!Y59)</f>
        <v/>
      </c>
      <c r="C59" s="104" t="str">
        <f>'②-1職員名簿'!BE59</f>
        <v/>
      </c>
      <c r="D59" s="136" t="str">
        <f t="shared" si="9"/>
        <v/>
      </c>
      <c r="E59" s="20" t="str">
        <f>IF($B59="","",IF(AND('②-1職員名簿'!C59="正",'②-1職員名簿'!D59="常"),"正規職員","契約上の就業時間を記載"))</f>
        <v/>
      </c>
      <c r="F59" s="10" t="str">
        <f>IF($B59="","",IF(OR('②-1職員名簿'!AC59="○",'②-1職員名簿'!AC59="●"),IF($E59="正規職員","正",IF($E59="契約上の就業時間を記載","","実績を入力")),"-"))</f>
        <v/>
      </c>
      <c r="G59" s="10" t="str">
        <f>IF($B59="","",IF(OR('②-1職員名簿'!AD59="○",'②-1職員名簿'!AD59="●"),IF($E59="正規職員","正",IF($E59="契約上の就業時間を記載","","実績を入力")),"-"))</f>
        <v/>
      </c>
      <c r="H59" s="10" t="str">
        <f>IF($B59="","",IF(OR('②-1職員名簿'!AE59="○",'②-1職員名簿'!AE59="●"),IF($E59="正規職員","正",IF($E59="契約上の就業時間を記載","","実績を入力")),"-"))</f>
        <v/>
      </c>
      <c r="I59" s="10" t="str">
        <f>IF($B59="","",IF(OR('②-1職員名簿'!AF59="○",'②-1職員名簿'!AF59="●"),IF($E59="正規職員","正",IF($E59="契約上の就業時間を記載","","実績を入力")),"-"))</f>
        <v/>
      </c>
      <c r="J59" s="10" t="str">
        <f>IF($B59="","",IF(OR('②-1職員名簿'!AG59="○",'②-1職員名簿'!AG59="●"),IF($E59="正規職員","正",IF($E59="契約上の就業時間を記載","","実績を入力")),"-"))</f>
        <v/>
      </c>
      <c r="K59" s="10" t="str">
        <f>IF($B59="","",IF(OR('②-1職員名簿'!AH59="○",'②-1職員名簿'!AH59="●"),IF($E59="正規職員","正",IF($E59="契約上の就業時間を記載","","実績を入力")),"-"))</f>
        <v/>
      </c>
      <c r="L59" s="10" t="str">
        <f>IF($B59="","",IF(OR('②-1職員名簿'!AI59="○",'②-1職員名簿'!AI59="●"),IF($E59="正規職員","正",IF($E59="契約上の就業時間を記載","","実績を入力")),"-"))</f>
        <v/>
      </c>
      <c r="M59" s="10" t="str">
        <f>IF($B59="","",IF(OR('②-1職員名簿'!AJ59="○",'②-1職員名簿'!AJ59="●"),IF($E59="正規職員","正",IF($E59="契約上の就業時間を記載","","実績を入力")),"-"))</f>
        <v/>
      </c>
      <c r="N59" s="10" t="str">
        <f>IF($B59="","",IF(OR('②-1職員名簿'!AK59="○",'②-1職員名簿'!AK59="●"),IF($E59="正規職員","正",IF($E59="契約上の就業時間を記載","","実績を入力")),"-"))</f>
        <v/>
      </c>
      <c r="O59" s="10" t="str">
        <f>IF($B59="","",IF(OR('②-1職員名簿'!AL59="○",'②-1職員名簿'!AL59="●"),IF($E59="正規職員","正",IF($E59="契約上の就業時間を記載","","実績を入力")),"-"))</f>
        <v/>
      </c>
      <c r="P59" s="10" t="str">
        <f>IF($B59="","",IF(OR('②-1職員名簿'!AM59="○",'②-1職員名簿'!AM59="●"),IF($E59="正規職員","正",IF($E59="契約上の就業時間を記載","","実績を入力")),"-"))</f>
        <v/>
      </c>
      <c r="Q59" s="10" t="str">
        <f>IF($B59="","",IF(OR('②-1職員名簿'!AN59="○",'②-1職員名簿'!AN59="●"),IF($E59="正規職員","正",IF($E59="契約上の就業時間を記載","","実績を入力")),"-"))</f>
        <v/>
      </c>
      <c r="R59" s="104" t="str">
        <f>IF($B59="","",IF(OR('②-1職員名簿'!AC59="○",'②-1職員名簿'!AC59="●"),IF($E59="正規職員","正",IF($E59="契約上の就業時間を記載","",IF($E59&gt;=F$5,"常",F59))),"-"))</f>
        <v/>
      </c>
      <c r="S59" s="104" t="str">
        <f>IF($B59="","",IF(OR('②-1職員名簿'!AD59="○",'②-1職員名簿'!AD59="●"),IF($E59="正規職員","正",IF($E59="契約上の就業時間を記載","",IF($E59&gt;=G$5,"常",G59))),"-"))</f>
        <v/>
      </c>
      <c r="T59" s="104" t="str">
        <f>IF($B59="","",IF(OR('②-1職員名簿'!AE59="○",'②-1職員名簿'!AE59="●"),IF($E59="正規職員","正",IF($E59="契約上の就業時間を記載","",IF($E59&gt;=H$5,"常",H59))),"-"))</f>
        <v/>
      </c>
      <c r="U59" s="104" t="str">
        <f>IF($B59="","",IF(OR('②-1職員名簿'!AF59="○",'②-1職員名簿'!AF59="●"),IF($E59="正規職員","正",IF($E59="契約上の就業時間を記載","",IF($E59&gt;=I$5,"常",I59))),"-"))</f>
        <v/>
      </c>
      <c r="V59" s="104" t="str">
        <f>IF($B59="","",IF(OR('②-1職員名簿'!AG59="○",'②-1職員名簿'!AG59="●"),IF($E59="正規職員","正",IF($E59="契約上の就業時間を記載","",IF($E59&gt;=J$5,"常",J59))),"-"))</f>
        <v/>
      </c>
      <c r="W59" s="104" t="str">
        <f>IF($B59="","",IF(OR('②-1職員名簿'!AH59="○",'②-1職員名簿'!AH59="●"),IF($E59="正規職員","正",IF($E59="契約上の就業時間を記載","",IF($E59&gt;=K$5,"常",K59))),"-"))</f>
        <v/>
      </c>
      <c r="X59" s="104" t="str">
        <f>IF($B59="","",IF(OR('②-1職員名簿'!AI59="○",'②-1職員名簿'!AI59="●"),IF($E59="正規職員","正",IF($E59="契約上の就業時間を記載","",IF($E59&gt;=L$5,"常",L59))),"-"))</f>
        <v/>
      </c>
      <c r="Y59" s="104" t="str">
        <f>IF($B59="","",IF(OR('②-1職員名簿'!AJ59="○",'②-1職員名簿'!AJ59="●"),IF($E59="正規職員","正",IF($E59="契約上の就業時間を記載","",IF($E59&gt;=M$5,"常",M59))),"-"))</f>
        <v/>
      </c>
      <c r="Z59" s="104" t="str">
        <f>IF($B59="","",IF(OR('②-1職員名簿'!AK59="○",'②-1職員名簿'!AK59="●"),IF($E59="正規職員","正",IF($E59="契約上の就業時間を記載","",IF($E59&gt;=N$5,"常",N59))),"-"))</f>
        <v/>
      </c>
      <c r="AA59" s="104" t="str">
        <f>IF($B59="","",IF(OR('②-1職員名簿'!AL59="○",'②-1職員名簿'!AL59="●"),IF($E59="正規職員","正",IF($E59="契約上の就業時間を記載","",IF($E59&gt;=O$5,"常",O59))),"-"))</f>
        <v/>
      </c>
      <c r="AB59" s="104" t="str">
        <f>IF($B59="","",IF(OR('②-1職員名簿'!AM59="○",'②-1職員名簿'!AM59="●"),IF($E59="正規職員","正",IF($E59="契約上の就業時間を記載","",IF($E59&gt;=P$5,"常",P59))),"-"))</f>
        <v/>
      </c>
      <c r="AC59" s="104" t="str">
        <f>IF($B59="","",IF(OR('②-1職員名簿'!AN59="○",'②-1職員名簿'!AN59="●"),IF($E59="正規職員","正",IF($E59="契約上の就業時間を記載","",IF($E59&gt;=Q$5,"常",Q59))),"-"))</f>
        <v/>
      </c>
      <c r="AE59" s="101" t="str">
        <f>IF('②-1職員名簿'!W59="","",'②-1職員名簿'!W59)</f>
        <v/>
      </c>
      <c r="AJ59" s="106" t="str">
        <f t="shared" si="11"/>
        <v>○</v>
      </c>
      <c r="AK59" s="106" t="str">
        <f t="shared" si="23"/>
        <v>○</v>
      </c>
      <c r="AL59" s="106" t="str">
        <f t="shared" si="24"/>
        <v>○</v>
      </c>
      <c r="AM59" s="106" t="str">
        <f t="shared" si="25"/>
        <v>○</v>
      </c>
      <c r="AN59" s="106" t="str">
        <f t="shared" si="26"/>
        <v>○</v>
      </c>
      <c r="AO59" s="106" t="str">
        <f t="shared" si="27"/>
        <v>○</v>
      </c>
      <c r="AP59" s="106" t="str">
        <f t="shared" si="28"/>
        <v>○</v>
      </c>
      <c r="AQ59" s="106" t="str">
        <f t="shared" si="29"/>
        <v>○</v>
      </c>
      <c r="AR59" s="106" t="str">
        <f t="shared" si="30"/>
        <v>○</v>
      </c>
      <c r="AS59" s="106" t="str">
        <f t="shared" si="31"/>
        <v>○</v>
      </c>
      <c r="AT59" s="106" t="str">
        <f t="shared" si="34"/>
        <v>○</v>
      </c>
      <c r="AU59" s="106" t="str">
        <f t="shared" si="35"/>
        <v>○</v>
      </c>
    </row>
    <row r="60" spans="1:47" s="106" customFormat="1" ht="23.15" customHeight="1">
      <c r="A60" s="102">
        <v>54</v>
      </c>
      <c r="B60" s="101" t="str">
        <f>IF('②-1職員名簿'!E60="","",'②-1職員名簿'!Y60)</f>
        <v/>
      </c>
      <c r="C60" s="104" t="str">
        <f>'②-1職員名簿'!BE60</f>
        <v/>
      </c>
      <c r="D60" s="136" t="str">
        <f t="shared" si="9"/>
        <v/>
      </c>
      <c r="E60" s="20" t="str">
        <f>IF($B60="","",IF(AND('②-1職員名簿'!C60="正",'②-1職員名簿'!D60="常"),"正規職員","契約上の就業時間を記載"))</f>
        <v/>
      </c>
      <c r="F60" s="10" t="str">
        <f>IF($B60="","",IF(OR('②-1職員名簿'!AC60="○",'②-1職員名簿'!AC60="●"),IF($E60="正規職員","正",IF($E60="契約上の就業時間を記載","","実績を入力")),"-"))</f>
        <v/>
      </c>
      <c r="G60" s="10" t="str">
        <f>IF($B60="","",IF(OR('②-1職員名簿'!AD60="○",'②-1職員名簿'!AD60="●"),IF($E60="正規職員","正",IF($E60="契約上の就業時間を記載","","実績を入力")),"-"))</f>
        <v/>
      </c>
      <c r="H60" s="10" t="str">
        <f>IF($B60="","",IF(OR('②-1職員名簿'!AE60="○",'②-1職員名簿'!AE60="●"),IF($E60="正規職員","正",IF($E60="契約上の就業時間を記載","","実績を入力")),"-"))</f>
        <v/>
      </c>
      <c r="I60" s="10" t="str">
        <f>IF($B60="","",IF(OR('②-1職員名簿'!AF60="○",'②-1職員名簿'!AF60="●"),IF($E60="正規職員","正",IF($E60="契約上の就業時間を記載","","実績を入力")),"-"))</f>
        <v/>
      </c>
      <c r="J60" s="10" t="str">
        <f>IF($B60="","",IF(OR('②-1職員名簿'!AG60="○",'②-1職員名簿'!AG60="●"),IF($E60="正規職員","正",IF($E60="契約上の就業時間を記載","","実績を入力")),"-"))</f>
        <v/>
      </c>
      <c r="K60" s="10" t="str">
        <f>IF($B60="","",IF(OR('②-1職員名簿'!AH60="○",'②-1職員名簿'!AH60="●"),IF($E60="正規職員","正",IF($E60="契約上の就業時間を記載","","実績を入力")),"-"))</f>
        <v/>
      </c>
      <c r="L60" s="10" t="str">
        <f>IF($B60="","",IF(OR('②-1職員名簿'!AI60="○",'②-1職員名簿'!AI60="●"),IF($E60="正規職員","正",IF($E60="契約上の就業時間を記載","","実績を入力")),"-"))</f>
        <v/>
      </c>
      <c r="M60" s="10" t="str">
        <f>IF($B60="","",IF(OR('②-1職員名簿'!AJ60="○",'②-1職員名簿'!AJ60="●"),IF($E60="正規職員","正",IF($E60="契約上の就業時間を記載","","実績を入力")),"-"))</f>
        <v/>
      </c>
      <c r="N60" s="10" t="str">
        <f>IF($B60="","",IF(OR('②-1職員名簿'!AK60="○",'②-1職員名簿'!AK60="●"),IF($E60="正規職員","正",IF($E60="契約上の就業時間を記載","","実績を入力")),"-"))</f>
        <v/>
      </c>
      <c r="O60" s="10" t="str">
        <f>IF($B60="","",IF(OR('②-1職員名簿'!AL60="○",'②-1職員名簿'!AL60="●"),IF($E60="正規職員","正",IF($E60="契約上の就業時間を記載","","実績を入力")),"-"))</f>
        <v/>
      </c>
      <c r="P60" s="10" t="str">
        <f>IF($B60="","",IF(OR('②-1職員名簿'!AM60="○",'②-1職員名簿'!AM60="●"),IF($E60="正規職員","正",IF($E60="契約上の就業時間を記載","","実績を入力")),"-"))</f>
        <v/>
      </c>
      <c r="Q60" s="10" t="str">
        <f>IF($B60="","",IF(OR('②-1職員名簿'!AN60="○",'②-1職員名簿'!AN60="●"),IF($E60="正規職員","正",IF($E60="契約上の就業時間を記載","","実績を入力")),"-"))</f>
        <v/>
      </c>
      <c r="R60" s="104" t="str">
        <f>IF($B60="","",IF(OR('②-1職員名簿'!AC60="○",'②-1職員名簿'!AC60="●"),IF($E60="正規職員","正",IF($E60="契約上の就業時間を記載","",IF($E60&gt;=F$5,"常",F60))),"-"))</f>
        <v/>
      </c>
      <c r="S60" s="104" t="str">
        <f>IF($B60="","",IF(OR('②-1職員名簿'!AD60="○",'②-1職員名簿'!AD60="●"),IF($E60="正規職員","正",IF($E60="契約上の就業時間を記載","",IF($E60&gt;=G$5,"常",G60))),"-"))</f>
        <v/>
      </c>
      <c r="T60" s="104" t="str">
        <f>IF($B60="","",IF(OR('②-1職員名簿'!AE60="○",'②-1職員名簿'!AE60="●"),IF($E60="正規職員","正",IF($E60="契約上の就業時間を記載","",IF($E60&gt;=H$5,"常",H60))),"-"))</f>
        <v/>
      </c>
      <c r="U60" s="104" t="str">
        <f>IF($B60="","",IF(OR('②-1職員名簿'!AF60="○",'②-1職員名簿'!AF60="●"),IF($E60="正規職員","正",IF($E60="契約上の就業時間を記載","",IF($E60&gt;=I$5,"常",I60))),"-"))</f>
        <v/>
      </c>
      <c r="V60" s="104" t="str">
        <f>IF($B60="","",IF(OR('②-1職員名簿'!AG60="○",'②-1職員名簿'!AG60="●"),IF($E60="正規職員","正",IF($E60="契約上の就業時間を記載","",IF($E60&gt;=J$5,"常",J60))),"-"))</f>
        <v/>
      </c>
      <c r="W60" s="104" t="str">
        <f>IF($B60="","",IF(OR('②-1職員名簿'!AH60="○",'②-1職員名簿'!AH60="●"),IF($E60="正規職員","正",IF($E60="契約上の就業時間を記載","",IF($E60&gt;=K$5,"常",K60))),"-"))</f>
        <v/>
      </c>
      <c r="X60" s="104" t="str">
        <f>IF($B60="","",IF(OR('②-1職員名簿'!AI60="○",'②-1職員名簿'!AI60="●"),IF($E60="正規職員","正",IF($E60="契約上の就業時間を記載","",IF($E60&gt;=L$5,"常",L60))),"-"))</f>
        <v/>
      </c>
      <c r="Y60" s="104" t="str">
        <f>IF($B60="","",IF(OR('②-1職員名簿'!AJ60="○",'②-1職員名簿'!AJ60="●"),IF($E60="正規職員","正",IF($E60="契約上の就業時間を記載","",IF($E60&gt;=M$5,"常",M60))),"-"))</f>
        <v/>
      </c>
      <c r="Z60" s="104" t="str">
        <f>IF($B60="","",IF(OR('②-1職員名簿'!AK60="○",'②-1職員名簿'!AK60="●"),IF($E60="正規職員","正",IF($E60="契約上の就業時間を記載","",IF($E60&gt;=N$5,"常",N60))),"-"))</f>
        <v/>
      </c>
      <c r="AA60" s="104" t="str">
        <f>IF($B60="","",IF(OR('②-1職員名簿'!AL60="○",'②-1職員名簿'!AL60="●"),IF($E60="正規職員","正",IF($E60="契約上の就業時間を記載","",IF($E60&gt;=O$5,"常",O60))),"-"))</f>
        <v/>
      </c>
      <c r="AB60" s="104" t="str">
        <f>IF($B60="","",IF(OR('②-1職員名簿'!AM60="○",'②-1職員名簿'!AM60="●"),IF($E60="正規職員","正",IF($E60="契約上の就業時間を記載","",IF($E60&gt;=P$5,"常",P60))),"-"))</f>
        <v/>
      </c>
      <c r="AC60" s="104" t="str">
        <f>IF($B60="","",IF(OR('②-1職員名簿'!AN60="○",'②-1職員名簿'!AN60="●"),IF($E60="正規職員","正",IF($E60="契約上の就業時間を記載","",IF($E60&gt;=Q$5,"常",Q60))),"-"))</f>
        <v/>
      </c>
      <c r="AE60" s="101" t="str">
        <f>IF('②-1職員名簿'!W60="","",'②-1職員名簿'!W60)</f>
        <v/>
      </c>
      <c r="AJ60" s="106" t="str">
        <f t="shared" si="11"/>
        <v>○</v>
      </c>
      <c r="AK60" s="106" t="str">
        <f t="shared" si="23"/>
        <v>○</v>
      </c>
      <c r="AL60" s="106" t="str">
        <f t="shared" si="24"/>
        <v>○</v>
      </c>
      <c r="AM60" s="106" t="str">
        <f t="shared" si="25"/>
        <v>○</v>
      </c>
      <c r="AN60" s="106" t="str">
        <f t="shared" si="26"/>
        <v>○</v>
      </c>
      <c r="AO60" s="106" t="str">
        <f t="shared" si="27"/>
        <v>○</v>
      </c>
      <c r="AP60" s="106" t="str">
        <f t="shared" si="28"/>
        <v>○</v>
      </c>
      <c r="AQ60" s="106" t="str">
        <f t="shared" si="29"/>
        <v>○</v>
      </c>
      <c r="AR60" s="106" t="str">
        <f t="shared" si="30"/>
        <v>○</v>
      </c>
      <c r="AS60" s="106" t="str">
        <f t="shared" si="31"/>
        <v>○</v>
      </c>
      <c r="AT60" s="106" t="str">
        <f t="shared" si="34"/>
        <v>○</v>
      </c>
      <c r="AU60" s="106" t="str">
        <f t="shared" si="35"/>
        <v>○</v>
      </c>
    </row>
    <row r="61" spans="1:47" s="106" customFormat="1" ht="23.15" customHeight="1">
      <c r="A61" s="102">
        <v>55</v>
      </c>
      <c r="B61" s="101" t="str">
        <f>IF('②-1職員名簿'!E61="","",'②-1職員名簿'!Y61)</f>
        <v/>
      </c>
      <c r="C61" s="104" t="str">
        <f>'②-1職員名簿'!BE61</f>
        <v/>
      </c>
      <c r="D61" s="136" t="str">
        <f t="shared" si="9"/>
        <v/>
      </c>
      <c r="E61" s="20" t="str">
        <f>IF($B61="","",IF(AND('②-1職員名簿'!C61="正",'②-1職員名簿'!D61="常"),"正規職員","契約上の就業時間を記載"))</f>
        <v/>
      </c>
      <c r="F61" s="10" t="str">
        <f>IF($B61="","",IF(OR('②-1職員名簿'!AC61="○",'②-1職員名簿'!AC61="●"),IF($E61="正規職員","正",IF($E61="契約上の就業時間を記載","","実績を入力")),"-"))</f>
        <v/>
      </c>
      <c r="G61" s="10" t="str">
        <f>IF($B61="","",IF(OR('②-1職員名簿'!AD61="○",'②-1職員名簿'!AD61="●"),IF($E61="正規職員","正",IF($E61="契約上の就業時間を記載","","実績を入力")),"-"))</f>
        <v/>
      </c>
      <c r="H61" s="10" t="str">
        <f>IF($B61="","",IF(OR('②-1職員名簿'!AE61="○",'②-1職員名簿'!AE61="●"),IF($E61="正規職員","正",IF($E61="契約上の就業時間を記載","","実績を入力")),"-"))</f>
        <v/>
      </c>
      <c r="I61" s="10" t="str">
        <f>IF($B61="","",IF(OR('②-1職員名簿'!AF61="○",'②-1職員名簿'!AF61="●"),IF($E61="正規職員","正",IF($E61="契約上の就業時間を記載","","実績を入力")),"-"))</f>
        <v/>
      </c>
      <c r="J61" s="10" t="str">
        <f>IF($B61="","",IF(OR('②-1職員名簿'!AG61="○",'②-1職員名簿'!AG61="●"),IF($E61="正規職員","正",IF($E61="契約上の就業時間を記載","","実績を入力")),"-"))</f>
        <v/>
      </c>
      <c r="K61" s="10" t="str">
        <f>IF($B61="","",IF(OR('②-1職員名簿'!AH61="○",'②-1職員名簿'!AH61="●"),IF($E61="正規職員","正",IF($E61="契約上の就業時間を記載","","実績を入力")),"-"))</f>
        <v/>
      </c>
      <c r="L61" s="10" t="str">
        <f>IF($B61="","",IF(OR('②-1職員名簿'!AI61="○",'②-1職員名簿'!AI61="●"),IF($E61="正規職員","正",IF($E61="契約上の就業時間を記載","","実績を入力")),"-"))</f>
        <v/>
      </c>
      <c r="M61" s="10" t="str">
        <f>IF($B61="","",IF(OR('②-1職員名簿'!AJ61="○",'②-1職員名簿'!AJ61="●"),IF($E61="正規職員","正",IF($E61="契約上の就業時間を記載","","実績を入力")),"-"))</f>
        <v/>
      </c>
      <c r="N61" s="10" t="str">
        <f>IF($B61="","",IF(OR('②-1職員名簿'!AK61="○",'②-1職員名簿'!AK61="●"),IF($E61="正規職員","正",IF($E61="契約上の就業時間を記載","","実績を入力")),"-"))</f>
        <v/>
      </c>
      <c r="O61" s="10" t="str">
        <f>IF($B61="","",IF(OR('②-1職員名簿'!AL61="○",'②-1職員名簿'!AL61="●"),IF($E61="正規職員","正",IF($E61="契約上の就業時間を記載","","実績を入力")),"-"))</f>
        <v/>
      </c>
      <c r="P61" s="10" t="str">
        <f>IF($B61="","",IF(OR('②-1職員名簿'!AM61="○",'②-1職員名簿'!AM61="●"),IF($E61="正規職員","正",IF($E61="契約上の就業時間を記載","","実績を入力")),"-"))</f>
        <v/>
      </c>
      <c r="Q61" s="10" t="str">
        <f>IF($B61="","",IF(OR('②-1職員名簿'!AN61="○",'②-1職員名簿'!AN61="●"),IF($E61="正規職員","正",IF($E61="契約上の就業時間を記載","","実績を入力")),"-"))</f>
        <v/>
      </c>
      <c r="R61" s="104" t="str">
        <f>IF($B61="","",IF(OR('②-1職員名簿'!AC61="○",'②-1職員名簿'!AC61="●"),IF($E61="正規職員","正",IF($E61="契約上の就業時間を記載","",IF($E61&gt;=F$5,"常",F61))),"-"))</f>
        <v/>
      </c>
      <c r="S61" s="104" t="str">
        <f>IF($B61="","",IF(OR('②-1職員名簿'!AD61="○",'②-1職員名簿'!AD61="●"),IF($E61="正規職員","正",IF($E61="契約上の就業時間を記載","",IF($E61&gt;=G$5,"常",G61))),"-"))</f>
        <v/>
      </c>
      <c r="T61" s="104" t="str">
        <f>IF($B61="","",IF(OR('②-1職員名簿'!AE61="○",'②-1職員名簿'!AE61="●"),IF($E61="正規職員","正",IF($E61="契約上の就業時間を記載","",IF($E61&gt;=H$5,"常",H61))),"-"))</f>
        <v/>
      </c>
      <c r="U61" s="104" t="str">
        <f>IF($B61="","",IF(OR('②-1職員名簿'!AF61="○",'②-1職員名簿'!AF61="●"),IF($E61="正規職員","正",IF($E61="契約上の就業時間を記載","",IF($E61&gt;=I$5,"常",I61))),"-"))</f>
        <v/>
      </c>
      <c r="V61" s="104" t="str">
        <f>IF($B61="","",IF(OR('②-1職員名簿'!AG61="○",'②-1職員名簿'!AG61="●"),IF($E61="正規職員","正",IF($E61="契約上の就業時間を記載","",IF($E61&gt;=J$5,"常",J61))),"-"))</f>
        <v/>
      </c>
      <c r="W61" s="104" t="str">
        <f>IF($B61="","",IF(OR('②-1職員名簿'!AH61="○",'②-1職員名簿'!AH61="●"),IF($E61="正規職員","正",IF($E61="契約上の就業時間を記載","",IF($E61&gt;=K$5,"常",K61))),"-"))</f>
        <v/>
      </c>
      <c r="X61" s="104" t="str">
        <f>IF($B61="","",IF(OR('②-1職員名簿'!AI61="○",'②-1職員名簿'!AI61="●"),IF($E61="正規職員","正",IF($E61="契約上の就業時間を記載","",IF($E61&gt;=L$5,"常",L61))),"-"))</f>
        <v/>
      </c>
      <c r="Y61" s="104" t="str">
        <f>IF($B61="","",IF(OR('②-1職員名簿'!AJ61="○",'②-1職員名簿'!AJ61="●"),IF($E61="正規職員","正",IF($E61="契約上の就業時間を記載","",IF($E61&gt;=M$5,"常",M61))),"-"))</f>
        <v/>
      </c>
      <c r="Z61" s="104" t="str">
        <f>IF($B61="","",IF(OR('②-1職員名簿'!AK61="○",'②-1職員名簿'!AK61="●"),IF($E61="正規職員","正",IF($E61="契約上の就業時間を記載","",IF($E61&gt;=N$5,"常",N61))),"-"))</f>
        <v/>
      </c>
      <c r="AA61" s="104" t="str">
        <f>IF($B61="","",IF(OR('②-1職員名簿'!AL61="○",'②-1職員名簿'!AL61="●"),IF($E61="正規職員","正",IF($E61="契約上の就業時間を記載","",IF($E61&gt;=O$5,"常",O61))),"-"))</f>
        <v/>
      </c>
      <c r="AB61" s="104" t="str">
        <f>IF($B61="","",IF(OR('②-1職員名簿'!AM61="○",'②-1職員名簿'!AM61="●"),IF($E61="正規職員","正",IF($E61="契約上の就業時間を記載","",IF($E61&gt;=P$5,"常",P61))),"-"))</f>
        <v/>
      </c>
      <c r="AC61" s="104" t="str">
        <f>IF($B61="","",IF(OR('②-1職員名簿'!AN61="○",'②-1職員名簿'!AN61="●"),IF($E61="正規職員","正",IF($E61="契約上の就業時間を記載","",IF($E61&gt;=Q$5,"常",Q61))),"-"))</f>
        <v/>
      </c>
      <c r="AE61" s="101" t="str">
        <f>IF('②-1職員名簿'!W61="","",'②-1職員名簿'!W61)</f>
        <v/>
      </c>
      <c r="AJ61" s="106" t="str">
        <f t="shared" si="11"/>
        <v>○</v>
      </c>
      <c r="AK61" s="106" t="str">
        <f t="shared" si="23"/>
        <v>○</v>
      </c>
      <c r="AL61" s="106" t="str">
        <f t="shared" si="24"/>
        <v>○</v>
      </c>
      <c r="AM61" s="106" t="str">
        <f t="shared" si="25"/>
        <v>○</v>
      </c>
      <c r="AN61" s="106" t="str">
        <f t="shared" si="26"/>
        <v>○</v>
      </c>
      <c r="AO61" s="106" t="str">
        <f t="shared" si="27"/>
        <v>○</v>
      </c>
      <c r="AP61" s="106" t="str">
        <f t="shared" si="28"/>
        <v>○</v>
      </c>
      <c r="AQ61" s="106" t="str">
        <f t="shared" si="29"/>
        <v>○</v>
      </c>
      <c r="AR61" s="106" t="str">
        <f t="shared" si="30"/>
        <v>○</v>
      </c>
      <c r="AS61" s="106" t="str">
        <f t="shared" si="31"/>
        <v>○</v>
      </c>
      <c r="AT61" s="106" t="str">
        <f t="shared" si="34"/>
        <v>○</v>
      </c>
      <c r="AU61" s="106" t="str">
        <f t="shared" si="35"/>
        <v>○</v>
      </c>
    </row>
    <row r="62" spans="1:47" s="106" customFormat="1" ht="23.15" customHeight="1">
      <c r="A62" s="102">
        <v>56</v>
      </c>
      <c r="B62" s="101" t="str">
        <f>IF('②-1職員名簿'!E62="","",'②-1職員名簿'!Y62)</f>
        <v/>
      </c>
      <c r="C62" s="104" t="str">
        <f>'②-1職員名簿'!BE62</f>
        <v/>
      </c>
      <c r="D62" s="136" t="str">
        <f t="shared" si="9"/>
        <v/>
      </c>
      <c r="E62" s="20" t="str">
        <f>IF($B62="","",IF(AND('②-1職員名簿'!C62="正",'②-1職員名簿'!D62="常"),"正規職員","契約上の就業時間を記載"))</f>
        <v/>
      </c>
      <c r="F62" s="10" t="str">
        <f>IF($B62="","",IF(OR('②-1職員名簿'!AC62="○",'②-1職員名簿'!AC62="●"),IF($E62="正規職員","正",IF($E62="契約上の就業時間を記載","","実績を入力")),"-"))</f>
        <v/>
      </c>
      <c r="G62" s="10" t="str">
        <f>IF($B62="","",IF(OR('②-1職員名簿'!AD62="○",'②-1職員名簿'!AD62="●"),IF($E62="正規職員","正",IF($E62="契約上の就業時間を記載","","実績を入力")),"-"))</f>
        <v/>
      </c>
      <c r="H62" s="10" t="str">
        <f>IF($B62="","",IF(OR('②-1職員名簿'!AE62="○",'②-1職員名簿'!AE62="●"),IF($E62="正規職員","正",IF($E62="契約上の就業時間を記載","","実績を入力")),"-"))</f>
        <v/>
      </c>
      <c r="I62" s="10" t="str">
        <f>IF($B62="","",IF(OR('②-1職員名簿'!AF62="○",'②-1職員名簿'!AF62="●"),IF($E62="正規職員","正",IF($E62="契約上の就業時間を記載","","実績を入力")),"-"))</f>
        <v/>
      </c>
      <c r="J62" s="10" t="str">
        <f>IF($B62="","",IF(OR('②-1職員名簿'!AG62="○",'②-1職員名簿'!AG62="●"),IF($E62="正規職員","正",IF($E62="契約上の就業時間を記載","","実績を入力")),"-"))</f>
        <v/>
      </c>
      <c r="K62" s="10" t="str">
        <f>IF($B62="","",IF(OR('②-1職員名簿'!AH62="○",'②-1職員名簿'!AH62="●"),IF($E62="正規職員","正",IF($E62="契約上の就業時間を記載","","実績を入力")),"-"))</f>
        <v/>
      </c>
      <c r="L62" s="10" t="str">
        <f>IF($B62="","",IF(OR('②-1職員名簿'!AI62="○",'②-1職員名簿'!AI62="●"),IF($E62="正規職員","正",IF($E62="契約上の就業時間を記載","","実績を入力")),"-"))</f>
        <v/>
      </c>
      <c r="M62" s="10" t="str">
        <f>IF($B62="","",IF(OR('②-1職員名簿'!AJ62="○",'②-1職員名簿'!AJ62="●"),IF($E62="正規職員","正",IF($E62="契約上の就業時間を記載","","実績を入力")),"-"))</f>
        <v/>
      </c>
      <c r="N62" s="10" t="str">
        <f>IF($B62="","",IF(OR('②-1職員名簿'!AK62="○",'②-1職員名簿'!AK62="●"),IF($E62="正規職員","正",IF($E62="契約上の就業時間を記載","","実績を入力")),"-"))</f>
        <v/>
      </c>
      <c r="O62" s="10" t="str">
        <f>IF($B62="","",IF(OR('②-1職員名簿'!AL62="○",'②-1職員名簿'!AL62="●"),IF($E62="正規職員","正",IF($E62="契約上の就業時間を記載","","実績を入力")),"-"))</f>
        <v/>
      </c>
      <c r="P62" s="10" t="str">
        <f>IF($B62="","",IF(OR('②-1職員名簿'!AM62="○",'②-1職員名簿'!AM62="●"),IF($E62="正規職員","正",IF($E62="契約上の就業時間を記載","","実績を入力")),"-"))</f>
        <v/>
      </c>
      <c r="Q62" s="10" t="str">
        <f>IF($B62="","",IF(OR('②-1職員名簿'!AN62="○",'②-1職員名簿'!AN62="●"),IF($E62="正規職員","正",IF($E62="契約上の就業時間を記載","","実績を入力")),"-"))</f>
        <v/>
      </c>
      <c r="R62" s="104" t="str">
        <f>IF($B62="","",IF(OR('②-1職員名簿'!AC62="○",'②-1職員名簿'!AC62="●"),IF($E62="正規職員","正",IF($E62="契約上の就業時間を記載","",IF($E62&gt;=F$5,"常",F62))),"-"))</f>
        <v/>
      </c>
      <c r="S62" s="104" t="str">
        <f>IF($B62="","",IF(OR('②-1職員名簿'!AD62="○",'②-1職員名簿'!AD62="●"),IF($E62="正規職員","正",IF($E62="契約上の就業時間を記載","",IF($E62&gt;=G$5,"常",G62))),"-"))</f>
        <v/>
      </c>
      <c r="T62" s="104" t="str">
        <f>IF($B62="","",IF(OR('②-1職員名簿'!AE62="○",'②-1職員名簿'!AE62="●"),IF($E62="正規職員","正",IF($E62="契約上の就業時間を記載","",IF($E62&gt;=H$5,"常",H62))),"-"))</f>
        <v/>
      </c>
      <c r="U62" s="104" t="str">
        <f>IF($B62="","",IF(OR('②-1職員名簿'!AF62="○",'②-1職員名簿'!AF62="●"),IF($E62="正規職員","正",IF($E62="契約上の就業時間を記載","",IF($E62&gt;=I$5,"常",I62))),"-"))</f>
        <v/>
      </c>
      <c r="V62" s="104" t="str">
        <f>IF($B62="","",IF(OR('②-1職員名簿'!AG62="○",'②-1職員名簿'!AG62="●"),IF($E62="正規職員","正",IF($E62="契約上の就業時間を記載","",IF($E62&gt;=J$5,"常",J62))),"-"))</f>
        <v/>
      </c>
      <c r="W62" s="104" t="str">
        <f>IF($B62="","",IF(OR('②-1職員名簿'!AH62="○",'②-1職員名簿'!AH62="●"),IF($E62="正規職員","正",IF($E62="契約上の就業時間を記載","",IF($E62&gt;=K$5,"常",K62))),"-"))</f>
        <v/>
      </c>
      <c r="X62" s="104" t="str">
        <f>IF($B62="","",IF(OR('②-1職員名簿'!AI62="○",'②-1職員名簿'!AI62="●"),IF($E62="正規職員","正",IF($E62="契約上の就業時間を記載","",IF($E62&gt;=L$5,"常",L62))),"-"))</f>
        <v/>
      </c>
      <c r="Y62" s="104" t="str">
        <f>IF($B62="","",IF(OR('②-1職員名簿'!AJ62="○",'②-1職員名簿'!AJ62="●"),IF($E62="正規職員","正",IF($E62="契約上の就業時間を記載","",IF($E62&gt;=M$5,"常",M62))),"-"))</f>
        <v/>
      </c>
      <c r="Z62" s="104" t="str">
        <f>IF($B62="","",IF(OR('②-1職員名簿'!AK62="○",'②-1職員名簿'!AK62="●"),IF($E62="正規職員","正",IF($E62="契約上の就業時間を記載","",IF($E62&gt;=N$5,"常",N62))),"-"))</f>
        <v/>
      </c>
      <c r="AA62" s="104" t="str">
        <f>IF($B62="","",IF(OR('②-1職員名簿'!AL62="○",'②-1職員名簿'!AL62="●"),IF($E62="正規職員","正",IF($E62="契約上の就業時間を記載","",IF($E62&gt;=O$5,"常",O62))),"-"))</f>
        <v/>
      </c>
      <c r="AB62" s="104" t="str">
        <f>IF($B62="","",IF(OR('②-1職員名簿'!AM62="○",'②-1職員名簿'!AM62="●"),IF($E62="正規職員","正",IF($E62="契約上の就業時間を記載","",IF($E62&gt;=P$5,"常",P62))),"-"))</f>
        <v/>
      </c>
      <c r="AC62" s="104" t="str">
        <f>IF($B62="","",IF(OR('②-1職員名簿'!AN62="○",'②-1職員名簿'!AN62="●"),IF($E62="正規職員","正",IF($E62="契約上の就業時間を記載","",IF($E62&gt;=Q$5,"常",Q62))),"-"))</f>
        <v/>
      </c>
      <c r="AE62" s="101" t="str">
        <f>IF('②-1職員名簿'!W62="","",'②-1職員名簿'!W62)</f>
        <v/>
      </c>
      <c r="AJ62" s="106" t="str">
        <f t="shared" si="11"/>
        <v>○</v>
      </c>
      <c r="AK62" s="106" t="str">
        <f t="shared" si="23"/>
        <v>○</v>
      </c>
      <c r="AL62" s="106" t="str">
        <f t="shared" si="24"/>
        <v>○</v>
      </c>
      <c r="AM62" s="106" t="str">
        <f t="shared" si="25"/>
        <v>○</v>
      </c>
      <c r="AN62" s="106" t="str">
        <f t="shared" si="26"/>
        <v>○</v>
      </c>
      <c r="AO62" s="106" t="str">
        <f t="shared" si="27"/>
        <v>○</v>
      </c>
      <c r="AP62" s="106" t="str">
        <f t="shared" si="28"/>
        <v>○</v>
      </c>
      <c r="AQ62" s="106" t="str">
        <f t="shared" si="29"/>
        <v>○</v>
      </c>
      <c r="AR62" s="106" t="str">
        <f t="shared" si="30"/>
        <v>○</v>
      </c>
      <c r="AS62" s="106" t="str">
        <f t="shared" si="31"/>
        <v>○</v>
      </c>
      <c r="AT62" s="106" t="str">
        <f t="shared" si="34"/>
        <v>○</v>
      </c>
      <c r="AU62" s="106" t="str">
        <f t="shared" si="35"/>
        <v>○</v>
      </c>
    </row>
    <row r="63" spans="1:47" s="106" customFormat="1" ht="23.15" customHeight="1">
      <c r="A63" s="102">
        <v>57</v>
      </c>
      <c r="B63" s="101" t="str">
        <f>IF('②-1職員名簿'!E63="","",'②-1職員名簿'!Y63)</f>
        <v/>
      </c>
      <c r="C63" s="104" t="str">
        <f>'②-1職員名簿'!BE63</f>
        <v/>
      </c>
      <c r="D63" s="136" t="str">
        <f t="shared" si="9"/>
        <v/>
      </c>
      <c r="E63" s="20" t="str">
        <f>IF($B63="","",IF(AND('②-1職員名簿'!C63="正",'②-1職員名簿'!D63="常"),"正規職員","契約上の就業時間を記載"))</f>
        <v/>
      </c>
      <c r="F63" s="10" t="str">
        <f>IF($B63="","",IF(OR('②-1職員名簿'!AC63="○",'②-1職員名簿'!AC63="●"),IF($E63="正規職員","正",IF($E63="契約上の就業時間を記載","","実績を入力")),"-"))</f>
        <v/>
      </c>
      <c r="G63" s="10" t="str">
        <f>IF($B63="","",IF(OR('②-1職員名簿'!AD63="○",'②-1職員名簿'!AD63="●"),IF($E63="正規職員","正",IF($E63="契約上の就業時間を記載","","実績を入力")),"-"))</f>
        <v/>
      </c>
      <c r="H63" s="10" t="str">
        <f>IF($B63="","",IF(OR('②-1職員名簿'!AE63="○",'②-1職員名簿'!AE63="●"),IF($E63="正規職員","正",IF($E63="契約上の就業時間を記載","","実績を入力")),"-"))</f>
        <v/>
      </c>
      <c r="I63" s="10" t="str">
        <f>IF($B63="","",IF(OR('②-1職員名簿'!AF63="○",'②-1職員名簿'!AF63="●"),IF($E63="正規職員","正",IF($E63="契約上の就業時間を記載","","実績を入力")),"-"))</f>
        <v/>
      </c>
      <c r="J63" s="10" t="str">
        <f>IF($B63="","",IF(OR('②-1職員名簿'!AG63="○",'②-1職員名簿'!AG63="●"),IF($E63="正規職員","正",IF($E63="契約上の就業時間を記載","","実績を入力")),"-"))</f>
        <v/>
      </c>
      <c r="K63" s="10" t="str">
        <f>IF($B63="","",IF(OR('②-1職員名簿'!AH63="○",'②-1職員名簿'!AH63="●"),IF($E63="正規職員","正",IF($E63="契約上の就業時間を記載","","実績を入力")),"-"))</f>
        <v/>
      </c>
      <c r="L63" s="10" t="str">
        <f>IF($B63="","",IF(OR('②-1職員名簿'!AI63="○",'②-1職員名簿'!AI63="●"),IF($E63="正規職員","正",IF($E63="契約上の就業時間を記載","","実績を入力")),"-"))</f>
        <v/>
      </c>
      <c r="M63" s="10" t="str">
        <f>IF($B63="","",IF(OR('②-1職員名簿'!AJ63="○",'②-1職員名簿'!AJ63="●"),IF($E63="正規職員","正",IF($E63="契約上の就業時間を記載","","実績を入力")),"-"))</f>
        <v/>
      </c>
      <c r="N63" s="10" t="str">
        <f>IF($B63="","",IF(OR('②-1職員名簿'!AK63="○",'②-1職員名簿'!AK63="●"),IF($E63="正規職員","正",IF($E63="契約上の就業時間を記載","","実績を入力")),"-"))</f>
        <v/>
      </c>
      <c r="O63" s="10" t="str">
        <f>IF($B63="","",IF(OR('②-1職員名簿'!AL63="○",'②-1職員名簿'!AL63="●"),IF($E63="正規職員","正",IF($E63="契約上の就業時間を記載","","実績を入力")),"-"))</f>
        <v/>
      </c>
      <c r="P63" s="10" t="str">
        <f>IF($B63="","",IF(OR('②-1職員名簿'!AM63="○",'②-1職員名簿'!AM63="●"),IF($E63="正規職員","正",IF($E63="契約上の就業時間を記載","","実績を入力")),"-"))</f>
        <v/>
      </c>
      <c r="Q63" s="10" t="str">
        <f>IF($B63="","",IF(OR('②-1職員名簿'!AN63="○",'②-1職員名簿'!AN63="●"),IF($E63="正規職員","正",IF($E63="契約上の就業時間を記載","","実績を入力")),"-"))</f>
        <v/>
      </c>
      <c r="R63" s="104" t="str">
        <f>IF($B63="","",IF(OR('②-1職員名簿'!AC63="○",'②-1職員名簿'!AC63="●"),IF($E63="正規職員","正",IF($E63="契約上の就業時間を記載","",IF($E63&gt;=F$5,"常",F63))),"-"))</f>
        <v/>
      </c>
      <c r="S63" s="104" t="str">
        <f>IF($B63="","",IF(OR('②-1職員名簿'!AD63="○",'②-1職員名簿'!AD63="●"),IF($E63="正規職員","正",IF($E63="契約上の就業時間を記載","",IF($E63&gt;=G$5,"常",G63))),"-"))</f>
        <v/>
      </c>
      <c r="T63" s="104" t="str">
        <f>IF($B63="","",IF(OR('②-1職員名簿'!AE63="○",'②-1職員名簿'!AE63="●"),IF($E63="正規職員","正",IF($E63="契約上の就業時間を記載","",IF($E63&gt;=H$5,"常",H63))),"-"))</f>
        <v/>
      </c>
      <c r="U63" s="104" t="str">
        <f>IF($B63="","",IF(OR('②-1職員名簿'!AF63="○",'②-1職員名簿'!AF63="●"),IF($E63="正規職員","正",IF($E63="契約上の就業時間を記載","",IF($E63&gt;=I$5,"常",I63))),"-"))</f>
        <v/>
      </c>
      <c r="V63" s="104" t="str">
        <f>IF($B63="","",IF(OR('②-1職員名簿'!AG63="○",'②-1職員名簿'!AG63="●"),IF($E63="正規職員","正",IF($E63="契約上の就業時間を記載","",IF($E63&gt;=J$5,"常",J63))),"-"))</f>
        <v/>
      </c>
      <c r="W63" s="104" t="str">
        <f>IF($B63="","",IF(OR('②-1職員名簿'!AH63="○",'②-1職員名簿'!AH63="●"),IF($E63="正規職員","正",IF($E63="契約上の就業時間を記載","",IF($E63&gt;=K$5,"常",K63))),"-"))</f>
        <v/>
      </c>
      <c r="X63" s="104" t="str">
        <f>IF($B63="","",IF(OR('②-1職員名簿'!AI63="○",'②-1職員名簿'!AI63="●"),IF($E63="正規職員","正",IF($E63="契約上の就業時間を記載","",IF($E63&gt;=L$5,"常",L63))),"-"))</f>
        <v/>
      </c>
      <c r="Y63" s="104" t="str">
        <f>IF($B63="","",IF(OR('②-1職員名簿'!AJ63="○",'②-1職員名簿'!AJ63="●"),IF($E63="正規職員","正",IF($E63="契約上の就業時間を記載","",IF($E63&gt;=M$5,"常",M63))),"-"))</f>
        <v/>
      </c>
      <c r="Z63" s="104" t="str">
        <f>IF($B63="","",IF(OR('②-1職員名簿'!AK63="○",'②-1職員名簿'!AK63="●"),IF($E63="正規職員","正",IF($E63="契約上の就業時間を記載","",IF($E63&gt;=N$5,"常",N63))),"-"))</f>
        <v/>
      </c>
      <c r="AA63" s="104" t="str">
        <f>IF($B63="","",IF(OR('②-1職員名簿'!AL63="○",'②-1職員名簿'!AL63="●"),IF($E63="正規職員","正",IF($E63="契約上の就業時間を記載","",IF($E63&gt;=O$5,"常",O63))),"-"))</f>
        <v/>
      </c>
      <c r="AB63" s="104" t="str">
        <f>IF($B63="","",IF(OR('②-1職員名簿'!AM63="○",'②-1職員名簿'!AM63="●"),IF($E63="正規職員","正",IF($E63="契約上の就業時間を記載","",IF($E63&gt;=P$5,"常",P63))),"-"))</f>
        <v/>
      </c>
      <c r="AC63" s="104" t="str">
        <f>IF($B63="","",IF(OR('②-1職員名簿'!AN63="○",'②-1職員名簿'!AN63="●"),IF($E63="正規職員","正",IF($E63="契約上の就業時間を記載","",IF($E63&gt;=Q$5,"常",Q63))),"-"))</f>
        <v/>
      </c>
      <c r="AE63" s="101" t="str">
        <f>IF('②-1職員名簿'!W63="","",'②-1職員名簿'!W63)</f>
        <v/>
      </c>
      <c r="AJ63" s="106" t="str">
        <f t="shared" si="11"/>
        <v>○</v>
      </c>
      <c r="AK63" s="106" t="str">
        <f t="shared" si="23"/>
        <v>○</v>
      </c>
      <c r="AL63" s="106" t="str">
        <f t="shared" si="24"/>
        <v>○</v>
      </c>
      <c r="AM63" s="106" t="str">
        <f t="shared" si="25"/>
        <v>○</v>
      </c>
      <c r="AN63" s="106" t="str">
        <f t="shared" si="26"/>
        <v>○</v>
      </c>
      <c r="AO63" s="106" t="str">
        <f t="shared" si="27"/>
        <v>○</v>
      </c>
      <c r="AP63" s="106" t="str">
        <f t="shared" si="28"/>
        <v>○</v>
      </c>
      <c r="AQ63" s="106" t="str">
        <f t="shared" si="29"/>
        <v>○</v>
      </c>
      <c r="AR63" s="106" t="str">
        <f t="shared" si="30"/>
        <v>○</v>
      </c>
      <c r="AS63" s="106" t="str">
        <f t="shared" si="31"/>
        <v>○</v>
      </c>
      <c r="AT63" s="106" t="str">
        <f t="shared" si="34"/>
        <v>○</v>
      </c>
      <c r="AU63" s="106" t="str">
        <f t="shared" si="35"/>
        <v>○</v>
      </c>
    </row>
    <row r="64" spans="1:47" s="106" customFormat="1" ht="23.15" customHeight="1">
      <c r="A64" s="102">
        <v>58</v>
      </c>
      <c r="B64" s="101" t="str">
        <f>IF('②-1職員名簿'!E64="","",'②-1職員名簿'!Y64)</f>
        <v/>
      </c>
      <c r="C64" s="104" t="str">
        <f>'②-1職員名簿'!BE64</f>
        <v/>
      </c>
      <c r="D64" s="136" t="str">
        <f t="shared" si="9"/>
        <v/>
      </c>
      <c r="E64" s="20" t="str">
        <f>IF($B64="","",IF(AND('②-1職員名簿'!C64="正",'②-1職員名簿'!D64="常"),"正規職員","契約上の就業時間を記載"))</f>
        <v/>
      </c>
      <c r="F64" s="10" t="str">
        <f>IF($B64="","",IF(OR('②-1職員名簿'!AC64="○",'②-1職員名簿'!AC64="●"),IF($E64="正規職員","正",IF($E64="契約上の就業時間を記載","","実績を入力")),"-"))</f>
        <v/>
      </c>
      <c r="G64" s="10" t="str">
        <f>IF($B64="","",IF(OR('②-1職員名簿'!AD64="○",'②-1職員名簿'!AD64="●"),IF($E64="正規職員","正",IF($E64="契約上の就業時間を記載","","実績を入力")),"-"))</f>
        <v/>
      </c>
      <c r="H64" s="10" t="str">
        <f>IF($B64="","",IF(OR('②-1職員名簿'!AE64="○",'②-1職員名簿'!AE64="●"),IF($E64="正規職員","正",IF($E64="契約上の就業時間を記載","","実績を入力")),"-"))</f>
        <v/>
      </c>
      <c r="I64" s="10" t="str">
        <f>IF($B64="","",IF(OR('②-1職員名簿'!AF64="○",'②-1職員名簿'!AF64="●"),IF($E64="正規職員","正",IF($E64="契約上の就業時間を記載","","実績を入力")),"-"))</f>
        <v/>
      </c>
      <c r="J64" s="10" t="str">
        <f>IF($B64="","",IF(OR('②-1職員名簿'!AG64="○",'②-1職員名簿'!AG64="●"),IF($E64="正規職員","正",IF($E64="契約上の就業時間を記載","","実績を入力")),"-"))</f>
        <v/>
      </c>
      <c r="K64" s="10" t="str">
        <f>IF($B64="","",IF(OR('②-1職員名簿'!AH64="○",'②-1職員名簿'!AH64="●"),IF($E64="正規職員","正",IF($E64="契約上の就業時間を記載","","実績を入力")),"-"))</f>
        <v/>
      </c>
      <c r="L64" s="10" t="str">
        <f>IF($B64="","",IF(OR('②-1職員名簿'!AI64="○",'②-1職員名簿'!AI64="●"),IF($E64="正規職員","正",IF($E64="契約上の就業時間を記載","","実績を入力")),"-"))</f>
        <v/>
      </c>
      <c r="M64" s="10" t="str">
        <f>IF($B64="","",IF(OR('②-1職員名簿'!AJ64="○",'②-1職員名簿'!AJ64="●"),IF($E64="正規職員","正",IF($E64="契約上の就業時間を記載","","実績を入力")),"-"))</f>
        <v/>
      </c>
      <c r="N64" s="10" t="str">
        <f>IF($B64="","",IF(OR('②-1職員名簿'!AK64="○",'②-1職員名簿'!AK64="●"),IF($E64="正規職員","正",IF($E64="契約上の就業時間を記載","","実績を入力")),"-"))</f>
        <v/>
      </c>
      <c r="O64" s="10" t="str">
        <f>IF($B64="","",IF(OR('②-1職員名簿'!AL64="○",'②-1職員名簿'!AL64="●"),IF($E64="正規職員","正",IF($E64="契約上の就業時間を記載","","実績を入力")),"-"))</f>
        <v/>
      </c>
      <c r="P64" s="10" t="str">
        <f>IF($B64="","",IF(OR('②-1職員名簿'!AM64="○",'②-1職員名簿'!AM64="●"),IF($E64="正規職員","正",IF($E64="契約上の就業時間を記載","","実績を入力")),"-"))</f>
        <v/>
      </c>
      <c r="Q64" s="10" t="str">
        <f>IF($B64="","",IF(OR('②-1職員名簿'!AN64="○",'②-1職員名簿'!AN64="●"),IF($E64="正規職員","正",IF($E64="契約上の就業時間を記載","","実績を入力")),"-"))</f>
        <v/>
      </c>
      <c r="R64" s="104" t="str">
        <f>IF($B64="","",IF(OR('②-1職員名簿'!AC64="○",'②-1職員名簿'!AC64="●"),IF($E64="正規職員","正",IF($E64="契約上の就業時間を記載","",IF($E64&gt;=F$5,"常",F64))),"-"))</f>
        <v/>
      </c>
      <c r="S64" s="104" t="str">
        <f>IF($B64="","",IF(OR('②-1職員名簿'!AD64="○",'②-1職員名簿'!AD64="●"),IF($E64="正規職員","正",IF($E64="契約上の就業時間を記載","",IF($E64&gt;=G$5,"常",G64))),"-"))</f>
        <v/>
      </c>
      <c r="T64" s="104" t="str">
        <f>IF($B64="","",IF(OR('②-1職員名簿'!AE64="○",'②-1職員名簿'!AE64="●"),IF($E64="正規職員","正",IF($E64="契約上の就業時間を記載","",IF($E64&gt;=H$5,"常",H64))),"-"))</f>
        <v/>
      </c>
      <c r="U64" s="104" t="str">
        <f>IF($B64="","",IF(OR('②-1職員名簿'!AF64="○",'②-1職員名簿'!AF64="●"),IF($E64="正規職員","正",IF($E64="契約上の就業時間を記載","",IF($E64&gt;=I$5,"常",I64))),"-"))</f>
        <v/>
      </c>
      <c r="V64" s="104" t="str">
        <f>IF($B64="","",IF(OR('②-1職員名簿'!AG64="○",'②-1職員名簿'!AG64="●"),IF($E64="正規職員","正",IF($E64="契約上の就業時間を記載","",IF($E64&gt;=J$5,"常",J64))),"-"))</f>
        <v/>
      </c>
      <c r="W64" s="104" t="str">
        <f>IF($B64="","",IF(OR('②-1職員名簿'!AH64="○",'②-1職員名簿'!AH64="●"),IF($E64="正規職員","正",IF($E64="契約上の就業時間を記載","",IF($E64&gt;=K$5,"常",K64))),"-"))</f>
        <v/>
      </c>
      <c r="X64" s="104" t="str">
        <f>IF($B64="","",IF(OR('②-1職員名簿'!AI64="○",'②-1職員名簿'!AI64="●"),IF($E64="正規職員","正",IF($E64="契約上の就業時間を記載","",IF($E64&gt;=L$5,"常",L64))),"-"))</f>
        <v/>
      </c>
      <c r="Y64" s="104" t="str">
        <f>IF($B64="","",IF(OR('②-1職員名簿'!AJ64="○",'②-1職員名簿'!AJ64="●"),IF($E64="正規職員","正",IF($E64="契約上の就業時間を記載","",IF($E64&gt;=M$5,"常",M64))),"-"))</f>
        <v/>
      </c>
      <c r="Z64" s="104" t="str">
        <f>IF($B64="","",IF(OR('②-1職員名簿'!AK64="○",'②-1職員名簿'!AK64="●"),IF($E64="正規職員","正",IF($E64="契約上の就業時間を記載","",IF($E64&gt;=N$5,"常",N64))),"-"))</f>
        <v/>
      </c>
      <c r="AA64" s="104" t="str">
        <f>IF($B64="","",IF(OR('②-1職員名簿'!AL64="○",'②-1職員名簿'!AL64="●"),IF($E64="正規職員","正",IF($E64="契約上の就業時間を記載","",IF($E64&gt;=O$5,"常",O64))),"-"))</f>
        <v/>
      </c>
      <c r="AB64" s="104" t="str">
        <f>IF($B64="","",IF(OR('②-1職員名簿'!AM64="○",'②-1職員名簿'!AM64="●"),IF($E64="正規職員","正",IF($E64="契約上の就業時間を記載","",IF($E64&gt;=P$5,"常",P64))),"-"))</f>
        <v/>
      </c>
      <c r="AC64" s="104" t="str">
        <f>IF($B64="","",IF(OR('②-1職員名簿'!AN64="○",'②-1職員名簿'!AN64="●"),IF($E64="正規職員","正",IF($E64="契約上の就業時間を記載","",IF($E64&gt;=Q$5,"常",Q64))),"-"))</f>
        <v/>
      </c>
      <c r="AE64" s="101" t="str">
        <f>IF('②-1職員名簿'!W64="","",'②-1職員名簿'!W64)</f>
        <v/>
      </c>
      <c r="AJ64" s="106" t="str">
        <f t="shared" si="11"/>
        <v>○</v>
      </c>
      <c r="AK64" s="106" t="str">
        <f t="shared" si="23"/>
        <v>○</v>
      </c>
      <c r="AL64" s="106" t="str">
        <f t="shared" si="24"/>
        <v>○</v>
      </c>
      <c r="AM64" s="106" t="str">
        <f t="shared" si="25"/>
        <v>○</v>
      </c>
      <c r="AN64" s="106" t="str">
        <f t="shared" si="26"/>
        <v>○</v>
      </c>
      <c r="AO64" s="106" t="str">
        <f t="shared" si="27"/>
        <v>○</v>
      </c>
      <c r="AP64" s="106" t="str">
        <f t="shared" si="28"/>
        <v>○</v>
      </c>
      <c r="AQ64" s="106" t="str">
        <f t="shared" si="29"/>
        <v>○</v>
      </c>
      <c r="AR64" s="106" t="str">
        <f t="shared" si="30"/>
        <v>○</v>
      </c>
      <c r="AS64" s="106" t="str">
        <f t="shared" si="31"/>
        <v>○</v>
      </c>
      <c r="AT64" s="106" t="str">
        <f t="shared" si="34"/>
        <v>○</v>
      </c>
      <c r="AU64" s="106" t="str">
        <f t="shared" si="35"/>
        <v>○</v>
      </c>
    </row>
    <row r="65" spans="1:47" s="106" customFormat="1" ht="23.15" customHeight="1">
      <c r="A65" s="102">
        <v>59</v>
      </c>
      <c r="B65" s="101" t="str">
        <f>IF('②-1職員名簿'!E65="","",'②-1職員名簿'!Y65)</f>
        <v/>
      </c>
      <c r="C65" s="104" t="str">
        <f>'②-1職員名簿'!BE65</f>
        <v/>
      </c>
      <c r="D65" s="136" t="str">
        <f t="shared" si="9"/>
        <v/>
      </c>
      <c r="E65" s="20" t="str">
        <f>IF($B65="","",IF(AND('②-1職員名簿'!C65="正",'②-1職員名簿'!D65="常"),"正規職員","契約上の就業時間を記載"))</f>
        <v/>
      </c>
      <c r="F65" s="10" t="str">
        <f>IF($B65="","",IF(OR('②-1職員名簿'!AC65="○",'②-1職員名簿'!AC65="●"),IF($E65="正規職員","正",IF($E65="契約上の就業時間を記載","","実績を入力")),"-"))</f>
        <v/>
      </c>
      <c r="G65" s="10" t="str">
        <f>IF($B65="","",IF(OR('②-1職員名簿'!AD65="○",'②-1職員名簿'!AD65="●"),IF($E65="正規職員","正",IF($E65="契約上の就業時間を記載","","実績を入力")),"-"))</f>
        <v/>
      </c>
      <c r="H65" s="10" t="str">
        <f>IF($B65="","",IF(OR('②-1職員名簿'!AE65="○",'②-1職員名簿'!AE65="●"),IF($E65="正規職員","正",IF($E65="契約上の就業時間を記載","","実績を入力")),"-"))</f>
        <v/>
      </c>
      <c r="I65" s="10" t="str">
        <f>IF($B65="","",IF(OR('②-1職員名簿'!AF65="○",'②-1職員名簿'!AF65="●"),IF($E65="正規職員","正",IF($E65="契約上の就業時間を記載","","実績を入力")),"-"))</f>
        <v/>
      </c>
      <c r="J65" s="10" t="str">
        <f>IF($B65="","",IF(OR('②-1職員名簿'!AG65="○",'②-1職員名簿'!AG65="●"),IF($E65="正規職員","正",IF($E65="契約上の就業時間を記載","","実績を入力")),"-"))</f>
        <v/>
      </c>
      <c r="K65" s="10" t="str">
        <f>IF($B65="","",IF(OR('②-1職員名簿'!AH65="○",'②-1職員名簿'!AH65="●"),IF($E65="正規職員","正",IF($E65="契約上の就業時間を記載","","実績を入力")),"-"))</f>
        <v/>
      </c>
      <c r="L65" s="10" t="str">
        <f>IF($B65="","",IF(OR('②-1職員名簿'!AI65="○",'②-1職員名簿'!AI65="●"),IF($E65="正規職員","正",IF($E65="契約上の就業時間を記載","","実績を入力")),"-"))</f>
        <v/>
      </c>
      <c r="M65" s="10" t="str">
        <f>IF($B65="","",IF(OR('②-1職員名簿'!AJ65="○",'②-1職員名簿'!AJ65="●"),IF($E65="正規職員","正",IF($E65="契約上の就業時間を記載","","実績を入力")),"-"))</f>
        <v/>
      </c>
      <c r="N65" s="10" t="str">
        <f>IF($B65="","",IF(OR('②-1職員名簿'!AK65="○",'②-1職員名簿'!AK65="●"),IF($E65="正規職員","正",IF($E65="契約上の就業時間を記載","","実績を入力")),"-"))</f>
        <v/>
      </c>
      <c r="O65" s="10" t="str">
        <f>IF($B65="","",IF(OR('②-1職員名簿'!AL65="○",'②-1職員名簿'!AL65="●"),IF($E65="正規職員","正",IF($E65="契約上の就業時間を記載","","実績を入力")),"-"))</f>
        <v/>
      </c>
      <c r="P65" s="10" t="str">
        <f>IF($B65="","",IF(OR('②-1職員名簿'!AM65="○",'②-1職員名簿'!AM65="●"),IF($E65="正規職員","正",IF($E65="契約上の就業時間を記載","","実績を入力")),"-"))</f>
        <v/>
      </c>
      <c r="Q65" s="10" t="str">
        <f>IF($B65="","",IF(OR('②-1職員名簿'!AN65="○",'②-1職員名簿'!AN65="●"),IF($E65="正規職員","正",IF($E65="契約上の就業時間を記載","","実績を入力")),"-"))</f>
        <v/>
      </c>
      <c r="R65" s="104" t="str">
        <f>IF($B65="","",IF(OR('②-1職員名簿'!AC65="○",'②-1職員名簿'!AC65="●"),IF($E65="正規職員","正",IF($E65="契約上の就業時間を記載","",IF($E65&gt;=F$5,"常",F65))),"-"))</f>
        <v/>
      </c>
      <c r="S65" s="104" t="str">
        <f>IF($B65="","",IF(OR('②-1職員名簿'!AD65="○",'②-1職員名簿'!AD65="●"),IF($E65="正規職員","正",IF($E65="契約上の就業時間を記載","",IF($E65&gt;=G$5,"常",G65))),"-"))</f>
        <v/>
      </c>
      <c r="T65" s="104" t="str">
        <f>IF($B65="","",IF(OR('②-1職員名簿'!AE65="○",'②-1職員名簿'!AE65="●"),IF($E65="正規職員","正",IF($E65="契約上の就業時間を記載","",IF($E65&gt;=H$5,"常",H65))),"-"))</f>
        <v/>
      </c>
      <c r="U65" s="104" t="str">
        <f>IF($B65="","",IF(OR('②-1職員名簿'!AF65="○",'②-1職員名簿'!AF65="●"),IF($E65="正規職員","正",IF($E65="契約上の就業時間を記載","",IF($E65&gt;=I$5,"常",I65))),"-"))</f>
        <v/>
      </c>
      <c r="V65" s="104" t="str">
        <f>IF($B65="","",IF(OR('②-1職員名簿'!AG65="○",'②-1職員名簿'!AG65="●"),IF($E65="正規職員","正",IF($E65="契約上の就業時間を記載","",IF($E65&gt;=J$5,"常",J65))),"-"))</f>
        <v/>
      </c>
      <c r="W65" s="104" t="str">
        <f>IF($B65="","",IF(OR('②-1職員名簿'!AH65="○",'②-1職員名簿'!AH65="●"),IF($E65="正規職員","正",IF($E65="契約上の就業時間を記載","",IF($E65&gt;=K$5,"常",K65))),"-"))</f>
        <v/>
      </c>
      <c r="X65" s="104" t="str">
        <f>IF($B65="","",IF(OR('②-1職員名簿'!AI65="○",'②-1職員名簿'!AI65="●"),IF($E65="正規職員","正",IF($E65="契約上の就業時間を記載","",IF($E65&gt;=L$5,"常",L65))),"-"))</f>
        <v/>
      </c>
      <c r="Y65" s="104" t="str">
        <f>IF($B65="","",IF(OR('②-1職員名簿'!AJ65="○",'②-1職員名簿'!AJ65="●"),IF($E65="正規職員","正",IF($E65="契約上の就業時間を記載","",IF($E65&gt;=M$5,"常",M65))),"-"))</f>
        <v/>
      </c>
      <c r="Z65" s="104" t="str">
        <f>IF($B65="","",IF(OR('②-1職員名簿'!AK65="○",'②-1職員名簿'!AK65="●"),IF($E65="正規職員","正",IF($E65="契約上の就業時間を記載","",IF($E65&gt;=N$5,"常",N65))),"-"))</f>
        <v/>
      </c>
      <c r="AA65" s="104" t="str">
        <f>IF($B65="","",IF(OR('②-1職員名簿'!AL65="○",'②-1職員名簿'!AL65="●"),IF($E65="正規職員","正",IF($E65="契約上の就業時間を記載","",IF($E65&gt;=O$5,"常",O65))),"-"))</f>
        <v/>
      </c>
      <c r="AB65" s="104" t="str">
        <f>IF($B65="","",IF(OR('②-1職員名簿'!AM65="○",'②-1職員名簿'!AM65="●"),IF($E65="正規職員","正",IF($E65="契約上の就業時間を記載","",IF($E65&gt;=P$5,"常",P65))),"-"))</f>
        <v/>
      </c>
      <c r="AC65" s="104" t="str">
        <f>IF($B65="","",IF(OR('②-1職員名簿'!AN65="○",'②-1職員名簿'!AN65="●"),IF($E65="正規職員","正",IF($E65="契約上の就業時間を記載","",IF($E65&gt;=Q$5,"常",Q65))),"-"))</f>
        <v/>
      </c>
      <c r="AE65" s="101" t="str">
        <f>IF('②-1職員名簿'!W65="","",'②-1職員名簿'!W65)</f>
        <v/>
      </c>
      <c r="AJ65" s="106" t="str">
        <f t="shared" si="11"/>
        <v>○</v>
      </c>
      <c r="AK65" s="106" t="str">
        <f t="shared" si="23"/>
        <v>○</v>
      </c>
      <c r="AL65" s="106" t="str">
        <f t="shared" si="24"/>
        <v>○</v>
      </c>
      <c r="AM65" s="106" t="str">
        <f t="shared" si="25"/>
        <v>○</v>
      </c>
      <c r="AN65" s="106" t="str">
        <f t="shared" si="26"/>
        <v>○</v>
      </c>
      <c r="AO65" s="106" t="str">
        <f t="shared" si="27"/>
        <v>○</v>
      </c>
      <c r="AP65" s="106" t="str">
        <f t="shared" si="28"/>
        <v>○</v>
      </c>
      <c r="AQ65" s="106" t="str">
        <f t="shared" si="29"/>
        <v>○</v>
      </c>
      <c r="AR65" s="106" t="str">
        <f t="shared" si="30"/>
        <v>○</v>
      </c>
      <c r="AS65" s="106" t="str">
        <f t="shared" si="31"/>
        <v>○</v>
      </c>
      <c r="AT65" s="106" t="str">
        <f t="shared" si="34"/>
        <v>○</v>
      </c>
      <c r="AU65" s="106" t="str">
        <f t="shared" si="35"/>
        <v>○</v>
      </c>
    </row>
    <row r="66" spans="1:47" s="106" customFormat="1" ht="23.15" customHeight="1">
      <c r="A66" s="102">
        <v>60</v>
      </c>
      <c r="B66" s="101" t="str">
        <f>IF('②-1職員名簿'!E66="","",'②-1職員名簿'!Y66)</f>
        <v/>
      </c>
      <c r="C66" s="104" t="str">
        <f>'②-1職員名簿'!BE66</f>
        <v/>
      </c>
      <c r="D66" s="136" t="str">
        <f t="shared" si="9"/>
        <v/>
      </c>
      <c r="E66" s="20" t="str">
        <f>IF($B66="","",IF(AND('②-1職員名簿'!C66="正",'②-1職員名簿'!D66="常"),"正規職員","契約上の就業時間を記載"))</f>
        <v/>
      </c>
      <c r="F66" s="10" t="str">
        <f>IF($B66="","",IF(OR('②-1職員名簿'!AC66="○",'②-1職員名簿'!AC66="●"),IF($E66="正規職員","正",IF($E66="契約上の就業時間を記載","","実績を入力")),"-"))</f>
        <v/>
      </c>
      <c r="G66" s="10" t="str">
        <f>IF($B66="","",IF(OR('②-1職員名簿'!AD66="○",'②-1職員名簿'!AD66="●"),IF($E66="正規職員","正",IF($E66="契約上の就業時間を記載","","実績を入力")),"-"))</f>
        <v/>
      </c>
      <c r="H66" s="10" t="str">
        <f>IF($B66="","",IF(OR('②-1職員名簿'!AE66="○",'②-1職員名簿'!AE66="●"),IF($E66="正規職員","正",IF($E66="契約上の就業時間を記載","","実績を入力")),"-"))</f>
        <v/>
      </c>
      <c r="I66" s="10" t="str">
        <f>IF($B66="","",IF(OR('②-1職員名簿'!AF66="○",'②-1職員名簿'!AF66="●"),IF($E66="正規職員","正",IF($E66="契約上の就業時間を記載","","実績を入力")),"-"))</f>
        <v/>
      </c>
      <c r="J66" s="10" t="str">
        <f>IF($B66="","",IF(OR('②-1職員名簿'!AG66="○",'②-1職員名簿'!AG66="●"),IF($E66="正規職員","正",IF($E66="契約上の就業時間を記載","","実績を入力")),"-"))</f>
        <v/>
      </c>
      <c r="K66" s="10" t="str">
        <f>IF($B66="","",IF(OR('②-1職員名簿'!AH66="○",'②-1職員名簿'!AH66="●"),IF($E66="正規職員","正",IF($E66="契約上の就業時間を記載","","実績を入力")),"-"))</f>
        <v/>
      </c>
      <c r="L66" s="10" t="str">
        <f>IF($B66="","",IF(OR('②-1職員名簿'!AI66="○",'②-1職員名簿'!AI66="●"),IF($E66="正規職員","正",IF($E66="契約上の就業時間を記載","","実績を入力")),"-"))</f>
        <v/>
      </c>
      <c r="M66" s="10" t="str">
        <f>IF($B66="","",IF(OR('②-1職員名簿'!AJ66="○",'②-1職員名簿'!AJ66="●"),IF($E66="正規職員","正",IF($E66="契約上の就業時間を記載","","実績を入力")),"-"))</f>
        <v/>
      </c>
      <c r="N66" s="10" t="str">
        <f>IF($B66="","",IF(OR('②-1職員名簿'!AK66="○",'②-1職員名簿'!AK66="●"),IF($E66="正規職員","正",IF($E66="契約上の就業時間を記載","","実績を入力")),"-"))</f>
        <v/>
      </c>
      <c r="O66" s="10" t="str">
        <f>IF($B66="","",IF(OR('②-1職員名簿'!AL66="○",'②-1職員名簿'!AL66="●"),IF($E66="正規職員","正",IF($E66="契約上の就業時間を記載","","実績を入力")),"-"))</f>
        <v/>
      </c>
      <c r="P66" s="10" t="str">
        <f>IF($B66="","",IF(OR('②-1職員名簿'!AM66="○",'②-1職員名簿'!AM66="●"),IF($E66="正規職員","正",IF($E66="契約上の就業時間を記載","","実績を入力")),"-"))</f>
        <v/>
      </c>
      <c r="Q66" s="10" t="str">
        <f>IF($B66="","",IF(OR('②-1職員名簿'!AN66="○",'②-1職員名簿'!AN66="●"),IF($E66="正規職員","正",IF($E66="契約上の就業時間を記載","","実績を入力")),"-"))</f>
        <v/>
      </c>
      <c r="R66" s="104" t="str">
        <f>IF($B66="","",IF(OR('②-1職員名簿'!AC66="○",'②-1職員名簿'!AC66="●"),IF($E66="正規職員","正",IF($E66="契約上の就業時間を記載","",IF($E66&gt;=F$5,"常",F66))),"-"))</f>
        <v/>
      </c>
      <c r="S66" s="104" t="str">
        <f>IF($B66="","",IF(OR('②-1職員名簿'!AD66="○",'②-1職員名簿'!AD66="●"),IF($E66="正規職員","正",IF($E66="契約上の就業時間を記載","",IF($E66&gt;=G$5,"常",G66))),"-"))</f>
        <v/>
      </c>
      <c r="T66" s="104" t="str">
        <f>IF($B66="","",IF(OR('②-1職員名簿'!AE66="○",'②-1職員名簿'!AE66="●"),IF($E66="正規職員","正",IF($E66="契約上の就業時間を記載","",IF($E66&gt;=H$5,"常",H66))),"-"))</f>
        <v/>
      </c>
      <c r="U66" s="104" t="str">
        <f>IF($B66="","",IF(OR('②-1職員名簿'!AF66="○",'②-1職員名簿'!AF66="●"),IF($E66="正規職員","正",IF($E66="契約上の就業時間を記載","",IF($E66&gt;=I$5,"常",I66))),"-"))</f>
        <v/>
      </c>
      <c r="V66" s="104" t="str">
        <f>IF($B66="","",IF(OR('②-1職員名簿'!AG66="○",'②-1職員名簿'!AG66="●"),IF($E66="正規職員","正",IF($E66="契約上の就業時間を記載","",IF($E66&gt;=J$5,"常",J66))),"-"))</f>
        <v/>
      </c>
      <c r="W66" s="104" t="str">
        <f>IF($B66="","",IF(OR('②-1職員名簿'!AH66="○",'②-1職員名簿'!AH66="●"),IF($E66="正規職員","正",IF($E66="契約上の就業時間を記載","",IF($E66&gt;=K$5,"常",K66))),"-"))</f>
        <v/>
      </c>
      <c r="X66" s="104" t="str">
        <f>IF($B66="","",IF(OR('②-1職員名簿'!AI66="○",'②-1職員名簿'!AI66="●"),IF($E66="正規職員","正",IF($E66="契約上の就業時間を記載","",IF($E66&gt;=L$5,"常",L66))),"-"))</f>
        <v/>
      </c>
      <c r="Y66" s="104" t="str">
        <f>IF($B66="","",IF(OR('②-1職員名簿'!AJ66="○",'②-1職員名簿'!AJ66="●"),IF($E66="正規職員","正",IF($E66="契約上の就業時間を記載","",IF($E66&gt;=M$5,"常",M66))),"-"))</f>
        <v/>
      </c>
      <c r="Z66" s="104" t="str">
        <f>IF($B66="","",IF(OR('②-1職員名簿'!AK66="○",'②-1職員名簿'!AK66="●"),IF($E66="正規職員","正",IF($E66="契約上の就業時間を記載","",IF($E66&gt;=N$5,"常",N66))),"-"))</f>
        <v/>
      </c>
      <c r="AA66" s="104" t="str">
        <f>IF($B66="","",IF(OR('②-1職員名簿'!AL66="○",'②-1職員名簿'!AL66="●"),IF($E66="正規職員","正",IF($E66="契約上の就業時間を記載","",IF($E66&gt;=O$5,"常",O66))),"-"))</f>
        <v/>
      </c>
      <c r="AB66" s="104" t="str">
        <f>IF($B66="","",IF(OR('②-1職員名簿'!AM66="○",'②-1職員名簿'!AM66="●"),IF($E66="正規職員","正",IF($E66="契約上の就業時間を記載","",IF($E66&gt;=P$5,"常",P66))),"-"))</f>
        <v/>
      </c>
      <c r="AC66" s="104" t="str">
        <f>IF($B66="","",IF(OR('②-1職員名簿'!AN66="○",'②-1職員名簿'!AN66="●"),IF($E66="正規職員","正",IF($E66="契約上の就業時間を記載","",IF($E66&gt;=Q$5,"常",Q66))),"-"))</f>
        <v/>
      </c>
      <c r="AE66" s="101" t="str">
        <f>IF('②-1職員名簿'!W66="","",'②-1職員名簿'!W66)</f>
        <v/>
      </c>
      <c r="AJ66" s="106" t="str">
        <f t="shared" si="11"/>
        <v>○</v>
      </c>
      <c r="AK66" s="106" t="str">
        <f t="shared" si="23"/>
        <v>○</v>
      </c>
      <c r="AL66" s="106" t="str">
        <f t="shared" si="24"/>
        <v>○</v>
      </c>
      <c r="AM66" s="106" t="str">
        <f t="shared" si="25"/>
        <v>○</v>
      </c>
      <c r="AN66" s="106" t="str">
        <f t="shared" si="26"/>
        <v>○</v>
      </c>
      <c r="AO66" s="106" t="str">
        <f t="shared" si="27"/>
        <v>○</v>
      </c>
      <c r="AP66" s="106" t="str">
        <f t="shared" si="28"/>
        <v>○</v>
      </c>
      <c r="AQ66" s="106" t="str">
        <f t="shared" si="29"/>
        <v>○</v>
      </c>
      <c r="AR66" s="106" t="str">
        <f t="shared" si="30"/>
        <v>○</v>
      </c>
      <c r="AS66" s="106" t="str">
        <f t="shared" si="31"/>
        <v>○</v>
      </c>
      <c r="AT66" s="106" t="str">
        <f t="shared" si="34"/>
        <v>○</v>
      </c>
      <c r="AU66" s="106" t="str">
        <f t="shared" si="35"/>
        <v>○</v>
      </c>
    </row>
    <row r="67" spans="1:47" s="106" customFormat="1" ht="23.15" customHeight="1">
      <c r="A67" s="102">
        <v>61</v>
      </c>
      <c r="B67" s="101" t="str">
        <f>IF('②-1職員名簿'!E67="","",'②-1職員名簿'!Y67)</f>
        <v/>
      </c>
      <c r="C67" s="104" t="str">
        <f>'②-1職員名簿'!BE67</f>
        <v/>
      </c>
      <c r="D67" s="136" t="str">
        <f t="shared" si="9"/>
        <v/>
      </c>
      <c r="E67" s="20" t="str">
        <f>IF($B67="","",IF(AND('②-1職員名簿'!C67="正",'②-1職員名簿'!D67="常"),"正規職員","契約上の就業時間を記載"))</f>
        <v/>
      </c>
      <c r="F67" s="10" t="str">
        <f>IF($B67="","",IF(OR('②-1職員名簿'!AC67="○",'②-1職員名簿'!AC67="●"),IF($E67="正規職員","正",IF($E67="契約上の就業時間を記載","","実績を入力")),"-"))</f>
        <v/>
      </c>
      <c r="G67" s="10" t="str">
        <f>IF($B67="","",IF(OR('②-1職員名簿'!AD67="○",'②-1職員名簿'!AD67="●"),IF($E67="正規職員","正",IF($E67="契約上の就業時間を記載","","実績を入力")),"-"))</f>
        <v/>
      </c>
      <c r="H67" s="10" t="str">
        <f>IF($B67="","",IF(OR('②-1職員名簿'!AE67="○",'②-1職員名簿'!AE67="●"),IF($E67="正規職員","正",IF($E67="契約上の就業時間を記載","","実績を入力")),"-"))</f>
        <v/>
      </c>
      <c r="I67" s="10" t="str">
        <f>IF($B67="","",IF(OR('②-1職員名簿'!AF67="○",'②-1職員名簿'!AF67="●"),IF($E67="正規職員","正",IF($E67="契約上の就業時間を記載","","実績を入力")),"-"))</f>
        <v/>
      </c>
      <c r="J67" s="10" t="str">
        <f>IF($B67="","",IF(OR('②-1職員名簿'!AG67="○",'②-1職員名簿'!AG67="●"),IF($E67="正規職員","正",IF($E67="契約上の就業時間を記載","","実績を入力")),"-"))</f>
        <v/>
      </c>
      <c r="K67" s="10" t="str">
        <f>IF($B67="","",IF(OR('②-1職員名簿'!AH67="○",'②-1職員名簿'!AH67="●"),IF($E67="正規職員","正",IF($E67="契約上の就業時間を記載","","実績を入力")),"-"))</f>
        <v/>
      </c>
      <c r="L67" s="10" t="str">
        <f>IF($B67="","",IF(OR('②-1職員名簿'!AI67="○",'②-1職員名簿'!AI67="●"),IF($E67="正規職員","正",IF($E67="契約上の就業時間を記載","","実績を入力")),"-"))</f>
        <v/>
      </c>
      <c r="M67" s="10" t="str">
        <f>IF($B67="","",IF(OR('②-1職員名簿'!AJ67="○",'②-1職員名簿'!AJ67="●"),IF($E67="正規職員","正",IF($E67="契約上の就業時間を記載","","実績を入力")),"-"))</f>
        <v/>
      </c>
      <c r="N67" s="10" t="str">
        <f>IF($B67="","",IF(OR('②-1職員名簿'!AK67="○",'②-1職員名簿'!AK67="●"),IF($E67="正規職員","正",IF($E67="契約上の就業時間を記載","","実績を入力")),"-"))</f>
        <v/>
      </c>
      <c r="O67" s="10" t="str">
        <f>IF($B67="","",IF(OR('②-1職員名簿'!AL67="○",'②-1職員名簿'!AL67="●"),IF($E67="正規職員","正",IF($E67="契約上の就業時間を記載","","実績を入力")),"-"))</f>
        <v/>
      </c>
      <c r="P67" s="10" t="str">
        <f>IF($B67="","",IF(OR('②-1職員名簿'!AM67="○",'②-1職員名簿'!AM67="●"),IF($E67="正規職員","正",IF($E67="契約上の就業時間を記載","","実績を入力")),"-"))</f>
        <v/>
      </c>
      <c r="Q67" s="10" t="str">
        <f>IF($B67="","",IF(OR('②-1職員名簿'!AN67="○",'②-1職員名簿'!AN67="●"),IF($E67="正規職員","正",IF($E67="契約上の就業時間を記載","","実績を入力")),"-"))</f>
        <v/>
      </c>
      <c r="R67" s="104" t="str">
        <f>IF($B67="","",IF(OR('②-1職員名簿'!AC67="○",'②-1職員名簿'!AC67="●"),IF($E67="正規職員","正",IF($E67="契約上の就業時間を記載","",IF($E67&gt;=F$5,"常",F67))),"-"))</f>
        <v/>
      </c>
      <c r="S67" s="104" t="str">
        <f>IF($B67="","",IF(OR('②-1職員名簿'!AD67="○",'②-1職員名簿'!AD67="●"),IF($E67="正規職員","正",IF($E67="契約上の就業時間を記載","",IF($E67&gt;=G$5,"常",G67))),"-"))</f>
        <v/>
      </c>
      <c r="T67" s="104" t="str">
        <f>IF($B67="","",IF(OR('②-1職員名簿'!AE67="○",'②-1職員名簿'!AE67="●"),IF($E67="正規職員","正",IF($E67="契約上の就業時間を記載","",IF($E67&gt;=H$5,"常",H67))),"-"))</f>
        <v/>
      </c>
      <c r="U67" s="104" t="str">
        <f>IF($B67="","",IF(OR('②-1職員名簿'!AF67="○",'②-1職員名簿'!AF67="●"),IF($E67="正規職員","正",IF($E67="契約上の就業時間を記載","",IF($E67&gt;=I$5,"常",I67))),"-"))</f>
        <v/>
      </c>
      <c r="V67" s="104" t="str">
        <f>IF($B67="","",IF(OR('②-1職員名簿'!AG67="○",'②-1職員名簿'!AG67="●"),IF($E67="正規職員","正",IF($E67="契約上の就業時間を記載","",IF($E67&gt;=J$5,"常",J67))),"-"))</f>
        <v/>
      </c>
      <c r="W67" s="104" t="str">
        <f>IF($B67="","",IF(OR('②-1職員名簿'!AH67="○",'②-1職員名簿'!AH67="●"),IF($E67="正規職員","正",IF($E67="契約上の就業時間を記載","",IF($E67&gt;=K$5,"常",K67))),"-"))</f>
        <v/>
      </c>
      <c r="X67" s="104" t="str">
        <f>IF($B67="","",IF(OR('②-1職員名簿'!AI67="○",'②-1職員名簿'!AI67="●"),IF($E67="正規職員","正",IF($E67="契約上の就業時間を記載","",IF($E67&gt;=L$5,"常",L67))),"-"))</f>
        <v/>
      </c>
      <c r="Y67" s="104" t="str">
        <f>IF($B67="","",IF(OR('②-1職員名簿'!AJ67="○",'②-1職員名簿'!AJ67="●"),IF($E67="正規職員","正",IF($E67="契約上の就業時間を記載","",IF($E67&gt;=M$5,"常",M67))),"-"))</f>
        <v/>
      </c>
      <c r="Z67" s="104" t="str">
        <f>IF($B67="","",IF(OR('②-1職員名簿'!AK67="○",'②-1職員名簿'!AK67="●"),IF($E67="正規職員","正",IF($E67="契約上の就業時間を記載","",IF($E67&gt;=N$5,"常",N67))),"-"))</f>
        <v/>
      </c>
      <c r="AA67" s="104" t="str">
        <f>IF($B67="","",IF(OR('②-1職員名簿'!AL67="○",'②-1職員名簿'!AL67="●"),IF($E67="正規職員","正",IF($E67="契約上の就業時間を記載","",IF($E67&gt;=O$5,"常",O67))),"-"))</f>
        <v/>
      </c>
      <c r="AB67" s="104" t="str">
        <f>IF($B67="","",IF(OR('②-1職員名簿'!AM67="○",'②-1職員名簿'!AM67="●"),IF($E67="正規職員","正",IF($E67="契約上の就業時間を記載","",IF($E67&gt;=P$5,"常",P67))),"-"))</f>
        <v/>
      </c>
      <c r="AC67" s="104" t="str">
        <f>IF($B67="","",IF(OR('②-1職員名簿'!AN67="○",'②-1職員名簿'!AN67="●"),IF($E67="正規職員","正",IF($E67="契約上の就業時間を記載","",IF($E67&gt;=Q$5,"常",Q67))),"-"))</f>
        <v/>
      </c>
      <c r="AE67" s="101" t="str">
        <f>IF('②-1職員名簿'!W67="","",'②-1職員名簿'!W67)</f>
        <v/>
      </c>
      <c r="AJ67" s="106" t="str">
        <f t="shared" si="11"/>
        <v>○</v>
      </c>
      <c r="AK67" s="106" t="str">
        <f t="shared" si="23"/>
        <v>○</v>
      </c>
      <c r="AL67" s="106" t="str">
        <f t="shared" si="24"/>
        <v>○</v>
      </c>
      <c r="AM67" s="106" t="str">
        <f t="shared" si="25"/>
        <v>○</v>
      </c>
      <c r="AN67" s="106" t="str">
        <f t="shared" si="26"/>
        <v>○</v>
      </c>
      <c r="AO67" s="106" t="str">
        <f t="shared" si="27"/>
        <v>○</v>
      </c>
      <c r="AP67" s="106" t="str">
        <f t="shared" si="28"/>
        <v>○</v>
      </c>
      <c r="AQ67" s="106" t="str">
        <f t="shared" si="29"/>
        <v>○</v>
      </c>
      <c r="AR67" s="106" t="str">
        <f t="shared" si="30"/>
        <v>○</v>
      </c>
      <c r="AS67" s="106" t="str">
        <f t="shared" si="31"/>
        <v>○</v>
      </c>
      <c r="AT67" s="106" t="str">
        <f t="shared" si="34"/>
        <v>○</v>
      </c>
      <c r="AU67" s="106" t="str">
        <f t="shared" si="35"/>
        <v>○</v>
      </c>
    </row>
    <row r="68" spans="1:47" s="106" customFormat="1" ht="23.15" customHeight="1">
      <c r="A68" s="102">
        <v>62</v>
      </c>
      <c r="B68" s="101" t="str">
        <f>IF('②-1職員名簿'!E68="","",'②-1職員名簿'!Y68)</f>
        <v/>
      </c>
      <c r="C68" s="104" t="str">
        <f>'②-1職員名簿'!BE68</f>
        <v/>
      </c>
      <c r="D68" s="136" t="str">
        <f t="shared" si="9"/>
        <v/>
      </c>
      <c r="E68" s="20" t="str">
        <f>IF($B68="","",IF(AND('②-1職員名簿'!C68="正",'②-1職員名簿'!D68="常"),"正規職員","契約上の就業時間を記載"))</f>
        <v/>
      </c>
      <c r="F68" s="10" t="str">
        <f>IF($B68="","",IF(OR('②-1職員名簿'!AC68="○",'②-1職員名簿'!AC68="●"),IF($E68="正規職員","正",IF($E68="契約上の就業時間を記載","","実績を入力")),"-"))</f>
        <v/>
      </c>
      <c r="G68" s="10" t="str">
        <f>IF($B68="","",IF(OR('②-1職員名簿'!AD68="○",'②-1職員名簿'!AD68="●"),IF($E68="正規職員","正",IF($E68="契約上の就業時間を記載","","実績を入力")),"-"))</f>
        <v/>
      </c>
      <c r="H68" s="10" t="str">
        <f>IF($B68="","",IF(OR('②-1職員名簿'!AE68="○",'②-1職員名簿'!AE68="●"),IF($E68="正規職員","正",IF($E68="契約上の就業時間を記載","","実績を入力")),"-"))</f>
        <v/>
      </c>
      <c r="I68" s="10" t="str">
        <f>IF($B68="","",IF(OR('②-1職員名簿'!AF68="○",'②-1職員名簿'!AF68="●"),IF($E68="正規職員","正",IF($E68="契約上の就業時間を記載","","実績を入力")),"-"))</f>
        <v/>
      </c>
      <c r="J68" s="10" t="str">
        <f>IF($B68="","",IF(OR('②-1職員名簿'!AG68="○",'②-1職員名簿'!AG68="●"),IF($E68="正規職員","正",IF($E68="契約上の就業時間を記載","","実績を入力")),"-"))</f>
        <v/>
      </c>
      <c r="K68" s="10" t="str">
        <f>IF($B68="","",IF(OR('②-1職員名簿'!AH68="○",'②-1職員名簿'!AH68="●"),IF($E68="正規職員","正",IF($E68="契約上の就業時間を記載","","実績を入力")),"-"))</f>
        <v/>
      </c>
      <c r="L68" s="10" t="str">
        <f>IF($B68="","",IF(OR('②-1職員名簿'!AI68="○",'②-1職員名簿'!AI68="●"),IF($E68="正規職員","正",IF($E68="契約上の就業時間を記載","","実績を入力")),"-"))</f>
        <v/>
      </c>
      <c r="M68" s="10" t="str">
        <f>IF($B68="","",IF(OR('②-1職員名簿'!AJ68="○",'②-1職員名簿'!AJ68="●"),IF($E68="正規職員","正",IF($E68="契約上の就業時間を記載","","実績を入力")),"-"))</f>
        <v/>
      </c>
      <c r="N68" s="10" t="str">
        <f>IF($B68="","",IF(OR('②-1職員名簿'!AK68="○",'②-1職員名簿'!AK68="●"),IF($E68="正規職員","正",IF($E68="契約上の就業時間を記載","","実績を入力")),"-"))</f>
        <v/>
      </c>
      <c r="O68" s="10" t="str">
        <f>IF($B68="","",IF(OR('②-1職員名簿'!AL68="○",'②-1職員名簿'!AL68="●"),IF($E68="正規職員","正",IF($E68="契約上の就業時間を記載","","実績を入力")),"-"))</f>
        <v/>
      </c>
      <c r="P68" s="10" t="str">
        <f>IF($B68="","",IF(OR('②-1職員名簿'!AM68="○",'②-1職員名簿'!AM68="●"),IF($E68="正規職員","正",IF($E68="契約上の就業時間を記載","","実績を入力")),"-"))</f>
        <v/>
      </c>
      <c r="Q68" s="10" t="str">
        <f>IF($B68="","",IF(OR('②-1職員名簿'!AN68="○",'②-1職員名簿'!AN68="●"),IF($E68="正規職員","正",IF($E68="契約上の就業時間を記載","","実績を入力")),"-"))</f>
        <v/>
      </c>
      <c r="R68" s="104" t="str">
        <f>IF($B68="","",IF(OR('②-1職員名簿'!AC68="○",'②-1職員名簿'!AC68="●"),IF($E68="正規職員","正",IF($E68="契約上の就業時間を記載","",IF($E68&gt;=F$5,"常",F68))),"-"))</f>
        <v/>
      </c>
      <c r="S68" s="104" t="str">
        <f>IF($B68="","",IF(OR('②-1職員名簿'!AD68="○",'②-1職員名簿'!AD68="●"),IF($E68="正規職員","正",IF($E68="契約上の就業時間を記載","",IF($E68&gt;=G$5,"常",G68))),"-"))</f>
        <v/>
      </c>
      <c r="T68" s="104" t="str">
        <f>IF($B68="","",IF(OR('②-1職員名簿'!AE68="○",'②-1職員名簿'!AE68="●"),IF($E68="正規職員","正",IF($E68="契約上の就業時間を記載","",IF($E68&gt;=H$5,"常",H68))),"-"))</f>
        <v/>
      </c>
      <c r="U68" s="104" t="str">
        <f>IF($B68="","",IF(OR('②-1職員名簿'!AF68="○",'②-1職員名簿'!AF68="●"),IF($E68="正規職員","正",IF($E68="契約上の就業時間を記載","",IF($E68&gt;=I$5,"常",I68))),"-"))</f>
        <v/>
      </c>
      <c r="V68" s="104" t="str">
        <f>IF($B68="","",IF(OR('②-1職員名簿'!AG68="○",'②-1職員名簿'!AG68="●"),IF($E68="正規職員","正",IF($E68="契約上の就業時間を記載","",IF($E68&gt;=J$5,"常",J68))),"-"))</f>
        <v/>
      </c>
      <c r="W68" s="104" t="str">
        <f>IF($B68="","",IF(OR('②-1職員名簿'!AH68="○",'②-1職員名簿'!AH68="●"),IF($E68="正規職員","正",IF($E68="契約上の就業時間を記載","",IF($E68&gt;=K$5,"常",K68))),"-"))</f>
        <v/>
      </c>
      <c r="X68" s="104" t="str">
        <f>IF($B68="","",IF(OR('②-1職員名簿'!AI68="○",'②-1職員名簿'!AI68="●"),IF($E68="正規職員","正",IF($E68="契約上の就業時間を記載","",IF($E68&gt;=L$5,"常",L68))),"-"))</f>
        <v/>
      </c>
      <c r="Y68" s="104" t="str">
        <f>IF($B68="","",IF(OR('②-1職員名簿'!AJ68="○",'②-1職員名簿'!AJ68="●"),IF($E68="正規職員","正",IF($E68="契約上の就業時間を記載","",IF($E68&gt;=M$5,"常",M68))),"-"))</f>
        <v/>
      </c>
      <c r="Z68" s="104" t="str">
        <f>IF($B68="","",IF(OR('②-1職員名簿'!AK68="○",'②-1職員名簿'!AK68="●"),IF($E68="正規職員","正",IF($E68="契約上の就業時間を記載","",IF($E68&gt;=N$5,"常",N68))),"-"))</f>
        <v/>
      </c>
      <c r="AA68" s="104" t="str">
        <f>IF($B68="","",IF(OR('②-1職員名簿'!AL68="○",'②-1職員名簿'!AL68="●"),IF($E68="正規職員","正",IF($E68="契約上の就業時間を記載","",IF($E68&gt;=O$5,"常",O68))),"-"))</f>
        <v/>
      </c>
      <c r="AB68" s="104" t="str">
        <f>IF($B68="","",IF(OR('②-1職員名簿'!AM68="○",'②-1職員名簿'!AM68="●"),IF($E68="正規職員","正",IF($E68="契約上の就業時間を記載","",IF($E68&gt;=P$5,"常",P68))),"-"))</f>
        <v/>
      </c>
      <c r="AC68" s="104" t="str">
        <f>IF($B68="","",IF(OR('②-1職員名簿'!AN68="○",'②-1職員名簿'!AN68="●"),IF($E68="正規職員","正",IF($E68="契約上の就業時間を記載","",IF($E68&gt;=Q$5,"常",Q68))),"-"))</f>
        <v/>
      </c>
      <c r="AE68" s="101" t="str">
        <f>IF('②-1職員名簿'!W68="","",'②-1職員名簿'!W68)</f>
        <v/>
      </c>
      <c r="AJ68" s="106" t="str">
        <f t="shared" si="11"/>
        <v>○</v>
      </c>
      <c r="AK68" s="106" t="str">
        <f t="shared" si="23"/>
        <v>○</v>
      </c>
      <c r="AL68" s="106" t="str">
        <f t="shared" si="24"/>
        <v>○</v>
      </c>
      <c r="AM68" s="106" t="str">
        <f t="shared" si="25"/>
        <v>○</v>
      </c>
      <c r="AN68" s="106" t="str">
        <f t="shared" si="26"/>
        <v>○</v>
      </c>
      <c r="AO68" s="106" t="str">
        <f t="shared" si="27"/>
        <v>○</v>
      </c>
      <c r="AP68" s="106" t="str">
        <f t="shared" si="28"/>
        <v>○</v>
      </c>
      <c r="AQ68" s="106" t="str">
        <f t="shared" si="29"/>
        <v>○</v>
      </c>
      <c r="AR68" s="106" t="str">
        <f t="shared" si="30"/>
        <v>○</v>
      </c>
      <c r="AS68" s="106" t="str">
        <f t="shared" si="31"/>
        <v>○</v>
      </c>
      <c r="AT68" s="106" t="str">
        <f t="shared" si="34"/>
        <v>○</v>
      </c>
      <c r="AU68" s="106" t="str">
        <f t="shared" si="35"/>
        <v>○</v>
      </c>
    </row>
    <row r="69" spans="1:47" s="106" customFormat="1" ht="23.15" customHeight="1">
      <c r="A69" s="102">
        <v>63</v>
      </c>
      <c r="B69" s="101" t="str">
        <f>IF('②-1職員名簿'!E69="","",'②-1職員名簿'!Y69)</f>
        <v/>
      </c>
      <c r="C69" s="104" t="str">
        <f>'②-1職員名簿'!BE69</f>
        <v/>
      </c>
      <c r="D69" s="136" t="str">
        <f t="shared" si="9"/>
        <v/>
      </c>
      <c r="E69" s="20" t="str">
        <f>IF($B69="","",IF(AND('②-1職員名簿'!C69="正",'②-1職員名簿'!D69="常"),"正規職員","契約上の就業時間を記載"))</f>
        <v/>
      </c>
      <c r="F69" s="10" t="str">
        <f>IF($B69="","",IF(OR('②-1職員名簿'!AC69="○",'②-1職員名簿'!AC69="●"),IF($E69="正規職員","正",IF($E69="契約上の就業時間を記載","","実績を入力")),"-"))</f>
        <v/>
      </c>
      <c r="G69" s="10" t="str">
        <f>IF($B69="","",IF(OR('②-1職員名簿'!AD69="○",'②-1職員名簿'!AD69="●"),IF($E69="正規職員","正",IF($E69="契約上の就業時間を記載","","実績を入力")),"-"))</f>
        <v/>
      </c>
      <c r="H69" s="10" t="str">
        <f>IF($B69="","",IF(OR('②-1職員名簿'!AE69="○",'②-1職員名簿'!AE69="●"),IF($E69="正規職員","正",IF($E69="契約上の就業時間を記載","","実績を入力")),"-"))</f>
        <v/>
      </c>
      <c r="I69" s="10" t="str">
        <f>IF($B69="","",IF(OR('②-1職員名簿'!AF69="○",'②-1職員名簿'!AF69="●"),IF($E69="正規職員","正",IF($E69="契約上の就業時間を記載","","実績を入力")),"-"))</f>
        <v/>
      </c>
      <c r="J69" s="10" t="str">
        <f>IF($B69="","",IF(OR('②-1職員名簿'!AG69="○",'②-1職員名簿'!AG69="●"),IF($E69="正規職員","正",IF($E69="契約上の就業時間を記載","","実績を入力")),"-"))</f>
        <v/>
      </c>
      <c r="K69" s="10" t="str">
        <f>IF($B69="","",IF(OR('②-1職員名簿'!AH69="○",'②-1職員名簿'!AH69="●"),IF($E69="正規職員","正",IF($E69="契約上の就業時間を記載","","実績を入力")),"-"))</f>
        <v/>
      </c>
      <c r="L69" s="10" t="str">
        <f>IF($B69="","",IF(OR('②-1職員名簿'!AI69="○",'②-1職員名簿'!AI69="●"),IF($E69="正規職員","正",IF($E69="契約上の就業時間を記載","","実績を入力")),"-"))</f>
        <v/>
      </c>
      <c r="M69" s="10" t="str">
        <f>IF($B69="","",IF(OR('②-1職員名簿'!AJ69="○",'②-1職員名簿'!AJ69="●"),IF($E69="正規職員","正",IF($E69="契約上の就業時間を記載","","実績を入力")),"-"))</f>
        <v/>
      </c>
      <c r="N69" s="10" t="str">
        <f>IF($B69="","",IF(OR('②-1職員名簿'!AK69="○",'②-1職員名簿'!AK69="●"),IF($E69="正規職員","正",IF($E69="契約上の就業時間を記載","","実績を入力")),"-"))</f>
        <v/>
      </c>
      <c r="O69" s="10" t="str">
        <f>IF($B69="","",IF(OR('②-1職員名簿'!AL69="○",'②-1職員名簿'!AL69="●"),IF($E69="正規職員","正",IF($E69="契約上の就業時間を記載","","実績を入力")),"-"))</f>
        <v/>
      </c>
      <c r="P69" s="10" t="str">
        <f>IF($B69="","",IF(OR('②-1職員名簿'!AM69="○",'②-1職員名簿'!AM69="●"),IF($E69="正規職員","正",IF($E69="契約上の就業時間を記載","","実績を入力")),"-"))</f>
        <v/>
      </c>
      <c r="Q69" s="10" t="str">
        <f>IF($B69="","",IF(OR('②-1職員名簿'!AN69="○",'②-1職員名簿'!AN69="●"),IF($E69="正規職員","正",IF($E69="契約上の就業時間を記載","","実績を入力")),"-"))</f>
        <v/>
      </c>
      <c r="R69" s="104" t="str">
        <f>IF($B69="","",IF(OR('②-1職員名簿'!AC69="○",'②-1職員名簿'!AC69="●"),IF($E69="正規職員","正",IF($E69="契約上の就業時間を記載","",IF($E69&gt;=F$5,"常",F69))),"-"))</f>
        <v/>
      </c>
      <c r="S69" s="104" t="str">
        <f>IF($B69="","",IF(OR('②-1職員名簿'!AD69="○",'②-1職員名簿'!AD69="●"),IF($E69="正規職員","正",IF($E69="契約上の就業時間を記載","",IF($E69&gt;=G$5,"常",G69))),"-"))</f>
        <v/>
      </c>
      <c r="T69" s="104" t="str">
        <f>IF($B69="","",IF(OR('②-1職員名簿'!AE69="○",'②-1職員名簿'!AE69="●"),IF($E69="正規職員","正",IF($E69="契約上の就業時間を記載","",IF($E69&gt;=H$5,"常",H69))),"-"))</f>
        <v/>
      </c>
      <c r="U69" s="104" t="str">
        <f>IF($B69="","",IF(OR('②-1職員名簿'!AF69="○",'②-1職員名簿'!AF69="●"),IF($E69="正規職員","正",IF($E69="契約上の就業時間を記載","",IF($E69&gt;=I$5,"常",I69))),"-"))</f>
        <v/>
      </c>
      <c r="V69" s="104" t="str">
        <f>IF($B69="","",IF(OR('②-1職員名簿'!AG69="○",'②-1職員名簿'!AG69="●"),IF($E69="正規職員","正",IF($E69="契約上の就業時間を記載","",IF($E69&gt;=J$5,"常",J69))),"-"))</f>
        <v/>
      </c>
      <c r="W69" s="104" t="str">
        <f>IF($B69="","",IF(OR('②-1職員名簿'!AH69="○",'②-1職員名簿'!AH69="●"),IF($E69="正規職員","正",IF($E69="契約上の就業時間を記載","",IF($E69&gt;=K$5,"常",K69))),"-"))</f>
        <v/>
      </c>
      <c r="X69" s="104" t="str">
        <f>IF($B69="","",IF(OR('②-1職員名簿'!AI69="○",'②-1職員名簿'!AI69="●"),IF($E69="正規職員","正",IF($E69="契約上の就業時間を記載","",IF($E69&gt;=L$5,"常",L69))),"-"))</f>
        <v/>
      </c>
      <c r="Y69" s="104" t="str">
        <f>IF($B69="","",IF(OR('②-1職員名簿'!AJ69="○",'②-1職員名簿'!AJ69="●"),IF($E69="正規職員","正",IF($E69="契約上の就業時間を記載","",IF($E69&gt;=M$5,"常",M69))),"-"))</f>
        <v/>
      </c>
      <c r="Z69" s="104" t="str">
        <f>IF($B69="","",IF(OR('②-1職員名簿'!AK69="○",'②-1職員名簿'!AK69="●"),IF($E69="正規職員","正",IF($E69="契約上の就業時間を記載","",IF($E69&gt;=N$5,"常",N69))),"-"))</f>
        <v/>
      </c>
      <c r="AA69" s="104" t="str">
        <f>IF($B69="","",IF(OR('②-1職員名簿'!AL69="○",'②-1職員名簿'!AL69="●"),IF($E69="正規職員","正",IF($E69="契約上の就業時間を記載","",IF($E69&gt;=O$5,"常",O69))),"-"))</f>
        <v/>
      </c>
      <c r="AB69" s="104" t="str">
        <f>IF($B69="","",IF(OR('②-1職員名簿'!AM69="○",'②-1職員名簿'!AM69="●"),IF($E69="正規職員","正",IF($E69="契約上の就業時間を記載","",IF($E69&gt;=P$5,"常",P69))),"-"))</f>
        <v/>
      </c>
      <c r="AC69" s="104" t="str">
        <f>IF($B69="","",IF(OR('②-1職員名簿'!AN69="○",'②-1職員名簿'!AN69="●"),IF($E69="正規職員","正",IF($E69="契約上の就業時間を記載","",IF($E69&gt;=Q$5,"常",Q69))),"-"))</f>
        <v/>
      </c>
      <c r="AE69" s="101" t="str">
        <f>IF('②-1職員名簿'!W69="","",'②-1職員名簿'!W69)</f>
        <v/>
      </c>
      <c r="AJ69" s="106" t="str">
        <f t="shared" si="11"/>
        <v>○</v>
      </c>
      <c r="AK69" s="106" t="str">
        <f t="shared" si="23"/>
        <v>○</v>
      </c>
      <c r="AL69" s="106" t="str">
        <f t="shared" si="24"/>
        <v>○</v>
      </c>
      <c r="AM69" s="106" t="str">
        <f t="shared" si="25"/>
        <v>○</v>
      </c>
      <c r="AN69" s="106" t="str">
        <f t="shared" si="26"/>
        <v>○</v>
      </c>
      <c r="AO69" s="106" t="str">
        <f t="shared" si="27"/>
        <v>○</v>
      </c>
      <c r="AP69" s="106" t="str">
        <f t="shared" si="28"/>
        <v>○</v>
      </c>
      <c r="AQ69" s="106" t="str">
        <f t="shared" si="29"/>
        <v>○</v>
      </c>
      <c r="AR69" s="106" t="str">
        <f t="shared" si="30"/>
        <v>○</v>
      </c>
      <c r="AS69" s="106" t="str">
        <f t="shared" si="31"/>
        <v>○</v>
      </c>
      <c r="AT69" s="106" t="str">
        <f t="shared" si="34"/>
        <v>○</v>
      </c>
      <c r="AU69" s="106" t="str">
        <f t="shared" si="35"/>
        <v>○</v>
      </c>
    </row>
    <row r="70" spans="1:47" s="106" customFormat="1" ht="23.15" customHeight="1">
      <c r="A70" s="102">
        <v>64</v>
      </c>
      <c r="B70" s="101" t="str">
        <f>IF('②-1職員名簿'!E70="","",'②-1職員名簿'!Y70)</f>
        <v/>
      </c>
      <c r="C70" s="104" t="str">
        <f>'②-1職員名簿'!BE70</f>
        <v/>
      </c>
      <c r="D70" s="136" t="str">
        <f t="shared" si="9"/>
        <v/>
      </c>
      <c r="E70" s="20" t="str">
        <f>IF($B70="","",IF(AND('②-1職員名簿'!C70="正",'②-1職員名簿'!D70="常"),"正規職員","契約上の就業時間を記載"))</f>
        <v/>
      </c>
      <c r="F70" s="10" t="str">
        <f>IF($B70="","",IF(OR('②-1職員名簿'!AC70="○",'②-1職員名簿'!AC70="●"),IF($E70="正規職員","正",IF($E70="契約上の就業時間を記載","","実績を入力")),"-"))</f>
        <v/>
      </c>
      <c r="G70" s="10" t="str">
        <f>IF($B70="","",IF(OR('②-1職員名簿'!AD70="○",'②-1職員名簿'!AD70="●"),IF($E70="正規職員","正",IF($E70="契約上の就業時間を記載","","実績を入力")),"-"))</f>
        <v/>
      </c>
      <c r="H70" s="10" t="str">
        <f>IF($B70="","",IF(OR('②-1職員名簿'!AE70="○",'②-1職員名簿'!AE70="●"),IF($E70="正規職員","正",IF($E70="契約上の就業時間を記載","","実績を入力")),"-"))</f>
        <v/>
      </c>
      <c r="I70" s="10" t="str">
        <f>IF($B70="","",IF(OR('②-1職員名簿'!AF70="○",'②-1職員名簿'!AF70="●"),IF($E70="正規職員","正",IF($E70="契約上の就業時間を記載","","実績を入力")),"-"))</f>
        <v/>
      </c>
      <c r="J70" s="10" t="str">
        <f>IF($B70="","",IF(OR('②-1職員名簿'!AG70="○",'②-1職員名簿'!AG70="●"),IF($E70="正規職員","正",IF($E70="契約上の就業時間を記載","","実績を入力")),"-"))</f>
        <v/>
      </c>
      <c r="K70" s="10" t="str">
        <f>IF($B70="","",IF(OR('②-1職員名簿'!AH70="○",'②-1職員名簿'!AH70="●"),IF($E70="正規職員","正",IF($E70="契約上の就業時間を記載","","実績を入力")),"-"))</f>
        <v/>
      </c>
      <c r="L70" s="10" t="str">
        <f>IF($B70="","",IF(OR('②-1職員名簿'!AI70="○",'②-1職員名簿'!AI70="●"),IF($E70="正規職員","正",IF($E70="契約上の就業時間を記載","","実績を入力")),"-"))</f>
        <v/>
      </c>
      <c r="M70" s="10" t="str">
        <f>IF($B70="","",IF(OR('②-1職員名簿'!AJ70="○",'②-1職員名簿'!AJ70="●"),IF($E70="正規職員","正",IF($E70="契約上の就業時間を記載","","実績を入力")),"-"))</f>
        <v/>
      </c>
      <c r="N70" s="10" t="str">
        <f>IF($B70="","",IF(OR('②-1職員名簿'!AK70="○",'②-1職員名簿'!AK70="●"),IF($E70="正規職員","正",IF($E70="契約上の就業時間を記載","","実績を入力")),"-"))</f>
        <v/>
      </c>
      <c r="O70" s="10" t="str">
        <f>IF($B70="","",IF(OR('②-1職員名簿'!AL70="○",'②-1職員名簿'!AL70="●"),IF($E70="正規職員","正",IF($E70="契約上の就業時間を記載","","実績を入力")),"-"))</f>
        <v/>
      </c>
      <c r="P70" s="10" t="str">
        <f>IF($B70="","",IF(OR('②-1職員名簿'!AM70="○",'②-1職員名簿'!AM70="●"),IF($E70="正規職員","正",IF($E70="契約上の就業時間を記載","","実績を入力")),"-"))</f>
        <v/>
      </c>
      <c r="Q70" s="10" t="str">
        <f>IF($B70="","",IF(OR('②-1職員名簿'!AN70="○",'②-1職員名簿'!AN70="●"),IF($E70="正規職員","正",IF($E70="契約上の就業時間を記載","","実績を入力")),"-"))</f>
        <v/>
      </c>
      <c r="R70" s="104" t="str">
        <f>IF($B70="","",IF(OR('②-1職員名簿'!AC70="○",'②-1職員名簿'!AC70="●"),IF($E70="正規職員","正",IF($E70="契約上の就業時間を記載","",IF($E70&gt;=F$5,"常",F70))),"-"))</f>
        <v/>
      </c>
      <c r="S70" s="104" t="str">
        <f>IF($B70="","",IF(OR('②-1職員名簿'!AD70="○",'②-1職員名簿'!AD70="●"),IF($E70="正規職員","正",IF($E70="契約上の就業時間を記載","",IF($E70&gt;=G$5,"常",G70))),"-"))</f>
        <v/>
      </c>
      <c r="T70" s="104" t="str">
        <f>IF($B70="","",IF(OR('②-1職員名簿'!AE70="○",'②-1職員名簿'!AE70="●"),IF($E70="正規職員","正",IF($E70="契約上の就業時間を記載","",IF($E70&gt;=H$5,"常",H70))),"-"))</f>
        <v/>
      </c>
      <c r="U70" s="104" t="str">
        <f>IF($B70="","",IF(OR('②-1職員名簿'!AF70="○",'②-1職員名簿'!AF70="●"),IF($E70="正規職員","正",IF($E70="契約上の就業時間を記載","",IF($E70&gt;=I$5,"常",I70))),"-"))</f>
        <v/>
      </c>
      <c r="V70" s="104" t="str">
        <f>IF($B70="","",IF(OR('②-1職員名簿'!AG70="○",'②-1職員名簿'!AG70="●"),IF($E70="正規職員","正",IF($E70="契約上の就業時間を記載","",IF($E70&gt;=J$5,"常",J70))),"-"))</f>
        <v/>
      </c>
      <c r="W70" s="104" t="str">
        <f>IF($B70="","",IF(OR('②-1職員名簿'!AH70="○",'②-1職員名簿'!AH70="●"),IF($E70="正規職員","正",IF($E70="契約上の就業時間を記載","",IF($E70&gt;=K$5,"常",K70))),"-"))</f>
        <v/>
      </c>
      <c r="X70" s="104" t="str">
        <f>IF($B70="","",IF(OR('②-1職員名簿'!AI70="○",'②-1職員名簿'!AI70="●"),IF($E70="正規職員","正",IF($E70="契約上の就業時間を記載","",IF($E70&gt;=L$5,"常",L70))),"-"))</f>
        <v/>
      </c>
      <c r="Y70" s="104" t="str">
        <f>IF($B70="","",IF(OR('②-1職員名簿'!AJ70="○",'②-1職員名簿'!AJ70="●"),IF($E70="正規職員","正",IF($E70="契約上の就業時間を記載","",IF($E70&gt;=M$5,"常",M70))),"-"))</f>
        <v/>
      </c>
      <c r="Z70" s="104" t="str">
        <f>IF($B70="","",IF(OR('②-1職員名簿'!AK70="○",'②-1職員名簿'!AK70="●"),IF($E70="正規職員","正",IF($E70="契約上の就業時間を記載","",IF($E70&gt;=N$5,"常",N70))),"-"))</f>
        <v/>
      </c>
      <c r="AA70" s="104" t="str">
        <f>IF($B70="","",IF(OR('②-1職員名簿'!AL70="○",'②-1職員名簿'!AL70="●"),IF($E70="正規職員","正",IF($E70="契約上の就業時間を記載","",IF($E70&gt;=O$5,"常",O70))),"-"))</f>
        <v/>
      </c>
      <c r="AB70" s="104" t="str">
        <f>IF($B70="","",IF(OR('②-1職員名簿'!AM70="○",'②-1職員名簿'!AM70="●"),IF($E70="正規職員","正",IF($E70="契約上の就業時間を記載","",IF($E70&gt;=P$5,"常",P70))),"-"))</f>
        <v/>
      </c>
      <c r="AC70" s="104" t="str">
        <f>IF($B70="","",IF(OR('②-1職員名簿'!AN70="○",'②-1職員名簿'!AN70="●"),IF($E70="正規職員","正",IF($E70="契約上の就業時間を記載","",IF($E70&gt;=Q$5,"常",Q70))),"-"))</f>
        <v/>
      </c>
      <c r="AE70" s="101" t="str">
        <f>IF('②-1職員名簿'!W70="","",'②-1職員名簿'!W70)</f>
        <v/>
      </c>
      <c r="AJ70" s="106" t="str">
        <f t="shared" si="11"/>
        <v>○</v>
      </c>
      <c r="AK70" s="106" t="str">
        <f t="shared" si="23"/>
        <v>○</v>
      </c>
      <c r="AL70" s="106" t="str">
        <f t="shared" si="24"/>
        <v>○</v>
      </c>
      <c r="AM70" s="106" t="str">
        <f t="shared" si="25"/>
        <v>○</v>
      </c>
      <c r="AN70" s="106" t="str">
        <f t="shared" si="26"/>
        <v>○</v>
      </c>
      <c r="AO70" s="106" t="str">
        <f t="shared" si="27"/>
        <v>○</v>
      </c>
      <c r="AP70" s="106" t="str">
        <f t="shared" si="28"/>
        <v>○</v>
      </c>
      <c r="AQ70" s="106" t="str">
        <f t="shared" si="29"/>
        <v>○</v>
      </c>
      <c r="AR70" s="106" t="str">
        <f t="shared" si="30"/>
        <v>○</v>
      </c>
      <c r="AS70" s="106" t="str">
        <f t="shared" si="31"/>
        <v>○</v>
      </c>
      <c r="AT70" s="106" t="str">
        <f t="shared" si="34"/>
        <v>○</v>
      </c>
      <c r="AU70" s="106" t="str">
        <f t="shared" si="35"/>
        <v>○</v>
      </c>
    </row>
    <row r="71" spans="1:47" s="106" customFormat="1" ht="23.15" customHeight="1">
      <c r="A71" s="102">
        <v>65</v>
      </c>
      <c r="B71" s="101" t="str">
        <f>IF('②-1職員名簿'!E71="","",'②-1職員名簿'!Y71)</f>
        <v/>
      </c>
      <c r="C71" s="104" t="str">
        <f>'②-1職員名簿'!BE71</f>
        <v/>
      </c>
      <c r="D71" s="136" t="str">
        <f t="shared" ref="D71:D106" si="36">B71&amp;C71</f>
        <v/>
      </c>
      <c r="E71" s="20" t="str">
        <f>IF($B71="","",IF(AND('②-1職員名簿'!C71="正",'②-1職員名簿'!D71="常"),"正規職員","契約上の就業時間を記載"))</f>
        <v/>
      </c>
      <c r="F71" s="10" t="str">
        <f>IF($B71="","",IF(OR('②-1職員名簿'!AC71="○",'②-1職員名簿'!AC71="●"),IF($E71="正規職員","正",IF($E71="契約上の就業時間を記載","","実績を入力")),"-"))</f>
        <v/>
      </c>
      <c r="G71" s="10" t="str">
        <f>IF($B71="","",IF(OR('②-1職員名簿'!AD71="○",'②-1職員名簿'!AD71="●"),IF($E71="正規職員","正",IF($E71="契約上の就業時間を記載","","実績を入力")),"-"))</f>
        <v/>
      </c>
      <c r="H71" s="10" t="str">
        <f>IF($B71="","",IF(OR('②-1職員名簿'!AE71="○",'②-1職員名簿'!AE71="●"),IF($E71="正規職員","正",IF($E71="契約上の就業時間を記載","","実績を入力")),"-"))</f>
        <v/>
      </c>
      <c r="I71" s="10" t="str">
        <f>IF($B71="","",IF(OR('②-1職員名簿'!AF71="○",'②-1職員名簿'!AF71="●"),IF($E71="正規職員","正",IF($E71="契約上の就業時間を記載","","実績を入力")),"-"))</f>
        <v/>
      </c>
      <c r="J71" s="10" t="str">
        <f>IF($B71="","",IF(OR('②-1職員名簿'!AG71="○",'②-1職員名簿'!AG71="●"),IF($E71="正規職員","正",IF($E71="契約上の就業時間を記載","","実績を入力")),"-"))</f>
        <v/>
      </c>
      <c r="K71" s="10" t="str">
        <f>IF($B71="","",IF(OR('②-1職員名簿'!AH71="○",'②-1職員名簿'!AH71="●"),IF($E71="正規職員","正",IF($E71="契約上の就業時間を記載","","実績を入力")),"-"))</f>
        <v/>
      </c>
      <c r="L71" s="10" t="str">
        <f>IF($B71="","",IF(OR('②-1職員名簿'!AI71="○",'②-1職員名簿'!AI71="●"),IF($E71="正規職員","正",IF($E71="契約上の就業時間を記載","","実績を入力")),"-"))</f>
        <v/>
      </c>
      <c r="M71" s="10" t="str">
        <f>IF($B71="","",IF(OR('②-1職員名簿'!AJ71="○",'②-1職員名簿'!AJ71="●"),IF($E71="正規職員","正",IF($E71="契約上の就業時間を記載","","実績を入力")),"-"))</f>
        <v/>
      </c>
      <c r="N71" s="10" t="str">
        <f>IF($B71="","",IF(OR('②-1職員名簿'!AK71="○",'②-1職員名簿'!AK71="●"),IF($E71="正規職員","正",IF($E71="契約上の就業時間を記載","","実績を入力")),"-"))</f>
        <v/>
      </c>
      <c r="O71" s="10" t="str">
        <f>IF($B71="","",IF(OR('②-1職員名簿'!AL71="○",'②-1職員名簿'!AL71="●"),IF($E71="正規職員","正",IF($E71="契約上の就業時間を記載","","実績を入力")),"-"))</f>
        <v/>
      </c>
      <c r="P71" s="10" t="str">
        <f>IF($B71="","",IF(OR('②-1職員名簿'!AM71="○",'②-1職員名簿'!AM71="●"),IF($E71="正規職員","正",IF($E71="契約上の就業時間を記載","","実績を入力")),"-"))</f>
        <v/>
      </c>
      <c r="Q71" s="10" t="str">
        <f>IF($B71="","",IF(OR('②-1職員名簿'!AN71="○",'②-1職員名簿'!AN71="●"),IF($E71="正規職員","正",IF($E71="契約上の就業時間を記載","","実績を入力")),"-"))</f>
        <v/>
      </c>
      <c r="R71" s="104" t="str">
        <f>IF($B71="","",IF(OR('②-1職員名簿'!AC71="○",'②-1職員名簿'!AC71="●"),IF($E71="正規職員","正",IF($E71="契約上の就業時間を記載","",IF($E71&gt;=F$5,"常",F71))),"-"))</f>
        <v/>
      </c>
      <c r="S71" s="104" t="str">
        <f>IF($B71="","",IF(OR('②-1職員名簿'!AD71="○",'②-1職員名簿'!AD71="●"),IF($E71="正規職員","正",IF($E71="契約上の就業時間を記載","",IF($E71&gt;=G$5,"常",G71))),"-"))</f>
        <v/>
      </c>
      <c r="T71" s="104" t="str">
        <f>IF($B71="","",IF(OR('②-1職員名簿'!AE71="○",'②-1職員名簿'!AE71="●"),IF($E71="正規職員","正",IF($E71="契約上の就業時間を記載","",IF($E71&gt;=H$5,"常",H71))),"-"))</f>
        <v/>
      </c>
      <c r="U71" s="104" t="str">
        <f>IF($B71="","",IF(OR('②-1職員名簿'!AF71="○",'②-1職員名簿'!AF71="●"),IF($E71="正規職員","正",IF($E71="契約上の就業時間を記載","",IF($E71&gt;=I$5,"常",I71))),"-"))</f>
        <v/>
      </c>
      <c r="V71" s="104" t="str">
        <f>IF($B71="","",IF(OR('②-1職員名簿'!AG71="○",'②-1職員名簿'!AG71="●"),IF($E71="正規職員","正",IF($E71="契約上の就業時間を記載","",IF($E71&gt;=J$5,"常",J71))),"-"))</f>
        <v/>
      </c>
      <c r="W71" s="104" t="str">
        <f>IF($B71="","",IF(OR('②-1職員名簿'!AH71="○",'②-1職員名簿'!AH71="●"),IF($E71="正規職員","正",IF($E71="契約上の就業時間を記載","",IF($E71&gt;=K$5,"常",K71))),"-"))</f>
        <v/>
      </c>
      <c r="X71" s="104" t="str">
        <f>IF($B71="","",IF(OR('②-1職員名簿'!AI71="○",'②-1職員名簿'!AI71="●"),IF($E71="正規職員","正",IF($E71="契約上の就業時間を記載","",IF($E71&gt;=L$5,"常",L71))),"-"))</f>
        <v/>
      </c>
      <c r="Y71" s="104" t="str">
        <f>IF($B71="","",IF(OR('②-1職員名簿'!AJ71="○",'②-1職員名簿'!AJ71="●"),IF($E71="正規職員","正",IF($E71="契約上の就業時間を記載","",IF($E71&gt;=M$5,"常",M71))),"-"))</f>
        <v/>
      </c>
      <c r="Z71" s="104" t="str">
        <f>IF($B71="","",IF(OR('②-1職員名簿'!AK71="○",'②-1職員名簿'!AK71="●"),IF($E71="正規職員","正",IF($E71="契約上の就業時間を記載","",IF($E71&gt;=N$5,"常",N71))),"-"))</f>
        <v/>
      </c>
      <c r="AA71" s="104" t="str">
        <f>IF($B71="","",IF(OR('②-1職員名簿'!AL71="○",'②-1職員名簿'!AL71="●"),IF($E71="正規職員","正",IF($E71="契約上の就業時間を記載","",IF($E71&gt;=O$5,"常",O71))),"-"))</f>
        <v/>
      </c>
      <c r="AB71" s="104" t="str">
        <f>IF($B71="","",IF(OR('②-1職員名簿'!AM71="○",'②-1職員名簿'!AM71="●"),IF($E71="正規職員","正",IF($E71="契約上の就業時間を記載","",IF($E71&gt;=P$5,"常",P71))),"-"))</f>
        <v/>
      </c>
      <c r="AC71" s="104" t="str">
        <f>IF($B71="","",IF(OR('②-1職員名簿'!AN71="○",'②-1職員名簿'!AN71="●"),IF($E71="正規職員","正",IF($E71="契約上の就業時間を記載","",IF($E71&gt;=Q$5,"常",Q71))),"-"))</f>
        <v/>
      </c>
      <c r="AE71" s="101" t="str">
        <f>IF('②-1職員名簿'!W71="","",'②-1職員名簿'!W71)</f>
        <v/>
      </c>
      <c r="AJ71" s="106" t="str">
        <f t="shared" si="11"/>
        <v>○</v>
      </c>
      <c r="AK71" s="106" t="str">
        <f t="shared" si="23"/>
        <v>○</v>
      </c>
      <c r="AL71" s="106" t="str">
        <f t="shared" si="24"/>
        <v>○</v>
      </c>
      <c r="AM71" s="106" t="str">
        <f t="shared" si="25"/>
        <v>○</v>
      </c>
      <c r="AN71" s="106" t="str">
        <f t="shared" si="26"/>
        <v>○</v>
      </c>
      <c r="AO71" s="106" t="str">
        <f t="shared" si="27"/>
        <v>○</v>
      </c>
      <c r="AP71" s="106" t="str">
        <f t="shared" si="28"/>
        <v>○</v>
      </c>
      <c r="AQ71" s="106" t="str">
        <f t="shared" si="29"/>
        <v>○</v>
      </c>
      <c r="AR71" s="106" t="str">
        <f t="shared" si="30"/>
        <v>○</v>
      </c>
      <c r="AS71" s="106" t="str">
        <f t="shared" si="31"/>
        <v>○</v>
      </c>
      <c r="AT71" s="106" t="str">
        <f t="shared" si="34"/>
        <v>○</v>
      </c>
      <c r="AU71" s="106" t="str">
        <f t="shared" si="35"/>
        <v>○</v>
      </c>
    </row>
    <row r="72" spans="1:47" s="106" customFormat="1" ht="23.15" customHeight="1">
      <c r="A72" s="102">
        <v>66</v>
      </c>
      <c r="B72" s="101" t="str">
        <f>IF('②-1職員名簿'!E72="","",'②-1職員名簿'!Y72)</f>
        <v/>
      </c>
      <c r="C72" s="104" t="str">
        <f>'②-1職員名簿'!BE72</f>
        <v/>
      </c>
      <c r="D72" s="136" t="str">
        <f t="shared" si="36"/>
        <v/>
      </c>
      <c r="E72" s="20" t="str">
        <f>IF($B72="","",IF(AND('②-1職員名簿'!C72="正",'②-1職員名簿'!D72="常"),"正規職員","契約上の就業時間を記載"))</f>
        <v/>
      </c>
      <c r="F72" s="10" t="str">
        <f>IF($B72="","",IF(OR('②-1職員名簿'!AC72="○",'②-1職員名簿'!AC72="●"),IF($E72="正規職員","正",IF($E72="契約上の就業時間を記載","","実績を入力")),"-"))</f>
        <v/>
      </c>
      <c r="G72" s="10" t="str">
        <f>IF($B72="","",IF(OR('②-1職員名簿'!AD72="○",'②-1職員名簿'!AD72="●"),IF($E72="正規職員","正",IF($E72="契約上の就業時間を記載","","実績を入力")),"-"))</f>
        <v/>
      </c>
      <c r="H72" s="10" t="str">
        <f>IF($B72="","",IF(OR('②-1職員名簿'!AE72="○",'②-1職員名簿'!AE72="●"),IF($E72="正規職員","正",IF($E72="契約上の就業時間を記載","","実績を入力")),"-"))</f>
        <v/>
      </c>
      <c r="I72" s="10" t="str">
        <f>IF($B72="","",IF(OR('②-1職員名簿'!AF72="○",'②-1職員名簿'!AF72="●"),IF($E72="正規職員","正",IF($E72="契約上の就業時間を記載","","実績を入力")),"-"))</f>
        <v/>
      </c>
      <c r="J72" s="10" t="str">
        <f>IF($B72="","",IF(OR('②-1職員名簿'!AG72="○",'②-1職員名簿'!AG72="●"),IF($E72="正規職員","正",IF($E72="契約上の就業時間を記載","","実績を入力")),"-"))</f>
        <v/>
      </c>
      <c r="K72" s="10" t="str">
        <f>IF($B72="","",IF(OR('②-1職員名簿'!AH72="○",'②-1職員名簿'!AH72="●"),IF($E72="正規職員","正",IF($E72="契約上の就業時間を記載","","実績を入力")),"-"))</f>
        <v/>
      </c>
      <c r="L72" s="10" t="str">
        <f>IF($B72="","",IF(OR('②-1職員名簿'!AI72="○",'②-1職員名簿'!AI72="●"),IF($E72="正規職員","正",IF($E72="契約上の就業時間を記載","","実績を入力")),"-"))</f>
        <v/>
      </c>
      <c r="M72" s="10" t="str">
        <f>IF($B72="","",IF(OR('②-1職員名簿'!AJ72="○",'②-1職員名簿'!AJ72="●"),IF($E72="正規職員","正",IF($E72="契約上の就業時間を記載","","実績を入力")),"-"))</f>
        <v/>
      </c>
      <c r="N72" s="10" t="str">
        <f>IF($B72="","",IF(OR('②-1職員名簿'!AK72="○",'②-1職員名簿'!AK72="●"),IF($E72="正規職員","正",IF($E72="契約上の就業時間を記載","","実績を入力")),"-"))</f>
        <v/>
      </c>
      <c r="O72" s="10" t="str">
        <f>IF($B72="","",IF(OR('②-1職員名簿'!AL72="○",'②-1職員名簿'!AL72="●"),IF($E72="正規職員","正",IF($E72="契約上の就業時間を記載","","実績を入力")),"-"))</f>
        <v/>
      </c>
      <c r="P72" s="10" t="str">
        <f>IF($B72="","",IF(OR('②-1職員名簿'!AM72="○",'②-1職員名簿'!AM72="●"),IF($E72="正規職員","正",IF($E72="契約上の就業時間を記載","","実績を入力")),"-"))</f>
        <v/>
      </c>
      <c r="Q72" s="10" t="str">
        <f>IF($B72="","",IF(OR('②-1職員名簿'!AN72="○",'②-1職員名簿'!AN72="●"),IF($E72="正規職員","正",IF($E72="契約上の就業時間を記載","","実績を入力")),"-"))</f>
        <v/>
      </c>
      <c r="R72" s="104" t="str">
        <f>IF($B72="","",IF(OR('②-1職員名簿'!AC72="○",'②-1職員名簿'!AC72="●"),IF($E72="正規職員","正",IF($E72="契約上の就業時間を記載","",IF($E72&gt;=F$5,"常",F72))),"-"))</f>
        <v/>
      </c>
      <c r="S72" s="104" t="str">
        <f>IF($B72="","",IF(OR('②-1職員名簿'!AD72="○",'②-1職員名簿'!AD72="●"),IF($E72="正規職員","正",IF($E72="契約上の就業時間を記載","",IF($E72&gt;=G$5,"常",G72))),"-"))</f>
        <v/>
      </c>
      <c r="T72" s="104" t="str">
        <f>IF($B72="","",IF(OR('②-1職員名簿'!AE72="○",'②-1職員名簿'!AE72="●"),IF($E72="正規職員","正",IF($E72="契約上の就業時間を記載","",IF($E72&gt;=H$5,"常",H72))),"-"))</f>
        <v/>
      </c>
      <c r="U72" s="104" t="str">
        <f>IF($B72="","",IF(OR('②-1職員名簿'!AF72="○",'②-1職員名簿'!AF72="●"),IF($E72="正規職員","正",IF($E72="契約上の就業時間を記載","",IF($E72&gt;=I$5,"常",I72))),"-"))</f>
        <v/>
      </c>
      <c r="V72" s="104" t="str">
        <f>IF($B72="","",IF(OR('②-1職員名簿'!AG72="○",'②-1職員名簿'!AG72="●"),IF($E72="正規職員","正",IF($E72="契約上の就業時間を記載","",IF($E72&gt;=J$5,"常",J72))),"-"))</f>
        <v/>
      </c>
      <c r="W72" s="104" t="str">
        <f>IF($B72="","",IF(OR('②-1職員名簿'!AH72="○",'②-1職員名簿'!AH72="●"),IF($E72="正規職員","正",IF($E72="契約上の就業時間を記載","",IF($E72&gt;=K$5,"常",K72))),"-"))</f>
        <v/>
      </c>
      <c r="X72" s="104" t="str">
        <f>IF($B72="","",IF(OR('②-1職員名簿'!AI72="○",'②-1職員名簿'!AI72="●"),IF($E72="正規職員","正",IF($E72="契約上の就業時間を記載","",IF($E72&gt;=L$5,"常",L72))),"-"))</f>
        <v/>
      </c>
      <c r="Y72" s="104" t="str">
        <f>IF($B72="","",IF(OR('②-1職員名簿'!AJ72="○",'②-1職員名簿'!AJ72="●"),IF($E72="正規職員","正",IF($E72="契約上の就業時間を記載","",IF($E72&gt;=M$5,"常",M72))),"-"))</f>
        <v/>
      </c>
      <c r="Z72" s="104" t="str">
        <f>IF($B72="","",IF(OR('②-1職員名簿'!AK72="○",'②-1職員名簿'!AK72="●"),IF($E72="正規職員","正",IF($E72="契約上の就業時間を記載","",IF($E72&gt;=N$5,"常",N72))),"-"))</f>
        <v/>
      </c>
      <c r="AA72" s="104" t="str">
        <f>IF($B72="","",IF(OR('②-1職員名簿'!AL72="○",'②-1職員名簿'!AL72="●"),IF($E72="正規職員","正",IF($E72="契約上の就業時間を記載","",IF($E72&gt;=O$5,"常",O72))),"-"))</f>
        <v/>
      </c>
      <c r="AB72" s="104" t="str">
        <f>IF($B72="","",IF(OR('②-1職員名簿'!AM72="○",'②-1職員名簿'!AM72="●"),IF($E72="正規職員","正",IF($E72="契約上の就業時間を記載","",IF($E72&gt;=P$5,"常",P72))),"-"))</f>
        <v/>
      </c>
      <c r="AC72" s="104" t="str">
        <f>IF($B72="","",IF(OR('②-1職員名簿'!AN72="○",'②-1職員名簿'!AN72="●"),IF($E72="正規職員","正",IF($E72="契約上の就業時間を記載","",IF($E72&gt;=Q$5,"常",Q72))),"-"))</f>
        <v/>
      </c>
      <c r="AE72" s="101" t="str">
        <f>IF('②-1職員名簿'!W72="","",'②-1職員名簿'!W72)</f>
        <v/>
      </c>
      <c r="AJ72" s="106" t="str">
        <f t="shared" ref="AJ72:AJ106" si="37">IF(AND($C72="常勤的非常勤",$E72&lt;F$5),"×",IF(AND($C72="短時間非常勤",F$5&lt;=$E72),"×",IF(AND($C72="嘱託常勤",$E72&lt;F$5),"×",IF(AND($C72="嘱託非常勤",F$5&lt;=$E72),"×","○"))))</f>
        <v>○</v>
      </c>
      <c r="AK72" s="106" t="str">
        <f t="shared" si="23"/>
        <v>○</v>
      </c>
      <c r="AL72" s="106" t="str">
        <f t="shared" si="24"/>
        <v>○</v>
      </c>
      <c r="AM72" s="106" t="str">
        <f t="shared" si="25"/>
        <v>○</v>
      </c>
      <c r="AN72" s="106" t="str">
        <f t="shared" si="26"/>
        <v>○</v>
      </c>
      <c r="AO72" s="106" t="str">
        <f t="shared" si="27"/>
        <v>○</v>
      </c>
      <c r="AP72" s="106" t="str">
        <f t="shared" si="28"/>
        <v>○</v>
      </c>
      <c r="AQ72" s="106" t="str">
        <f t="shared" si="29"/>
        <v>○</v>
      </c>
      <c r="AR72" s="106" t="str">
        <f t="shared" si="30"/>
        <v>○</v>
      </c>
      <c r="AS72" s="106" t="str">
        <f t="shared" si="31"/>
        <v>○</v>
      </c>
      <c r="AT72" s="106" t="str">
        <f t="shared" si="34"/>
        <v>○</v>
      </c>
      <c r="AU72" s="106" t="str">
        <f t="shared" si="35"/>
        <v>○</v>
      </c>
    </row>
    <row r="73" spans="1:47" s="106" customFormat="1" ht="23.15" customHeight="1">
      <c r="A73" s="102">
        <v>67</v>
      </c>
      <c r="B73" s="101" t="str">
        <f>IF('②-1職員名簿'!E73="","",'②-1職員名簿'!Y73)</f>
        <v/>
      </c>
      <c r="C73" s="104" t="str">
        <f>'②-1職員名簿'!BE73</f>
        <v/>
      </c>
      <c r="D73" s="136" t="str">
        <f t="shared" si="36"/>
        <v/>
      </c>
      <c r="E73" s="20" t="str">
        <f>IF($B73="","",IF(AND('②-1職員名簿'!C73="正",'②-1職員名簿'!D73="常"),"正規職員","契約上の就業時間を記載"))</f>
        <v/>
      </c>
      <c r="F73" s="10" t="str">
        <f>IF($B73="","",IF(OR('②-1職員名簿'!AC73="○",'②-1職員名簿'!AC73="●"),IF($E73="正規職員","正",IF($E73="契約上の就業時間を記載","","実績を入力")),"-"))</f>
        <v/>
      </c>
      <c r="G73" s="10" t="str">
        <f>IF($B73="","",IF(OR('②-1職員名簿'!AD73="○",'②-1職員名簿'!AD73="●"),IF($E73="正規職員","正",IF($E73="契約上の就業時間を記載","","実績を入力")),"-"))</f>
        <v/>
      </c>
      <c r="H73" s="10" t="str">
        <f>IF($B73="","",IF(OR('②-1職員名簿'!AE73="○",'②-1職員名簿'!AE73="●"),IF($E73="正規職員","正",IF($E73="契約上の就業時間を記載","","実績を入力")),"-"))</f>
        <v/>
      </c>
      <c r="I73" s="10" t="str">
        <f>IF($B73="","",IF(OR('②-1職員名簿'!AF73="○",'②-1職員名簿'!AF73="●"),IF($E73="正規職員","正",IF($E73="契約上の就業時間を記載","","実績を入力")),"-"))</f>
        <v/>
      </c>
      <c r="J73" s="10" t="str">
        <f>IF($B73="","",IF(OR('②-1職員名簿'!AG73="○",'②-1職員名簿'!AG73="●"),IF($E73="正規職員","正",IF($E73="契約上の就業時間を記載","","実績を入力")),"-"))</f>
        <v/>
      </c>
      <c r="K73" s="10" t="str">
        <f>IF($B73="","",IF(OR('②-1職員名簿'!AH73="○",'②-1職員名簿'!AH73="●"),IF($E73="正規職員","正",IF($E73="契約上の就業時間を記載","","実績を入力")),"-"))</f>
        <v/>
      </c>
      <c r="L73" s="10" t="str">
        <f>IF($B73="","",IF(OR('②-1職員名簿'!AI73="○",'②-1職員名簿'!AI73="●"),IF($E73="正規職員","正",IF($E73="契約上の就業時間を記載","","実績を入力")),"-"))</f>
        <v/>
      </c>
      <c r="M73" s="10" t="str">
        <f>IF($B73="","",IF(OR('②-1職員名簿'!AJ73="○",'②-1職員名簿'!AJ73="●"),IF($E73="正規職員","正",IF($E73="契約上の就業時間を記載","","実績を入力")),"-"))</f>
        <v/>
      </c>
      <c r="N73" s="10" t="str">
        <f>IF($B73="","",IF(OR('②-1職員名簿'!AK73="○",'②-1職員名簿'!AK73="●"),IF($E73="正規職員","正",IF($E73="契約上の就業時間を記載","","実績を入力")),"-"))</f>
        <v/>
      </c>
      <c r="O73" s="10" t="str">
        <f>IF($B73="","",IF(OR('②-1職員名簿'!AL73="○",'②-1職員名簿'!AL73="●"),IF($E73="正規職員","正",IF($E73="契約上の就業時間を記載","","実績を入力")),"-"))</f>
        <v/>
      </c>
      <c r="P73" s="10" t="str">
        <f>IF($B73="","",IF(OR('②-1職員名簿'!AM73="○",'②-1職員名簿'!AM73="●"),IF($E73="正規職員","正",IF($E73="契約上の就業時間を記載","","実績を入力")),"-"))</f>
        <v/>
      </c>
      <c r="Q73" s="10" t="str">
        <f>IF($B73="","",IF(OR('②-1職員名簿'!AN73="○",'②-1職員名簿'!AN73="●"),IF($E73="正規職員","正",IF($E73="契約上の就業時間を記載","","実績を入力")),"-"))</f>
        <v/>
      </c>
      <c r="R73" s="104" t="str">
        <f>IF($B73="","",IF(OR('②-1職員名簿'!AC73="○",'②-1職員名簿'!AC73="●"),IF($E73="正規職員","正",IF($E73="契約上の就業時間を記載","",IF($E73&gt;=F$5,"常",F73))),"-"))</f>
        <v/>
      </c>
      <c r="S73" s="104" t="str">
        <f>IF($B73="","",IF(OR('②-1職員名簿'!AD73="○",'②-1職員名簿'!AD73="●"),IF($E73="正規職員","正",IF($E73="契約上の就業時間を記載","",IF($E73&gt;=G$5,"常",G73))),"-"))</f>
        <v/>
      </c>
      <c r="T73" s="104" t="str">
        <f>IF($B73="","",IF(OR('②-1職員名簿'!AE73="○",'②-1職員名簿'!AE73="●"),IF($E73="正規職員","正",IF($E73="契約上の就業時間を記載","",IF($E73&gt;=H$5,"常",H73))),"-"))</f>
        <v/>
      </c>
      <c r="U73" s="104" t="str">
        <f>IF($B73="","",IF(OR('②-1職員名簿'!AF73="○",'②-1職員名簿'!AF73="●"),IF($E73="正規職員","正",IF($E73="契約上の就業時間を記載","",IF($E73&gt;=I$5,"常",I73))),"-"))</f>
        <v/>
      </c>
      <c r="V73" s="104" t="str">
        <f>IF($B73="","",IF(OR('②-1職員名簿'!AG73="○",'②-1職員名簿'!AG73="●"),IF($E73="正規職員","正",IF($E73="契約上の就業時間を記載","",IF($E73&gt;=J$5,"常",J73))),"-"))</f>
        <v/>
      </c>
      <c r="W73" s="104" t="str">
        <f>IF($B73="","",IF(OR('②-1職員名簿'!AH73="○",'②-1職員名簿'!AH73="●"),IF($E73="正規職員","正",IF($E73="契約上の就業時間を記載","",IF($E73&gt;=K$5,"常",K73))),"-"))</f>
        <v/>
      </c>
      <c r="X73" s="104" t="str">
        <f>IF($B73="","",IF(OR('②-1職員名簿'!AI73="○",'②-1職員名簿'!AI73="●"),IF($E73="正規職員","正",IF($E73="契約上の就業時間を記載","",IF($E73&gt;=L$5,"常",L73))),"-"))</f>
        <v/>
      </c>
      <c r="Y73" s="104" t="str">
        <f>IF($B73="","",IF(OR('②-1職員名簿'!AJ73="○",'②-1職員名簿'!AJ73="●"),IF($E73="正規職員","正",IF($E73="契約上の就業時間を記載","",IF($E73&gt;=M$5,"常",M73))),"-"))</f>
        <v/>
      </c>
      <c r="Z73" s="104" t="str">
        <f>IF($B73="","",IF(OR('②-1職員名簿'!AK73="○",'②-1職員名簿'!AK73="●"),IF($E73="正規職員","正",IF($E73="契約上の就業時間を記載","",IF($E73&gt;=N$5,"常",N73))),"-"))</f>
        <v/>
      </c>
      <c r="AA73" s="104" t="str">
        <f>IF($B73="","",IF(OR('②-1職員名簿'!AL73="○",'②-1職員名簿'!AL73="●"),IF($E73="正規職員","正",IF($E73="契約上の就業時間を記載","",IF($E73&gt;=O$5,"常",O73))),"-"))</f>
        <v/>
      </c>
      <c r="AB73" s="104" t="str">
        <f>IF($B73="","",IF(OR('②-1職員名簿'!AM73="○",'②-1職員名簿'!AM73="●"),IF($E73="正規職員","正",IF($E73="契約上の就業時間を記載","",IF($E73&gt;=P$5,"常",P73))),"-"))</f>
        <v/>
      </c>
      <c r="AC73" s="104" t="str">
        <f>IF($B73="","",IF(OR('②-1職員名簿'!AN73="○",'②-1職員名簿'!AN73="●"),IF($E73="正規職員","正",IF($E73="契約上の就業時間を記載","",IF($E73&gt;=Q$5,"常",Q73))),"-"))</f>
        <v/>
      </c>
      <c r="AE73" s="101" t="str">
        <f>IF('②-1職員名簿'!W73="","",'②-1職員名簿'!W73)</f>
        <v/>
      </c>
      <c r="AJ73" s="106" t="str">
        <f t="shared" si="37"/>
        <v>○</v>
      </c>
      <c r="AK73" s="106" t="str">
        <f t="shared" si="23"/>
        <v>○</v>
      </c>
      <c r="AL73" s="106" t="str">
        <f t="shared" si="24"/>
        <v>○</v>
      </c>
      <c r="AM73" s="106" t="str">
        <f t="shared" si="25"/>
        <v>○</v>
      </c>
      <c r="AN73" s="106" t="str">
        <f t="shared" si="26"/>
        <v>○</v>
      </c>
      <c r="AO73" s="106" t="str">
        <f t="shared" si="27"/>
        <v>○</v>
      </c>
      <c r="AP73" s="106" t="str">
        <f t="shared" si="28"/>
        <v>○</v>
      </c>
      <c r="AQ73" s="106" t="str">
        <f t="shared" si="29"/>
        <v>○</v>
      </c>
      <c r="AR73" s="106" t="str">
        <f t="shared" si="30"/>
        <v>○</v>
      </c>
      <c r="AS73" s="106" t="str">
        <f t="shared" si="31"/>
        <v>○</v>
      </c>
      <c r="AT73" s="106" t="str">
        <f t="shared" si="34"/>
        <v>○</v>
      </c>
      <c r="AU73" s="106" t="str">
        <f t="shared" si="35"/>
        <v>○</v>
      </c>
    </row>
    <row r="74" spans="1:47" s="106" customFormat="1" ht="23.15" customHeight="1">
      <c r="A74" s="102">
        <v>68</v>
      </c>
      <c r="B74" s="101" t="str">
        <f>IF('②-1職員名簿'!E74="","",'②-1職員名簿'!Y74)</f>
        <v/>
      </c>
      <c r="C74" s="104" t="str">
        <f>'②-1職員名簿'!BE74</f>
        <v/>
      </c>
      <c r="D74" s="136" t="str">
        <f t="shared" si="36"/>
        <v/>
      </c>
      <c r="E74" s="20" t="str">
        <f>IF($B74="","",IF(AND('②-1職員名簿'!C74="正",'②-1職員名簿'!D74="常"),"正規職員","契約上の就業時間を記載"))</f>
        <v/>
      </c>
      <c r="F74" s="10" t="str">
        <f>IF($B74="","",IF(OR('②-1職員名簿'!AC74="○",'②-1職員名簿'!AC74="●"),IF($E74="正規職員","正",IF($E74="契約上の就業時間を記載","","実績を入力")),"-"))</f>
        <v/>
      </c>
      <c r="G74" s="10" t="str">
        <f>IF($B74="","",IF(OR('②-1職員名簿'!AD74="○",'②-1職員名簿'!AD74="●"),IF($E74="正規職員","正",IF($E74="契約上の就業時間を記載","","実績を入力")),"-"))</f>
        <v/>
      </c>
      <c r="H74" s="10" t="str">
        <f>IF($B74="","",IF(OR('②-1職員名簿'!AE74="○",'②-1職員名簿'!AE74="●"),IF($E74="正規職員","正",IF($E74="契約上の就業時間を記載","","実績を入力")),"-"))</f>
        <v/>
      </c>
      <c r="I74" s="10" t="str">
        <f>IF($B74="","",IF(OR('②-1職員名簿'!AF74="○",'②-1職員名簿'!AF74="●"),IF($E74="正規職員","正",IF($E74="契約上の就業時間を記載","","実績を入力")),"-"))</f>
        <v/>
      </c>
      <c r="J74" s="10" t="str">
        <f>IF($B74="","",IF(OR('②-1職員名簿'!AG74="○",'②-1職員名簿'!AG74="●"),IF($E74="正規職員","正",IF($E74="契約上の就業時間を記載","","実績を入力")),"-"))</f>
        <v/>
      </c>
      <c r="K74" s="10" t="str">
        <f>IF($B74="","",IF(OR('②-1職員名簿'!AH74="○",'②-1職員名簿'!AH74="●"),IF($E74="正規職員","正",IF($E74="契約上の就業時間を記載","","実績を入力")),"-"))</f>
        <v/>
      </c>
      <c r="L74" s="10" t="str">
        <f>IF($B74="","",IF(OR('②-1職員名簿'!AI74="○",'②-1職員名簿'!AI74="●"),IF($E74="正規職員","正",IF($E74="契約上の就業時間を記載","","実績を入力")),"-"))</f>
        <v/>
      </c>
      <c r="M74" s="10" t="str">
        <f>IF($B74="","",IF(OR('②-1職員名簿'!AJ74="○",'②-1職員名簿'!AJ74="●"),IF($E74="正規職員","正",IF($E74="契約上の就業時間を記載","","実績を入力")),"-"))</f>
        <v/>
      </c>
      <c r="N74" s="10" t="str">
        <f>IF($B74="","",IF(OR('②-1職員名簿'!AK74="○",'②-1職員名簿'!AK74="●"),IF($E74="正規職員","正",IF($E74="契約上の就業時間を記載","","実績を入力")),"-"))</f>
        <v/>
      </c>
      <c r="O74" s="10" t="str">
        <f>IF($B74="","",IF(OR('②-1職員名簿'!AL74="○",'②-1職員名簿'!AL74="●"),IF($E74="正規職員","正",IF($E74="契約上の就業時間を記載","","実績を入力")),"-"))</f>
        <v/>
      </c>
      <c r="P74" s="10" t="str">
        <f>IF($B74="","",IF(OR('②-1職員名簿'!AM74="○",'②-1職員名簿'!AM74="●"),IF($E74="正規職員","正",IF($E74="契約上の就業時間を記載","","実績を入力")),"-"))</f>
        <v/>
      </c>
      <c r="Q74" s="10" t="str">
        <f>IF($B74="","",IF(OR('②-1職員名簿'!AN74="○",'②-1職員名簿'!AN74="●"),IF($E74="正規職員","正",IF($E74="契約上の就業時間を記載","","実績を入力")),"-"))</f>
        <v/>
      </c>
      <c r="R74" s="104" t="str">
        <f>IF($B74="","",IF(OR('②-1職員名簿'!AC74="○",'②-1職員名簿'!AC74="●"),IF($E74="正規職員","正",IF($E74="契約上の就業時間を記載","",IF($E74&gt;=F$5,"常",F74))),"-"))</f>
        <v/>
      </c>
      <c r="S74" s="104" t="str">
        <f>IF($B74="","",IF(OR('②-1職員名簿'!AD74="○",'②-1職員名簿'!AD74="●"),IF($E74="正規職員","正",IF($E74="契約上の就業時間を記載","",IF($E74&gt;=G$5,"常",G74))),"-"))</f>
        <v/>
      </c>
      <c r="T74" s="104" t="str">
        <f>IF($B74="","",IF(OR('②-1職員名簿'!AE74="○",'②-1職員名簿'!AE74="●"),IF($E74="正規職員","正",IF($E74="契約上の就業時間を記載","",IF($E74&gt;=H$5,"常",H74))),"-"))</f>
        <v/>
      </c>
      <c r="U74" s="104" t="str">
        <f>IF($B74="","",IF(OR('②-1職員名簿'!AF74="○",'②-1職員名簿'!AF74="●"),IF($E74="正規職員","正",IF($E74="契約上の就業時間を記載","",IF($E74&gt;=I$5,"常",I74))),"-"))</f>
        <v/>
      </c>
      <c r="V74" s="104" t="str">
        <f>IF($B74="","",IF(OR('②-1職員名簿'!AG74="○",'②-1職員名簿'!AG74="●"),IF($E74="正規職員","正",IF($E74="契約上の就業時間を記載","",IF($E74&gt;=J$5,"常",J74))),"-"))</f>
        <v/>
      </c>
      <c r="W74" s="104" t="str">
        <f>IF($B74="","",IF(OR('②-1職員名簿'!AH74="○",'②-1職員名簿'!AH74="●"),IF($E74="正規職員","正",IF($E74="契約上の就業時間を記載","",IF($E74&gt;=K$5,"常",K74))),"-"))</f>
        <v/>
      </c>
      <c r="X74" s="104" t="str">
        <f>IF($B74="","",IF(OR('②-1職員名簿'!AI74="○",'②-1職員名簿'!AI74="●"),IF($E74="正規職員","正",IF($E74="契約上の就業時間を記載","",IF($E74&gt;=L$5,"常",L74))),"-"))</f>
        <v/>
      </c>
      <c r="Y74" s="104" t="str">
        <f>IF($B74="","",IF(OR('②-1職員名簿'!AJ74="○",'②-1職員名簿'!AJ74="●"),IF($E74="正規職員","正",IF($E74="契約上の就業時間を記載","",IF($E74&gt;=M$5,"常",M74))),"-"))</f>
        <v/>
      </c>
      <c r="Z74" s="104" t="str">
        <f>IF($B74="","",IF(OR('②-1職員名簿'!AK74="○",'②-1職員名簿'!AK74="●"),IF($E74="正規職員","正",IF($E74="契約上の就業時間を記載","",IF($E74&gt;=N$5,"常",N74))),"-"))</f>
        <v/>
      </c>
      <c r="AA74" s="104" t="str">
        <f>IF($B74="","",IF(OR('②-1職員名簿'!AL74="○",'②-1職員名簿'!AL74="●"),IF($E74="正規職員","正",IF($E74="契約上の就業時間を記載","",IF($E74&gt;=O$5,"常",O74))),"-"))</f>
        <v/>
      </c>
      <c r="AB74" s="104" t="str">
        <f>IF($B74="","",IF(OR('②-1職員名簿'!AM74="○",'②-1職員名簿'!AM74="●"),IF($E74="正規職員","正",IF($E74="契約上の就業時間を記載","",IF($E74&gt;=P$5,"常",P74))),"-"))</f>
        <v/>
      </c>
      <c r="AC74" s="104" t="str">
        <f>IF($B74="","",IF(OR('②-1職員名簿'!AN74="○",'②-1職員名簿'!AN74="●"),IF($E74="正規職員","正",IF($E74="契約上の就業時間を記載","",IF($E74&gt;=Q$5,"常",Q74))),"-"))</f>
        <v/>
      </c>
      <c r="AE74" s="101" t="str">
        <f>IF('②-1職員名簿'!W74="","",'②-1職員名簿'!W74)</f>
        <v/>
      </c>
      <c r="AJ74" s="106" t="str">
        <f t="shared" si="37"/>
        <v>○</v>
      </c>
      <c r="AK74" s="106" t="str">
        <f t="shared" si="23"/>
        <v>○</v>
      </c>
      <c r="AL74" s="106" t="str">
        <f t="shared" si="24"/>
        <v>○</v>
      </c>
      <c r="AM74" s="106" t="str">
        <f t="shared" si="25"/>
        <v>○</v>
      </c>
      <c r="AN74" s="106" t="str">
        <f t="shared" si="26"/>
        <v>○</v>
      </c>
      <c r="AO74" s="106" t="str">
        <f t="shared" si="27"/>
        <v>○</v>
      </c>
      <c r="AP74" s="106" t="str">
        <f t="shared" si="28"/>
        <v>○</v>
      </c>
      <c r="AQ74" s="106" t="str">
        <f t="shared" si="29"/>
        <v>○</v>
      </c>
      <c r="AR74" s="106" t="str">
        <f t="shared" si="30"/>
        <v>○</v>
      </c>
      <c r="AS74" s="106" t="str">
        <f t="shared" si="31"/>
        <v>○</v>
      </c>
      <c r="AT74" s="106" t="str">
        <f t="shared" si="34"/>
        <v>○</v>
      </c>
      <c r="AU74" s="106" t="str">
        <f t="shared" si="35"/>
        <v>○</v>
      </c>
    </row>
    <row r="75" spans="1:47" s="106" customFormat="1" ht="23.15" customHeight="1">
      <c r="A75" s="102">
        <v>69</v>
      </c>
      <c r="B75" s="101" t="str">
        <f>IF('②-1職員名簿'!E75="","",'②-1職員名簿'!Y75)</f>
        <v/>
      </c>
      <c r="C75" s="104" t="str">
        <f>'②-1職員名簿'!BE75</f>
        <v/>
      </c>
      <c r="D75" s="136" t="str">
        <f t="shared" si="36"/>
        <v/>
      </c>
      <c r="E75" s="20" t="str">
        <f>IF($B75="","",IF(AND('②-1職員名簿'!C75="正",'②-1職員名簿'!D75="常"),"正規職員","契約上の就業時間を記載"))</f>
        <v/>
      </c>
      <c r="F75" s="10" t="str">
        <f>IF($B75="","",IF(OR('②-1職員名簿'!AC75="○",'②-1職員名簿'!AC75="●"),IF($E75="正規職員","正",IF($E75="契約上の就業時間を記載","","実績を入力")),"-"))</f>
        <v/>
      </c>
      <c r="G75" s="10" t="str">
        <f>IF($B75="","",IF(OR('②-1職員名簿'!AD75="○",'②-1職員名簿'!AD75="●"),IF($E75="正規職員","正",IF($E75="契約上の就業時間を記載","","実績を入力")),"-"))</f>
        <v/>
      </c>
      <c r="H75" s="10" t="str">
        <f>IF($B75="","",IF(OR('②-1職員名簿'!AE75="○",'②-1職員名簿'!AE75="●"),IF($E75="正規職員","正",IF($E75="契約上の就業時間を記載","","実績を入力")),"-"))</f>
        <v/>
      </c>
      <c r="I75" s="10" t="str">
        <f>IF($B75="","",IF(OR('②-1職員名簿'!AF75="○",'②-1職員名簿'!AF75="●"),IF($E75="正規職員","正",IF($E75="契約上の就業時間を記載","","実績を入力")),"-"))</f>
        <v/>
      </c>
      <c r="J75" s="10" t="str">
        <f>IF($B75="","",IF(OR('②-1職員名簿'!AG75="○",'②-1職員名簿'!AG75="●"),IF($E75="正規職員","正",IF($E75="契約上の就業時間を記載","","実績を入力")),"-"))</f>
        <v/>
      </c>
      <c r="K75" s="10" t="str">
        <f>IF($B75="","",IF(OR('②-1職員名簿'!AH75="○",'②-1職員名簿'!AH75="●"),IF($E75="正規職員","正",IF($E75="契約上の就業時間を記載","","実績を入力")),"-"))</f>
        <v/>
      </c>
      <c r="L75" s="10" t="str">
        <f>IF($B75="","",IF(OR('②-1職員名簿'!AI75="○",'②-1職員名簿'!AI75="●"),IF($E75="正規職員","正",IF($E75="契約上の就業時間を記載","","実績を入力")),"-"))</f>
        <v/>
      </c>
      <c r="M75" s="10" t="str">
        <f>IF($B75="","",IF(OR('②-1職員名簿'!AJ75="○",'②-1職員名簿'!AJ75="●"),IF($E75="正規職員","正",IF($E75="契約上の就業時間を記載","","実績を入力")),"-"))</f>
        <v/>
      </c>
      <c r="N75" s="10" t="str">
        <f>IF($B75="","",IF(OR('②-1職員名簿'!AK75="○",'②-1職員名簿'!AK75="●"),IF($E75="正規職員","正",IF($E75="契約上の就業時間を記載","","実績を入力")),"-"))</f>
        <v/>
      </c>
      <c r="O75" s="10" t="str">
        <f>IF($B75="","",IF(OR('②-1職員名簿'!AL75="○",'②-1職員名簿'!AL75="●"),IF($E75="正規職員","正",IF($E75="契約上の就業時間を記載","","実績を入力")),"-"))</f>
        <v/>
      </c>
      <c r="P75" s="10" t="str">
        <f>IF($B75="","",IF(OR('②-1職員名簿'!AM75="○",'②-1職員名簿'!AM75="●"),IF($E75="正規職員","正",IF($E75="契約上の就業時間を記載","","実績を入力")),"-"))</f>
        <v/>
      </c>
      <c r="Q75" s="10" t="str">
        <f>IF($B75="","",IF(OR('②-1職員名簿'!AN75="○",'②-1職員名簿'!AN75="●"),IF($E75="正規職員","正",IF($E75="契約上の就業時間を記載","","実績を入力")),"-"))</f>
        <v/>
      </c>
      <c r="R75" s="104" t="str">
        <f>IF($B75="","",IF(OR('②-1職員名簿'!AC75="○",'②-1職員名簿'!AC75="●"),IF($E75="正規職員","正",IF($E75="契約上の就業時間を記載","",IF($E75&gt;=F$5,"常",F75))),"-"))</f>
        <v/>
      </c>
      <c r="S75" s="104" t="str">
        <f>IF($B75="","",IF(OR('②-1職員名簿'!AD75="○",'②-1職員名簿'!AD75="●"),IF($E75="正規職員","正",IF($E75="契約上の就業時間を記載","",IF($E75&gt;=G$5,"常",G75))),"-"))</f>
        <v/>
      </c>
      <c r="T75" s="104" t="str">
        <f>IF($B75="","",IF(OR('②-1職員名簿'!AE75="○",'②-1職員名簿'!AE75="●"),IF($E75="正規職員","正",IF($E75="契約上の就業時間を記載","",IF($E75&gt;=H$5,"常",H75))),"-"))</f>
        <v/>
      </c>
      <c r="U75" s="104" t="str">
        <f>IF($B75="","",IF(OR('②-1職員名簿'!AF75="○",'②-1職員名簿'!AF75="●"),IF($E75="正規職員","正",IF($E75="契約上の就業時間を記載","",IF($E75&gt;=I$5,"常",I75))),"-"))</f>
        <v/>
      </c>
      <c r="V75" s="104" t="str">
        <f>IF($B75="","",IF(OR('②-1職員名簿'!AG75="○",'②-1職員名簿'!AG75="●"),IF($E75="正規職員","正",IF($E75="契約上の就業時間を記載","",IF($E75&gt;=J$5,"常",J75))),"-"))</f>
        <v/>
      </c>
      <c r="W75" s="104" t="str">
        <f>IF($B75="","",IF(OR('②-1職員名簿'!AH75="○",'②-1職員名簿'!AH75="●"),IF($E75="正規職員","正",IF($E75="契約上の就業時間を記載","",IF($E75&gt;=K$5,"常",K75))),"-"))</f>
        <v/>
      </c>
      <c r="X75" s="104" t="str">
        <f>IF($B75="","",IF(OR('②-1職員名簿'!AI75="○",'②-1職員名簿'!AI75="●"),IF($E75="正規職員","正",IF($E75="契約上の就業時間を記載","",IF($E75&gt;=L$5,"常",L75))),"-"))</f>
        <v/>
      </c>
      <c r="Y75" s="104" t="str">
        <f>IF($B75="","",IF(OR('②-1職員名簿'!AJ75="○",'②-1職員名簿'!AJ75="●"),IF($E75="正規職員","正",IF($E75="契約上の就業時間を記載","",IF($E75&gt;=M$5,"常",M75))),"-"))</f>
        <v/>
      </c>
      <c r="Z75" s="104" t="str">
        <f>IF($B75="","",IF(OR('②-1職員名簿'!AK75="○",'②-1職員名簿'!AK75="●"),IF($E75="正規職員","正",IF($E75="契約上の就業時間を記載","",IF($E75&gt;=N$5,"常",N75))),"-"))</f>
        <v/>
      </c>
      <c r="AA75" s="104" t="str">
        <f>IF($B75="","",IF(OR('②-1職員名簿'!AL75="○",'②-1職員名簿'!AL75="●"),IF($E75="正規職員","正",IF($E75="契約上の就業時間を記載","",IF($E75&gt;=O$5,"常",O75))),"-"))</f>
        <v/>
      </c>
      <c r="AB75" s="104" t="str">
        <f>IF($B75="","",IF(OR('②-1職員名簿'!AM75="○",'②-1職員名簿'!AM75="●"),IF($E75="正規職員","正",IF($E75="契約上の就業時間を記載","",IF($E75&gt;=P$5,"常",P75))),"-"))</f>
        <v/>
      </c>
      <c r="AC75" s="104" t="str">
        <f>IF($B75="","",IF(OR('②-1職員名簿'!AN75="○",'②-1職員名簿'!AN75="●"),IF($E75="正規職員","正",IF($E75="契約上の就業時間を記載","",IF($E75&gt;=Q$5,"常",Q75))),"-"))</f>
        <v/>
      </c>
      <c r="AE75" s="101" t="str">
        <f>IF('②-1職員名簿'!W75="","",'②-1職員名簿'!W75)</f>
        <v/>
      </c>
      <c r="AJ75" s="106" t="str">
        <f t="shared" si="37"/>
        <v>○</v>
      </c>
      <c r="AK75" s="106" t="str">
        <f t="shared" si="23"/>
        <v>○</v>
      </c>
      <c r="AL75" s="106" t="str">
        <f t="shared" si="24"/>
        <v>○</v>
      </c>
      <c r="AM75" s="106" t="str">
        <f t="shared" si="25"/>
        <v>○</v>
      </c>
      <c r="AN75" s="106" t="str">
        <f t="shared" si="26"/>
        <v>○</v>
      </c>
      <c r="AO75" s="106" t="str">
        <f t="shared" si="27"/>
        <v>○</v>
      </c>
      <c r="AP75" s="106" t="str">
        <f t="shared" si="28"/>
        <v>○</v>
      </c>
      <c r="AQ75" s="106" t="str">
        <f t="shared" si="29"/>
        <v>○</v>
      </c>
      <c r="AR75" s="106" t="str">
        <f t="shared" si="30"/>
        <v>○</v>
      </c>
      <c r="AS75" s="106" t="str">
        <f t="shared" si="31"/>
        <v>○</v>
      </c>
      <c r="AT75" s="106" t="str">
        <f t="shared" si="34"/>
        <v>○</v>
      </c>
      <c r="AU75" s="106" t="str">
        <f t="shared" si="35"/>
        <v>○</v>
      </c>
    </row>
    <row r="76" spans="1:47" s="106" customFormat="1" ht="23.15" customHeight="1">
      <c r="A76" s="102">
        <v>70</v>
      </c>
      <c r="B76" s="101" t="str">
        <f>IF('②-1職員名簿'!E76="","",'②-1職員名簿'!Y76)</f>
        <v/>
      </c>
      <c r="C76" s="104" t="str">
        <f>'②-1職員名簿'!BE76</f>
        <v/>
      </c>
      <c r="D76" s="136" t="str">
        <f t="shared" si="36"/>
        <v/>
      </c>
      <c r="E76" s="20" t="str">
        <f>IF($B76="","",IF(AND('②-1職員名簿'!C76="正",'②-1職員名簿'!D76="常"),"正規職員","契約上の就業時間を記載"))</f>
        <v/>
      </c>
      <c r="F76" s="10" t="str">
        <f>IF($B76="","",IF(OR('②-1職員名簿'!AC76="○",'②-1職員名簿'!AC76="●"),IF($E76="正規職員","正",IF($E76="契約上の就業時間を記載","","実績を入力")),"-"))</f>
        <v/>
      </c>
      <c r="G76" s="10" t="str">
        <f>IF($B76="","",IF(OR('②-1職員名簿'!AD76="○",'②-1職員名簿'!AD76="●"),IF($E76="正規職員","正",IF($E76="契約上の就業時間を記載","","実績を入力")),"-"))</f>
        <v/>
      </c>
      <c r="H76" s="10" t="str">
        <f>IF($B76="","",IF(OR('②-1職員名簿'!AE76="○",'②-1職員名簿'!AE76="●"),IF($E76="正規職員","正",IF($E76="契約上の就業時間を記載","","実績を入力")),"-"))</f>
        <v/>
      </c>
      <c r="I76" s="10" t="str">
        <f>IF($B76="","",IF(OR('②-1職員名簿'!AF76="○",'②-1職員名簿'!AF76="●"),IF($E76="正規職員","正",IF($E76="契約上の就業時間を記載","","実績を入力")),"-"))</f>
        <v/>
      </c>
      <c r="J76" s="10" t="str">
        <f>IF($B76="","",IF(OR('②-1職員名簿'!AG76="○",'②-1職員名簿'!AG76="●"),IF($E76="正規職員","正",IF($E76="契約上の就業時間を記載","","実績を入力")),"-"))</f>
        <v/>
      </c>
      <c r="K76" s="10" t="str">
        <f>IF($B76="","",IF(OR('②-1職員名簿'!AH76="○",'②-1職員名簿'!AH76="●"),IF($E76="正規職員","正",IF($E76="契約上の就業時間を記載","","実績を入力")),"-"))</f>
        <v/>
      </c>
      <c r="L76" s="10" t="str">
        <f>IF($B76="","",IF(OR('②-1職員名簿'!AI76="○",'②-1職員名簿'!AI76="●"),IF($E76="正規職員","正",IF($E76="契約上の就業時間を記載","","実績を入力")),"-"))</f>
        <v/>
      </c>
      <c r="M76" s="10" t="str">
        <f>IF($B76="","",IF(OR('②-1職員名簿'!AJ76="○",'②-1職員名簿'!AJ76="●"),IF($E76="正規職員","正",IF($E76="契約上の就業時間を記載","","実績を入力")),"-"))</f>
        <v/>
      </c>
      <c r="N76" s="10" t="str">
        <f>IF($B76="","",IF(OR('②-1職員名簿'!AK76="○",'②-1職員名簿'!AK76="●"),IF($E76="正規職員","正",IF($E76="契約上の就業時間を記載","","実績を入力")),"-"))</f>
        <v/>
      </c>
      <c r="O76" s="10" t="str">
        <f>IF($B76="","",IF(OR('②-1職員名簿'!AL76="○",'②-1職員名簿'!AL76="●"),IF($E76="正規職員","正",IF($E76="契約上の就業時間を記載","","実績を入力")),"-"))</f>
        <v/>
      </c>
      <c r="P76" s="10" t="str">
        <f>IF($B76="","",IF(OR('②-1職員名簿'!AM76="○",'②-1職員名簿'!AM76="●"),IF($E76="正規職員","正",IF($E76="契約上の就業時間を記載","","実績を入力")),"-"))</f>
        <v/>
      </c>
      <c r="Q76" s="10" t="str">
        <f>IF($B76="","",IF(OR('②-1職員名簿'!AN76="○",'②-1職員名簿'!AN76="●"),IF($E76="正規職員","正",IF($E76="契約上の就業時間を記載","","実績を入力")),"-"))</f>
        <v/>
      </c>
      <c r="R76" s="104" t="str">
        <f>IF($B76="","",IF(OR('②-1職員名簿'!AC76="○",'②-1職員名簿'!AC76="●"),IF($E76="正規職員","正",IF($E76="契約上の就業時間を記載","",IF($E76&gt;=F$5,"常",F76))),"-"))</f>
        <v/>
      </c>
      <c r="S76" s="104" t="str">
        <f>IF($B76="","",IF(OR('②-1職員名簿'!AD76="○",'②-1職員名簿'!AD76="●"),IF($E76="正規職員","正",IF($E76="契約上の就業時間を記載","",IF($E76&gt;=G$5,"常",G76))),"-"))</f>
        <v/>
      </c>
      <c r="T76" s="104" t="str">
        <f>IF($B76="","",IF(OR('②-1職員名簿'!AE76="○",'②-1職員名簿'!AE76="●"),IF($E76="正規職員","正",IF($E76="契約上の就業時間を記載","",IF($E76&gt;=H$5,"常",H76))),"-"))</f>
        <v/>
      </c>
      <c r="U76" s="104" t="str">
        <f>IF($B76="","",IF(OR('②-1職員名簿'!AF76="○",'②-1職員名簿'!AF76="●"),IF($E76="正規職員","正",IF($E76="契約上の就業時間を記載","",IF($E76&gt;=I$5,"常",I76))),"-"))</f>
        <v/>
      </c>
      <c r="V76" s="104" t="str">
        <f>IF($B76="","",IF(OR('②-1職員名簿'!AG76="○",'②-1職員名簿'!AG76="●"),IF($E76="正規職員","正",IF($E76="契約上の就業時間を記載","",IF($E76&gt;=J$5,"常",J76))),"-"))</f>
        <v/>
      </c>
      <c r="W76" s="104" t="str">
        <f>IF($B76="","",IF(OR('②-1職員名簿'!AH76="○",'②-1職員名簿'!AH76="●"),IF($E76="正規職員","正",IF($E76="契約上の就業時間を記載","",IF($E76&gt;=K$5,"常",K76))),"-"))</f>
        <v/>
      </c>
      <c r="X76" s="104" t="str">
        <f>IF($B76="","",IF(OR('②-1職員名簿'!AI76="○",'②-1職員名簿'!AI76="●"),IF($E76="正規職員","正",IF($E76="契約上の就業時間を記載","",IF($E76&gt;=L$5,"常",L76))),"-"))</f>
        <v/>
      </c>
      <c r="Y76" s="104" t="str">
        <f>IF($B76="","",IF(OR('②-1職員名簿'!AJ76="○",'②-1職員名簿'!AJ76="●"),IF($E76="正規職員","正",IF($E76="契約上の就業時間を記載","",IF($E76&gt;=M$5,"常",M76))),"-"))</f>
        <v/>
      </c>
      <c r="Z76" s="104" t="str">
        <f>IF($B76="","",IF(OR('②-1職員名簿'!AK76="○",'②-1職員名簿'!AK76="●"),IF($E76="正規職員","正",IF($E76="契約上の就業時間を記載","",IF($E76&gt;=N$5,"常",N76))),"-"))</f>
        <v/>
      </c>
      <c r="AA76" s="104" t="str">
        <f>IF($B76="","",IF(OR('②-1職員名簿'!AL76="○",'②-1職員名簿'!AL76="●"),IF($E76="正規職員","正",IF($E76="契約上の就業時間を記載","",IF($E76&gt;=O$5,"常",O76))),"-"))</f>
        <v/>
      </c>
      <c r="AB76" s="104" t="str">
        <f>IF($B76="","",IF(OR('②-1職員名簿'!AM76="○",'②-1職員名簿'!AM76="●"),IF($E76="正規職員","正",IF($E76="契約上の就業時間を記載","",IF($E76&gt;=P$5,"常",P76))),"-"))</f>
        <v/>
      </c>
      <c r="AC76" s="104" t="str">
        <f>IF($B76="","",IF(OR('②-1職員名簿'!AN76="○",'②-1職員名簿'!AN76="●"),IF($E76="正規職員","正",IF($E76="契約上の就業時間を記載","",IF($E76&gt;=Q$5,"常",Q76))),"-"))</f>
        <v/>
      </c>
      <c r="AE76" s="101" t="str">
        <f>IF('②-1職員名簿'!W76="","",'②-1職員名簿'!W76)</f>
        <v/>
      </c>
      <c r="AJ76" s="106" t="str">
        <f t="shared" si="37"/>
        <v>○</v>
      </c>
      <c r="AK76" s="106" t="str">
        <f t="shared" si="23"/>
        <v>○</v>
      </c>
      <c r="AL76" s="106" t="str">
        <f t="shared" si="24"/>
        <v>○</v>
      </c>
      <c r="AM76" s="106" t="str">
        <f t="shared" si="25"/>
        <v>○</v>
      </c>
      <c r="AN76" s="106" t="str">
        <f t="shared" si="26"/>
        <v>○</v>
      </c>
      <c r="AO76" s="106" t="str">
        <f t="shared" si="27"/>
        <v>○</v>
      </c>
      <c r="AP76" s="106" t="str">
        <f t="shared" si="28"/>
        <v>○</v>
      </c>
      <c r="AQ76" s="106" t="str">
        <f t="shared" si="29"/>
        <v>○</v>
      </c>
      <c r="AR76" s="106" t="str">
        <f t="shared" si="30"/>
        <v>○</v>
      </c>
      <c r="AS76" s="106" t="str">
        <f t="shared" si="31"/>
        <v>○</v>
      </c>
      <c r="AT76" s="106" t="str">
        <f t="shared" si="34"/>
        <v>○</v>
      </c>
      <c r="AU76" s="106" t="str">
        <f t="shared" si="35"/>
        <v>○</v>
      </c>
    </row>
    <row r="77" spans="1:47" s="106" customFormat="1" ht="23.15" customHeight="1">
      <c r="A77" s="102">
        <v>71</v>
      </c>
      <c r="B77" s="101" t="str">
        <f>IF('②-1職員名簿'!E77="","",'②-1職員名簿'!Y77)</f>
        <v/>
      </c>
      <c r="C77" s="104" t="str">
        <f>'②-1職員名簿'!BE77</f>
        <v/>
      </c>
      <c r="D77" s="136" t="str">
        <f t="shared" si="36"/>
        <v/>
      </c>
      <c r="E77" s="20" t="str">
        <f>IF($B77="","",IF(AND('②-1職員名簿'!C77="正",'②-1職員名簿'!D77="常"),"正規職員","契約上の就業時間を記載"))</f>
        <v/>
      </c>
      <c r="F77" s="10" t="str">
        <f>IF($B77="","",IF(OR('②-1職員名簿'!AC77="○",'②-1職員名簿'!AC77="●"),IF($E77="正規職員","正",IF($E77="契約上の就業時間を記載","","実績を入力")),"-"))</f>
        <v/>
      </c>
      <c r="G77" s="10" t="str">
        <f>IF($B77="","",IF(OR('②-1職員名簿'!AD77="○",'②-1職員名簿'!AD77="●"),IF($E77="正規職員","正",IF($E77="契約上の就業時間を記載","","実績を入力")),"-"))</f>
        <v/>
      </c>
      <c r="H77" s="10" t="str">
        <f>IF($B77="","",IF(OR('②-1職員名簿'!AE77="○",'②-1職員名簿'!AE77="●"),IF($E77="正規職員","正",IF($E77="契約上の就業時間を記載","","実績を入力")),"-"))</f>
        <v/>
      </c>
      <c r="I77" s="10" t="str">
        <f>IF($B77="","",IF(OR('②-1職員名簿'!AF77="○",'②-1職員名簿'!AF77="●"),IF($E77="正規職員","正",IF($E77="契約上の就業時間を記載","","実績を入力")),"-"))</f>
        <v/>
      </c>
      <c r="J77" s="10" t="str">
        <f>IF($B77="","",IF(OR('②-1職員名簿'!AG77="○",'②-1職員名簿'!AG77="●"),IF($E77="正規職員","正",IF($E77="契約上の就業時間を記載","","実績を入力")),"-"))</f>
        <v/>
      </c>
      <c r="K77" s="10" t="str">
        <f>IF($B77="","",IF(OR('②-1職員名簿'!AH77="○",'②-1職員名簿'!AH77="●"),IF($E77="正規職員","正",IF($E77="契約上の就業時間を記載","","実績を入力")),"-"))</f>
        <v/>
      </c>
      <c r="L77" s="10" t="str">
        <f>IF($B77="","",IF(OR('②-1職員名簿'!AI77="○",'②-1職員名簿'!AI77="●"),IF($E77="正規職員","正",IF($E77="契約上の就業時間を記載","","実績を入力")),"-"))</f>
        <v/>
      </c>
      <c r="M77" s="10" t="str">
        <f>IF($B77="","",IF(OR('②-1職員名簿'!AJ77="○",'②-1職員名簿'!AJ77="●"),IF($E77="正規職員","正",IF($E77="契約上の就業時間を記載","","実績を入力")),"-"))</f>
        <v/>
      </c>
      <c r="N77" s="10" t="str">
        <f>IF($B77="","",IF(OR('②-1職員名簿'!AK77="○",'②-1職員名簿'!AK77="●"),IF($E77="正規職員","正",IF($E77="契約上の就業時間を記載","","実績を入力")),"-"))</f>
        <v/>
      </c>
      <c r="O77" s="10" t="str">
        <f>IF($B77="","",IF(OR('②-1職員名簿'!AL77="○",'②-1職員名簿'!AL77="●"),IF($E77="正規職員","正",IF($E77="契約上の就業時間を記載","","実績を入力")),"-"))</f>
        <v/>
      </c>
      <c r="P77" s="10" t="str">
        <f>IF($B77="","",IF(OR('②-1職員名簿'!AM77="○",'②-1職員名簿'!AM77="●"),IF($E77="正規職員","正",IF($E77="契約上の就業時間を記載","","実績を入力")),"-"))</f>
        <v/>
      </c>
      <c r="Q77" s="10" t="str">
        <f>IF($B77="","",IF(OR('②-1職員名簿'!AN77="○",'②-1職員名簿'!AN77="●"),IF($E77="正規職員","正",IF($E77="契約上の就業時間を記載","","実績を入力")),"-"))</f>
        <v/>
      </c>
      <c r="R77" s="104" t="str">
        <f>IF($B77="","",IF(OR('②-1職員名簿'!AC77="○",'②-1職員名簿'!AC77="●"),IF($E77="正規職員","正",IF($E77="契約上の就業時間を記載","",IF($E77&gt;=F$5,"常",F77))),"-"))</f>
        <v/>
      </c>
      <c r="S77" s="104" t="str">
        <f>IF($B77="","",IF(OR('②-1職員名簿'!AD77="○",'②-1職員名簿'!AD77="●"),IF($E77="正規職員","正",IF($E77="契約上の就業時間を記載","",IF($E77&gt;=G$5,"常",G77))),"-"))</f>
        <v/>
      </c>
      <c r="T77" s="104" t="str">
        <f>IF($B77="","",IF(OR('②-1職員名簿'!AE77="○",'②-1職員名簿'!AE77="●"),IF($E77="正規職員","正",IF($E77="契約上の就業時間を記載","",IF($E77&gt;=H$5,"常",H77))),"-"))</f>
        <v/>
      </c>
      <c r="U77" s="104" t="str">
        <f>IF($B77="","",IF(OR('②-1職員名簿'!AF77="○",'②-1職員名簿'!AF77="●"),IF($E77="正規職員","正",IF($E77="契約上の就業時間を記載","",IF($E77&gt;=I$5,"常",I77))),"-"))</f>
        <v/>
      </c>
      <c r="V77" s="104" t="str">
        <f>IF($B77="","",IF(OR('②-1職員名簿'!AG77="○",'②-1職員名簿'!AG77="●"),IF($E77="正規職員","正",IF($E77="契約上の就業時間を記載","",IF($E77&gt;=J$5,"常",J77))),"-"))</f>
        <v/>
      </c>
      <c r="W77" s="104" t="str">
        <f>IF($B77="","",IF(OR('②-1職員名簿'!AH77="○",'②-1職員名簿'!AH77="●"),IF($E77="正規職員","正",IF($E77="契約上の就業時間を記載","",IF($E77&gt;=K$5,"常",K77))),"-"))</f>
        <v/>
      </c>
      <c r="X77" s="104" t="str">
        <f>IF($B77="","",IF(OR('②-1職員名簿'!AI77="○",'②-1職員名簿'!AI77="●"),IF($E77="正規職員","正",IF($E77="契約上の就業時間を記載","",IF($E77&gt;=L$5,"常",L77))),"-"))</f>
        <v/>
      </c>
      <c r="Y77" s="104" t="str">
        <f>IF($B77="","",IF(OR('②-1職員名簿'!AJ77="○",'②-1職員名簿'!AJ77="●"),IF($E77="正規職員","正",IF($E77="契約上の就業時間を記載","",IF($E77&gt;=M$5,"常",M77))),"-"))</f>
        <v/>
      </c>
      <c r="Z77" s="104" t="str">
        <f>IF($B77="","",IF(OR('②-1職員名簿'!AK77="○",'②-1職員名簿'!AK77="●"),IF($E77="正規職員","正",IF($E77="契約上の就業時間を記載","",IF($E77&gt;=N$5,"常",N77))),"-"))</f>
        <v/>
      </c>
      <c r="AA77" s="104" t="str">
        <f>IF($B77="","",IF(OR('②-1職員名簿'!AL77="○",'②-1職員名簿'!AL77="●"),IF($E77="正規職員","正",IF($E77="契約上の就業時間を記載","",IF($E77&gt;=O$5,"常",O77))),"-"))</f>
        <v/>
      </c>
      <c r="AB77" s="104" t="str">
        <f>IF($B77="","",IF(OR('②-1職員名簿'!AM77="○",'②-1職員名簿'!AM77="●"),IF($E77="正規職員","正",IF($E77="契約上の就業時間を記載","",IF($E77&gt;=P$5,"常",P77))),"-"))</f>
        <v/>
      </c>
      <c r="AC77" s="104" t="str">
        <f>IF($B77="","",IF(OR('②-1職員名簿'!AN77="○",'②-1職員名簿'!AN77="●"),IF($E77="正規職員","正",IF($E77="契約上の就業時間を記載","",IF($E77&gt;=Q$5,"常",Q77))),"-"))</f>
        <v/>
      </c>
      <c r="AE77" s="101" t="str">
        <f>IF('②-1職員名簿'!W77="","",'②-1職員名簿'!W77)</f>
        <v/>
      </c>
      <c r="AJ77" s="106" t="str">
        <f t="shared" si="37"/>
        <v>○</v>
      </c>
      <c r="AK77" s="106" t="str">
        <f t="shared" si="23"/>
        <v>○</v>
      </c>
      <c r="AL77" s="106" t="str">
        <f t="shared" si="24"/>
        <v>○</v>
      </c>
      <c r="AM77" s="106" t="str">
        <f t="shared" si="25"/>
        <v>○</v>
      </c>
      <c r="AN77" s="106" t="str">
        <f t="shared" si="26"/>
        <v>○</v>
      </c>
      <c r="AO77" s="106" t="str">
        <f t="shared" si="27"/>
        <v>○</v>
      </c>
      <c r="AP77" s="106" t="str">
        <f t="shared" si="28"/>
        <v>○</v>
      </c>
      <c r="AQ77" s="106" t="str">
        <f t="shared" si="29"/>
        <v>○</v>
      </c>
      <c r="AR77" s="106" t="str">
        <f t="shared" si="30"/>
        <v>○</v>
      </c>
      <c r="AS77" s="106" t="str">
        <f t="shared" si="31"/>
        <v>○</v>
      </c>
      <c r="AT77" s="106" t="str">
        <f t="shared" si="34"/>
        <v>○</v>
      </c>
      <c r="AU77" s="106" t="str">
        <f t="shared" si="35"/>
        <v>○</v>
      </c>
    </row>
    <row r="78" spans="1:47" s="106" customFormat="1" ht="23.15" customHeight="1">
      <c r="A78" s="102">
        <v>72</v>
      </c>
      <c r="B78" s="101" t="str">
        <f>IF('②-1職員名簿'!E78="","",'②-1職員名簿'!Y78)</f>
        <v/>
      </c>
      <c r="C78" s="104" t="str">
        <f>'②-1職員名簿'!BE78</f>
        <v/>
      </c>
      <c r="D78" s="136" t="str">
        <f t="shared" si="36"/>
        <v/>
      </c>
      <c r="E78" s="20" t="str">
        <f>IF($B78="","",IF(AND('②-1職員名簿'!C78="正",'②-1職員名簿'!D78="常"),"正規職員","契約上の就業時間を記載"))</f>
        <v/>
      </c>
      <c r="F78" s="10" t="str">
        <f>IF($B78="","",IF(OR('②-1職員名簿'!AC78="○",'②-1職員名簿'!AC78="●"),IF($E78="正規職員","正",IF($E78="契約上の就業時間を記載","","実績を入力")),"-"))</f>
        <v/>
      </c>
      <c r="G78" s="10" t="str">
        <f>IF($B78="","",IF(OR('②-1職員名簿'!AD78="○",'②-1職員名簿'!AD78="●"),IF($E78="正規職員","正",IF($E78="契約上の就業時間を記載","","実績を入力")),"-"))</f>
        <v/>
      </c>
      <c r="H78" s="10" t="str">
        <f>IF($B78="","",IF(OR('②-1職員名簿'!AE78="○",'②-1職員名簿'!AE78="●"),IF($E78="正規職員","正",IF($E78="契約上の就業時間を記載","","実績を入力")),"-"))</f>
        <v/>
      </c>
      <c r="I78" s="10" t="str">
        <f>IF($B78="","",IF(OR('②-1職員名簿'!AF78="○",'②-1職員名簿'!AF78="●"),IF($E78="正規職員","正",IF($E78="契約上の就業時間を記載","","実績を入力")),"-"))</f>
        <v/>
      </c>
      <c r="J78" s="10" t="str">
        <f>IF($B78="","",IF(OR('②-1職員名簿'!AG78="○",'②-1職員名簿'!AG78="●"),IF($E78="正規職員","正",IF($E78="契約上の就業時間を記載","","実績を入力")),"-"))</f>
        <v/>
      </c>
      <c r="K78" s="10" t="str">
        <f>IF($B78="","",IF(OR('②-1職員名簿'!AH78="○",'②-1職員名簿'!AH78="●"),IF($E78="正規職員","正",IF($E78="契約上の就業時間を記載","","実績を入力")),"-"))</f>
        <v/>
      </c>
      <c r="L78" s="10" t="str">
        <f>IF($B78="","",IF(OR('②-1職員名簿'!AI78="○",'②-1職員名簿'!AI78="●"),IF($E78="正規職員","正",IF($E78="契約上の就業時間を記載","","実績を入力")),"-"))</f>
        <v/>
      </c>
      <c r="M78" s="10" t="str">
        <f>IF($B78="","",IF(OR('②-1職員名簿'!AJ78="○",'②-1職員名簿'!AJ78="●"),IF($E78="正規職員","正",IF($E78="契約上の就業時間を記載","","実績を入力")),"-"))</f>
        <v/>
      </c>
      <c r="N78" s="10" t="str">
        <f>IF($B78="","",IF(OR('②-1職員名簿'!AK78="○",'②-1職員名簿'!AK78="●"),IF($E78="正規職員","正",IF($E78="契約上の就業時間を記載","","実績を入力")),"-"))</f>
        <v/>
      </c>
      <c r="O78" s="10" t="str">
        <f>IF($B78="","",IF(OR('②-1職員名簿'!AL78="○",'②-1職員名簿'!AL78="●"),IF($E78="正規職員","正",IF($E78="契約上の就業時間を記載","","実績を入力")),"-"))</f>
        <v/>
      </c>
      <c r="P78" s="10" t="str">
        <f>IF($B78="","",IF(OR('②-1職員名簿'!AM78="○",'②-1職員名簿'!AM78="●"),IF($E78="正規職員","正",IF($E78="契約上の就業時間を記載","","実績を入力")),"-"))</f>
        <v/>
      </c>
      <c r="Q78" s="10" t="str">
        <f>IF($B78="","",IF(OR('②-1職員名簿'!AN78="○",'②-1職員名簿'!AN78="●"),IF($E78="正規職員","正",IF($E78="契約上の就業時間を記載","","実績を入力")),"-"))</f>
        <v/>
      </c>
      <c r="R78" s="104" t="str">
        <f>IF($B78="","",IF(OR('②-1職員名簿'!AC78="○",'②-1職員名簿'!AC78="●"),IF($E78="正規職員","正",IF($E78="契約上の就業時間を記載","",IF($E78&gt;=F$5,"常",F78))),"-"))</f>
        <v/>
      </c>
      <c r="S78" s="104" t="str">
        <f>IF($B78="","",IF(OR('②-1職員名簿'!AD78="○",'②-1職員名簿'!AD78="●"),IF($E78="正規職員","正",IF($E78="契約上の就業時間を記載","",IF($E78&gt;=G$5,"常",G78))),"-"))</f>
        <v/>
      </c>
      <c r="T78" s="104" t="str">
        <f>IF($B78="","",IF(OR('②-1職員名簿'!AE78="○",'②-1職員名簿'!AE78="●"),IF($E78="正規職員","正",IF($E78="契約上の就業時間を記載","",IF($E78&gt;=H$5,"常",H78))),"-"))</f>
        <v/>
      </c>
      <c r="U78" s="104" t="str">
        <f>IF($B78="","",IF(OR('②-1職員名簿'!AF78="○",'②-1職員名簿'!AF78="●"),IF($E78="正規職員","正",IF($E78="契約上の就業時間を記載","",IF($E78&gt;=I$5,"常",I78))),"-"))</f>
        <v/>
      </c>
      <c r="V78" s="104" t="str">
        <f>IF($B78="","",IF(OR('②-1職員名簿'!AG78="○",'②-1職員名簿'!AG78="●"),IF($E78="正規職員","正",IF($E78="契約上の就業時間を記載","",IF($E78&gt;=J$5,"常",J78))),"-"))</f>
        <v/>
      </c>
      <c r="W78" s="104" t="str">
        <f>IF($B78="","",IF(OR('②-1職員名簿'!AH78="○",'②-1職員名簿'!AH78="●"),IF($E78="正規職員","正",IF($E78="契約上の就業時間を記載","",IF($E78&gt;=K$5,"常",K78))),"-"))</f>
        <v/>
      </c>
      <c r="X78" s="104" t="str">
        <f>IF($B78="","",IF(OR('②-1職員名簿'!AI78="○",'②-1職員名簿'!AI78="●"),IF($E78="正規職員","正",IF($E78="契約上の就業時間を記載","",IF($E78&gt;=L$5,"常",L78))),"-"))</f>
        <v/>
      </c>
      <c r="Y78" s="104" t="str">
        <f>IF($B78="","",IF(OR('②-1職員名簿'!AJ78="○",'②-1職員名簿'!AJ78="●"),IF($E78="正規職員","正",IF($E78="契約上の就業時間を記載","",IF($E78&gt;=M$5,"常",M78))),"-"))</f>
        <v/>
      </c>
      <c r="Z78" s="104" t="str">
        <f>IF($B78="","",IF(OR('②-1職員名簿'!AK78="○",'②-1職員名簿'!AK78="●"),IF($E78="正規職員","正",IF($E78="契約上の就業時間を記載","",IF($E78&gt;=N$5,"常",N78))),"-"))</f>
        <v/>
      </c>
      <c r="AA78" s="104" t="str">
        <f>IF($B78="","",IF(OR('②-1職員名簿'!AL78="○",'②-1職員名簿'!AL78="●"),IF($E78="正規職員","正",IF($E78="契約上の就業時間を記載","",IF($E78&gt;=O$5,"常",O78))),"-"))</f>
        <v/>
      </c>
      <c r="AB78" s="104" t="str">
        <f>IF($B78="","",IF(OR('②-1職員名簿'!AM78="○",'②-1職員名簿'!AM78="●"),IF($E78="正規職員","正",IF($E78="契約上の就業時間を記載","",IF($E78&gt;=P$5,"常",P78))),"-"))</f>
        <v/>
      </c>
      <c r="AC78" s="104" t="str">
        <f>IF($B78="","",IF(OR('②-1職員名簿'!AN78="○",'②-1職員名簿'!AN78="●"),IF($E78="正規職員","正",IF($E78="契約上の就業時間を記載","",IF($E78&gt;=Q$5,"常",Q78))),"-"))</f>
        <v/>
      </c>
      <c r="AE78" s="101" t="str">
        <f>IF('②-1職員名簿'!W78="","",'②-1職員名簿'!W78)</f>
        <v/>
      </c>
      <c r="AJ78" s="106" t="str">
        <f t="shared" si="37"/>
        <v>○</v>
      </c>
      <c r="AK78" s="106" t="str">
        <f t="shared" si="23"/>
        <v>○</v>
      </c>
      <c r="AL78" s="106" t="str">
        <f t="shared" si="24"/>
        <v>○</v>
      </c>
      <c r="AM78" s="106" t="str">
        <f t="shared" si="25"/>
        <v>○</v>
      </c>
      <c r="AN78" s="106" t="str">
        <f t="shared" si="26"/>
        <v>○</v>
      </c>
      <c r="AO78" s="106" t="str">
        <f t="shared" si="27"/>
        <v>○</v>
      </c>
      <c r="AP78" s="106" t="str">
        <f t="shared" si="28"/>
        <v>○</v>
      </c>
      <c r="AQ78" s="106" t="str">
        <f t="shared" si="29"/>
        <v>○</v>
      </c>
      <c r="AR78" s="106" t="str">
        <f t="shared" si="30"/>
        <v>○</v>
      </c>
      <c r="AS78" s="106" t="str">
        <f t="shared" si="31"/>
        <v>○</v>
      </c>
      <c r="AT78" s="106" t="str">
        <f t="shared" si="34"/>
        <v>○</v>
      </c>
      <c r="AU78" s="106" t="str">
        <f t="shared" si="35"/>
        <v>○</v>
      </c>
    </row>
    <row r="79" spans="1:47" s="106" customFormat="1" ht="23.15" customHeight="1">
      <c r="A79" s="102">
        <v>73</v>
      </c>
      <c r="B79" s="101" t="str">
        <f>IF('②-1職員名簿'!E79="","",'②-1職員名簿'!Y79)</f>
        <v/>
      </c>
      <c r="C79" s="104" t="str">
        <f>'②-1職員名簿'!BE79</f>
        <v/>
      </c>
      <c r="D79" s="136" t="str">
        <f t="shared" si="36"/>
        <v/>
      </c>
      <c r="E79" s="20" t="str">
        <f>IF($B79="","",IF(AND('②-1職員名簿'!C79="正",'②-1職員名簿'!D79="常"),"正規職員","契約上の就業時間を記載"))</f>
        <v/>
      </c>
      <c r="F79" s="10" t="str">
        <f>IF($B79="","",IF(OR('②-1職員名簿'!AC79="○",'②-1職員名簿'!AC79="●"),IF($E79="正規職員","正",IF($E79="契約上の就業時間を記載","","実績を入力")),"-"))</f>
        <v/>
      </c>
      <c r="G79" s="10" t="str">
        <f>IF($B79="","",IF(OR('②-1職員名簿'!AD79="○",'②-1職員名簿'!AD79="●"),IF($E79="正規職員","正",IF($E79="契約上の就業時間を記載","","実績を入力")),"-"))</f>
        <v/>
      </c>
      <c r="H79" s="10" t="str">
        <f>IF($B79="","",IF(OR('②-1職員名簿'!AE79="○",'②-1職員名簿'!AE79="●"),IF($E79="正規職員","正",IF($E79="契約上の就業時間を記載","","実績を入力")),"-"))</f>
        <v/>
      </c>
      <c r="I79" s="10" t="str">
        <f>IF($B79="","",IF(OR('②-1職員名簿'!AF79="○",'②-1職員名簿'!AF79="●"),IF($E79="正規職員","正",IF($E79="契約上の就業時間を記載","","実績を入力")),"-"))</f>
        <v/>
      </c>
      <c r="J79" s="10" t="str">
        <f>IF($B79="","",IF(OR('②-1職員名簿'!AG79="○",'②-1職員名簿'!AG79="●"),IF($E79="正規職員","正",IF($E79="契約上の就業時間を記載","","実績を入力")),"-"))</f>
        <v/>
      </c>
      <c r="K79" s="10" t="str">
        <f>IF($B79="","",IF(OR('②-1職員名簿'!AH79="○",'②-1職員名簿'!AH79="●"),IF($E79="正規職員","正",IF($E79="契約上の就業時間を記載","","実績を入力")),"-"))</f>
        <v/>
      </c>
      <c r="L79" s="10" t="str">
        <f>IF($B79="","",IF(OR('②-1職員名簿'!AI79="○",'②-1職員名簿'!AI79="●"),IF($E79="正規職員","正",IF($E79="契約上の就業時間を記載","","実績を入力")),"-"))</f>
        <v/>
      </c>
      <c r="M79" s="10" t="str">
        <f>IF($B79="","",IF(OR('②-1職員名簿'!AJ79="○",'②-1職員名簿'!AJ79="●"),IF($E79="正規職員","正",IF($E79="契約上の就業時間を記載","","実績を入力")),"-"))</f>
        <v/>
      </c>
      <c r="N79" s="10" t="str">
        <f>IF($B79="","",IF(OR('②-1職員名簿'!AK79="○",'②-1職員名簿'!AK79="●"),IF($E79="正規職員","正",IF($E79="契約上の就業時間を記載","","実績を入力")),"-"))</f>
        <v/>
      </c>
      <c r="O79" s="10" t="str">
        <f>IF($B79="","",IF(OR('②-1職員名簿'!AL79="○",'②-1職員名簿'!AL79="●"),IF($E79="正規職員","正",IF($E79="契約上の就業時間を記載","","実績を入力")),"-"))</f>
        <v/>
      </c>
      <c r="P79" s="10" t="str">
        <f>IF($B79="","",IF(OR('②-1職員名簿'!AM79="○",'②-1職員名簿'!AM79="●"),IF($E79="正規職員","正",IF($E79="契約上の就業時間を記載","","実績を入力")),"-"))</f>
        <v/>
      </c>
      <c r="Q79" s="10" t="str">
        <f>IF($B79="","",IF(OR('②-1職員名簿'!AN79="○",'②-1職員名簿'!AN79="●"),IF($E79="正規職員","正",IF($E79="契約上の就業時間を記載","","実績を入力")),"-"))</f>
        <v/>
      </c>
      <c r="R79" s="104" t="str">
        <f>IF($B79="","",IF(OR('②-1職員名簿'!AC79="○",'②-1職員名簿'!AC79="●"),IF($E79="正規職員","正",IF($E79="契約上の就業時間を記載","",IF($E79&gt;=F$5,"常",F79))),"-"))</f>
        <v/>
      </c>
      <c r="S79" s="104" t="str">
        <f>IF($B79="","",IF(OR('②-1職員名簿'!AD79="○",'②-1職員名簿'!AD79="●"),IF($E79="正規職員","正",IF($E79="契約上の就業時間を記載","",IF($E79&gt;=G$5,"常",G79))),"-"))</f>
        <v/>
      </c>
      <c r="T79" s="104" t="str">
        <f>IF($B79="","",IF(OR('②-1職員名簿'!AE79="○",'②-1職員名簿'!AE79="●"),IF($E79="正規職員","正",IF($E79="契約上の就業時間を記載","",IF($E79&gt;=H$5,"常",H79))),"-"))</f>
        <v/>
      </c>
      <c r="U79" s="104" t="str">
        <f>IF($B79="","",IF(OR('②-1職員名簿'!AF79="○",'②-1職員名簿'!AF79="●"),IF($E79="正規職員","正",IF($E79="契約上の就業時間を記載","",IF($E79&gt;=I$5,"常",I79))),"-"))</f>
        <v/>
      </c>
      <c r="V79" s="104" t="str">
        <f>IF($B79="","",IF(OR('②-1職員名簿'!AG79="○",'②-1職員名簿'!AG79="●"),IF($E79="正規職員","正",IF($E79="契約上の就業時間を記載","",IF($E79&gt;=J$5,"常",J79))),"-"))</f>
        <v/>
      </c>
      <c r="W79" s="104" t="str">
        <f>IF($B79="","",IF(OR('②-1職員名簿'!AH79="○",'②-1職員名簿'!AH79="●"),IF($E79="正規職員","正",IF($E79="契約上の就業時間を記載","",IF($E79&gt;=K$5,"常",K79))),"-"))</f>
        <v/>
      </c>
      <c r="X79" s="104" t="str">
        <f>IF($B79="","",IF(OR('②-1職員名簿'!AI79="○",'②-1職員名簿'!AI79="●"),IF($E79="正規職員","正",IF($E79="契約上の就業時間を記載","",IF($E79&gt;=L$5,"常",L79))),"-"))</f>
        <v/>
      </c>
      <c r="Y79" s="104" t="str">
        <f>IF($B79="","",IF(OR('②-1職員名簿'!AJ79="○",'②-1職員名簿'!AJ79="●"),IF($E79="正規職員","正",IF($E79="契約上の就業時間を記載","",IF($E79&gt;=M$5,"常",M79))),"-"))</f>
        <v/>
      </c>
      <c r="Z79" s="104" t="str">
        <f>IF($B79="","",IF(OR('②-1職員名簿'!AK79="○",'②-1職員名簿'!AK79="●"),IF($E79="正規職員","正",IF($E79="契約上の就業時間を記載","",IF($E79&gt;=N$5,"常",N79))),"-"))</f>
        <v/>
      </c>
      <c r="AA79" s="104" t="str">
        <f>IF($B79="","",IF(OR('②-1職員名簿'!AL79="○",'②-1職員名簿'!AL79="●"),IF($E79="正規職員","正",IF($E79="契約上の就業時間を記載","",IF($E79&gt;=O$5,"常",O79))),"-"))</f>
        <v/>
      </c>
      <c r="AB79" s="104" t="str">
        <f>IF($B79="","",IF(OR('②-1職員名簿'!AM79="○",'②-1職員名簿'!AM79="●"),IF($E79="正規職員","正",IF($E79="契約上の就業時間を記載","",IF($E79&gt;=P$5,"常",P79))),"-"))</f>
        <v/>
      </c>
      <c r="AC79" s="104" t="str">
        <f>IF($B79="","",IF(OR('②-1職員名簿'!AN79="○",'②-1職員名簿'!AN79="●"),IF($E79="正規職員","正",IF($E79="契約上の就業時間を記載","",IF($E79&gt;=Q$5,"常",Q79))),"-"))</f>
        <v/>
      </c>
      <c r="AE79" s="101" t="str">
        <f>IF('②-1職員名簿'!W79="","",'②-1職員名簿'!W79)</f>
        <v/>
      </c>
      <c r="AJ79" s="106" t="str">
        <f t="shared" si="37"/>
        <v>○</v>
      </c>
      <c r="AK79" s="106" t="str">
        <f t="shared" si="23"/>
        <v>○</v>
      </c>
      <c r="AL79" s="106" t="str">
        <f t="shared" si="24"/>
        <v>○</v>
      </c>
      <c r="AM79" s="106" t="str">
        <f t="shared" si="25"/>
        <v>○</v>
      </c>
      <c r="AN79" s="106" t="str">
        <f t="shared" si="26"/>
        <v>○</v>
      </c>
      <c r="AO79" s="106" t="str">
        <f t="shared" si="27"/>
        <v>○</v>
      </c>
      <c r="AP79" s="106" t="str">
        <f t="shared" si="28"/>
        <v>○</v>
      </c>
      <c r="AQ79" s="106" t="str">
        <f t="shared" si="29"/>
        <v>○</v>
      </c>
      <c r="AR79" s="106" t="str">
        <f t="shared" si="30"/>
        <v>○</v>
      </c>
      <c r="AS79" s="106" t="str">
        <f t="shared" si="31"/>
        <v>○</v>
      </c>
      <c r="AT79" s="106" t="str">
        <f t="shared" si="34"/>
        <v>○</v>
      </c>
      <c r="AU79" s="106" t="str">
        <f t="shared" si="35"/>
        <v>○</v>
      </c>
    </row>
    <row r="80" spans="1:47" s="106" customFormat="1" ht="23.15" customHeight="1">
      <c r="A80" s="102">
        <v>74</v>
      </c>
      <c r="B80" s="101" t="str">
        <f>IF('②-1職員名簿'!E80="","",'②-1職員名簿'!Y80)</f>
        <v/>
      </c>
      <c r="C80" s="104" t="str">
        <f>'②-1職員名簿'!BE80</f>
        <v/>
      </c>
      <c r="D80" s="136" t="str">
        <f t="shared" si="36"/>
        <v/>
      </c>
      <c r="E80" s="20" t="str">
        <f>IF($B80="","",IF(AND('②-1職員名簿'!C80="正",'②-1職員名簿'!D80="常"),"正規職員","契約上の就業時間を記載"))</f>
        <v/>
      </c>
      <c r="F80" s="10" t="str">
        <f>IF($B80="","",IF(OR('②-1職員名簿'!AC80="○",'②-1職員名簿'!AC80="●"),IF($E80="正規職員","正",IF($E80="契約上の就業時間を記載","","実績を入力")),"-"))</f>
        <v/>
      </c>
      <c r="G80" s="10" t="str">
        <f>IF($B80="","",IF(OR('②-1職員名簿'!AD80="○",'②-1職員名簿'!AD80="●"),IF($E80="正規職員","正",IF($E80="契約上の就業時間を記載","","実績を入力")),"-"))</f>
        <v/>
      </c>
      <c r="H80" s="10" t="str">
        <f>IF($B80="","",IF(OR('②-1職員名簿'!AE80="○",'②-1職員名簿'!AE80="●"),IF($E80="正規職員","正",IF($E80="契約上の就業時間を記載","","実績を入力")),"-"))</f>
        <v/>
      </c>
      <c r="I80" s="10" t="str">
        <f>IF($B80="","",IF(OR('②-1職員名簿'!AF80="○",'②-1職員名簿'!AF80="●"),IF($E80="正規職員","正",IF($E80="契約上の就業時間を記載","","実績を入力")),"-"))</f>
        <v/>
      </c>
      <c r="J80" s="10" t="str">
        <f>IF($B80="","",IF(OR('②-1職員名簿'!AG80="○",'②-1職員名簿'!AG80="●"),IF($E80="正規職員","正",IF($E80="契約上の就業時間を記載","","実績を入力")),"-"))</f>
        <v/>
      </c>
      <c r="K80" s="10" t="str">
        <f>IF($B80="","",IF(OR('②-1職員名簿'!AH80="○",'②-1職員名簿'!AH80="●"),IF($E80="正規職員","正",IF($E80="契約上の就業時間を記載","","実績を入力")),"-"))</f>
        <v/>
      </c>
      <c r="L80" s="10" t="str">
        <f>IF($B80="","",IF(OR('②-1職員名簿'!AI80="○",'②-1職員名簿'!AI80="●"),IF($E80="正規職員","正",IF($E80="契約上の就業時間を記載","","実績を入力")),"-"))</f>
        <v/>
      </c>
      <c r="M80" s="10" t="str">
        <f>IF($B80="","",IF(OR('②-1職員名簿'!AJ80="○",'②-1職員名簿'!AJ80="●"),IF($E80="正規職員","正",IF($E80="契約上の就業時間を記載","","実績を入力")),"-"))</f>
        <v/>
      </c>
      <c r="N80" s="10" t="str">
        <f>IF($B80="","",IF(OR('②-1職員名簿'!AK80="○",'②-1職員名簿'!AK80="●"),IF($E80="正規職員","正",IF($E80="契約上の就業時間を記載","","実績を入力")),"-"))</f>
        <v/>
      </c>
      <c r="O80" s="10" t="str">
        <f>IF($B80="","",IF(OR('②-1職員名簿'!AL80="○",'②-1職員名簿'!AL80="●"),IF($E80="正規職員","正",IF($E80="契約上の就業時間を記載","","実績を入力")),"-"))</f>
        <v/>
      </c>
      <c r="P80" s="10" t="str">
        <f>IF($B80="","",IF(OR('②-1職員名簿'!AM80="○",'②-1職員名簿'!AM80="●"),IF($E80="正規職員","正",IF($E80="契約上の就業時間を記載","","実績を入力")),"-"))</f>
        <v/>
      </c>
      <c r="Q80" s="10" t="str">
        <f>IF($B80="","",IF(OR('②-1職員名簿'!AN80="○",'②-1職員名簿'!AN80="●"),IF($E80="正規職員","正",IF($E80="契約上の就業時間を記載","","実績を入力")),"-"))</f>
        <v/>
      </c>
      <c r="R80" s="104" t="str">
        <f>IF($B80="","",IF(OR('②-1職員名簿'!AC80="○",'②-1職員名簿'!AC80="●"),IF($E80="正規職員","正",IF($E80="契約上の就業時間を記載","",IF($E80&gt;=F$5,"常",F80))),"-"))</f>
        <v/>
      </c>
      <c r="S80" s="104" t="str">
        <f>IF($B80="","",IF(OR('②-1職員名簿'!AD80="○",'②-1職員名簿'!AD80="●"),IF($E80="正規職員","正",IF($E80="契約上の就業時間を記載","",IF($E80&gt;=G$5,"常",G80))),"-"))</f>
        <v/>
      </c>
      <c r="T80" s="104" t="str">
        <f>IF($B80="","",IF(OR('②-1職員名簿'!AE80="○",'②-1職員名簿'!AE80="●"),IF($E80="正規職員","正",IF($E80="契約上の就業時間を記載","",IF($E80&gt;=H$5,"常",H80))),"-"))</f>
        <v/>
      </c>
      <c r="U80" s="104" t="str">
        <f>IF($B80="","",IF(OR('②-1職員名簿'!AF80="○",'②-1職員名簿'!AF80="●"),IF($E80="正規職員","正",IF($E80="契約上の就業時間を記載","",IF($E80&gt;=I$5,"常",I80))),"-"))</f>
        <v/>
      </c>
      <c r="V80" s="104" t="str">
        <f>IF($B80="","",IF(OR('②-1職員名簿'!AG80="○",'②-1職員名簿'!AG80="●"),IF($E80="正規職員","正",IF($E80="契約上の就業時間を記載","",IF($E80&gt;=J$5,"常",J80))),"-"))</f>
        <v/>
      </c>
      <c r="W80" s="104" t="str">
        <f>IF($B80="","",IF(OR('②-1職員名簿'!AH80="○",'②-1職員名簿'!AH80="●"),IF($E80="正規職員","正",IF($E80="契約上の就業時間を記載","",IF($E80&gt;=K$5,"常",K80))),"-"))</f>
        <v/>
      </c>
      <c r="X80" s="104" t="str">
        <f>IF($B80="","",IF(OR('②-1職員名簿'!AI80="○",'②-1職員名簿'!AI80="●"),IF($E80="正規職員","正",IF($E80="契約上の就業時間を記載","",IF($E80&gt;=L$5,"常",L80))),"-"))</f>
        <v/>
      </c>
      <c r="Y80" s="104" t="str">
        <f>IF($B80="","",IF(OR('②-1職員名簿'!AJ80="○",'②-1職員名簿'!AJ80="●"),IF($E80="正規職員","正",IF($E80="契約上の就業時間を記載","",IF($E80&gt;=M$5,"常",M80))),"-"))</f>
        <v/>
      </c>
      <c r="Z80" s="104" t="str">
        <f>IF($B80="","",IF(OR('②-1職員名簿'!AK80="○",'②-1職員名簿'!AK80="●"),IF($E80="正規職員","正",IF($E80="契約上の就業時間を記載","",IF($E80&gt;=N$5,"常",N80))),"-"))</f>
        <v/>
      </c>
      <c r="AA80" s="104" t="str">
        <f>IF($B80="","",IF(OR('②-1職員名簿'!AL80="○",'②-1職員名簿'!AL80="●"),IF($E80="正規職員","正",IF($E80="契約上の就業時間を記載","",IF($E80&gt;=O$5,"常",O80))),"-"))</f>
        <v/>
      </c>
      <c r="AB80" s="104" t="str">
        <f>IF($B80="","",IF(OR('②-1職員名簿'!AM80="○",'②-1職員名簿'!AM80="●"),IF($E80="正規職員","正",IF($E80="契約上の就業時間を記載","",IF($E80&gt;=P$5,"常",P80))),"-"))</f>
        <v/>
      </c>
      <c r="AC80" s="104" t="str">
        <f>IF($B80="","",IF(OR('②-1職員名簿'!AN80="○",'②-1職員名簿'!AN80="●"),IF($E80="正規職員","正",IF($E80="契約上の就業時間を記載","",IF($E80&gt;=Q$5,"常",Q80))),"-"))</f>
        <v/>
      </c>
      <c r="AE80" s="101" t="str">
        <f>IF('②-1職員名簿'!W80="","",'②-1職員名簿'!W80)</f>
        <v/>
      </c>
      <c r="AJ80" s="106" t="str">
        <f t="shared" si="37"/>
        <v>○</v>
      </c>
      <c r="AK80" s="106" t="str">
        <f t="shared" si="23"/>
        <v>○</v>
      </c>
      <c r="AL80" s="106" t="str">
        <f t="shared" si="24"/>
        <v>○</v>
      </c>
      <c r="AM80" s="106" t="str">
        <f t="shared" si="25"/>
        <v>○</v>
      </c>
      <c r="AN80" s="106" t="str">
        <f t="shared" si="26"/>
        <v>○</v>
      </c>
      <c r="AO80" s="106" t="str">
        <f t="shared" si="27"/>
        <v>○</v>
      </c>
      <c r="AP80" s="106" t="str">
        <f t="shared" si="28"/>
        <v>○</v>
      </c>
      <c r="AQ80" s="106" t="str">
        <f t="shared" si="29"/>
        <v>○</v>
      </c>
      <c r="AR80" s="106" t="str">
        <f t="shared" si="30"/>
        <v>○</v>
      </c>
      <c r="AS80" s="106" t="str">
        <f t="shared" si="31"/>
        <v>○</v>
      </c>
      <c r="AT80" s="106" t="str">
        <f t="shared" si="34"/>
        <v>○</v>
      </c>
      <c r="AU80" s="106" t="str">
        <f t="shared" si="35"/>
        <v>○</v>
      </c>
    </row>
    <row r="81" spans="1:47" s="106" customFormat="1" ht="23.15" customHeight="1">
      <c r="A81" s="102">
        <v>75</v>
      </c>
      <c r="B81" s="101" t="str">
        <f>IF('②-1職員名簿'!E81="","",'②-1職員名簿'!Y81)</f>
        <v/>
      </c>
      <c r="C81" s="104" t="str">
        <f>'②-1職員名簿'!BE81</f>
        <v/>
      </c>
      <c r="D81" s="136" t="str">
        <f t="shared" si="36"/>
        <v/>
      </c>
      <c r="E81" s="20" t="str">
        <f>IF($B81="","",IF(AND('②-1職員名簿'!C81="正",'②-1職員名簿'!D81="常"),"正規職員","契約上の就業時間を記載"))</f>
        <v/>
      </c>
      <c r="F81" s="10" t="str">
        <f>IF($B81="","",IF(OR('②-1職員名簿'!AC81="○",'②-1職員名簿'!AC81="●"),IF($E81="正規職員","正",IF($E81="契約上の就業時間を記載","","実績を入力")),"-"))</f>
        <v/>
      </c>
      <c r="G81" s="10" t="str">
        <f>IF($B81="","",IF(OR('②-1職員名簿'!AD81="○",'②-1職員名簿'!AD81="●"),IF($E81="正規職員","正",IF($E81="契約上の就業時間を記載","","実績を入力")),"-"))</f>
        <v/>
      </c>
      <c r="H81" s="10" t="str">
        <f>IF($B81="","",IF(OR('②-1職員名簿'!AE81="○",'②-1職員名簿'!AE81="●"),IF($E81="正規職員","正",IF($E81="契約上の就業時間を記載","","実績を入力")),"-"))</f>
        <v/>
      </c>
      <c r="I81" s="10" t="str">
        <f>IF($B81="","",IF(OR('②-1職員名簿'!AF81="○",'②-1職員名簿'!AF81="●"),IF($E81="正規職員","正",IF($E81="契約上の就業時間を記載","","実績を入力")),"-"))</f>
        <v/>
      </c>
      <c r="J81" s="10" t="str">
        <f>IF($B81="","",IF(OR('②-1職員名簿'!AG81="○",'②-1職員名簿'!AG81="●"),IF($E81="正規職員","正",IF($E81="契約上の就業時間を記載","","実績を入力")),"-"))</f>
        <v/>
      </c>
      <c r="K81" s="10" t="str">
        <f>IF($B81="","",IF(OR('②-1職員名簿'!AH81="○",'②-1職員名簿'!AH81="●"),IF($E81="正規職員","正",IF($E81="契約上の就業時間を記載","","実績を入力")),"-"))</f>
        <v/>
      </c>
      <c r="L81" s="10" t="str">
        <f>IF($B81="","",IF(OR('②-1職員名簿'!AI81="○",'②-1職員名簿'!AI81="●"),IF($E81="正規職員","正",IF($E81="契約上の就業時間を記載","","実績を入力")),"-"))</f>
        <v/>
      </c>
      <c r="M81" s="10" t="str">
        <f>IF($B81="","",IF(OR('②-1職員名簿'!AJ81="○",'②-1職員名簿'!AJ81="●"),IF($E81="正規職員","正",IF($E81="契約上の就業時間を記載","","実績を入力")),"-"))</f>
        <v/>
      </c>
      <c r="N81" s="10" t="str">
        <f>IF($B81="","",IF(OR('②-1職員名簿'!AK81="○",'②-1職員名簿'!AK81="●"),IF($E81="正規職員","正",IF($E81="契約上の就業時間を記載","","実績を入力")),"-"))</f>
        <v/>
      </c>
      <c r="O81" s="10" t="str">
        <f>IF($B81="","",IF(OR('②-1職員名簿'!AL81="○",'②-1職員名簿'!AL81="●"),IF($E81="正規職員","正",IF($E81="契約上の就業時間を記載","","実績を入力")),"-"))</f>
        <v/>
      </c>
      <c r="P81" s="10" t="str">
        <f>IF($B81="","",IF(OR('②-1職員名簿'!AM81="○",'②-1職員名簿'!AM81="●"),IF($E81="正規職員","正",IF($E81="契約上の就業時間を記載","","実績を入力")),"-"))</f>
        <v/>
      </c>
      <c r="Q81" s="10" t="str">
        <f>IF($B81="","",IF(OR('②-1職員名簿'!AN81="○",'②-1職員名簿'!AN81="●"),IF($E81="正規職員","正",IF($E81="契約上の就業時間を記載","","実績を入力")),"-"))</f>
        <v/>
      </c>
      <c r="R81" s="104" t="str">
        <f>IF($B81="","",IF(OR('②-1職員名簿'!AC81="○",'②-1職員名簿'!AC81="●"),IF($E81="正規職員","正",IF($E81="契約上の就業時間を記載","",IF($E81&gt;=F$5,"常",F81))),"-"))</f>
        <v/>
      </c>
      <c r="S81" s="104" t="str">
        <f>IF($B81="","",IF(OR('②-1職員名簿'!AD81="○",'②-1職員名簿'!AD81="●"),IF($E81="正規職員","正",IF($E81="契約上の就業時間を記載","",IF($E81&gt;=G$5,"常",G81))),"-"))</f>
        <v/>
      </c>
      <c r="T81" s="104" t="str">
        <f>IF($B81="","",IF(OR('②-1職員名簿'!AE81="○",'②-1職員名簿'!AE81="●"),IF($E81="正規職員","正",IF($E81="契約上の就業時間を記載","",IF($E81&gt;=H$5,"常",H81))),"-"))</f>
        <v/>
      </c>
      <c r="U81" s="104" t="str">
        <f>IF($B81="","",IF(OR('②-1職員名簿'!AF81="○",'②-1職員名簿'!AF81="●"),IF($E81="正規職員","正",IF($E81="契約上の就業時間を記載","",IF($E81&gt;=I$5,"常",I81))),"-"))</f>
        <v/>
      </c>
      <c r="V81" s="104" t="str">
        <f>IF($B81="","",IF(OR('②-1職員名簿'!AG81="○",'②-1職員名簿'!AG81="●"),IF($E81="正規職員","正",IF($E81="契約上の就業時間を記載","",IF($E81&gt;=J$5,"常",J81))),"-"))</f>
        <v/>
      </c>
      <c r="W81" s="104" t="str">
        <f>IF($B81="","",IF(OR('②-1職員名簿'!AH81="○",'②-1職員名簿'!AH81="●"),IF($E81="正規職員","正",IF($E81="契約上の就業時間を記載","",IF($E81&gt;=K$5,"常",K81))),"-"))</f>
        <v/>
      </c>
      <c r="X81" s="104" t="str">
        <f>IF($B81="","",IF(OR('②-1職員名簿'!AI81="○",'②-1職員名簿'!AI81="●"),IF($E81="正規職員","正",IF($E81="契約上の就業時間を記載","",IF($E81&gt;=L$5,"常",L81))),"-"))</f>
        <v/>
      </c>
      <c r="Y81" s="104" t="str">
        <f>IF($B81="","",IF(OR('②-1職員名簿'!AJ81="○",'②-1職員名簿'!AJ81="●"),IF($E81="正規職員","正",IF($E81="契約上の就業時間を記載","",IF($E81&gt;=M$5,"常",M81))),"-"))</f>
        <v/>
      </c>
      <c r="Z81" s="104" t="str">
        <f>IF($B81="","",IF(OR('②-1職員名簿'!AK81="○",'②-1職員名簿'!AK81="●"),IF($E81="正規職員","正",IF($E81="契約上の就業時間を記載","",IF($E81&gt;=N$5,"常",N81))),"-"))</f>
        <v/>
      </c>
      <c r="AA81" s="104" t="str">
        <f>IF($B81="","",IF(OR('②-1職員名簿'!AL81="○",'②-1職員名簿'!AL81="●"),IF($E81="正規職員","正",IF($E81="契約上の就業時間を記載","",IF($E81&gt;=O$5,"常",O81))),"-"))</f>
        <v/>
      </c>
      <c r="AB81" s="104" t="str">
        <f>IF($B81="","",IF(OR('②-1職員名簿'!AM81="○",'②-1職員名簿'!AM81="●"),IF($E81="正規職員","正",IF($E81="契約上の就業時間を記載","",IF($E81&gt;=P$5,"常",P81))),"-"))</f>
        <v/>
      </c>
      <c r="AC81" s="104" t="str">
        <f>IF($B81="","",IF(OR('②-1職員名簿'!AN81="○",'②-1職員名簿'!AN81="●"),IF($E81="正規職員","正",IF($E81="契約上の就業時間を記載","",IF($E81&gt;=Q$5,"常",Q81))),"-"))</f>
        <v/>
      </c>
      <c r="AE81" s="101" t="str">
        <f>IF('②-1職員名簿'!W81="","",'②-1職員名簿'!W81)</f>
        <v/>
      </c>
      <c r="AJ81" s="106" t="str">
        <f t="shared" si="37"/>
        <v>○</v>
      </c>
      <c r="AK81" s="106" t="str">
        <f t="shared" si="23"/>
        <v>○</v>
      </c>
      <c r="AL81" s="106" t="str">
        <f t="shared" si="24"/>
        <v>○</v>
      </c>
      <c r="AM81" s="106" t="str">
        <f t="shared" si="25"/>
        <v>○</v>
      </c>
      <c r="AN81" s="106" t="str">
        <f t="shared" si="26"/>
        <v>○</v>
      </c>
      <c r="AO81" s="106" t="str">
        <f t="shared" si="27"/>
        <v>○</v>
      </c>
      <c r="AP81" s="106" t="str">
        <f t="shared" si="28"/>
        <v>○</v>
      </c>
      <c r="AQ81" s="106" t="str">
        <f t="shared" si="29"/>
        <v>○</v>
      </c>
      <c r="AR81" s="106" t="str">
        <f t="shared" si="30"/>
        <v>○</v>
      </c>
      <c r="AS81" s="106" t="str">
        <f t="shared" si="31"/>
        <v>○</v>
      </c>
      <c r="AT81" s="106" t="str">
        <f t="shared" si="34"/>
        <v>○</v>
      </c>
      <c r="AU81" s="106" t="str">
        <f t="shared" si="35"/>
        <v>○</v>
      </c>
    </row>
    <row r="82" spans="1:47" s="106" customFormat="1" ht="23.15" customHeight="1">
      <c r="A82" s="102">
        <v>76</v>
      </c>
      <c r="B82" s="101" t="str">
        <f>IF('②-1職員名簿'!E82="","",'②-1職員名簿'!Y82)</f>
        <v/>
      </c>
      <c r="C82" s="104" t="str">
        <f>'②-1職員名簿'!BE82</f>
        <v/>
      </c>
      <c r="D82" s="136" t="str">
        <f t="shared" si="36"/>
        <v/>
      </c>
      <c r="E82" s="20" t="str">
        <f>IF($B82="","",IF(AND('②-1職員名簿'!C82="正",'②-1職員名簿'!D82="常"),"正規職員","契約上の就業時間を記載"))</f>
        <v/>
      </c>
      <c r="F82" s="10" t="str">
        <f>IF($B82="","",IF(OR('②-1職員名簿'!AC82="○",'②-1職員名簿'!AC82="●"),IF($E82="正規職員","正",IF($E82="契約上の就業時間を記載","","実績を入力")),"-"))</f>
        <v/>
      </c>
      <c r="G82" s="10" t="str">
        <f>IF($B82="","",IF(OR('②-1職員名簿'!AD82="○",'②-1職員名簿'!AD82="●"),IF($E82="正規職員","正",IF($E82="契約上の就業時間を記載","","実績を入力")),"-"))</f>
        <v/>
      </c>
      <c r="H82" s="10" t="str">
        <f>IF($B82="","",IF(OR('②-1職員名簿'!AE82="○",'②-1職員名簿'!AE82="●"),IF($E82="正規職員","正",IF($E82="契約上の就業時間を記載","","実績を入力")),"-"))</f>
        <v/>
      </c>
      <c r="I82" s="10" t="str">
        <f>IF($B82="","",IF(OR('②-1職員名簿'!AF82="○",'②-1職員名簿'!AF82="●"),IF($E82="正規職員","正",IF($E82="契約上の就業時間を記載","","実績を入力")),"-"))</f>
        <v/>
      </c>
      <c r="J82" s="10" t="str">
        <f>IF($B82="","",IF(OR('②-1職員名簿'!AG82="○",'②-1職員名簿'!AG82="●"),IF($E82="正規職員","正",IF($E82="契約上の就業時間を記載","","実績を入力")),"-"))</f>
        <v/>
      </c>
      <c r="K82" s="10" t="str">
        <f>IF($B82="","",IF(OR('②-1職員名簿'!AH82="○",'②-1職員名簿'!AH82="●"),IF($E82="正規職員","正",IF($E82="契約上の就業時間を記載","","実績を入力")),"-"))</f>
        <v/>
      </c>
      <c r="L82" s="10" t="str">
        <f>IF($B82="","",IF(OR('②-1職員名簿'!AI82="○",'②-1職員名簿'!AI82="●"),IF($E82="正規職員","正",IF($E82="契約上の就業時間を記載","","実績を入力")),"-"))</f>
        <v/>
      </c>
      <c r="M82" s="10" t="str">
        <f>IF($B82="","",IF(OR('②-1職員名簿'!AJ82="○",'②-1職員名簿'!AJ82="●"),IF($E82="正規職員","正",IF($E82="契約上の就業時間を記載","","実績を入力")),"-"))</f>
        <v/>
      </c>
      <c r="N82" s="10" t="str">
        <f>IF($B82="","",IF(OR('②-1職員名簿'!AK82="○",'②-1職員名簿'!AK82="●"),IF($E82="正規職員","正",IF($E82="契約上の就業時間を記載","","実績を入力")),"-"))</f>
        <v/>
      </c>
      <c r="O82" s="10" t="str">
        <f>IF($B82="","",IF(OR('②-1職員名簿'!AL82="○",'②-1職員名簿'!AL82="●"),IF($E82="正規職員","正",IF($E82="契約上の就業時間を記載","","実績を入力")),"-"))</f>
        <v/>
      </c>
      <c r="P82" s="10" t="str">
        <f>IF($B82="","",IF(OR('②-1職員名簿'!AM82="○",'②-1職員名簿'!AM82="●"),IF($E82="正規職員","正",IF($E82="契約上の就業時間を記載","","実績を入力")),"-"))</f>
        <v/>
      </c>
      <c r="Q82" s="10" t="str">
        <f>IF($B82="","",IF(OR('②-1職員名簿'!AN82="○",'②-1職員名簿'!AN82="●"),IF($E82="正規職員","正",IF($E82="契約上の就業時間を記載","","実績を入力")),"-"))</f>
        <v/>
      </c>
      <c r="R82" s="104" t="str">
        <f>IF($B82="","",IF(OR('②-1職員名簿'!AC82="○",'②-1職員名簿'!AC82="●"),IF($E82="正規職員","正",IF($E82="契約上の就業時間を記載","",IF($E82&gt;=F$5,"常",F82))),"-"))</f>
        <v/>
      </c>
      <c r="S82" s="104" t="str">
        <f>IF($B82="","",IF(OR('②-1職員名簿'!AD82="○",'②-1職員名簿'!AD82="●"),IF($E82="正規職員","正",IF($E82="契約上の就業時間を記載","",IF($E82&gt;=G$5,"常",G82))),"-"))</f>
        <v/>
      </c>
      <c r="T82" s="104" t="str">
        <f>IF($B82="","",IF(OR('②-1職員名簿'!AE82="○",'②-1職員名簿'!AE82="●"),IF($E82="正規職員","正",IF($E82="契約上の就業時間を記載","",IF($E82&gt;=H$5,"常",H82))),"-"))</f>
        <v/>
      </c>
      <c r="U82" s="104" t="str">
        <f>IF($B82="","",IF(OR('②-1職員名簿'!AF82="○",'②-1職員名簿'!AF82="●"),IF($E82="正規職員","正",IF($E82="契約上の就業時間を記載","",IF($E82&gt;=I$5,"常",I82))),"-"))</f>
        <v/>
      </c>
      <c r="V82" s="104" t="str">
        <f>IF($B82="","",IF(OR('②-1職員名簿'!AG82="○",'②-1職員名簿'!AG82="●"),IF($E82="正規職員","正",IF($E82="契約上の就業時間を記載","",IF($E82&gt;=J$5,"常",J82))),"-"))</f>
        <v/>
      </c>
      <c r="W82" s="104" t="str">
        <f>IF($B82="","",IF(OR('②-1職員名簿'!AH82="○",'②-1職員名簿'!AH82="●"),IF($E82="正規職員","正",IF($E82="契約上の就業時間を記載","",IF($E82&gt;=K$5,"常",K82))),"-"))</f>
        <v/>
      </c>
      <c r="X82" s="104" t="str">
        <f>IF($B82="","",IF(OR('②-1職員名簿'!AI82="○",'②-1職員名簿'!AI82="●"),IF($E82="正規職員","正",IF($E82="契約上の就業時間を記載","",IF($E82&gt;=L$5,"常",L82))),"-"))</f>
        <v/>
      </c>
      <c r="Y82" s="104" t="str">
        <f>IF($B82="","",IF(OR('②-1職員名簿'!AJ82="○",'②-1職員名簿'!AJ82="●"),IF($E82="正規職員","正",IF($E82="契約上の就業時間を記載","",IF($E82&gt;=M$5,"常",M82))),"-"))</f>
        <v/>
      </c>
      <c r="Z82" s="104" t="str">
        <f>IF($B82="","",IF(OR('②-1職員名簿'!AK82="○",'②-1職員名簿'!AK82="●"),IF($E82="正規職員","正",IF($E82="契約上の就業時間を記載","",IF($E82&gt;=N$5,"常",N82))),"-"))</f>
        <v/>
      </c>
      <c r="AA82" s="104" t="str">
        <f>IF($B82="","",IF(OR('②-1職員名簿'!AL82="○",'②-1職員名簿'!AL82="●"),IF($E82="正規職員","正",IF($E82="契約上の就業時間を記載","",IF($E82&gt;=O$5,"常",O82))),"-"))</f>
        <v/>
      </c>
      <c r="AB82" s="104" t="str">
        <f>IF($B82="","",IF(OR('②-1職員名簿'!AM82="○",'②-1職員名簿'!AM82="●"),IF($E82="正規職員","正",IF($E82="契約上の就業時間を記載","",IF($E82&gt;=P$5,"常",P82))),"-"))</f>
        <v/>
      </c>
      <c r="AC82" s="104" t="str">
        <f>IF($B82="","",IF(OR('②-1職員名簿'!AN82="○",'②-1職員名簿'!AN82="●"),IF($E82="正規職員","正",IF($E82="契約上の就業時間を記載","",IF($E82&gt;=Q$5,"常",Q82))),"-"))</f>
        <v/>
      </c>
      <c r="AE82" s="101" t="str">
        <f>IF('②-1職員名簿'!W82="","",'②-1職員名簿'!W82)</f>
        <v/>
      </c>
      <c r="AJ82" s="106" t="str">
        <f t="shared" si="37"/>
        <v>○</v>
      </c>
      <c r="AK82" s="106" t="str">
        <f t="shared" si="23"/>
        <v>○</v>
      </c>
      <c r="AL82" s="106" t="str">
        <f t="shared" si="24"/>
        <v>○</v>
      </c>
      <c r="AM82" s="106" t="str">
        <f t="shared" si="25"/>
        <v>○</v>
      </c>
      <c r="AN82" s="106" t="str">
        <f t="shared" si="26"/>
        <v>○</v>
      </c>
      <c r="AO82" s="106" t="str">
        <f t="shared" si="27"/>
        <v>○</v>
      </c>
      <c r="AP82" s="106" t="str">
        <f t="shared" si="28"/>
        <v>○</v>
      </c>
      <c r="AQ82" s="106" t="str">
        <f t="shared" si="29"/>
        <v>○</v>
      </c>
      <c r="AR82" s="106" t="str">
        <f t="shared" si="30"/>
        <v>○</v>
      </c>
      <c r="AS82" s="106" t="str">
        <f t="shared" si="31"/>
        <v>○</v>
      </c>
      <c r="AT82" s="106" t="str">
        <f t="shared" si="34"/>
        <v>○</v>
      </c>
      <c r="AU82" s="106" t="str">
        <f t="shared" si="35"/>
        <v>○</v>
      </c>
    </row>
    <row r="83" spans="1:47" s="106" customFormat="1" ht="23.15" customHeight="1">
      <c r="A83" s="102">
        <v>77</v>
      </c>
      <c r="B83" s="101" t="str">
        <f>IF('②-1職員名簿'!E83="","",'②-1職員名簿'!Y83)</f>
        <v/>
      </c>
      <c r="C83" s="104" t="str">
        <f>'②-1職員名簿'!BE83</f>
        <v/>
      </c>
      <c r="D83" s="136" t="str">
        <f t="shared" si="36"/>
        <v/>
      </c>
      <c r="E83" s="20" t="str">
        <f>IF($B83="","",IF(AND('②-1職員名簿'!C83="正",'②-1職員名簿'!D83="常"),"正規職員","契約上の就業時間を記載"))</f>
        <v/>
      </c>
      <c r="F83" s="10" t="str">
        <f>IF($B83="","",IF(OR('②-1職員名簿'!AC83="○",'②-1職員名簿'!AC83="●"),IF($E83="正規職員","正",IF($E83="契約上の就業時間を記載","","実績を入力")),"-"))</f>
        <v/>
      </c>
      <c r="G83" s="10" t="str">
        <f>IF($B83="","",IF(OR('②-1職員名簿'!AD83="○",'②-1職員名簿'!AD83="●"),IF($E83="正規職員","正",IF($E83="契約上の就業時間を記載","","実績を入力")),"-"))</f>
        <v/>
      </c>
      <c r="H83" s="10" t="str">
        <f>IF($B83="","",IF(OR('②-1職員名簿'!AE83="○",'②-1職員名簿'!AE83="●"),IF($E83="正規職員","正",IF($E83="契約上の就業時間を記載","","実績を入力")),"-"))</f>
        <v/>
      </c>
      <c r="I83" s="10" t="str">
        <f>IF($B83="","",IF(OR('②-1職員名簿'!AF83="○",'②-1職員名簿'!AF83="●"),IF($E83="正規職員","正",IF($E83="契約上の就業時間を記載","","実績を入力")),"-"))</f>
        <v/>
      </c>
      <c r="J83" s="10" t="str">
        <f>IF($B83="","",IF(OR('②-1職員名簿'!AG83="○",'②-1職員名簿'!AG83="●"),IF($E83="正規職員","正",IF($E83="契約上の就業時間を記載","","実績を入力")),"-"))</f>
        <v/>
      </c>
      <c r="K83" s="10" t="str">
        <f>IF($B83="","",IF(OR('②-1職員名簿'!AH83="○",'②-1職員名簿'!AH83="●"),IF($E83="正規職員","正",IF($E83="契約上の就業時間を記載","","実績を入力")),"-"))</f>
        <v/>
      </c>
      <c r="L83" s="10" t="str">
        <f>IF($B83="","",IF(OR('②-1職員名簿'!AI83="○",'②-1職員名簿'!AI83="●"),IF($E83="正規職員","正",IF($E83="契約上の就業時間を記載","","実績を入力")),"-"))</f>
        <v/>
      </c>
      <c r="M83" s="10" t="str">
        <f>IF($B83="","",IF(OR('②-1職員名簿'!AJ83="○",'②-1職員名簿'!AJ83="●"),IF($E83="正規職員","正",IF($E83="契約上の就業時間を記載","","実績を入力")),"-"))</f>
        <v/>
      </c>
      <c r="N83" s="10" t="str">
        <f>IF($B83="","",IF(OR('②-1職員名簿'!AK83="○",'②-1職員名簿'!AK83="●"),IF($E83="正規職員","正",IF($E83="契約上の就業時間を記載","","実績を入力")),"-"))</f>
        <v/>
      </c>
      <c r="O83" s="10" t="str">
        <f>IF($B83="","",IF(OR('②-1職員名簿'!AL83="○",'②-1職員名簿'!AL83="●"),IF($E83="正規職員","正",IF($E83="契約上の就業時間を記載","","実績を入力")),"-"))</f>
        <v/>
      </c>
      <c r="P83" s="10" t="str">
        <f>IF($B83="","",IF(OR('②-1職員名簿'!AM83="○",'②-1職員名簿'!AM83="●"),IF($E83="正規職員","正",IF($E83="契約上の就業時間を記載","","実績を入力")),"-"))</f>
        <v/>
      </c>
      <c r="Q83" s="10" t="str">
        <f>IF($B83="","",IF(OR('②-1職員名簿'!AN83="○",'②-1職員名簿'!AN83="●"),IF($E83="正規職員","正",IF($E83="契約上の就業時間を記載","","実績を入力")),"-"))</f>
        <v/>
      </c>
      <c r="R83" s="104" t="str">
        <f>IF($B83="","",IF(OR('②-1職員名簿'!AC83="○",'②-1職員名簿'!AC83="●"),IF($E83="正規職員","正",IF($E83="契約上の就業時間を記載","",IF($E83&gt;=F$5,"常",F83))),"-"))</f>
        <v/>
      </c>
      <c r="S83" s="104" t="str">
        <f>IF($B83="","",IF(OR('②-1職員名簿'!AD83="○",'②-1職員名簿'!AD83="●"),IF($E83="正規職員","正",IF($E83="契約上の就業時間を記載","",IF($E83&gt;=G$5,"常",G83))),"-"))</f>
        <v/>
      </c>
      <c r="T83" s="104" t="str">
        <f>IF($B83="","",IF(OR('②-1職員名簿'!AE83="○",'②-1職員名簿'!AE83="●"),IF($E83="正規職員","正",IF($E83="契約上の就業時間を記載","",IF($E83&gt;=H$5,"常",H83))),"-"))</f>
        <v/>
      </c>
      <c r="U83" s="104" t="str">
        <f>IF($B83="","",IF(OR('②-1職員名簿'!AF83="○",'②-1職員名簿'!AF83="●"),IF($E83="正規職員","正",IF($E83="契約上の就業時間を記載","",IF($E83&gt;=I$5,"常",I83))),"-"))</f>
        <v/>
      </c>
      <c r="V83" s="104" t="str">
        <f>IF($B83="","",IF(OR('②-1職員名簿'!AG83="○",'②-1職員名簿'!AG83="●"),IF($E83="正規職員","正",IF($E83="契約上の就業時間を記載","",IF($E83&gt;=J$5,"常",J83))),"-"))</f>
        <v/>
      </c>
      <c r="W83" s="104" t="str">
        <f>IF($B83="","",IF(OR('②-1職員名簿'!AH83="○",'②-1職員名簿'!AH83="●"),IF($E83="正規職員","正",IF($E83="契約上の就業時間を記載","",IF($E83&gt;=K$5,"常",K83))),"-"))</f>
        <v/>
      </c>
      <c r="X83" s="104" t="str">
        <f>IF($B83="","",IF(OR('②-1職員名簿'!AI83="○",'②-1職員名簿'!AI83="●"),IF($E83="正規職員","正",IF($E83="契約上の就業時間を記載","",IF($E83&gt;=L$5,"常",L83))),"-"))</f>
        <v/>
      </c>
      <c r="Y83" s="104" t="str">
        <f>IF($B83="","",IF(OR('②-1職員名簿'!AJ83="○",'②-1職員名簿'!AJ83="●"),IF($E83="正規職員","正",IF($E83="契約上の就業時間を記載","",IF($E83&gt;=M$5,"常",M83))),"-"))</f>
        <v/>
      </c>
      <c r="Z83" s="104" t="str">
        <f>IF($B83="","",IF(OR('②-1職員名簿'!AK83="○",'②-1職員名簿'!AK83="●"),IF($E83="正規職員","正",IF($E83="契約上の就業時間を記載","",IF($E83&gt;=N$5,"常",N83))),"-"))</f>
        <v/>
      </c>
      <c r="AA83" s="104" t="str">
        <f>IF($B83="","",IF(OR('②-1職員名簿'!AL83="○",'②-1職員名簿'!AL83="●"),IF($E83="正規職員","正",IF($E83="契約上の就業時間を記載","",IF($E83&gt;=O$5,"常",O83))),"-"))</f>
        <v/>
      </c>
      <c r="AB83" s="104" t="str">
        <f>IF($B83="","",IF(OR('②-1職員名簿'!AM83="○",'②-1職員名簿'!AM83="●"),IF($E83="正規職員","正",IF($E83="契約上の就業時間を記載","",IF($E83&gt;=P$5,"常",P83))),"-"))</f>
        <v/>
      </c>
      <c r="AC83" s="104" t="str">
        <f>IF($B83="","",IF(OR('②-1職員名簿'!AN83="○",'②-1職員名簿'!AN83="●"),IF($E83="正規職員","正",IF($E83="契約上の就業時間を記載","",IF($E83&gt;=Q$5,"常",Q83))),"-"))</f>
        <v/>
      </c>
      <c r="AE83" s="101" t="str">
        <f>IF('②-1職員名簿'!W83="","",'②-1職員名簿'!W83)</f>
        <v/>
      </c>
      <c r="AJ83" s="106" t="str">
        <f t="shared" si="37"/>
        <v>○</v>
      </c>
      <c r="AK83" s="106" t="str">
        <f t="shared" si="23"/>
        <v>○</v>
      </c>
      <c r="AL83" s="106" t="str">
        <f t="shared" si="24"/>
        <v>○</v>
      </c>
      <c r="AM83" s="106" t="str">
        <f t="shared" si="25"/>
        <v>○</v>
      </c>
      <c r="AN83" s="106" t="str">
        <f t="shared" si="26"/>
        <v>○</v>
      </c>
      <c r="AO83" s="106" t="str">
        <f t="shared" si="27"/>
        <v>○</v>
      </c>
      <c r="AP83" s="106" t="str">
        <f t="shared" si="28"/>
        <v>○</v>
      </c>
      <c r="AQ83" s="106" t="str">
        <f t="shared" si="29"/>
        <v>○</v>
      </c>
      <c r="AR83" s="106" t="str">
        <f t="shared" si="30"/>
        <v>○</v>
      </c>
      <c r="AS83" s="106" t="str">
        <f t="shared" si="31"/>
        <v>○</v>
      </c>
      <c r="AT83" s="106" t="str">
        <f t="shared" si="34"/>
        <v>○</v>
      </c>
      <c r="AU83" s="106" t="str">
        <f t="shared" si="35"/>
        <v>○</v>
      </c>
    </row>
    <row r="84" spans="1:47" s="106" customFormat="1" ht="23.15" customHeight="1">
      <c r="A84" s="102">
        <v>78</v>
      </c>
      <c r="B84" s="101" t="str">
        <f>IF('②-1職員名簿'!E84="","",'②-1職員名簿'!Y84)</f>
        <v/>
      </c>
      <c r="C84" s="104" t="str">
        <f>'②-1職員名簿'!BE84</f>
        <v/>
      </c>
      <c r="D84" s="136" t="str">
        <f t="shared" si="36"/>
        <v/>
      </c>
      <c r="E84" s="20" t="str">
        <f>IF($B84="","",IF(AND('②-1職員名簿'!C84="正",'②-1職員名簿'!D84="常"),"正規職員","契約上の就業時間を記載"))</f>
        <v/>
      </c>
      <c r="F84" s="10" t="str">
        <f>IF($B84="","",IF(OR('②-1職員名簿'!AC84="○",'②-1職員名簿'!AC84="●"),IF($E84="正規職員","正",IF($E84="契約上の就業時間を記載","","実績を入力")),"-"))</f>
        <v/>
      </c>
      <c r="G84" s="10" t="str">
        <f>IF($B84="","",IF(OR('②-1職員名簿'!AD84="○",'②-1職員名簿'!AD84="●"),IF($E84="正規職員","正",IF($E84="契約上の就業時間を記載","","実績を入力")),"-"))</f>
        <v/>
      </c>
      <c r="H84" s="10" t="str">
        <f>IF($B84="","",IF(OR('②-1職員名簿'!AE84="○",'②-1職員名簿'!AE84="●"),IF($E84="正規職員","正",IF($E84="契約上の就業時間を記載","","実績を入力")),"-"))</f>
        <v/>
      </c>
      <c r="I84" s="10" t="str">
        <f>IF($B84="","",IF(OR('②-1職員名簿'!AF84="○",'②-1職員名簿'!AF84="●"),IF($E84="正規職員","正",IF($E84="契約上の就業時間を記載","","実績を入力")),"-"))</f>
        <v/>
      </c>
      <c r="J84" s="10" t="str">
        <f>IF($B84="","",IF(OR('②-1職員名簿'!AG84="○",'②-1職員名簿'!AG84="●"),IF($E84="正規職員","正",IF($E84="契約上の就業時間を記載","","実績を入力")),"-"))</f>
        <v/>
      </c>
      <c r="K84" s="10" t="str">
        <f>IF($B84="","",IF(OR('②-1職員名簿'!AH84="○",'②-1職員名簿'!AH84="●"),IF($E84="正規職員","正",IF($E84="契約上の就業時間を記載","","実績を入力")),"-"))</f>
        <v/>
      </c>
      <c r="L84" s="10" t="str">
        <f>IF($B84="","",IF(OR('②-1職員名簿'!AI84="○",'②-1職員名簿'!AI84="●"),IF($E84="正規職員","正",IF($E84="契約上の就業時間を記載","","実績を入力")),"-"))</f>
        <v/>
      </c>
      <c r="M84" s="10" t="str">
        <f>IF($B84="","",IF(OR('②-1職員名簿'!AJ84="○",'②-1職員名簿'!AJ84="●"),IF($E84="正規職員","正",IF($E84="契約上の就業時間を記載","","実績を入力")),"-"))</f>
        <v/>
      </c>
      <c r="N84" s="10" t="str">
        <f>IF($B84="","",IF(OR('②-1職員名簿'!AK84="○",'②-1職員名簿'!AK84="●"),IF($E84="正規職員","正",IF($E84="契約上の就業時間を記載","","実績を入力")),"-"))</f>
        <v/>
      </c>
      <c r="O84" s="10" t="str">
        <f>IF($B84="","",IF(OR('②-1職員名簿'!AL84="○",'②-1職員名簿'!AL84="●"),IF($E84="正規職員","正",IF($E84="契約上の就業時間を記載","","実績を入力")),"-"))</f>
        <v/>
      </c>
      <c r="P84" s="10" t="str">
        <f>IF($B84="","",IF(OR('②-1職員名簿'!AM84="○",'②-1職員名簿'!AM84="●"),IF($E84="正規職員","正",IF($E84="契約上の就業時間を記載","","実績を入力")),"-"))</f>
        <v/>
      </c>
      <c r="Q84" s="10" t="str">
        <f>IF($B84="","",IF(OR('②-1職員名簿'!AN84="○",'②-1職員名簿'!AN84="●"),IF($E84="正規職員","正",IF($E84="契約上の就業時間を記載","","実績を入力")),"-"))</f>
        <v/>
      </c>
      <c r="R84" s="104" t="str">
        <f>IF($B84="","",IF(OR('②-1職員名簿'!AC84="○",'②-1職員名簿'!AC84="●"),IF($E84="正規職員","正",IF($E84="契約上の就業時間を記載","",IF($E84&gt;=F$5,"常",F84))),"-"))</f>
        <v/>
      </c>
      <c r="S84" s="104" t="str">
        <f>IF($B84="","",IF(OR('②-1職員名簿'!AD84="○",'②-1職員名簿'!AD84="●"),IF($E84="正規職員","正",IF($E84="契約上の就業時間を記載","",IF($E84&gt;=G$5,"常",G84))),"-"))</f>
        <v/>
      </c>
      <c r="T84" s="104" t="str">
        <f>IF($B84="","",IF(OR('②-1職員名簿'!AE84="○",'②-1職員名簿'!AE84="●"),IF($E84="正規職員","正",IF($E84="契約上の就業時間を記載","",IF($E84&gt;=H$5,"常",H84))),"-"))</f>
        <v/>
      </c>
      <c r="U84" s="104" t="str">
        <f>IF($B84="","",IF(OR('②-1職員名簿'!AF84="○",'②-1職員名簿'!AF84="●"),IF($E84="正規職員","正",IF($E84="契約上の就業時間を記載","",IF($E84&gt;=I$5,"常",I84))),"-"))</f>
        <v/>
      </c>
      <c r="V84" s="104" t="str">
        <f>IF($B84="","",IF(OR('②-1職員名簿'!AG84="○",'②-1職員名簿'!AG84="●"),IF($E84="正規職員","正",IF($E84="契約上の就業時間を記載","",IF($E84&gt;=J$5,"常",J84))),"-"))</f>
        <v/>
      </c>
      <c r="W84" s="104" t="str">
        <f>IF($B84="","",IF(OR('②-1職員名簿'!AH84="○",'②-1職員名簿'!AH84="●"),IF($E84="正規職員","正",IF($E84="契約上の就業時間を記載","",IF($E84&gt;=K$5,"常",K84))),"-"))</f>
        <v/>
      </c>
      <c r="X84" s="104" t="str">
        <f>IF($B84="","",IF(OR('②-1職員名簿'!AI84="○",'②-1職員名簿'!AI84="●"),IF($E84="正規職員","正",IF($E84="契約上の就業時間を記載","",IF($E84&gt;=L$5,"常",L84))),"-"))</f>
        <v/>
      </c>
      <c r="Y84" s="104" t="str">
        <f>IF($B84="","",IF(OR('②-1職員名簿'!AJ84="○",'②-1職員名簿'!AJ84="●"),IF($E84="正規職員","正",IF($E84="契約上の就業時間を記載","",IF($E84&gt;=M$5,"常",M84))),"-"))</f>
        <v/>
      </c>
      <c r="Z84" s="104" t="str">
        <f>IF($B84="","",IF(OR('②-1職員名簿'!AK84="○",'②-1職員名簿'!AK84="●"),IF($E84="正規職員","正",IF($E84="契約上の就業時間を記載","",IF($E84&gt;=N$5,"常",N84))),"-"))</f>
        <v/>
      </c>
      <c r="AA84" s="104" t="str">
        <f>IF($B84="","",IF(OR('②-1職員名簿'!AL84="○",'②-1職員名簿'!AL84="●"),IF($E84="正規職員","正",IF($E84="契約上の就業時間を記載","",IF($E84&gt;=O$5,"常",O84))),"-"))</f>
        <v/>
      </c>
      <c r="AB84" s="104" t="str">
        <f>IF($B84="","",IF(OR('②-1職員名簿'!AM84="○",'②-1職員名簿'!AM84="●"),IF($E84="正規職員","正",IF($E84="契約上の就業時間を記載","",IF($E84&gt;=P$5,"常",P84))),"-"))</f>
        <v/>
      </c>
      <c r="AC84" s="104" t="str">
        <f>IF($B84="","",IF(OR('②-1職員名簿'!AN84="○",'②-1職員名簿'!AN84="●"),IF($E84="正規職員","正",IF($E84="契約上の就業時間を記載","",IF($E84&gt;=Q$5,"常",Q84))),"-"))</f>
        <v/>
      </c>
      <c r="AE84" s="101" t="str">
        <f>IF('②-1職員名簿'!W84="","",'②-1職員名簿'!W84)</f>
        <v/>
      </c>
      <c r="AJ84" s="106" t="str">
        <f t="shared" si="37"/>
        <v>○</v>
      </c>
      <c r="AK84" s="106" t="str">
        <f t="shared" si="23"/>
        <v>○</v>
      </c>
      <c r="AL84" s="106" t="str">
        <f t="shared" si="24"/>
        <v>○</v>
      </c>
      <c r="AM84" s="106" t="str">
        <f t="shared" si="25"/>
        <v>○</v>
      </c>
      <c r="AN84" s="106" t="str">
        <f t="shared" si="26"/>
        <v>○</v>
      </c>
      <c r="AO84" s="106" t="str">
        <f t="shared" si="27"/>
        <v>○</v>
      </c>
      <c r="AP84" s="106" t="str">
        <f t="shared" si="28"/>
        <v>○</v>
      </c>
      <c r="AQ84" s="106" t="str">
        <f t="shared" si="29"/>
        <v>○</v>
      </c>
      <c r="AR84" s="106" t="str">
        <f t="shared" si="30"/>
        <v>○</v>
      </c>
      <c r="AS84" s="106" t="str">
        <f t="shared" si="31"/>
        <v>○</v>
      </c>
      <c r="AT84" s="106" t="str">
        <f t="shared" si="34"/>
        <v>○</v>
      </c>
      <c r="AU84" s="106" t="str">
        <f t="shared" si="35"/>
        <v>○</v>
      </c>
    </row>
    <row r="85" spans="1:47" s="106" customFormat="1" ht="23.15" customHeight="1">
      <c r="A85" s="102">
        <v>79</v>
      </c>
      <c r="B85" s="101" t="str">
        <f>IF('②-1職員名簿'!E85="","",'②-1職員名簿'!Y85)</f>
        <v/>
      </c>
      <c r="C85" s="104" t="str">
        <f>'②-1職員名簿'!BE85</f>
        <v/>
      </c>
      <c r="D85" s="136" t="str">
        <f t="shared" si="36"/>
        <v/>
      </c>
      <c r="E85" s="20" t="str">
        <f>IF($B85="","",IF(AND('②-1職員名簿'!C85="正",'②-1職員名簿'!D85="常"),"正規職員","契約上の就業時間を記載"))</f>
        <v/>
      </c>
      <c r="F85" s="10" t="str">
        <f>IF($B85="","",IF(OR('②-1職員名簿'!AC85="○",'②-1職員名簿'!AC85="●"),IF($E85="正規職員","正",IF($E85="契約上の就業時間を記載","","実績を入力")),"-"))</f>
        <v/>
      </c>
      <c r="G85" s="10" t="str">
        <f>IF($B85="","",IF(OR('②-1職員名簿'!AD85="○",'②-1職員名簿'!AD85="●"),IF($E85="正規職員","正",IF($E85="契約上の就業時間を記載","","実績を入力")),"-"))</f>
        <v/>
      </c>
      <c r="H85" s="10" t="str">
        <f>IF($B85="","",IF(OR('②-1職員名簿'!AE85="○",'②-1職員名簿'!AE85="●"),IF($E85="正規職員","正",IF($E85="契約上の就業時間を記載","","実績を入力")),"-"))</f>
        <v/>
      </c>
      <c r="I85" s="10" t="str">
        <f>IF($B85="","",IF(OR('②-1職員名簿'!AF85="○",'②-1職員名簿'!AF85="●"),IF($E85="正規職員","正",IF($E85="契約上の就業時間を記載","","実績を入力")),"-"))</f>
        <v/>
      </c>
      <c r="J85" s="10" t="str">
        <f>IF($B85="","",IF(OR('②-1職員名簿'!AG85="○",'②-1職員名簿'!AG85="●"),IF($E85="正規職員","正",IF($E85="契約上の就業時間を記載","","実績を入力")),"-"))</f>
        <v/>
      </c>
      <c r="K85" s="10" t="str">
        <f>IF($B85="","",IF(OR('②-1職員名簿'!AH85="○",'②-1職員名簿'!AH85="●"),IF($E85="正規職員","正",IF($E85="契約上の就業時間を記載","","実績を入力")),"-"))</f>
        <v/>
      </c>
      <c r="L85" s="10" t="str">
        <f>IF($B85="","",IF(OR('②-1職員名簿'!AI85="○",'②-1職員名簿'!AI85="●"),IF($E85="正規職員","正",IF($E85="契約上の就業時間を記載","","実績を入力")),"-"))</f>
        <v/>
      </c>
      <c r="M85" s="10" t="str">
        <f>IF($B85="","",IF(OR('②-1職員名簿'!AJ85="○",'②-1職員名簿'!AJ85="●"),IF($E85="正規職員","正",IF($E85="契約上の就業時間を記載","","実績を入力")),"-"))</f>
        <v/>
      </c>
      <c r="N85" s="10" t="str">
        <f>IF($B85="","",IF(OR('②-1職員名簿'!AK85="○",'②-1職員名簿'!AK85="●"),IF($E85="正規職員","正",IF($E85="契約上の就業時間を記載","","実績を入力")),"-"))</f>
        <v/>
      </c>
      <c r="O85" s="10" t="str">
        <f>IF($B85="","",IF(OR('②-1職員名簿'!AL85="○",'②-1職員名簿'!AL85="●"),IF($E85="正規職員","正",IF($E85="契約上の就業時間を記載","","実績を入力")),"-"))</f>
        <v/>
      </c>
      <c r="P85" s="10" t="str">
        <f>IF($B85="","",IF(OR('②-1職員名簿'!AM85="○",'②-1職員名簿'!AM85="●"),IF($E85="正規職員","正",IF($E85="契約上の就業時間を記載","","実績を入力")),"-"))</f>
        <v/>
      </c>
      <c r="Q85" s="10" t="str">
        <f>IF($B85="","",IF(OR('②-1職員名簿'!AN85="○",'②-1職員名簿'!AN85="●"),IF($E85="正規職員","正",IF($E85="契約上の就業時間を記載","","実績を入力")),"-"))</f>
        <v/>
      </c>
      <c r="R85" s="104" t="str">
        <f>IF($B85="","",IF(OR('②-1職員名簿'!AC85="○",'②-1職員名簿'!AC85="●"),IF($E85="正規職員","正",IF($E85="契約上の就業時間を記載","",IF($E85&gt;=F$5,"常",F85))),"-"))</f>
        <v/>
      </c>
      <c r="S85" s="104" t="str">
        <f>IF($B85="","",IF(OR('②-1職員名簿'!AD85="○",'②-1職員名簿'!AD85="●"),IF($E85="正規職員","正",IF($E85="契約上の就業時間を記載","",IF($E85&gt;=G$5,"常",G85))),"-"))</f>
        <v/>
      </c>
      <c r="T85" s="104" t="str">
        <f>IF($B85="","",IF(OR('②-1職員名簿'!AE85="○",'②-1職員名簿'!AE85="●"),IF($E85="正規職員","正",IF($E85="契約上の就業時間を記載","",IF($E85&gt;=H$5,"常",H85))),"-"))</f>
        <v/>
      </c>
      <c r="U85" s="104" t="str">
        <f>IF($B85="","",IF(OR('②-1職員名簿'!AF85="○",'②-1職員名簿'!AF85="●"),IF($E85="正規職員","正",IF($E85="契約上の就業時間を記載","",IF($E85&gt;=I$5,"常",I85))),"-"))</f>
        <v/>
      </c>
      <c r="V85" s="104" t="str">
        <f>IF($B85="","",IF(OR('②-1職員名簿'!AG85="○",'②-1職員名簿'!AG85="●"),IF($E85="正規職員","正",IF($E85="契約上の就業時間を記載","",IF($E85&gt;=J$5,"常",J85))),"-"))</f>
        <v/>
      </c>
      <c r="W85" s="104" t="str">
        <f>IF($B85="","",IF(OR('②-1職員名簿'!AH85="○",'②-1職員名簿'!AH85="●"),IF($E85="正規職員","正",IF($E85="契約上の就業時間を記載","",IF($E85&gt;=K$5,"常",K85))),"-"))</f>
        <v/>
      </c>
      <c r="X85" s="104" t="str">
        <f>IF($B85="","",IF(OR('②-1職員名簿'!AI85="○",'②-1職員名簿'!AI85="●"),IF($E85="正規職員","正",IF($E85="契約上の就業時間を記載","",IF($E85&gt;=L$5,"常",L85))),"-"))</f>
        <v/>
      </c>
      <c r="Y85" s="104" t="str">
        <f>IF($B85="","",IF(OR('②-1職員名簿'!AJ85="○",'②-1職員名簿'!AJ85="●"),IF($E85="正規職員","正",IF($E85="契約上の就業時間を記載","",IF($E85&gt;=M$5,"常",M85))),"-"))</f>
        <v/>
      </c>
      <c r="Z85" s="104" t="str">
        <f>IF($B85="","",IF(OR('②-1職員名簿'!AK85="○",'②-1職員名簿'!AK85="●"),IF($E85="正規職員","正",IF($E85="契約上の就業時間を記載","",IF($E85&gt;=N$5,"常",N85))),"-"))</f>
        <v/>
      </c>
      <c r="AA85" s="104" t="str">
        <f>IF($B85="","",IF(OR('②-1職員名簿'!AL85="○",'②-1職員名簿'!AL85="●"),IF($E85="正規職員","正",IF($E85="契約上の就業時間を記載","",IF($E85&gt;=O$5,"常",O85))),"-"))</f>
        <v/>
      </c>
      <c r="AB85" s="104" t="str">
        <f>IF($B85="","",IF(OR('②-1職員名簿'!AM85="○",'②-1職員名簿'!AM85="●"),IF($E85="正規職員","正",IF($E85="契約上の就業時間を記載","",IF($E85&gt;=P$5,"常",P85))),"-"))</f>
        <v/>
      </c>
      <c r="AC85" s="104" t="str">
        <f>IF($B85="","",IF(OR('②-1職員名簿'!AN85="○",'②-1職員名簿'!AN85="●"),IF($E85="正規職員","正",IF($E85="契約上の就業時間を記載","",IF($E85&gt;=Q$5,"常",Q85))),"-"))</f>
        <v/>
      </c>
      <c r="AE85" s="101" t="str">
        <f>IF('②-1職員名簿'!W85="","",'②-1職員名簿'!W85)</f>
        <v/>
      </c>
      <c r="AJ85" s="106" t="str">
        <f t="shared" si="37"/>
        <v>○</v>
      </c>
      <c r="AK85" s="106" t="str">
        <f t="shared" si="23"/>
        <v>○</v>
      </c>
      <c r="AL85" s="106" t="str">
        <f t="shared" si="24"/>
        <v>○</v>
      </c>
      <c r="AM85" s="106" t="str">
        <f t="shared" si="25"/>
        <v>○</v>
      </c>
      <c r="AN85" s="106" t="str">
        <f t="shared" si="26"/>
        <v>○</v>
      </c>
      <c r="AO85" s="106" t="str">
        <f t="shared" si="27"/>
        <v>○</v>
      </c>
      <c r="AP85" s="106" t="str">
        <f t="shared" si="28"/>
        <v>○</v>
      </c>
      <c r="AQ85" s="106" t="str">
        <f t="shared" si="29"/>
        <v>○</v>
      </c>
      <c r="AR85" s="106" t="str">
        <f t="shared" si="30"/>
        <v>○</v>
      </c>
      <c r="AS85" s="106" t="str">
        <f t="shared" si="31"/>
        <v>○</v>
      </c>
      <c r="AT85" s="106" t="str">
        <f t="shared" si="34"/>
        <v>○</v>
      </c>
      <c r="AU85" s="106" t="str">
        <f t="shared" si="35"/>
        <v>○</v>
      </c>
    </row>
    <row r="86" spans="1:47" s="106" customFormat="1" ht="23.15" customHeight="1">
      <c r="A86" s="102">
        <v>80</v>
      </c>
      <c r="B86" s="101" t="str">
        <f>IF('②-1職員名簿'!E86="","",'②-1職員名簿'!Y86)</f>
        <v/>
      </c>
      <c r="C86" s="104" t="str">
        <f>'②-1職員名簿'!BE86</f>
        <v/>
      </c>
      <c r="D86" s="136" t="str">
        <f t="shared" si="36"/>
        <v/>
      </c>
      <c r="E86" s="20" t="str">
        <f>IF($B86="","",IF(AND('②-1職員名簿'!C86="正",'②-1職員名簿'!D86="常"),"正規職員","契約上の就業時間を記載"))</f>
        <v/>
      </c>
      <c r="F86" s="10" t="str">
        <f>IF($B86="","",IF(OR('②-1職員名簿'!AC86="○",'②-1職員名簿'!AC86="●"),IF($E86="正規職員","正",IF($E86="契約上の就業時間を記載","","実績を入力")),"-"))</f>
        <v/>
      </c>
      <c r="G86" s="10" t="str">
        <f>IF($B86="","",IF(OR('②-1職員名簿'!AD86="○",'②-1職員名簿'!AD86="●"),IF($E86="正規職員","正",IF($E86="契約上の就業時間を記載","","実績を入力")),"-"))</f>
        <v/>
      </c>
      <c r="H86" s="10" t="str">
        <f>IF($B86="","",IF(OR('②-1職員名簿'!AE86="○",'②-1職員名簿'!AE86="●"),IF($E86="正規職員","正",IF($E86="契約上の就業時間を記載","","実績を入力")),"-"))</f>
        <v/>
      </c>
      <c r="I86" s="10" t="str">
        <f>IF($B86="","",IF(OR('②-1職員名簿'!AF86="○",'②-1職員名簿'!AF86="●"),IF($E86="正規職員","正",IF($E86="契約上の就業時間を記載","","実績を入力")),"-"))</f>
        <v/>
      </c>
      <c r="J86" s="10" t="str">
        <f>IF($B86="","",IF(OR('②-1職員名簿'!AG86="○",'②-1職員名簿'!AG86="●"),IF($E86="正規職員","正",IF($E86="契約上の就業時間を記載","","実績を入力")),"-"))</f>
        <v/>
      </c>
      <c r="K86" s="10" t="str">
        <f>IF($B86="","",IF(OR('②-1職員名簿'!AH86="○",'②-1職員名簿'!AH86="●"),IF($E86="正規職員","正",IF($E86="契約上の就業時間を記載","","実績を入力")),"-"))</f>
        <v/>
      </c>
      <c r="L86" s="10" t="str">
        <f>IF($B86="","",IF(OR('②-1職員名簿'!AI86="○",'②-1職員名簿'!AI86="●"),IF($E86="正規職員","正",IF($E86="契約上の就業時間を記載","","実績を入力")),"-"))</f>
        <v/>
      </c>
      <c r="M86" s="10" t="str">
        <f>IF($B86="","",IF(OR('②-1職員名簿'!AJ86="○",'②-1職員名簿'!AJ86="●"),IF($E86="正規職員","正",IF($E86="契約上の就業時間を記載","","実績を入力")),"-"))</f>
        <v/>
      </c>
      <c r="N86" s="10" t="str">
        <f>IF($B86="","",IF(OR('②-1職員名簿'!AK86="○",'②-1職員名簿'!AK86="●"),IF($E86="正規職員","正",IF($E86="契約上の就業時間を記載","","実績を入力")),"-"))</f>
        <v/>
      </c>
      <c r="O86" s="10" t="str">
        <f>IF($B86="","",IF(OR('②-1職員名簿'!AL86="○",'②-1職員名簿'!AL86="●"),IF($E86="正規職員","正",IF($E86="契約上の就業時間を記載","","実績を入力")),"-"))</f>
        <v/>
      </c>
      <c r="P86" s="10" t="str">
        <f>IF($B86="","",IF(OR('②-1職員名簿'!AM86="○",'②-1職員名簿'!AM86="●"),IF($E86="正規職員","正",IF($E86="契約上の就業時間を記載","","実績を入力")),"-"))</f>
        <v/>
      </c>
      <c r="Q86" s="10" t="str">
        <f>IF($B86="","",IF(OR('②-1職員名簿'!AN86="○",'②-1職員名簿'!AN86="●"),IF($E86="正規職員","正",IF($E86="契約上の就業時間を記載","","実績を入力")),"-"))</f>
        <v/>
      </c>
      <c r="R86" s="104" t="str">
        <f>IF($B86="","",IF(OR('②-1職員名簿'!AC86="○",'②-1職員名簿'!AC86="●"),IF($E86="正規職員","正",IF($E86="契約上の就業時間を記載","",IF($E86&gt;=F$5,"常",F86))),"-"))</f>
        <v/>
      </c>
      <c r="S86" s="104" t="str">
        <f>IF($B86="","",IF(OR('②-1職員名簿'!AD86="○",'②-1職員名簿'!AD86="●"),IF($E86="正規職員","正",IF($E86="契約上の就業時間を記載","",IF($E86&gt;=G$5,"常",G86))),"-"))</f>
        <v/>
      </c>
      <c r="T86" s="104" t="str">
        <f>IF($B86="","",IF(OR('②-1職員名簿'!AE86="○",'②-1職員名簿'!AE86="●"),IF($E86="正規職員","正",IF($E86="契約上の就業時間を記載","",IF($E86&gt;=H$5,"常",H86))),"-"))</f>
        <v/>
      </c>
      <c r="U86" s="104" t="str">
        <f>IF($B86="","",IF(OR('②-1職員名簿'!AF86="○",'②-1職員名簿'!AF86="●"),IF($E86="正規職員","正",IF($E86="契約上の就業時間を記載","",IF($E86&gt;=I$5,"常",I86))),"-"))</f>
        <v/>
      </c>
      <c r="V86" s="104" t="str">
        <f>IF($B86="","",IF(OR('②-1職員名簿'!AG86="○",'②-1職員名簿'!AG86="●"),IF($E86="正規職員","正",IF($E86="契約上の就業時間を記載","",IF($E86&gt;=J$5,"常",J86))),"-"))</f>
        <v/>
      </c>
      <c r="W86" s="104" t="str">
        <f>IF($B86="","",IF(OR('②-1職員名簿'!AH86="○",'②-1職員名簿'!AH86="●"),IF($E86="正規職員","正",IF($E86="契約上の就業時間を記載","",IF($E86&gt;=K$5,"常",K86))),"-"))</f>
        <v/>
      </c>
      <c r="X86" s="104" t="str">
        <f>IF($B86="","",IF(OR('②-1職員名簿'!AI86="○",'②-1職員名簿'!AI86="●"),IF($E86="正規職員","正",IF($E86="契約上の就業時間を記載","",IF($E86&gt;=L$5,"常",L86))),"-"))</f>
        <v/>
      </c>
      <c r="Y86" s="104" t="str">
        <f>IF($B86="","",IF(OR('②-1職員名簿'!AJ86="○",'②-1職員名簿'!AJ86="●"),IF($E86="正規職員","正",IF($E86="契約上の就業時間を記載","",IF($E86&gt;=M$5,"常",M86))),"-"))</f>
        <v/>
      </c>
      <c r="Z86" s="104" t="str">
        <f>IF($B86="","",IF(OR('②-1職員名簿'!AK86="○",'②-1職員名簿'!AK86="●"),IF($E86="正規職員","正",IF($E86="契約上の就業時間を記載","",IF($E86&gt;=N$5,"常",N86))),"-"))</f>
        <v/>
      </c>
      <c r="AA86" s="104" t="str">
        <f>IF($B86="","",IF(OR('②-1職員名簿'!AL86="○",'②-1職員名簿'!AL86="●"),IF($E86="正規職員","正",IF($E86="契約上の就業時間を記載","",IF($E86&gt;=O$5,"常",O86))),"-"))</f>
        <v/>
      </c>
      <c r="AB86" s="104" t="str">
        <f>IF($B86="","",IF(OR('②-1職員名簿'!AM86="○",'②-1職員名簿'!AM86="●"),IF($E86="正規職員","正",IF($E86="契約上の就業時間を記載","",IF($E86&gt;=P$5,"常",P86))),"-"))</f>
        <v/>
      </c>
      <c r="AC86" s="104" t="str">
        <f>IF($B86="","",IF(OR('②-1職員名簿'!AN86="○",'②-1職員名簿'!AN86="●"),IF($E86="正規職員","正",IF($E86="契約上の就業時間を記載","",IF($E86&gt;=Q$5,"常",Q86))),"-"))</f>
        <v/>
      </c>
      <c r="AE86" s="101" t="str">
        <f>IF('②-1職員名簿'!W86="","",'②-1職員名簿'!W86)</f>
        <v/>
      </c>
      <c r="AJ86" s="106" t="str">
        <f t="shared" si="37"/>
        <v>○</v>
      </c>
      <c r="AK86" s="106" t="str">
        <f t="shared" si="23"/>
        <v>○</v>
      </c>
      <c r="AL86" s="106" t="str">
        <f t="shared" si="24"/>
        <v>○</v>
      </c>
      <c r="AM86" s="106" t="str">
        <f t="shared" si="25"/>
        <v>○</v>
      </c>
      <c r="AN86" s="106" t="str">
        <f t="shared" si="26"/>
        <v>○</v>
      </c>
      <c r="AO86" s="106" t="str">
        <f t="shared" si="27"/>
        <v>○</v>
      </c>
      <c r="AP86" s="106" t="str">
        <f t="shared" si="28"/>
        <v>○</v>
      </c>
      <c r="AQ86" s="106" t="str">
        <f t="shared" si="29"/>
        <v>○</v>
      </c>
      <c r="AR86" s="106" t="str">
        <f t="shared" si="30"/>
        <v>○</v>
      </c>
      <c r="AS86" s="106" t="str">
        <f t="shared" si="31"/>
        <v>○</v>
      </c>
      <c r="AT86" s="106" t="str">
        <f t="shared" si="34"/>
        <v>○</v>
      </c>
      <c r="AU86" s="106" t="str">
        <f t="shared" si="35"/>
        <v>○</v>
      </c>
    </row>
    <row r="87" spans="1:47" s="106" customFormat="1" ht="23.15" customHeight="1">
      <c r="A87" s="102">
        <v>81</v>
      </c>
      <c r="B87" s="101" t="str">
        <f>IF('②-1職員名簿'!E87="","",'②-1職員名簿'!Y87)</f>
        <v/>
      </c>
      <c r="C87" s="104" t="str">
        <f>'②-1職員名簿'!BE87</f>
        <v/>
      </c>
      <c r="D87" s="136" t="str">
        <f t="shared" si="36"/>
        <v/>
      </c>
      <c r="E87" s="20" t="str">
        <f>IF($B87="","",IF(AND('②-1職員名簿'!C87="正",'②-1職員名簿'!D87="常"),"正規職員","契約上の就業時間を記載"))</f>
        <v/>
      </c>
      <c r="F87" s="10" t="str">
        <f>IF($B87="","",IF(OR('②-1職員名簿'!AC87="○",'②-1職員名簿'!AC87="●"),IF($E87="正規職員","正",IF($E87="契約上の就業時間を記載","","実績を入力")),"-"))</f>
        <v/>
      </c>
      <c r="G87" s="10" t="str">
        <f>IF($B87="","",IF(OR('②-1職員名簿'!AD87="○",'②-1職員名簿'!AD87="●"),IF($E87="正規職員","正",IF($E87="契約上の就業時間を記載","","実績を入力")),"-"))</f>
        <v/>
      </c>
      <c r="H87" s="10" t="str">
        <f>IF($B87="","",IF(OR('②-1職員名簿'!AE87="○",'②-1職員名簿'!AE87="●"),IF($E87="正規職員","正",IF($E87="契約上の就業時間を記載","","実績を入力")),"-"))</f>
        <v/>
      </c>
      <c r="I87" s="10" t="str">
        <f>IF($B87="","",IF(OR('②-1職員名簿'!AF87="○",'②-1職員名簿'!AF87="●"),IF($E87="正規職員","正",IF($E87="契約上の就業時間を記載","","実績を入力")),"-"))</f>
        <v/>
      </c>
      <c r="J87" s="10" t="str">
        <f>IF($B87="","",IF(OR('②-1職員名簿'!AG87="○",'②-1職員名簿'!AG87="●"),IF($E87="正規職員","正",IF($E87="契約上の就業時間を記載","","実績を入力")),"-"))</f>
        <v/>
      </c>
      <c r="K87" s="10" t="str">
        <f>IF($B87="","",IF(OR('②-1職員名簿'!AH87="○",'②-1職員名簿'!AH87="●"),IF($E87="正規職員","正",IF($E87="契約上の就業時間を記載","","実績を入力")),"-"))</f>
        <v/>
      </c>
      <c r="L87" s="10" t="str">
        <f>IF($B87="","",IF(OR('②-1職員名簿'!AI87="○",'②-1職員名簿'!AI87="●"),IF($E87="正規職員","正",IF($E87="契約上の就業時間を記載","","実績を入力")),"-"))</f>
        <v/>
      </c>
      <c r="M87" s="10" t="str">
        <f>IF($B87="","",IF(OR('②-1職員名簿'!AJ87="○",'②-1職員名簿'!AJ87="●"),IF($E87="正規職員","正",IF($E87="契約上の就業時間を記載","","実績を入力")),"-"))</f>
        <v/>
      </c>
      <c r="N87" s="10" t="str">
        <f>IF($B87="","",IF(OR('②-1職員名簿'!AK87="○",'②-1職員名簿'!AK87="●"),IF($E87="正規職員","正",IF($E87="契約上の就業時間を記載","","実績を入力")),"-"))</f>
        <v/>
      </c>
      <c r="O87" s="10" t="str">
        <f>IF($B87="","",IF(OR('②-1職員名簿'!AL87="○",'②-1職員名簿'!AL87="●"),IF($E87="正規職員","正",IF($E87="契約上の就業時間を記載","","実績を入力")),"-"))</f>
        <v/>
      </c>
      <c r="P87" s="10" t="str">
        <f>IF($B87="","",IF(OR('②-1職員名簿'!AM87="○",'②-1職員名簿'!AM87="●"),IF($E87="正規職員","正",IF($E87="契約上の就業時間を記載","","実績を入力")),"-"))</f>
        <v/>
      </c>
      <c r="Q87" s="10" t="str">
        <f>IF($B87="","",IF(OR('②-1職員名簿'!AN87="○",'②-1職員名簿'!AN87="●"),IF($E87="正規職員","正",IF($E87="契約上の就業時間を記載","","実績を入力")),"-"))</f>
        <v/>
      </c>
      <c r="R87" s="104" t="str">
        <f>IF($B87="","",IF(OR('②-1職員名簿'!AC87="○",'②-1職員名簿'!AC87="●"),IF($E87="正規職員","正",IF($E87="契約上の就業時間を記載","",IF($E87&gt;=F$5,"常",F87))),"-"))</f>
        <v/>
      </c>
      <c r="S87" s="104" t="str">
        <f>IF($B87="","",IF(OR('②-1職員名簿'!AD87="○",'②-1職員名簿'!AD87="●"),IF($E87="正規職員","正",IF($E87="契約上の就業時間を記載","",IF($E87&gt;=G$5,"常",G87))),"-"))</f>
        <v/>
      </c>
      <c r="T87" s="104" t="str">
        <f>IF($B87="","",IF(OR('②-1職員名簿'!AE87="○",'②-1職員名簿'!AE87="●"),IF($E87="正規職員","正",IF($E87="契約上の就業時間を記載","",IF($E87&gt;=H$5,"常",H87))),"-"))</f>
        <v/>
      </c>
      <c r="U87" s="104" t="str">
        <f>IF($B87="","",IF(OR('②-1職員名簿'!AF87="○",'②-1職員名簿'!AF87="●"),IF($E87="正規職員","正",IF($E87="契約上の就業時間を記載","",IF($E87&gt;=I$5,"常",I87))),"-"))</f>
        <v/>
      </c>
      <c r="V87" s="104" t="str">
        <f>IF($B87="","",IF(OR('②-1職員名簿'!AG87="○",'②-1職員名簿'!AG87="●"),IF($E87="正規職員","正",IF($E87="契約上の就業時間を記載","",IF($E87&gt;=J$5,"常",J87))),"-"))</f>
        <v/>
      </c>
      <c r="W87" s="104" t="str">
        <f>IF($B87="","",IF(OR('②-1職員名簿'!AH87="○",'②-1職員名簿'!AH87="●"),IF($E87="正規職員","正",IF($E87="契約上の就業時間を記載","",IF($E87&gt;=K$5,"常",K87))),"-"))</f>
        <v/>
      </c>
      <c r="X87" s="104" t="str">
        <f>IF($B87="","",IF(OR('②-1職員名簿'!AI87="○",'②-1職員名簿'!AI87="●"),IF($E87="正規職員","正",IF($E87="契約上の就業時間を記載","",IF($E87&gt;=L$5,"常",L87))),"-"))</f>
        <v/>
      </c>
      <c r="Y87" s="104" t="str">
        <f>IF($B87="","",IF(OR('②-1職員名簿'!AJ87="○",'②-1職員名簿'!AJ87="●"),IF($E87="正規職員","正",IF($E87="契約上の就業時間を記載","",IF($E87&gt;=M$5,"常",M87))),"-"))</f>
        <v/>
      </c>
      <c r="Z87" s="104" t="str">
        <f>IF($B87="","",IF(OR('②-1職員名簿'!AK87="○",'②-1職員名簿'!AK87="●"),IF($E87="正規職員","正",IF($E87="契約上の就業時間を記載","",IF($E87&gt;=N$5,"常",N87))),"-"))</f>
        <v/>
      </c>
      <c r="AA87" s="104" t="str">
        <f>IF($B87="","",IF(OR('②-1職員名簿'!AL87="○",'②-1職員名簿'!AL87="●"),IF($E87="正規職員","正",IF($E87="契約上の就業時間を記載","",IF($E87&gt;=O$5,"常",O87))),"-"))</f>
        <v/>
      </c>
      <c r="AB87" s="104" t="str">
        <f>IF($B87="","",IF(OR('②-1職員名簿'!AM87="○",'②-1職員名簿'!AM87="●"),IF($E87="正規職員","正",IF($E87="契約上の就業時間を記載","",IF($E87&gt;=P$5,"常",P87))),"-"))</f>
        <v/>
      </c>
      <c r="AC87" s="104" t="str">
        <f>IF($B87="","",IF(OR('②-1職員名簿'!AN87="○",'②-1職員名簿'!AN87="●"),IF($E87="正規職員","正",IF($E87="契約上の就業時間を記載","",IF($E87&gt;=Q$5,"常",Q87))),"-"))</f>
        <v/>
      </c>
      <c r="AE87" s="101" t="str">
        <f>IF('②-1職員名簿'!W87="","",'②-1職員名簿'!W87)</f>
        <v/>
      </c>
      <c r="AJ87" s="106" t="str">
        <f t="shared" si="37"/>
        <v>○</v>
      </c>
      <c r="AK87" s="106" t="str">
        <f t="shared" ref="AK87:AK106" si="38">IF(AND($C87="常勤的非常勤",$E87&lt;G$5),"×",IF(AND($C87="短時間非常勤",G$5&lt;=$E87),"×",IF(AND($C87="嘱託常勤",$E87&lt;G$5),"×",IF(AND($C87="嘱託非常勤",G$5&lt;=$E87),"×","○"))))</f>
        <v>○</v>
      </c>
      <c r="AL87" s="106" t="str">
        <f t="shared" ref="AL87:AL106" si="39">IF(AND($C87="常勤的非常勤",$E87&lt;H$5),"×",IF(AND($C87="短時間非常勤",H$5&lt;=$E87),"×",IF(AND($C87="嘱託常勤",$E87&lt;H$5),"×",IF(AND($C87="嘱託非常勤",H$5&lt;=$E87),"×","○"))))</f>
        <v>○</v>
      </c>
      <c r="AM87" s="106" t="str">
        <f t="shared" ref="AM87:AM106" si="40">IF(AND($C87="常勤的非常勤",$E87&lt;I$5),"×",IF(AND($C87="短時間非常勤",I$5&lt;=$E87),"×",IF(AND($C87="嘱託常勤",$E87&lt;I$5),"×",IF(AND($C87="嘱託非常勤",I$5&lt;=$E87),"×","○"))))</f>
        <v>○</v>
      </c>
      <c r="AN87" s="106" t="str">
        <f t="shared" ref="AN87:AN106" si="41">IF(AND($C87="常勤的非常勤",$E87&lt;J$5),"×",IF(AND($C87="短時間非常勤",J$5&lt;=$E87),"×",IF(AND($C87="嘱託常勤",$E87&lt;J$5),"×",IF(AND($C87="嘱託非常勤",J$5&lt;=$E87),"×","○"))))</f>
        <v>○</v>
      </c>
      <c r="AO87" s="106" t="str">
        <f t="shared" ref="AO87:AO106" si="42">IF(AND($C87="常勤的非常勤",$E87&lt;K$5),"×",IF(AND($C87="短時間非常勤",K$5&lt;=$E87),"×",IF(AND($C87="嘱託常勤",$E87&lt;K$5),"×",IF(AND($C87="嘱託非常勤",K$5&lt;=$E87),"×","○"))))</f>
        <v>○</v>
      </c>
      <c r="AP87" s="106" t="str">
        <f t="shared" ref="AP87:AP106" si="43">IF(AND($C87="常勤的非常勤",$E87&lt;L$5),"×",IF(AND($C87="短時間非常勤",L$5&lt;=$E87),"×",IF(AND($C87="嘱託常勤",$E87&lt;L$5),"×",IF(AND($C87="嘱託非常勤",L$5&lt;=$E87),"×","○"))))</f>
        <v>○</v>
      </c>
      <c r="AQ87" s="106" t="str">
        <f t="shared" ref="AQ87:AQ106" si="44">IF(AND($C87="常勤的非常勤",$E87&lt;M$5),"×",IF(AND($C87="短時間非常勤",M$5&lt;=$E87),"×",IF(AND($C87="嘱託常勤",$E87&lt;M$5),"×",IF(AND($C87="嘱託非常勤",M$5&lt;=$E87),"×","○"))))</f>
        <v>○</v>
      </c>
      <c r="AR87" s="106" t="str">
        <f t="shared" ref="AR87:AR106" si="45">IF(AND($C87="常勤的非常勤",$E87&lt;N$5),"×",IF(AND($C87="短時間非常勤",N$5&lt;=$E87),"×",IF(AND($C87="嘱託常勤",$E87&lt;N$5),"×",IF(AND($C87="嘱託非常勤",N$5&lt;=$E87),"×","○"))))</f>
        <v>○</v>
      </c>
      <c r="AS87" s="106" t="str">
        <f t="shared" ref="AS87:AS106" si="46">IF(AND($C87="常勤的非常勤",$E87&lt;O$5),"×",IF(AND($C87="短時間非常勤",O$5&lt;=$E87),"×",IF(AND($C87="嘱託常勤",$E87&lt;O$5),"×",IF(AND($C87="嘱託非常勤",O$5&lt;=$E87),"×","○"))))</f>
        <v>○</v>
      </c>
      <c r="AT87" s="106" t="str">
        <f t="shared" ref="AT87:AT106" si="47">IF(AND($C87="常勤的非常勤",$E87&lt;P$5),"×",IF(AND($C87="短時間非常勤",P$5&lt;=$E87),"×",IF(AND($C87="嘱託常勤",$E87&lt;P$5),"×",IF(AND($C87="嘱託非常勤",P$5&lt;=$E87),"×","○"))))</f>
        <v>○</v>
      </c>
      <c r="AU87" s="106" t="str">
        <f t="shared" ref="AU87:AU106" si="48">IF(AND($C87="常勤的非常勤",$E87&lt;Q$5),"×",IF(AND($C87="短時間非常勤",Q$5&lt;=$E87),"×",IF(AND($C87="嘱託常勤",$E87&lt;Q$5),"×",IF(AND($C87="嘱託非常勤",Q$5&lt;=$E87),"×","○"))))</f>
        <v>○</v>
      </c>
    </row>
    <row r="88" spans="1:47" s="106" customFormat="1" ht="23.15" customHeight="1">
      <c r="A88" s="102">
        <v>82</v>
      </c>
      <c r="B88" s="101" t="str">
        <f>IF('②-1職員名簿'!E88="","",'②-1職員名簿'!Y88)</f>
        <v/>
      </c>
      <c r="C88" s="104" t="str">
        <f>'②-1職員名簿'!BE88</f>
        <v/>
      </c>
      <c r="D88" s="136" t="str">
        <f t="shared" si="36"/>
        <v/>
      </c>
      <c r="E88" s="20" t="str">
        <f>IF($B88="","",IF(AND('②-1職員名簿'!C88="正",'②-1職員名簿'!D88="常"),"正規職員","契約上の就業時間を記載"))</f>
        <v/>
      </c>
      <c r="F88" s="10" t="str">
        <f>IF($B88="","",IF(OR('②-1職員名簿'!AC88="○",'②-1職員名簿'!AC88="●"),IF($E88="正規職員","正",IF($E88="契約上の就業時間を記載","","実績を入力")),"-"))</f>
        <v/>
      </c>
      <c r="G88" s="10" t="str">
        <f>IF($B88="","",IF(OR('②-1職員名簿'!AD88="○",'②-1職員名簿'!AD88="●"),IF($E88="正規職員","正",IF($E88="契約上の就業時間を記載","","実績を入力")),"-"))</f>
        <v/>
      </c>
      <c r="H88" s="10" t="str">
        <f>IF($B88="","",IF(OR('②-1職員名簿'!AE88="○",'②-1職員名簿'!AE88="●"),IF($E88="正規職員","正",IF($E88="契約上の就業時間を記載","","実績を入力")),"-"))</f>
        <v/>
      </c>
      <c r="I88" s="10" t="str">
        <f>IF($B88="","",IF(OR('②-1職員名簿'!AF88="○",'②-1職員名簿'!AF88="●"),IF($E88="正規職員","正",IF($E88="契約上の就業時間を記載","","実績を入力")),"-"))</f>
        <v/>
      </c>
      <c r="J88" s="10" t="str">
        <f>IF($B88="","",IF(OR('②-1職員名簿'!AG88="○",'②-1職員名簿'!AG88="●"),IF($E88="正規職員","正",IF($E88="契約上の就業時間を記載","","実績を入力")),"-"))</f>
        <v/>
      </c>
      <c r="K88" s="10" t="str">
        <f>IF($B88="","",IF(OR('②-1職員名簿'!AH88="○",'②-1職員名簿'!AH88="●"),IF($E88="正規職員","正",IF($E88="契約上の就業時間を記載","","実績を入力")),"-"))</f>
        <v/>
      </c>
      <c r="L88" s="10" t="str">
        <f>IF($B88="","",IF(OR('②-1職員名簿'!AI88="○",'②-1職員名簿'!AI88="●"),IF($E88="正規職員","正",IF($E88="契約上の就業時間を記載","","実績を入力")),"-"))</f>
        <v/>
      </c>
      <c r="M88" s="10" t="str">
        <f>IF($B88="","",IF(OR('②-1職員名簿'!AJ88="○",'②-1職員名簿'!AJ88="●"),IF($E88="正規職員","正",IF($E88="契約上の就業時間を記載","","実績を入力")),"-"))</f>
        <v/>
      </c>
      <c r="N88" s="10" t="str">
        <f>IF($B88="","",IF(OR('②-1職員名簿'!AK88="○",'②-1職員名簿'!AK88="●"),IF($E88="正規職員","正",IF($E88="契約上の就業時間を記載","","実績を入力")),"-"))</f>
        <v/>
      </c>
      <c r="O88" s="10" t="str">
        <f>IF($B88="","",IF(OR('②-1職員名簿'!AL88="○",'②-1職員名簿'!AL88="●"),IF($E88="正規職員","正",IF($E88="契約上の就業時間を記載","","実績を入力")),"-"))</f>
        <v/>
      </c>
      <c r="P88" s="10" t="str">
        <f>IF($B88="","",IF(OR('②-1職員名簿'!AM88="○",'②-1職員名簿'!AM88="●"),IF($E88="正規職員","正",IF($E88="契約上の就業時間を記載","","実績を入力")),"-"))</f>
        <v/>
      </c>
      <c r="Q88" s="10" t="str">
        <f>IF($B88="","",IF(OR('②-1職員名簿'!AN88="○",'②-1職員名簿'!AN88="●"),IF($E88="正規職員","正",IF($E88="契約上の就業時間を記載","","実績を入力")),"-"))</f>
        <v/>
      </c>
      <c r="R88" s="104" t="str">
        <f>IF($B88="","",IF(OR('②-1職員名簿'!AC88="○",'②-1職員名簿'!AC88="●"),IF($E88="正規職員","正",IF($E88="契約上の就業時間を記載","",IF($E88&gt;=F$5,"常",F88))),"-"))</f>
        <v/>
      </c>
      <c r="S88" s="104" t="str">
        <f>IF($B88="","",IF(OR('②-1職員名簿'!AD88="○",'②-1職員名簿'!AD88="●"),IF($E88="正規職員","正",IF($E88="契約上の就業時間を記載","",IF($E88&gt;=G$5,"常",G88))),"-"))</f>
        <v/>
      </c>
      <c r="T88" s="104" t="str">
        <f>IF($B88="","",IF(OR('②-1職員名簿'!AE88="○",'②-1職員名簿'!AE88="●"),IF($E88="正規職員","正",IF($E88="契約上の就業時間を記載","",IF($E88&gt;=H$5,"常",H88))),"-"))</f>
        <v/>
      </c>
      <c r="U88" s="104" t="str">
        <f>IF($B88="","",IF(OR('②-1職員名簿'!AF88="○",'②-1職員名簿'!AF88="●"),IF($E88="正規職員","正",IF($E88="契約上の就業時間を記載","",IF($E88&gt;=I$5,"常",I88))),"-"))</f>
        <v/>
      </c>
      <c r="V88" s="104" t="str">
        <f>IF($B88="","",IF(OR('②-1職員名簿'!AG88="○",'②-1職員名簿'!AG88="●"),IF($E88="正規職員","正",IF($E88="契約上の就業時間を記載","",IF($E88&gt;=J$5,"常",J88))),"-"))</f>
        <v/>
      </c>
      <c r="W88" s="104" t="str">
        <f>IF($B88="","",IF(OR('②-1職員名簿'!AH88="○",'②-1職員名簿'!AH88="●"),IF($E88="正規職員","正",IF($E88="契約上の就業時間を記載","",IF($E88&gt;=K$5,"常",K88))),"-"))</f>
        <v/>
      </c>
      <c r="X88" s="104" t="str">
        <f>IF($B88="","",IF(OR('②-1職員名簿'!AI88="○",'②-1職員名簿'!AI88="●"),IF($E88="正規職員","正",IF($E88="契約上の就業時間を記載","",IF($E88&gt;=L$5,"常",L88))),"-"))</f>
        <v/>
      </c>
      <c r="Y88" s="104" t="str">
        <f>IF($B88="","",IF(OR('②-1職員名簿'!AJ88="○",'②-1職員名簿'!AJ88="●"),IF($E88="正規職員","正",IF($E88="契約上の就業時間を記載","",IF($E88&gt;=M$5,"常",M88))),"-"))</f>
        <v/>
      </c>
      <c r="Z88" s="104" t="str">
        <f>IF($B88="","",IF(OR('②-1職員名簿'!AK88="○",'②-1職員名簿'!AK88="●"),IF($E88="正規職員","正",IF($E88="契約上の就業時間を記載","",IF($E88&gt;=N$5,"常",N88))),"-"))</f>
        <v/>
      </c>
      <c r="AA88" s="104" t="str">
        <f>IF($B88="","",IF(OR('②-1職員名簿'!AL88="○",'②-1職員名簿'!AL88="●"),IF($E88="正規職員","正",IF($E88="契約上の就業時間を記載","",IF($E88&gt;=O$5,"常",O88))),"-"))</f>
        <v/>
      </c>
      <c r="AB88" s="104" t="str">
        <f>IF($B88="","",IF(OR('②-1職員名簿'!AM88="○",'②-1職員名簿'!AM88="●"),IF($E88="正規職員","正",IF($E88="契約上の就業時間を記載","",IF($E88&gt;=P$5,"常",P88))),"-"))</f>
        <v/>
      </c>
      <c r="AC88" s="104" t="str">
        <f>IF($B88="","",IF(OR('②-1職員名簿'!AN88="○",'②-1職員名簿'!AN88="●"),IF($E88="正規職員","正",IF($E88="契約上の就業時間を記載","",IF($E88&gt;=Q$5,"常",Q88))),"-"))</f>
        <v/>
      </c>
      <c r="AE88" s="101" t="str">
        <f>IF('②-1職員名簿'!W88="","",'②-1職員名簿'!W88)</f>
        <v/>
      </c>
      <c r="AJ88" s="106" t="str">
        <f t="shared" si="37"/>
        <v>○</v>
      </c>
      <c r="AK88" s="106" t="str">
        <f t="shared" si="38"/>
        <v>○</v>
      </c>
      <c r="AL88" s="106" t="str">
        <f t="shared" si="39"/>
        <v>○</v>
      </c>
      <c r="AM88" s="106" t="str">
        <f t="shared" si="40"/>
        <v>○</v>
      </c>
      <c r="AN88" s="106" t="str">
        <f t="shared" si="41"/>
        <v>○</v>
      </c>
      <c r="AO88" s="106" t="str">
        <f t="shared" si="42"/>
        <v>○</v>
      </c>
      <c r="AP88" s="106" t="str">
        <f t="shared" si="43"/>
        <v>○</v>
      </c>
      <c r="AQ88" s="106" t="str">
        <f t="shared" si="44"/>
        <v>○</v>
      </c>
      <c r="AR88" s="106" t="str">
        <f t="shared" si="45"/>
        <v>○</v>
      </c>
      <c r="AS88" s="106" t="str">
        <f t="shared" si="46"/>
        <v>○</v>
      </c>
      <c r="AT88" s="106" t="str">
        <f t="shared" si="47"/>
        <v>○</v>
      </c>
      <c r="AU88" s="106" t="str">
        <f t="shared" si="48"/>
        <v>○</v>
      </c>
    </row>
    <row r="89" spans="1:47" s="106" customFormat="1" ht="23.15" customHeight="1">
      <c r="A89" s="102">
        <v>83</v>
      </c>
      <c r="B89" s="101" t="str">
        <f>IF('②-1職員名簿'!E89="","",'②-1職員名簿'!Y89)</f>
        <v/>
      </c>
      <c r="C89" s="104" t="str">
        <f>'②-1職員名簿'!BE89</f>
        <v/>
      </c>
      <c r="D89" s="136" t="str">
        <f t="shared" si="36"/>
        <v/>
      </c>
      <c r="E89" s="20" t="str">
        <f>IF($B89="","",IF(AND('②-1職員名簿'!C89="正",'②-1職員名簿'!D89="常"),"正規職員","契約上の就業時間を記載"))</f>
        <v/>
      </c>
      <c r="F89" s="10" t="str">
        <f>IF($B89="","",IF(OR('②-1職員名簿'!AC89="○",'②-1職員名簿'!AC89="●"),IF($E89="正規職員","正",IF($E89="契約上の就業時間を記載","","実績を入力")),"-"))</f>
        <v/>
      </c>
      <c r="G89" s="10" t="str">
        <f>IF($B89="","",IF(OR('②-1職員名簿'!AD89="○",'②-1職員名簿'!AD89="●"),IF($E89="正規職員","正",IF($E89="契約上の就業時間を記載","","実績を入力")),"-"))</f>
        <v/>
      </c>
      <c r="H89" s="10" t="str">
        <f>IF($B89="","",IF(OR('②-1職員名簿'!AE89="○",'②-1職員名簿'!AE89="●"),IF($E89="正規職員","正",IF($E89="契約上の就業時間を記載","","実績を入力")),"-"))</f>
        <v/>
      </c>
      <c r="I89" s="10" t="str">
        <f>IF($B89="","",IF(OR('②-1職員名簿'!AF89="○",'②-1職員名簿'!AF89="●"),IF($E89="正規職員","正",IF($E89="契約上の就業時間を記載","","実績を入力")),"-"))</f>
        <v/>
      </c>
      <c r="J89" s="10" t="str">
        <f>IF($B89="","",IF(OR('②-1職員名簿'!AG89="○",'②-1職員名簿'!AG89="●"),IF($E89="正規職員","正",IF($E89="契約上の就業時間を記載","","実績を入力")),"-"))</f>
        <v/>
      </c>
      <c r="K89" s="10" t="str">
        <f>IF($B89="","",IF(OR('②-1職員名簿'!AH89="○",'②-1職員名簿'!AH89="●"),IF($E89="正規職員","正",IF($E89="契約上の就業時間を記載","","実績を入力")),"-"))</f>
        <v/>
      </c>
      <c r="L89" s="10" t="str">
        <f>IF($B89="","",IF(OR('②-1職員名簿'!AI89="○",'②-1職員名簿'!AI89="●"),IF($E89="正規職員","正",IF($E89="契約上の就業時間を記載","","実績を入力")),"-"))</f>
        <v/>
      </c>
      <c r="M89" s="10" t="str">
        <f>IF($B89="","",IF(OR('②-1職員名簿'!AJ89="○",'②-1職員名簿'!AJ89="●"),IF($E89="正規職員","正",IF($E89="契約上の就業時間を記載","","実績を入力")),"-"))</f>
        <v/>
      </c>
      <c r="N89" s="10" t="str">
        <f>IF($B89="","",IF(OR('②-1職員名簿'!AK89="○",'②-1職員名簿'!AK89="●"),IF($E89="正規職員","正",IF($E89="契約上の就業時間を記載","","実績を入力")),"-"))</f>
        <v/>
      </c>
      <c r="O89" s="10" t="str">
        <f>IF($B89="","",IF(OR('②-1職員名簿'!AL89="○",'②-1職員名簿'!AL89="●"),IF($E89="正規職員","正",IF($E89="契約上の就業時間を記載","","実績を入力")),"-"))</f>
        <v/>
      </c>
      <c r="P89" s="10" t="str">
        <f>IF($B89="","",IF(OR('②-1職員名簿'!AM89="○",'②-1職員名簿'!AM89="●"),IF($E89="正規職員","正",IF($E89="契約上の就業時間を記載","","実績を入力")),"-"))</f>
        <v/>
      </c>
      <c r="Q89" s="10" t="str">
        <f>IF($B89="","",IF(OR('②-1職員名簿'!AN89="○",'②-1職員名簿'!AN89="●"),IF($E89="正規職員","正",IF($E89="契約上の就業時間を記載","","実績を入力")),"-"))</f>
        <v/>
      </c>
      <c r="R89" s="104" t="str">
        <f>IF($B89="","",IF(OR('②-1職員名簿'!AC89="○",'②-1職員名簿'!AC89="●"),IF($E89="正規職員","正",IF($E89="契約上の就業時間を記載","",IF($E89&gt;=F$5,"常",F89))),"-"))</f>
        <v/>
      </c>
      <c r="S89" s="104" t="str">
        <f>IF($B89="","",IF(OR('②-1職員名簿'!AD89="○",'②-1職員名簿'!AD89="●"),IF($E89="正規職員","正",IF($E89="契約上の就業時間を記載","",IF($E89&gt;=G$5,"常",G89))),"-"))</f>
        <v/>
      </c>
      <c r="T89" s="104" t="str">
        <f>IF($B89="","",IF(OR('②-1職員名簿'!AE89="○",'②-1職員名簿'!AE89="●"),IF($E89="正規職員","正",IF($E89="契約上の就業時間を記載","",IF($E89&gt;=H$5,"常",H89))),"-"))</f>
        <v/>
      </c>
      <c r="U89" s="104" t="str">
        <f>IF($B89="","",IF(OR('②-1職員名簿'!AF89="○",'②-1職員名簿'!AF89="●"),IF($E89="正規職員","正",IF($E89="契約上の就業時間を記載","",IF($E89&gt;=I$5,"常",I89))),"-"))</f>
        <v/>
      </c>
      <c r="V89" s="104" t="str">
        <f>IF($B89="","",IF(OR('②-1職員名簿'!AG89="○",'②-1職員名簿'!AG89="●"),IF($E89="正規職員","正",IF($E89="契約上の就業時間を記載","",IF($E89&gt;=J$5,"常",J89))),"-"))</f>
        <v/>
      </c>
      <c r="W89" s="104" t="str">
        <f>IF($B89="","",IF(OR('②-1職員名簿'!AH89="○",'②-1職員名簿'!AH89="●"),IF($E89="正規職員","正",IF($E89="契約上の就業時間を記載","",IF($E89&gt;=K$5,"常",K89))),"-"))</f>
        <v/>
      </c>
      <c r="X89" s="104" t="str">
        <f>IF($B89="","",IF(OR('②-1職員名簿'!AI89="○",'②-1職員名簿'!AI89="●"),IF($E89="正規職員","正",IF($E89="契約上の就業時間を記載","",IF($E89&gt;=L$5,"常",L89))),"-"))</f>
        <v/>
      </c>
      <c r="Y89" s="104" t="str">
        <f>IF($B89="","",IF(OR('②-1職員名簿'!AJ89="○",'②-1職員名簿'!AJ89="●"),IF($E89="正規職員","正",IF($E89="契約上の就業時間を記載","",IF($E89&gt;=M$5,"常",M89))),"-"))</f>
        <v/>
      </c>
      <c r="Z89" s="104" t="str">
        <f>IF($B89="","",IF(OR('②-1職員名簿'!AK89="○",'②-1職員名簿'!AK89="●"),IF($E89="正規職員","正",IF($E89="契約上の就業時間を記載","",IF($E89&gt;=N$5,"常",N89))),"-"))</f>
        <v/>
      </c>
      <c r="AA89" s="104" t="str">
        <f>IF($B89="","",IF(OR('②-1職員名簿'!AL89="○",'②-1職員名簿'!AL89="●"),IF($E89="正規職員","正",IF($E89="契約上の就業時間を記載","",IF($E89&gt;=O$5,"常",O89))),"-"))</f>
        <v/>
      </c>
      <c r="AB89" s="104" t="str">
        <f>IF($B89="","",IF(OR('②-1職員名簿'!AM89="○",'②-1職員名簿'!AM89="●"),IF($E89="正規職員","正",IF($E89="契約上の就業時間を記載","",IF($E89&gt;=P$5,"常",P89))),"-"))</f>
        <v/>
      </c>
      <c r="AC89" s="104" t="str">
        <f>IF($B89="","",IF(OR('②-1職員名簿'!AN89="○",'②-1職員名簿'!AN89="●"),IF($E89="正規職員","正",IF($E89="契約上の就業時間を記載","",IF($E89&gt;=Q$5,"常",Q89))),"-"))</f>
        <v/>
      </c>
      <c r="AE89" s="101" t="str">
        <f>IF('②-1職員名簿'!W89="","",'②-1職員名簿'!W89)</f>
        <v/>
      </c>
      <c r="AJ89" s="106" t="str">
        <f t="shared" si="37"/>
        <v>○</v>
      </c>
      <c r="AK89" s="106" t="str">
        <f t="shared" si="38"/>
        <v>○</v>
      </c>
      <c r="AL89" s="106" t="str">
        <f t="shared" si="39"/>
        <v>○</v>
      </c>
      <c r="AM89" s="106" t="str">
        <f t="shared" si="40"/>
        <v>○</v>
      </c>
      <c r="AN89" s="106" t="str">
        <f t="shared" si="41"/>
        <v>○</v>
      </c>
      <c r="AO89" s="106" t="str">
        <f t="shared" si="42"/>
        <v>○</v>
      </c>
      <c r="AP89" s="106" t="str">
        <f t="shared" si="43"/>
        <v>○</v>
      </c>
      <c r="AQ89" s="106" t="str">
        <f t="shared" si="44"/>
        <v>○</v>
      </c>
      <c r="AR89" s="106" t="str">
        <f t="shared" si="45"/>
        <v>○</v>
      </c>
      <c r="AS89" s="106" t="str">
        <f t="shared" si="46"/>
        <v>○</v>
      </c>
      <c r="AT89" s="106" t="str">
        <f t="shared" si="47"/>
        <v>○</v>
      </c>
      <c r="AU89" s="106" t="str">
        <f t="shared" si="48"/>
        <v>○</v>
      </c>
    </row>
    <row r="90" spans="1:47" s="106" customFormat="1" ht="23.15" customHeight="1">
      <c r="A90" s="102">
        <v>84</v>
      </c>
      <c r="B90" s="101" t="str">
        <f>IF('②-1職員名簿'!E90="","",'②-1職員名簿'!Y90)</f>
        <v/>
      </c>
      <c r="C90" s="104" t="str">
        <f>'②-1職員名簿'!BE90</f>
        <v/>
      </c>
      <c r="D90" s="136" t="str">
        <f t="shared" si="36"/>
        <v/>
      </c>
      <c r="E90" s="20" t="str">
        <f>IF($B90="","",IF(AND('②-1職員名簿'!C90="正",'②-1職員名簿'!D90="常"),"正規職員","契約上の就業時間を記載"))</f>
        <v/>
      </c>
      <c r="F90" s="10" t="str">
        <f>IF($B90="","",IF(OR('②-1職員名簿'!AC90="○",'②-1職員名簿'!AC90="●"),IF($E90="正規職員","正",IF($E90="契約上の就業時間を記載","","実績を入力")),"-"))</f>
        <v/>
      </c>
      <c r="G90" s="10" t="str">
        <f>IF($B90="","",IF(OR('②-1職員名簿'!AD90="○",'②-1職員名簿'!AD90="●"),IF($E90="正規職員","正",IF($E90="契約上の就業時間を記載","","実績を入力")),"-"))</f>
        <v/>
      </c>
      <c r="H90" s="10" t="str">
        <f>IF($B90="","",IF(OR('②-1職員名簿'!AE90="○",'②-1職員名簿'!AE90="●"),IF($E90="正規職員","正",IF($E90="契約上の就業時間を記載","","実績を入力")),"-"))</f>
        <v/>
      </c>
      <c r="I90" s="10" t="str">
        <f>IF($B90="","",IF(OR('②-1職員名簿'!AF90="○",'②-1職員名簿'!AF90="●"),IF($E90="正規職員","正",IF($E90="契約上の就業時間を記載","","実績を入力")),"-"))</f>
        <v/>
      </c>
      <c r="J90" s="10" t="str">
        <f>IF($B90="","",IF(OR('②-1職員名簿'!AG90="○",'②-1職員名簿'!AG90="●"),IF($E90="正規職員","正",IF($E90="契約上の就業時間を記載","","実績を入力")),"-"))</f>
        <v/>
      </c>
      <c r="K90" s="10" t="str">
        <f>IF($B90="","",IF(OR('②-1職員名簿'!AH90="○",'②-1職員名簿'!AH90="●"),IF($E90="正規職員","正",IF($E90="契約上の就業時間を記載","","実績を入力")),"-"))</f>
        <v/>
      </c>
      <c r="L90" s="10" t="str">
        <f>IF($B90="","",IF(OR('②-1職員名簿'!AI90="○",'②-1職員名簿'!AI90="●"),IF($E90="正規職員","正",IF($E90="契約上の就業時間を記載","","実績を入力")),"-"))</f>
        <v/>
      </c>
      <c r="M90" s="10" t="str">
        <f>IF($B90="","",IF(OR('②-1職員名簿'!AJ90="○",'②-1職員名簿'!AJ90="●"),IF($E90="正規職員","正",IF($E90="契約上の就業時間を記載","","実績を入力")),"-"))</f>
        <v/>
      </c>
      <c r="N90" s="10" t="str">
        <f>IF($B90="","",IF(OR('②-1職員名簿'!AK90="○",'②-1職員名簿'!AK90="●"),IF($E90="正規職員","正",IF($E90="契約上の就業時間を記載","","実績を入力")),"-"))</f>
        <v/>
      </c>
      <c r="O90" s="10" t="str">
        <f>IF($B90="","",IF(OR('②-1職員名簿'!AL90="○",'②-1職員名簿'!AL90="●"),IF($E90="正規職員","正",IF($E90="契約上の就業時間を記載","","実績を入力")),"-"))</f>
        <v/>
      </c>
      <c r="P90" s="10" t="str">
        <f>IF($B90="","",IF(OR('②-1職員名簿'!AM90="○",'②-1職員名簿'!AM90="●"),IF($E90="正規職員","正",IF($E90="契約上の就業時間を記載","","実績を入力")),"-"))</f>
        <v/>
      </c>
      <c r="Q90" s="10" t="str">
        <f>IF($B90="","",IF(OR('②-1職員名簿'!AN90="○",'②-1職員名簿'!AN90="●"),IF($E90="正規職員","正",IF($E90="契約上の就業時間を記載","","実績を入力")),"-"))</f>
        <v/>
      </c>
      <c r="R90" s="104" t="str">
        <f>IF($B90="","",IF(OR('②-1職員名簿'!AC90="○",'②-1職員名簿'!AC90="●"),IF($E90="正規職員","正",IF($E90="契約上の就業時間を記載","",IF($E90&gt;=F$5,"常",F90))),"-"))</f>
        <v/>
      </c>
      <c r="S90" s="104" t="str">
        <f>IF($B90="","",IF(OR('②-1職員名簿'!AD90="○",'②-1職員名簿'!AD90="●"),IF($E90="正規職員","正",IF($E90="契約上の就業時間を記載","",IF($E90&gt;=G$5,"常",G90))),"-"))</f>
        <v/>
      </c>
      <c r="T90" s="104" t="str">
        <f>IF($B90="","",IF(OR('②-1職員名簿'!AE90="○",'②-1職員名簿'!AE90="●"),IF($E90="正規職員","正",IF($E90="契約上の就業時間を記載","",IF($E90&gt;=H$5,"常",H90))),"-"))</f>
        <v/>
      </c>
      <c r="U90" s="104" t="str">
        <f>IF($B90="","",IF(OR('②-1職員名簿'!AF90="○",'②-1職員名簿'!AF90="●"),IF($E90="正規職員","正",IF($E90="契約上の就業時間を記載","",IF($E90&gt;=I$5,"常",I90))),"-"))</f>
        <v/>
      </c>
      <c r="V90" s="104" t="str">
        <f>IF($B90="","",IF(OR('②-1職員名簿'!AG90="○",'②-1職員名簿'!AG90="●"),IF($E90="正規職員","正",IF($E90="契約上の就業時間を記載","",IF($E90&gt;=J$5,"常",J90))),"-"))</f>
        <v/>
      </c>
      <c r="W90" s="104" t="str">
        <f>IF($B90="","",IF(OR('②-1職員名簿'!AH90="○",'②-1職員名簿'!AH90="●"),IF($E90="正規職員","正",IF($E90="契約上の就業時間を記載","",IF($E90&gt;=K$5,"常",K90))),"-"))</f>
        <v/>
      </c>
      <c r="X90" s="104" t="str">
        <f>IF($B90="","",IF(OR('②-1職員名簿'!AI90="○",'②-1職員名簿'!AI90="●"),IF($E90="正規職員","正",IF($E90="契約上の就業時間を記載","",IF($E90&gt;=L$5,"常",L90))),"-"))</f>
        <v/>
      </c>
      <c r="Y90" s="104" t="str">
        <f>IF($B90="","",IF(OR('②-1職員名簿'!AJ90="○",'②-1職員名簿'!AJ90="●"),IF($E90="正規職員","正",IF($E90="契約上の就業時間を記載","",IF($E90&gt;=M$5,"常",M90))),"-"))</f>
        <v/>
      </c>
      <c r="Z90" s="104" t="str">
        <f>IF($B90="","",IF(OR('②-1職員名簿'!AK90="○",'②-1職員名簿'!AK90="●"),IF($E90="正規職員","正",IF($E90="契約上の就業時間を記載","",IF($E90&gt;=N$5,"常",N90))),"-"))</f>
        <v/>
      </c>
      <c r="AA90" s="104" t="str">
        <f>IF($B90="","",IF(OR('②-1職員名簿'!AL90="○",'②-1職員名簿'!AL90="●"),IF($E90="正規職員","正",IF($E90="契約上の就業時間を記載","",IF($E90&gt;=O$5,"常",O90))),"-"))</f>
        <v/>
      </c>
      <c r="AB90" s="104" t="str">
        <f>IF($B90="","",IF(OR('②-1職員名簿'!AM90="○",'②-1職員名簿'!AM90="●"),IF($E90="正規職員","正",IF($E90="契約上の就業時間を記載","",IF($E90&gt;=P$5,"常",P90))),"-"))</f>
        <v/>
      </c>
      <c r="AC90" s="104" t="str">
        <f>IF($B90="","",IF(OR('②-1職員名簿'!AN90="○",'②-1職員名簿'!AN90="●"),IF($E90="正規職員","正",IF($E90="契約上の就業時間を記載","",IF($E90&gt;=Q$5,"常",Q90))),"-"))</f>
        <v/>
      </c>
      <c r="AE90" s="101" t="str">
        <f>IF('②-1職員名簿'!W90="","",'②-1職員名簿'!W90)</f>
        <v/>
      </c>
      <c r="AJ90" s="106" t="str">
        <f t="shared" si="37"/>
        <v>○</v>
      </c>
      <c r="AK90" s="106" t="str">
        <f t="shared" si="38"/>
        <v>○</v>
      </c>
      <c r="AL90" s="106" t="str">
        <f t="shared" si="39"/>
        <v>○</v>
      </c>
      <c r="AM90" s="106" t="str">
        <f t="shared" si="40"/>
        <v>○</v>
      </c>
      <c r="AN90" s="106" t="str">
        <f t="shared" si="41"/>
        <v>○</v>
      </c>
      <c r="AO90" s="106" t="str">
        <f t="shared" si="42"/>
        <v>○</v>
      </c>
      <c r="AP90" s="106" t="str">
        <f t="shared" si="43"/>
        <v>○</v>
      </c>
      <c r="AQ90" s="106" t="str">
        <f t="shared" si="44"/>
        <v>○</v>
      </c>
      <c r="AR90" s="106" t="str">
        <f t="shared" si="45"/>
        <v>○</v>
      </c>
      <c r="AS90" s="106" t="str">
        <f t="shared" si="46"/>
        <v>○</v>
      </c>
      <c r="AT90" s="106" t="str">
        <f t="shared" si="47"/>
        <v>○</v>
      </c>
      <c r="AU90" s="106" t="str">
        <f t="shared" si="48"/>
        <v>○</v>
      </c>
    </row>
    <row r="91" spans="1:47" s="106" customFormat="1" ht="23.15" customHeight="1">
      <c r="A91" s="102">
        <v>85</v>
      </c>
      <c r="B91" s="101" t="str">
        <f>IF('②-1職員名簿'!E91="","",'②-1職員名簿'!Y91)</f>
        <v/>
      </c>
      <c r="C91" s="104" t="str">
        <f>'②-1職員名簿'!BE91</f>
        <v/>
      </c>
      <c r="D91" s="136" t="str">
        <f t="shared" si="36"/>
        <v/>
      </c>
      <c r="E91" s="20" t="str">
        <f>IF($B91="","",IF(AND('②-1職員名簿'!C91="正",'②-1職員名簿'!D91="常"),"正規職員","契約上の就業時間を記載"))</f>
        <v/>
      </c>
      <c r="F91" s="10" t="str">
        <f>IF($B91="","",IF(OR('②-1職員名簿'!AC91="○",'②-1職員名簿'!AC91="●"),IF($E91="正規職員","正",IF($E91="契約上の就業時間を記載","","実績を入力")),"-"))</f>
        <v/>
      </c>
      <c r="G91" s="10" t="str">
        <f>IF($B91="","",IF(OR('②-1職員名簿'!AD91="○",'②-1職員名簿'!AD91="●"),IF($E91="正規職員","正",IF($E91="契約上の就業時間を記載","","実績を入力")),"-"))</f>
        <v/>
      </c>
      <c r="H91" s="10" t="str">
        <f>IF($B91="","",IF(OR('②-1職員名簿'!AE91="○",'②-1職員名簿'!AE91="●"),IF($E91="正規職員","正",IF($E91="契約上の就業時間を記載","","実績を入力")),"-"))</f>
        <v/>
      </c>
      <c r="I91" s="10" t="str">
        <f>IF($B91="","",IF(OR('②-1職員名簿'!AF91="○",'②-1職員名簿'!AF91="●"),IF($E91="正規職員","正",IF($E91="契約上の就業時間を記載","","実績を入力")),"-"))</f>
        <v/>
      </c>
      <c r="J91" s="10" t="str">
        <f>IF($B91="","",IF(OR('②-1職員名簿'!AG91="○",'②-1職員名簿'!AG91="●"),IF($E91="正規職員","正",IF($E91="契約上の就業時間を記載","","実績を入力")),"-"))</f>
        <v/>
      </c>
      <c r="K91" s="10" t="str">
        <f>IF($B91="","",IF(OR('②-1職員名簿'!AH91="○",'②-1職員名簿'!AH91="●"),IF($E91="正規職員","正",IF($E91="契約上の就業時間を記載","","実績を入力")),"-"))</f>
        <v/>
      </c>
      <c r="L91" s="10" t="str">
        <f>IF($B91="","",IF(OR('②-1職員名簿'!AI91="○",'②-1職員名簿'!AI91="●"),IF($E91="正規職員","正",IF($E91="契約上の就業時間を記載","","実績を入力")),"-"))</f>
        <v/>
      </c>
      <c r="M91" s="10" t="str">
        <f>IF($B91="","",IF(OR('②-1職員名簿'!AJ91="○",'②-1職員名簿'!AJ91="●"),IF($E91="正規職員","正",IF($E91="契約上の就業時間を記載","","実績を入力")),"-"))</f>
        <v/>
      </c>
      <c r="N91" s="10" t="str">
        <f>IF($B91="","",IF(OR('②-1職員名簿'!AK91="○",'②-1職員名簿'!AK91="●"),IF($E91="正規職員","正",IF($E91="契約上の就業時間を記載","","実績を入力")),"-"))</f>
        <v/>
      </c>
      <c r="O91" s="10" t="str">
        <f>IF($B91="","",IF(OR('②-1職員名簿'!AL91="○",'②-1職員名簿'!AL91="●"),IF($E91="正規職員","正",IF($E91="契約上の就業時間を記載","","実績を入力")),"-"))</f>
        <v/>
      </c>
      <c r="P91" s="10" t="str">
        <f>IF($B91="","",IF(OR('②-1職員名簿'!AM91="○",'②-1職員名簿'!AM91="●"),IF($E91="正規職員","正",IF($E91="契約上の就業時間を記載","","実績を入力")),"-"))</f>
        <v/>
      </c>
      <c r="Q91" s="10" t="str">
        <f>IF($B91="","",IF(OR('②-1職員名簿'!AN91="○",'②-1職員名簿'!AN91="●"),IF($E91="正規職員","正",IF($E91="契約上の就業時間を記載","","実績を入力")),"-"))</f>
        <v/>
      </c>
      <c r="R91" s="104" t="str">
        <f>IF($B91="","",IF(OR('②-1職員名簿'!AC91="○",'②-1職員名簿'!AC91="●"),IF($E91="正規職員","正",IF($E91="契約上の就業時間を記載","",IF($E91&gt;=F$5,"常",F91))),"-"))</f>
        <v/>
      </c>
      <c r="S91" s="104" t="str">
        <f>IF($B91="","",IF(OR('②-1職員名簿'!AD91="○",'②-1職員名簿'!AD91="●"),IF($E91="正規職員","正",IF($E91="契約上の就業時間を記載","",IF($E91&gt;=G$5,"常",G91))),"-"))</f>
        <v/>
      </c>
      <c r="T91" s="104" t="str">
        <f>IF($B91="","",IF(OR('②-1職員名簿'!AE91="○",'②-1職員名簿'!AE91="●"),IF($E91="正規職員","正",IF($E91="契約上の就業時間を記載","",IF($E91&gt;=H$5,"常",H91))),"-"))</f>
        <v/>
      </c>
      <c r="U91" s="104" t="str">
        <f>IF($B91="","",IF(OR('②-1職員名簿'!AF91="○",'②-1職員名簿'!AF91="●"),IF($E91="正規職員","正",IF($E91="契約上の就業時間を記載","",IF($E91&gt;=I$5,"常",I91))),"-"))</f>
        <v/>
      </c>
      <c r="V91" s="104" t="str">
        <f>IF($B91="","",IF(OR('②-1職員名簿'!AG91="○",'②-1職員名簿'!AG91="●"),IF($E91="正規職員","正",IF($E91="契約上の就業時間を記載","",IF($E91&gt;=J$5,"常",J91))),"-"))</f>
        <v/>
      </c>
      <c r="W91" s="104" t="str">
        <f>IF($B91="","",IF(OR('②-1職員名簿'!AH91="○",'②-1職員名簿'!AH91="●"),IF($E91="正規職員","正",IF($E91="契約上の就業時間を記載","",IF($E91&gt;=K$5,"常",K91))),"-"))</f>
        <v/>
      </c>
      <c r="X91" s="104" t="str">
        <f>IF($B91="","",IF(OR('②-1職員名簿'!AI91="○",'②-1職員名簿'!AI91="●"),IF($E91="正規職員","正",IF($E91="契約上の就業時間を記載","",IF($E91&gt;=L$5,"常",L91))),"-"))</f>
        <v/>
      </c>
      <c r="Y91" s="104" t="str">
        <f>IF($B91="","",IF(OR('②-1職員名簿'!AJ91="○",'②-1職員名簿'!AJ91="●"),IF($E91="正規職員","正",IF($E91="契約上の就業時間を記載","",IF($E91&gt;=M$5,"常",M91))),"-"))</f>
        <v/>
      </c>
      <c r="Z91" s="104" t="str">
        <f>IF($B91="","",IF(OR('②-1職員名簿'!AK91="○",'②-1職員名簿'!AK91="●"),IF($E91="正規職員","正",IF($E91="契約上の就業時間を記載","",IF($E91&gt;=N$5,"常",N91))),"-"))</f>
        <v/>
      </c>
      <c r="AA91" s="104" t="str">
        <f>IF($B91="","",IF(OR('②-1職員名簿'!AL91="○",'②-1職員名簿'!AL91="●"),IF($E91="正規職員","正",IF($E91="契約上の就業時間を記載","",IF($E91&gt;=O$5,"常",O91))),"-"))</f>
        <v/>
      </c>
      <c r="AB91" s="104" t="str">
        <f>IF($B91="","",IF(OR('②-1職員名簿'!AM91="○",'②-1職員名簿'!AM91="●"),IF($E91="正規職員","正",IF($E91="契約上の就業時間を記載","",IF($E91&gt;=P$5,"常",P91))),"-"))</f>
        <v/>
      </c>
      <c r="AC91" s="104" t="str">
        <f>IF($B91="","",IF(OR('②-1職員名簿'!AN91="○",'②-1職員名簿'!AN91="●"),IF($E91="正規職員","正",IF($E91="契約上の就業時間を記載","",IF($E91&gt;=Q$5,"常",Q91))),"-"))</f>
        <v/>
      </c>
      <c r="AE91" s="101" t="str">
        <f>IF('②-1職員名簿'!W91="","",'②-1職員名簿'!W91)</f>
        <v/>
      </c>
      <c r="AJ91" s="106" t="str">
        <f t="shared" si="37"/>
        <v>○</v>
      </c>
      <c r="AK91" s="106" t="str">
        <f t="shared" si="38"/>
        <v>○</v>
      </c>
      <c r="AL91" s="106" t="str">
        <f t="shared" si="39"/>
        <v>○</v>
      </c>
      <c r="AM91" s="106" t="str">
        <f t="shared" si="40"/>
        <v>○</v>
      </c>
      <c r="AN91" s="106" t="str">
        <f t="shared" si="41"/>
        <v>○</v>
      </c>
      <c r="AO91" s="106" t="str">
        <f t="shared" si="42"/>
        <v>○</v>
      </c>
      <c r="AP91" s="106" t="str">
        <f t="shared" si="43"/>
        <v>○</v>
      </c>
      <c r="AQ91" s="106" t="str">
        <f t="shared" si="44"/>
        <v>○</v>
      </c>
      <c r="AR91" s="106" t="str">
        <f t="shared" si="45"/>
        <v>○</v>
      </c>
      <c r="AS91" s="106" t="str">
        <f t="shared" si="46"/>
        <v>○</v>
      </c>
      <c r="AT91" s="106" t="str">
        <f t="shared" si="47"/>
        <v>○</v>
      </c>
      <c r="AU91" s="106" t="str">
        <f t="shared" si="48"/>
        <v>○</v>
      </c>
    </row>
    <row r="92" spans="1:47" s="106" customFormat="1" ht="23.15" customHeight="1">
      <c r="A92" s="102">
        <v>86</v>
      </c>
      <c r="B92" s="101" t="str">
        <f>IF('②-1職員名簿'!E92="","",'②-1職員名簿'!Y92)</f>
        <v/>
      </c>
      <c r="C92" s="104" t="str">
        <f>'②-1職員名簿'!BE92</f>
        <v/>
      </c>
      <c r="D92" s="136" t="str">
        <f t="shared" si="36"/>
        <v/>
      </c>
      <c r="E92" s="20" t="str">
        <f>IF($B92="","",IF(AND('②-1職員名簿'!C92="正",'②-1職員名簿'!D92="常"),"正規職員","契約上の就業時間を記載"))</f>
        <v/>
      </c>
      <c r="F92" s="10" t="str">
        <f>IF($B92="","",IF(OR('②-1職員名簿'!AC92="○",'②-1職員名簿'!AC92="●"),IF($E92="正規職員","正",IF($E92="契約上の就業時間を記載","","実績を入力")),"-"))</f>
        <v/>
      </c>
      <c r="G92" s="10" t="str">
        <f>IF($B92="","",IF(OR('②-1職員名簿'!AD92="○",'②-1職員名簿'!AD92="●"),IF($E92="正規職員","正",IF($E92="契約上の就業時間を記載","","実績を入力")),"-"))</f>
        <v/>
      </c>
      <c r="H92" s="10" t="str">
        <f>IF($B92="","",IF(OR('②-1職員名簿'!AE92="○",'②-1職員名簿'!AE92="●"),IF($E92="正規職員","正",IF($E92="契約上の就業時間を記載","","実績を入力")),"-"))</f>
        <v/>
      </c>
      <c r="I92" s="10" t="str">
        <f>IF($B92="","",IF(OR('②-1職員名簿'!AF92="○",'②-1職員名簿'!AF92="●"),IF($E92="正規職員","正",IF($E92="契約上の就業時間を記載","","実績を入力")),"-"))</f>
        <v/>
      </c>
      <c r="J92" s="10" t="str">
        <f>IF($B92="","",IF(OR('②-1職員名簿'!AG92="○",'②-1職員名簿'!AG92="●"),IF($E92="正規職員","正",IF($E92="契約上の就業時間を記載","","実績を入力")),"-"))</f>
        <v/>
      </c>
      <c r="K92" s="10" t="str">
        <f>IF($B92="","",IF(OR('②-1職員名簿'!AH92="○",'②-1職員名簿'!AH92="●"),IF($E92="正規職員","正",IF($E92="契約上の就業時間を記載","","実績を入力")),"-"))</f>
        <v/>
      </c>
      <c r="L92" s="10" t="str">
        <f>IF($B92="","",IF(OR('②-1職員名簿'!AI92="○",'②-1職員名簿'!AI92="●"),IF($E92="正規職員","正",IF($E92="契約上の就業時間を記載","","実績を入力")),"-"))</f>
        <v/>
      </c>
      <c r="M92" s="10" t="str">
        <f>IF($B92="","",IF(OR('②-1職員名簿'!AJ92="○",'②-1職員名簿'!AJ92="●"),IF($E92="正規職員","正",IF($E92="契約上の就業時間を記載","","実績を入力")),"-"))</f>
        <v/>
      </c>
      <c r="N92" s="10" t="str">
        <f>IF($B92="","",IF(OR('②-1職員名簿'!AK92="○",'②-1職員名簿'!AK92="●"),IF($E92="正規職員","正",IF($E92="契約上の就業時間を記載","","実績を入力")),"-"))</f>
        <v/>
      </c>
      <c r="O92" s="10" t="str">
        <f>IF($B92="","",IF(OR('②-1職員名簿'!AL92="○",'②-1職員名簿'!AL92="●"),IF($E92="正規職員","正",IF($E92="契約上の就業時間を記載","","実績を入力")),"-"))</f>
        <v/>
      </c>
      <c r="P92" s="10" t="str">
        <f>IF($B92="","",IF(OR('②-1職員名簿'!AM92="○",'②-1職員名簿'!AM92="●"),IF($E92="正規職員","正",IF($E92="契約上の就業時間を記載","","実績を入力")),"-"))</f>
        <v/>
      </c>
      <c r="Q92" s="10" t="str">
        <f>IF($B92="","",IF(OR('②-1職員名簿'!AN92="○",'②-1職員名簿'!AN92="●"),IF($E92="正規職員","正",IF($E92="契約上の就業時間を記載","","実績を入力")),"-"))</f>
        <v/>
      </c>
      <c r="R92" s="104" t="str">
        <f>IF($B92="","",IF(OR('②-1職員名簿'!AC92="○",'②-1職員名簿'!AC92="●"),IF($E92="正規職員","正",IF($E92="契約上の就業時間を記載","",IF($E92&gt;=F$5,"常",F92))),"-"))</f>
        <v/>
      </c>
      <c r="S92" s="104" t="str">
        <f>IF($B92="","",IF(OR('②-1職員名簿'!AD92="○",'②-1職員名簿'!AD92="●"),IF($E92="正規職員","正",IF($E92="契約上の就業時間を記載","",IF($E92&gt;=G$5,"常",G92))),"-"))</f>
        <v/>
      </c>
      <c r="T92" s="104" t="str">
        <f>IF($B92="","",IF(OR('②-1職員名簿'!AE92="○",'②-1職員名簿'!AE92="●"),IF($E92="正規職員","正",IF($E92="契約上の就業時間を記載","",IF($E92&gt;=H$5,"常",H92))),"-"))</f>
        <v/>
      </c>
      <c r="U92" s="104" t="str">
        <f>IF($B92="","",IF(OR('②-1職員名簿'!AF92="○",'②-1職員名簿'!AF92="●"),IF($E92="正規職員","正",IF($E92="契約上の就業時間を記載","",IF($E92&gt;=I$5,"常",I92))),"-"))</f>
        <v/>
      </c>
      <c r="V92" s="104" t="str">
        <f>IF($B92="","",IF(OR('②-1職員名簿'!AG92="○",'②-1職員名簿'!AG92="●"),IF($E92="正規職員","正",IF($E92="契約上の就業時間を記載","",IF($E92&gt;=J$5,"常",J92))),"-"))</f>
        <v/>
      </c>
      <c r="W92" s="104" t="str">
        <f>IF($B92="","",IF(OR('②-1職員名簿'!AH92="○",'②-1職員名簿'!AH92="●"),IF($E92="正規職員","正",IF($E92="契約上の就業時間を記載","",IF($E92&gt;=K$5,"常",K92))),"-"))</f>
        <v/>
      </c>
      <c r="X92" s="104" t="str">
        <f>IF($B92="","",IF(OR('②-1職員名簿'!AI92="○",'②-1職員名簿'!AI92="●"),IF($E92="正規職員","正",IF($E92="契約上の就業時間を記載","",IF($E92&gt;=L$5,"常",L92))),"-"))</f>
        <v/>
      </c>
      <c r="Y92" s="104" t="str">
        <f>IF($B92="","",IF(OR('②-1職員名簿'!AJ92="○",'②-1職員名簿'!AJ92="●"),IF($E92="正規職員","正",IF($E92="契約上の就業時間を記載","",IF($E92&gt;=M$5,"常",M92))),"-"))</f>
        <v/>
      </c>
      <c r="Z92" s="104" t="str">
        <f>IF($B92="","",IF(OR('②-1職員名簿'!AK92="○",'②-1職員名簿'!AK92="●"),IF($E92="正規職員","正",IF($E92="契約上の就業時間を記載","",IF($E92&gt;=N$5,"常",N92))),"-"))</f>
        <v/>
      </c>
      <c r="AA92" s="104" t="str">
        <f>IF($B92="","",IF(OR('②-1職員名簿'!AL92="○",'②-1職員名簿'!AL92="●"),IF($E92="正規職員","正",IF($E92="契約上の就業時間を記載","",IF($E92&gt;=O$5,"常",O92))),"-"))</f>
        <v/>
      </c>
      <c r="AB92" s="104" t="str">
        <f>IF($B92="","",IF(OR('②-1職員名簿'!AM92="○",'②-1職員名簿'!AM92="●"),IF($E92="正規職員","正",IF($E92="契約上の就業時間を記載","",IF($E92&gt;=P$5,"常",P92))),"-"))</f>
        <v/>
      </c>
      <c r="AC92" s="104" t="str">
        <f>IF($B92="","",IF(OR('②-1職員名簿'!AN92="○",'②-1職員名簿'!AN92="●"),IF($E92="正規職員","正",IF($E92="契約上の就業時間を記載","",IF($E92&gt;=Q$5,"常",Q92))),"-"))</f>
        <v/>
      </c>
      <c r="AE92" s="101" t="str">
        <f>IF('②-1職員名簿'!W92="","",'②-1職員名簿'!W92)</f>
        <v/>
      </c>
      <c r="AJ92" s="106" t="str">
        <f t="shared" si="37"/>
        <v>○</v>
      </c>
      <c r="AK92" s="106" t="str">
        <f t="shared" si="38"/>
        <v>○</v>
      </c>
      <c r="AL92" s="106" t="str">
        <f t="shared" si="39"/>
        <v>○</v>
      </c>
      <c r="AM92" s="106" t="str">
        <f t="shared" si="40"/>
        <v>○</v>
      </c>
      <c r="AN92" s="106" t="str">
        <f t="shared" si="41"/>
        <v>○</v>
      </c>
      <c r="AO92" s="106" t="str">
        <f t="shared" si="42"/>
        <v>○</v>
      </c>
      <c r="AP92" s="106" t="str">
        <f t="shared" si="43"/>
        <v>○</v>
      </c>
      <c r="AQ92" s="106" t="str">
        <f t="shared" si="44"/>
        <v>○</v>
      </c>
      <c r="AR92" s="106" t="str">
        <f t="shared" si="45"/>
        <v>○</v>
      </c>
      <c r="AS92" s="106" t="str">
        <f t="shared" si="46"/>
        <v>○</v>
      </c>
      <c r="AT92" s="106" t="str">
        <f t="shared" si="47"/>
        <v>○</v>
      </c>
      <c r="AU92" s="106" t="str">
        <f t="shared" si="48"/>
        <v>○</v>
      </c>
    </row>
    <row r="93" spans="1:47" s="106" customFormat="1" ht="23.15" customHeight="1">
      <c r="A93" s="102">
        <v>87</v>
      </c>
      <c r="B93" s="101" t="str">
        <f>IF('②-1職員名簿'!E93="","",'②-1職員名簿'!Y93)</f>
        <v/>
      </c>
      <c r="C93" s="104" t="str">
        <f>'②-1職員名簿'!BE93</f>
        <v/>
      </c>
      <c r="D93" s="136" t="str">
        <f t="shared" si="36"/>
        <v/>
      </c>
      <c r="E93" s="20" t="str">
        <f>IF($B93="","",IF(AND('②-1職員名簿'!C93="正",'②-1職員名簿'!D93="常"),"正規職員","契約上の就業時間を記載"))</f>
        <v/>
      </c>
      <c r="F93" s="10" t="str">
        <f>IF($B93="","",IF(OR('②-1職員名簿'!AC93="○",'②-1職員名簿'!AC93="●"),IF($E93="正規職員","正",IF($E93="契約上の就業時間を記載","","実績を入力")),"-"))</f>
        <v/>
      </c>
      <c r="G93" s="10" t="str">
        <f>IF($B93="","",IF(OR('②-1職員名簿'!AD93="○",'②-1職員名簿'!AD93="●"),IF($E93="正規職員","正",IF($E93="契約上の就業時間を記載","","実績を入力")),"-"))</f>
        <v/>
      </c>
      <c r="H93" s="10" t="str">
        <f>IF($B93="","",IF(OR('②-1職員名簿'!AE93="○",'②-1職員名簿'!AE93="●"),IF($E93="正規職員","正",IF($E93="契約上の就業時間を記載","","実績を入力")),"-"))</f>
        <v/>
      </c>
      <c r="I93" s="10" t="str">
        <f>IF($B93="","",IF(OR('②-1職員名簿'!AF93="○",'②-1職員名簿'!AF93="●"),IF($E93="正規職員","正",IF($E93="契約上の就業時間を記載","","実績を入力")),"-"))</f>
        <v/>
      </c>
      <c r="J93" s="10" t="str">
        <f>IF($B93="","",IF(OR('②-1職員名簿'!AG93="○",'②-1職員名簿'!AG93="●"),IF($E93="正規職員","正",IF($E93="契約上の就業時間を記載","","実績を入力")),"-"))</f>
        <v/>
      </c>
      <c r="K93" s="10" t="str">
        <f>IF($B93="","",IF(OR('②-1職員名簿'!AH93="○",'②-1職員名簿'!AH93="●"),IF($E93="正規職員","正",IF($E93="契約上の就業時間を記載","","実績を入力")),"-"))</f>
        <v/>
      </c>
      <c r="L93" s="10" t="str">
        <f>IF($B93="","",IF(OR('②-1職員名簿'!AI93="○",'②-1職員名簿'!AI93="●"),IF($E93="正規職員","正",IF($E93="契約上の就業時間を記載","","実績を入力")),"-"))</f>
        <v/>
      </c>
      <c r="M93" s="10" t="str">
        <f>IF($B93="","",IF(OR('②-1職員名簿'!AJ93="○",'②-1職員名簿'!AJ93="●"),IF($E93="正規職員","正",IF($E93="契約上の就業時間を記載","","実績を入力")),"-"))</f>
        <v/>
      </c>
      <c r="N93" s="10" t="str">
        <f>IF($B93="","",IF(OR('②-1職員名簿'!AK93="○",'②-1職員名簿'!AK93="●"),IF($E93="正規職員","正",IF($E93="契約上の就業時間を記載","","実績を入力")),"-"))</f>
        <v/>
      </c>
      <c r="O93" s="10" t="str">
        <f>IF($B93="","",IF(OR('②-1職員名簿'!AL93="○",'②-1職員名簿'!AL93="●"),IF($E93="正規職員","正",IF($E93="契約上の就業時間を記載","","実績を入力")),"-"))</f>
        <v/>
      </c>
      <c r="P93" s="10" t="str">
        <f>IF($B93="","",IF(OR('②-1職員名簿'!AM93="○",'②-1職員名簿'!AM93="●"),IF($E93="正規職員","正",IF($E93="契約上の就業時間を記載","","実績を入力")),"-"))</f>
        <v/>
      </c>
      <c r="Q93" s="10" t="str">
        <f>IF($B93="","",IF(OR('②-1職員名簿'!AN93="○",'②-1職員名簿'!AN93="●"),IF($E93="正規職員","正",IF($E93="契約上の就業時間を記載","","実績を入力")),"-"))</f>
        <v/>
      </c>
      <c r="R93" s="104" t="str">
        <f>IF($B93="","",IF(OR('②-1職員名簿'!AC93="○",'②-1職員名簿'!AC93="●"),IF($E93="正規職員","正",IF($E93="契約上の就業時間を記載","",IF($E93&gt;=F$5,"常",F93))),"-"))</f>
        <v/>
      </c>
      <c r="S93" s="104" t="str">
        <f>IF($B93="","",IF(OR('②-1職員名簿'!AD93="○",'②-1職員名簿'!AD93="●"),IF($E93="正規職員","正",IF($E93="契約上の就業時間を記載","",IF($E93&gt;=G$5,"常",G93))),"-"))</f>
        <v/>
      </c>
      <c r="T93" s="104" t="str">
        <f>IF($B93="","",IF(OR('②-1職員名簿'!AE93="○",'②-1職員名簿'!AE93="●"),IF($E93="正規職員","正",IF($E93="契約上の就業時間を記載","",IF($E93&gt;=H$5,"常",H93))),"-"))</f>
        <v/>
      </c>
      <c r="U93" s="104" t="str">
        <f>IF($B93="","",IF(OR('②-1職員名簿'!AF93="○",'②-1職員名簿'!AF93="●"),IF($E93="正規職員","正",IF($E93="契約上の就業時間を記載","",IF($E93&gt;=I$5,"常",I93))),"-"))</f>
        <v/>
      </c>
      <c r="V93" s="104" t="str">
        <f>IF($B93="","",IF(OR('②-1職員名簿'!AG93="○",'②-1職員名簿'!AG93="●"),IF($E93="正規職員","正",IF($E93="契約上の就業時間を記載","",IF($E93&gt;=J$5,"常",J93))),"-"))</f>
        <v/>
      </c>
      <c r="W93" s="104" t="str">
        <f>IF($B93="","",IF(OR('②-1職員名簿'!AH93="○",'②-1職員名簿'!AH93="●"),IF($E93="正規職員","正",IF($E93="契約上の就業時間を記載","",IF($E93&gt;=K$5,"常",K93))),"-"))</f>
        <v/>
      </c>
      <c r="X93" s="104" t="str">
        <f>IF($B93="","",IF(OR('②-1職員名簿'!AI93="○",'②-1職員名簿'!AI93="●"),IF($E93="正規職員","正",IF($E93="契約上の就業時間を記載","",IF($E93&gt;=L$5,"常",L93))),"-"))</f>
        <v/>
      </c>
      <c r="Y93" s="104" t="str">
        <f>IF($B93="","",IF(OR('②-1職員名簿'!AJ93="○",'②-1職員名簿'!AJ93="●"),IF($E93="正規職員","正",IF($E93="契約上の就業時間を記載","",IF($E93&gt;=M$5,"常",M93))),"-"))</f>
        <v/>
      </c>
      <c r="Z93" s="104" t="str">
        <f>IF($B93="","",IF(OR('②-1職員名簿'!AK93="○",'②-1職員名簿'!AK93="●"),IF($E93="正規職員","正",IF($E93="契約上の就業時間を記載","",IF($E93&gt;=N$5,"常",N93))),"-"))</f>
        <v/>
      </c>
      <c r="AA93" s="104" t="str">
        <f>IF($B93="","",IF(OR('②-1職員名簿'!AL93="○",'②-1職員名簿'!AL93="●"),IF($E93="正規職員","正",IF($E93="契約上の就業時間を記載","",IF($E93&gt;=O$5,"常",O93))),"-"))</f>
        <v/>
      </c>
      <c r="AB93" s="104" t="str">
        <f>IF($B93="","",IF(OR('②-1職員名簿'!AM93="○",'②-1職員名簿'!AM93="●"),IF($E93="正規職員","正",IF($E93="契約上の就業時間を記載","",IF($E93&gt;=P$5,"常",P93))),"-"))</f>
        <v/>
      </c>
      <c r="AC93" s="104" t="str">
        <f>IF($B93="","",IF(OR('②-1職員名簿'!AN93="○",'②-1職員名簿'!AN93="●"),IF($E93="正規職員","正",IF($E93="契約上の就業時間を記載","",IF($E93&gt;=Q$5,"常",Q93))),"-"))</f>
        <v/>
      </c>
      <c r="AE93" s="101" t="str">
        <f>IF('②-1職員名簿'!W93="","",'②-1職員名簿'!W93)</f>
        <v/>
      </c>
      <c r="AJ93" s="106" t="str">
        <f t="shared" si="37"/>
        <v>○</v>
      </c>
      <c r="AK93" s="106" t="str">
        <f t="shared" si="38"/>
        <v>○</v>
      </c>
      <c r="AL93" s="106" t="str">
        <f t="shared" si="39"/>
        <v>○</v>
      </c>
      <c r="AM93" s="106" t="str">
        <f t="shared" si="40"/>
        <v>○</v>
      </c>
      <c r="AN93" s="106" t="str">
        <f t="shared" si="41"/>
        <v>○</v>
      </c>
      <c r="AO93" s="106" t="str">
        <f t="shared" si="42"/>
        <v>○</v>
      </c>
      <c r="AP93" s="106" t="str">
        <f t="shared" si="43"/>
        <v>○</v>
      </c>
      <c r="AQ93" s="106" t="str">
        <f t="shared" si="44"/>
        <v>○</v>
      </c>
      <c r="AR93" s="106" t="str">
        <f t="shared" si="45"/>
        <v>○</v>
      </c>
      <c r="AS93" s="106" t="str">
        <f t="shared" si="46"/>
        <v>○</v>
      </c>
      <c r="AT93" s="106" t="str">
        <f t="shared" si="47"/>
        <v>○</v>
      </c>
      <c r="AU93" s="106" t="str">
        <f t="shared" si="48"/>
        <v>○</v>
      </c>
    </row>
    <row r="94" spans="1:47" s="106" customFormat="1" ht="23.15" customHeight="1">
      <c r="A94" s="102">
        <v>88</v>
      </c>
      <c r="B94" s="101" t="str">
        <f>IF('②-1職員名簿'!E94="","",'②-1職員名簿'!Y94)</f>
        <v/>
      </c>
      <c r="C94" s="104" t="str">
        <f>'②-1職員名簿'!BE94</f>
        <v/>
      </c>
      <c r="D94" s="136" t="str">
        <f t="shared" si="36"/>
        <v/>
      </c>
      <c r="E94" s="20" t="str">
        <f>IF($B94="","",IF(AND('②-1職員名簿'!C94="正",'②-1職員名簿'!D94="常"),"正規職員","契約上の就業時間を記載"))</f>
        <v/>
      </c>
      <c r="F94" s="10" t="str">
        <f>IF($B94="","",IF(OR('②-1職員名簿'!AC94="○",'②-1職員名簿'!AC94="●"),IF($E94="正規職員","正",IF($E94="契約上の就業時間を記載","","実績を入力")),"-"))</f>
        <v/>
      </c>
      <c r="G94" s="10" t="str">
        <f>IF($B94="","",IF(OR('②-1職員名簿'!AD94="○",'②-1職員名簿'!AD94="●"),IF($E94="正規職員","正",IF($E94="契約上の就業時間を記載","","実績を入力")),"-"))</f>
        <v/>
      </c>
      <c r="H94" s="10" t="str">
        <f>IF($B94="","",IF(OR('②-1職員名簿'!AE94="○",'②-1職員名簿'!AE94="●"),IF($E94="正規職員","正",IF($E94="契約上の就業時間を記載","","実績を入力")),"-"))</f>
        <v/>
      </c>
      <c r="I94" s="10" t="str">
        <f>IF($B94="","",IF(OR('②-1職員名簿'!AF94="○",'②-1職員名簿'!AF94="●"),IF($E94="正規職員","正",IF($E94="契約上の就業時間を記載","","実績を入力")),"-"))</f>
        <v/>
      </c>
      <c r="J94" s="10" t="str">
        <f>IF($B94="","",IF(OR('②-1職員名簿'!AG94="○",'②-1職員名簿'!AG94="●"),IF($E94="正規職員","正",IF($E94="契約上の就業時間を記載","","実績を入力")),"-"))</f>
        <v/>
      </c>
      <c r="K94" s="10" t="str">
        <f>IF($B94="","",IF(OR('②-1職員名簿'!AH94="○",'②-1職員名簿'!AH94="●"),IF($E94="正規職員","正",IF($E94="契約上の就業時間を記載","","実績を入力")),"-"))</f>
        <v/>
      </c>
      <c r="L94" s="10" t="str">
        <f>IF($B94="","",IF(OR('②-1職員名簿'!AI94="○",'②-1職員名簿'!AI94="●"),IF($E94="正規職員","正",IF($E94="契約上の就業時間を記載","","実績を入力")),"-"))</f>
        <v/>
      </c>
      <c r="M94" s="10" t="str">
        <f>IF($B94="","",IF(OR('②-1職員名簿'!AJ94="○",'②-1職員名簿'!AJ94="●"),IF($E94="正規職員","正",IF($E94="契約上の就業時間を記載","","実績を入力")),"-"))</f>
        <v/>
      </c>
      <c r="N94" s="10" t="str">
        <f>IF($B94="","",IF(OR('②-1職員名簿'!AK94="○",'②-1職員名簿'!AK94="●"),IF($E94="正規職員","正",IF($E94="契約上の就業時間を記載","","実績を入力")),"-"))</f>
        <v/>
      </c>
      <c r="O94" s="10" t="str">
        <f>IF($B94="","",IF(OR('②-1職員名簿'!AL94="○",'②-1職員名簿'!AL94="●"),IF($E94="正規職員","正",IF($E94="契約上の就業時間を記載","","実績を入力")),"-"))</f>
        <v/>
      </c>
      <c r="P94" s="10" t="str">
        <f>IF($B94="","",IF(OR('②-1職員名簿'!AM94="○",'②-1職員名簿'!AM94="●"),IF($E94="正規職員","正",IF($E94="契約上の就業時間を記載","","実績を入力")),"-"))</f>
        <v/>
      </c>
      <c r="Q94" s="10" t="str">
        <f>IF($B94="","",IF(OR('②-1職員名簿'!AN94="○",'②-1職員名簿'!AN94="●"),IF($E94="正規職員","正",IF($E94="契約上の就業時間を記載","","実績を入力")),"-"))</f>
        <v/>
      </c>
      <c r="R94" s="104" t="str">
        <f>IF($B94="","",IF(OR('②-1職員名簿'!AC94="○",'②-1職員名簿'!AC94="●"),IF($E94="正規職員","正",IF($E94="契約上の就業時間を記載","",IF($E94&gt;=F$5,"常",F94))),"-"))</f>
        <v/>
      </c>
      <c r="S94" s="104" t="str">
        <f>IF($B94="","",IF(OR('②-1職員名簿'!AD94="○",'②-1職員名簿'!AD94="●"),IF($E94="正規職員","正",IF($E94="契約上の就業時間を記載","",IF($E94&gt;=G$5,"常",G94))),"-"))</f>
        <v/>
      </c>
      <c r="T94" s="104" t="str">
        <f>IF($B94="","",IF(OR('②-1職員名簿'!AE94="○",'②-1職員名簿'!AE94="●"),IF($E94="正規職員","正",IF($E94="契約上の就業時間を記載","",IF($E94&gt;=H$5,"常",H94))),"-"))</f>
        <v/>
      </c>
      <c r="U94" s="104" t="str">
        <f>IF($B94="","",IF(OR('②-1職員名簿'!AF94="○",'②-1職員名簿'!AF94="●"),IF($E94="正規職員","正",IF($E94="契約上の就業時間を記載","",IF($E94&gt;=I$5,"常",I94))),"-"))</f>
        <v/>
      </c>
      <c r="V94" s="104" t="str">
        <f>IF($B94="","",IF(OR('②-1職員名簿'!AG94="○",'②-1職員名簿'!AG94="●"),IF($E94="正規職員","正",IF($E94="契約上の就業時間を記載","",IF($E94&gt;=J$5,"常",J94))),"-"))</f>
        <v/>
      </c>
      <c r="W94" s="104" t="str">
        <f>IF($B94="","",IF(OR('②-1職員名簿'!AH94="○",'②-1職員名簿'!AH94="●"),IF($E94="正規職員","正",IF($E94="契約上の就業時間を記載","",IF($E94&gt;=K$5,"常",K94))),"-"))</f>
        <v/>
      </c>
      <c r="X94" s="104" t="str">
        <f>IF($B94="","",IF(OR('②-1職員名簿'!AI94="○",'②-1職員名簿'!AI94="●"),IF($E94="正規職員","正",IF($E94="契約上の就業時間を記載","",IF($E94&gt;=L$5,"常",L94))),"-"))</f>
        <v/>
      </c>
      <c r="Y94" s="104" t="str">
        <f>IF($B94="","",IF(OR('②-1職員名簿'!AJ94="○",'②-1職員名簿'!AJ94="●"),IF($E94="正規職員","正",IF($E94="契約上の就業時間を記載","",IF($E94&gt;=M$5,"常",M94))),"-"))</f>
        <v/>
      </c>
      <c r="Z94" s="104" t="str">
        <f>IF($B94="","",IF(OR('②-1職員名簿'!AK94="○",'②-1職員名簿'!AK94="●"),IF($E94="正規職員","正",IF($E94="契約上の就業時間を記載","",IF($E94&gt;=N$5,"常",N94))),"-"))</f>
        <v/>
      </c>
      <c r="AA94" s="104" t="str">
        <f>IF($B94="","",IF(OR('②-1職員名簿'!AL94="○",'②-1職員名簿'!AL94="●"),IF($E94="正規職員","正",IF($E94="契約上の就業時間を記載","",IF($E94&gt;=O$5,"常",O94))),"-"))</f>
        <v/>
      </c>
      <c r="AB94" s="104" t="str">
        <f>IF($B94="","",IF(OR('②-1職員名簿'!AM94="○",'②-1職員名簿'!AM94="●"),IF($E94="正規職員","正",IF($E94="契約上の就業時間を記載","",IF($E94&gt;=P$5,"常",P94))),"-"))</f>
        <v/>
      </c>
      <c r="AC94" s="104" t="str">
        <f>IF($B94="","",IF(OR('②-1職員名簿'!AN94="○",'②-1職員名簿'!AN94="●"),IF($E94="正規職員","正",IF($E94="契約上の就業時間を記載","",IF($E94&gt;=Q$5,"常",Q94))),"-"))</f>
        <v/>
      </c>
      <c r="AE94" s="101" t="str">
        <f>IF('②-1職員名簿'!W94="","",'②-1職員名簿'!W94)</f>
        <v/>
      </c>
      <c r="AJ94" s="106" t="str">
        <f t="shared" si="37"/>
        <v>○</v>
      </c>
      <c r="AK94" s="106" t="str">
        <f t="shared" si="38"/>
        <v>○</v>
      </c>
      <c r="AL94" s="106" t="str">
        <f t="shared" si="39"/>
        <v>○</v>
      </c>
      <c r="AM94" s="106" t="str">
        <f t="shared" si="40"/>
        <v>○</v>
      </c>
      <c r="AN94" s="106" t="str">
        <f t="shared" si="41"/>
        <v>○</v>
      </c>
      <c r="AO94" s="106" t="str">
        <f t="shared" si="42"/>
        <v>○</v>
      </c>
      <c r="AP94" s="106" t="str">
        <f t="shared" si="43"/>
        <v>○</v>
      </c>
      <c r="AQ94" s="106" t="str">
        <f t="shared" si="44"/>
        <v>○</v>
      </c>
      <c r="AR94" s="106" t="str">
        <f t="shared" si="45"/>
        <v>○</v>
      </c>
      <c r="AS94" s="106" t="str">
        <f t="shared" si="46"/>
        <v>○</v>
      </c>
      <c r="AT94" s="106" t="str">
        <f t="shared" si="47"/>
        <v>○</v>
      </c>
      <c r="AU94" s="106" t="str">
        <f t="shared" si="48"/>
        <v>○</v>
      </c>
    </row>
    <row r="95" spans="1:47" s="106" customFormat="1" ht="23.15" customHeight="1">
      <c r="A95" s="102">
        <v>89</v>
      </c>
      <c r="B95" s="101" t="str">
        <f>IF('②-1職員名簿'!E95="","",'②-1職員名簿'!Y95)</f>
        <v/>
      </c>
      <c r="C95" s="104" t="str">
        <f>'②-1職員名簿'!BE95</f>
        <v/>
      </c>
      <c r="D95" s="136" t="str">
        <f t="shared" si="36"/>
        <v/>
      </c>
      <c r="E95" s="20" t="str">
        <f>IF($B95="","",IF(AND('②-1職員名簿'!C95="正",'②-1職員名簿'!D95="常"),"正規職員","契約上の就業時間を記載"))</f>
        <v/>
      </c>
      <c r="F95" s="10" t="str">
        <f>IF($B95="","",IF(OR('②-1職員名簿'!AC95="○",'②-1職員名簿'!AC95="●"),IF($E95="正規職員","正",IF($E95="契約上の就業時間を記載","","実績を入力")),"-"))</f>
        <v/>
      </c>
      <c r="G95" s="10" t="str">
        <f>IF($B95="","",IF(OR('②-1職員名簿'!AD95="○",'②-1職員名簿'!AD95="●"),IF($E95="正規職員","正",IF($E95="契約上の就業時間を記載","","実績を入力")),"-"))</f>
        <v/>
      </c>
      <c r="H95" s="10" t="str">
        <f>IF($B95="","",IF(OR('②-1職員名簿'!AE95="○",'②-1職員名簿'!AE95="●"),IF($E95="正規職員","正",IF($E95="契約上の就業時間を記載","","実績を入力")),"-"))</f>
        <v/>
      </c>
      <c r="I95" s="10" t="str">
        <f>IF($B95="","",IF(OR('②-1職員名簿'!AF95="○",'②-1職員名簿'!AF95="●"),IF($E95="正規職員","正",IF($E95="契約上の就業時間を記載","","実績を入力")),"-"))</f>
        <v/>
      </c>
      <c r="J95" s="10" t="str">
        <f>IF($B95="","",IF(OR('②-1職員名簿'!AG95="○",'②-1職員名簿'!AG95="●"),IF($E95="正規職員","正",IF($E95="契約上の就業時間を記載","","実績を入力")),"-"))</f>
        <v/>
      </c>
      <c r="K95" s="10" t="str">
        <f>IF($B95="","",IF(OR('②-1職員名簿'!AH95="○",'②-1職員名簿'!AH95="●"),IF($E95="正規職員","正",IF($E95="契約上の就業時間を記載","","実績を入力")),"-"))</f>
        <v/>
      </c>
      <c r="L95" s="10" t="str">
        <f>IF($B95="","",IF(OR('②-1職員名簿'!AI95="○",'②-1職員名簿'!AI95="●"),IF($E95="正規職員","正",IF($E95="契約上の就業時間を記載","","実績を入力")),"-"))</f>
        <v/>
      </c>
      <c r="M95" s="10" t="str">
        <f>IF($B95="","",IF(OR('②-1職員名簿'!AJ95="○",'②-1職員名簿'!AJ95="●"),IF($E95="正規職員","正",IF($E95="契約上の就業時間を記載","","実績を入力")),"-"))</f>
        <v/>
      </c>
      <c r="N95" s="10" t="str">
        <f>IF($B95="","",IF(OR('②-1職員名簿'!AK95="○",'②-1職員名簿'!AK95="●"),IF($E95="正規職員","正",IF($E95="契約上の就業時間を記載","","実績を入力")),"-"))</f>
        <v/>
      </c>
      <c r="O95" s="10" t="str">
        <f>IF($B95="","",IF(OR('②-1職員名簿'!AL95="○",'②-1職員名簿'!AL95="●"),IF($E95="正規職員","正",IF($E95="契約上の就業時間を記載","","実績を入力")),"-"))</f>
        <v/>
      </c>
      <c r="P95" s="10" t="str">
        <f>IF($B95="","",IF(OR('②-1職員名簿'!AM95="○",'②-1職員名簿'!AM95="●"),IF($E95="正規職員","正",IF($E95="契約上の就業時間を記載","","実績を入力")),"-"))</f>
        <v/>
      </c>
      <c r="Q95" s="10" t="str">
        <f>IF($B95="","",IF(OR('②-1職員名簿'!AN95="○",'②-1職員名簿'!AN95="●"),IF($E95="正規職員","正",IF($E95="契約上の就業時間を記載","","実績を入力")),"-"))</f>
        <v/>
      </c>
      <c r="R95" s="104" t="str">
        <f>IF($B95="","",IF(OR('②-1職員名簿'!AC95="○",'②-1職員名簿'!AC95="●"),IF($E95="正規職員","正",IF($E95="契約上の就業時間を記載","",IF($E95&gt;=F$5,"常",F95))),"-"))</f>
        <v/>
      </c>
      <c r="S95" s="104" t="str">
        <f>IF($B95="","",IF(OR('②-1職員名簿'!AD95="○",'②-1職員名簿'!AD95="●"),IF($E95="正規職員","正",IF($E95="契約上の就業時間を記載","",IF($E95&gt;=G$5,"常",G95))),"-"))</f>
        <v/>
      </c>
      <c r="T95" s="104" t="str">
        <f>IF($B95="","",IF(OR('②-1職員名簿'!AE95="○",'②-1職員名簿'!AE95="●"),IF($E95="正規職員","正",IF($E95="契約上の就業時間を記載","",IF($E95&gt;=H$5,"常",H95))),"-"))</f>
        <v/>
      </c>
      <c r="U95" s="104" t="str">
        <f>IF($B95="","",IF(OR('②-1職員名簿'!AF95="○",'②-1職員名簿'!AF95="●"),IF($E95="正規職員","正",IF($E95="契約上の就業時間を記載","",IF($E95&gt;=I$5,"常",I95))),"-"))</f>
        <v/>
      </c>
      <c r="V95" s="104" t="str">
        <f>IF($B95="","",IF(OR('②-1職員名簿'!AG95="○",'②-1職員名簿'!AG95="●"),IF($E95="正規職員","正",IF($E95="契約上の就業時間を記載","",IF($E95&gt;=J$5,"常",J95))),"-"))</f>
        <v/>
      </c>
      <c r="W95" s="104" t="str">
        <f>IF($B95="","",IF(OR('②-1職員名簿'!AH95="○",'②-1職員名簿'!AH95="●"),IF($E95="正規職員","正",IF($E95="契約上の就業時間を記載","",IF($E95&gt;=K$5,"常",K95))),"-"))</f>
        <v/>
      </c>
      <c r="X95" s="104" t="str">
        <f>IF($B95="","",IF(OR('②-1職員名簿'!AI95="○",'②-1職員名簿'!AI95="●"),IF($E95="正規職員","正",IF($E95="契約上の就業時間を記載","",IF($E95&gt;=L$5,"常",L95))),"-"))</f>
        <v/>
      </c>
      <c r="Y95" s="104" t="str">
        <f>IF($B95="","",IF(OR('②-1職員名簿'!AJ95="○",'②-1職員名簿'!AJ95="●"),IF($E95="正規職員","正",IF($E95="契約上の就業時間を記載","",IF($E95&gt;=M$5,"常",M95))),"-"))</f>
        <v/>
      </c>
      <c r="Z95" s="104" t="str">
        <f>IF($B95="","",IF(OR('②-1職員名簿'!AK95="○",'②-1職員名簿'!AK95="●"),IF($E95="正規職員","正",IF($E95="契約上の就業時間を記載","",IF($E95&gt;=N$5,"常",N95))),"-"))</f>
        <v/>
      </c>
      <c r="AA95" s="104" t="str">
        <f>IF($B95="","",IF(OR('②-1職員名簿'!AL95="○",'②-1職員名簿'!AL95="●"),IF($E95="正規職員","正",IF($E95="契約上の就業時間を記載","",IF($E95&gt;=O$5,"常",O95))),"-"))</f>
        <v/>
      </c>
      <c r="AB95" s="104" t="str">
        <f>IF($B95="","",IF(OR('②-1職員名簿'!AM95="○",'②-1職員名簿'!AM95="●"),IF($E95="正規職員","正",IF($E95="契約上の就業時間を記載","",IF($E95&gt;=P$5,"常",P95))),"-"))</f>
        <v/>
      </c>
      <c r="AC95" s="104" t="str">
        <f>IF($B95="","",IF(OR('②-1職員名簿'!AN95="○",'②-1職員名簿'!AN95="●"),IF($E95="正規職員","正",IF($E95="契約上の就業時間を記載","",IF($E95&gt;=Q$5,"常",Q95))),"-"))</f>
        <v/>
      </c>
      <c r="AE95" s="101" t="str">
        <f>IF('②-1職員名簿'!W95="","",'②-1職員名簿'!W95)</f>
        <v/>
      </c>
      <c r="AJ95" s="106" t="str">
        <f t="shared" si="37"/>
        <v>○</v>
      </c>
      <c r="AK95" s="106" t="str">
        <f t="shared" si="38"/>
        <v>○</v>
      </c>
      <c r="AL95" s="106" t="str">
        <f t="shared" si="39"/>
        <v>○</v>
      </c>
      <c r="AM95" s="106" t="str">
        <f t="shared" si="40"/>
        <v>○</v>
      </c>
      <c r="AN95" s="106" t="str">
        <f t="shared" si="41"/>
        <v>○</v>
      </c>
      <c r="AO95" s="106" t="str">
        <f t="shared" si="42"/>
        <v>○</v>
      </c>
      <c r="AP95" s="106" t="str">
        <f t="shared" si="43"/>
        <v>○</v>
      </c>
      <c r="AQ95" s="106" t="str">
        <f t="shared" si="44"/>
        <v>○</v>
      </c>
      <c r="AR95" s="106" t="str">
        <f t="shared" si="45"/>
        <v>○</v>
      </c>
      <c r="AS95" s="106" t="str">
        <f t="shared" si="46"/>
        <v>○</v>
      </c>
      <c r="AT95" s="106" t="str">
        <f t="shared" si="47"/>
        <v>○</v>
      </c>
      <c r="AU95" s="106" t="str">
        <f t="shared" si="48"/>
        <v>○</v>
      </c>
    </row>
    <row r="96" spans="1:47" s="106" customFormat="1" ht="23.15" customHeight="1">
      <c r="A96" s="102">
        <v>90</v>
      </c>
      <c r="B96" s="101" t="str">
        <f>IF('②-1職員名簿'!E96="","",'②-1職員名簿'!Y96)</f>
        <v/>
      </c>
      <c r="C96" s="104" t="str">
        <f>'②-1職員名簿'!BE96</f>
        <v/>
      </c>
      <c r="D96" s="136" t="str">
        <f t="shared" si="36"/>
        <v/>
      </c>
      <c r="E96" s="20" t="str">
        <f>IF($B96="","",IF(AND('②-1職員名簿'!C96="正",'②-1職員名簿'!D96="常"),"正規職員","契約上の就業時間を記載"))</f>
        <v/>
      </c>
      <c r="F96" s="10" t="str">
        <f>IF($B96="","",IF(OR('②-1職員名簿'!AC96="○",'②-1職員名簿'!AC96="●"),IF($E96="正規職員","正",IF($E96="契約上の就業時間を記載","","実績を入力")),"-"))</f>
        <v/>
      </c>
      <c r="G96" s="10" t="str">
        <f>IF($B96="","",IF(OR('②-1職員名簿'!AD96="○",'②-1職員名簿'!AD96="●"),IF($E96="正規職員","正",IF($E96="契約上の就業時間を記載","","実績を入力")),"-"))</f>
        <v/>
      </c>
      <c r="H96" s="10" t="str">
        <f>IF($B96="","",IF(OR('②-1職員名簿'!AE96="○",'②-1職員名簿'!AE96="●"),IF($E96="正規職員","正",IF($E96="契約上の就業時間を記載","","実績を入力")),"-"))</f>
        <v/>
      </c>
      <c r="I96" s="10" t="str">
        <f>IF($B96="","",IF(OR('②-1職員名簿'!AF96="○",'②-1職員名簿'!AF96="●"),IF($E96="正規職員","正",IF($E96="契約上の就業時間を記載","","実績を入力")),"-"))</f>
        <v/>
      </c>
      <c r="J96" s="10" t="str">
        <f>IF($B96="","",IF(OR('②-1職員名簿'!AG96="○",'②-1職員名簿'!AG96="●"),IF($E96="正規職員","正",IF($E96="契約上の就業時間を記載","","実績を入力")),"-"))</f>
        <v/>
      </c>
      <c r="K96" s="10" t="str">
        <f>IF($B96="","",IF(OR('②-1職員名簿'!AH96="○",'②-1職員名簿'!AH96="●"),IF($E96="正規職員","正",IF($E96="契約上の就業時間を記載","","実績を入力")),"-"))</f>
        <v/>
      </c>
      <c r="L96" s="10" t="str">
        <f>IF($B96="","",IF(OR('②-1職員名簿'!AI96="○",'②-1職員名簿'!AI96="●"),IF($E96="正規職員","正",IF($E96="契約上の就業時間を記載","","実績を入力")),"-"))</f>
        <v/>
      </c>
      <c r="M96" s="10" t="str">
        <f>IF($B96="","",IF(OR('②-1職員名簿'!AJ96="○",'②-1職員名簿'!AJ96="●"),IF($E96="正規職員","正",IF($E96="契約上の就業時間を記載","","実績を入力")),"-"))</f>
        <v/>
      </c>
      <c r="N96" s="10" t="str">
        <f>IF($B96="","",IF(OR('②-1職員名簿'!AK96="○",'②-1職員名簿'!AK96="●"),IF($E96="正規職員","正",IF($E96="契約上の就業時間を記載","","実績を入力")),"-"))</f>
        <v/>
      </c>
      <c r="O96" s="10" t="str">
        <f>IF($B96="","",IF(OR('②-1職員名簿'!AL96="○",'②-1職員名簿'!AL96="●"),IF($E96="正規職員","正",IF($E96="契約上の就業時間を記載","","実績を入力")),"-"))</f>
        <v/>
      </c>
      <c r="P96" s="10" t="str">
        <f>IF($B96="","",IF(OR('②-1職員名簿'!AM96="○",'②-1職員名簿'!AM96="●"),IF($E96="正規職員","正",IF($E96="契約上の就業時間を記載","","実績を入力")),"-"))</f>
        <v/>
      </c>
      <c r="Q96" s="10" t="str">
        <f>IF($B96="","",IF(OR('②-1職員名簿'!AN96="○",'②-1職員名簿'!AN96="●"),IF($E96="正規職員","正",IF($E96="契約上の就業時間を記載","","実績を入力")),"-"))</f>
        <v/>
      </c>
      <c r="R96" s="104" t="str">
        <f>IF($B96="","",IF(OR('②-1職員名簿'!AC96="○",'②-1職員名簿'!AC96="●"),IF($E96="正規職員","正",IF($E96="契約上の就業時間を記載","",IF($E96&gt;=F$5,"常",F96))),"-"))</f>
        <v/>
      </c>
      <c r="S96" s="104" t="str">
        <f>IF($B96="","",IF(OR('②-1職員名簿'!AD96="○",'②-1職員名簿'!AD96="●"),IF($E96="正規職員","正",IF($E96="契約上の就業時間を記載","",IF($E96&gt;=G$5,"常",G96))),"-"))</f>
        <v/>
      </c>
      <c r="T96" s="104" t="str">
        <f>IF($B96="","",IF(OR('②-1職員名簿'!AE96="○",'②-1職員名簿'!AE96="●"),IF($E96="正規職員","正",IF($E96="契約上の就業時間を記載","",IF($E96&gt;=H$5,"常",H96))),"-"))</f>
        <v/>
      </c>
      <c r="U96" s="104" t="str">
        <f>IF($B96="","",IF(OR('②-1職員名簿'!AF96="○",'②-1職員名簿'!AF96="●"),IF($E96="正規職員","正",IF($E96="契約上の就業時間を記載","",IF($E96&gt;=I$5,"常",I96))),"-"))</f>
        <v/>
      </c>
      <c r="V96" s="104" t="str">
        <f>IF($B96="","",IF(OR('②-1職員名簿'!AG96="○",'②-1職員名簿'!AG96="●"),IF($E96="正規職員","正",IF($E96="契約上の就業時間を記載","",IF($E96&gt;=J$5,"常",J96))),"-"))</f>
        <v/>
      </c>
      <c r="W96" s="104" t="str">
        <f>IF($B96="","",IF(OR('②-1職員名簿'!AH96="○",'②-1職員名簿'!AH96="●"),IF($E96="正規職員","正",IF($E96="契約上の就業時間を記載","",IF($E96&gt;=K$5,"常",K96))),"-"))</f>
        <v/>
      </c>
      <c r="X96" s="104" t="str">
        <f>IF($B96="","",IF(OR('②-1職員名簿'!AI96="○",'②-1職員名簿'!AI96="●"),IF($E96="正規職員","正",IF($E96="契約上の就業時間を記載","",IF($E96&gt;=L$5,"常",L96))),"-"))</f>
        <v/>
      </c>
      <c r="Y96" s="104" t="str">
        <f>IF($B96="","",IF(OR('②-1職員名簿'!AJ96="○",'②-1職員名簿'!AJ96="●"),IF($E96="正規職員","正",IF($E96="契約上の就業時間を記載","",IF($E96&gt;=M$5,"常",M96))),"-"))</f>
        <v/>
      </c>
      <c r="Z96" s="104" t="str">
        <f>IF($B96="","",IF(OR('②-1職員名簿'!AK96="○",'②-1職員名簿'!AK96="●"),IF($E96="正規職員","正",IF($E96="契約上の就業時間を記載","",IF($E96&gt;=N$5,"常",N96))),"-"))</f>
        <v/>
      </c>
      <c r="AA96" s="104" t="str">
        <f>IF($B96="","",IF(OR('②-1職員名簿'!AL96="○",'②-1職員名簿'!AL96="●"),IF($E96="正規職員","正",IF($E96="契約上の就業時間を記載","",IF($E96&gt;=O$5,"常",O96))),"-"))</f>
        <v/>
      </c>
      <c r="AB96" s="104" t="str">
        <f>IF($B96="","",IF(OR('②-1職員名簿'!AM96="○",'②-1職員名簿'!AM96="●"),IF($E96="正規職員","正",IF($E96="契約上の就業時間を記載","",IF($E96&gt;=P$5,"常",P96))),"-"))</f>
        <v/>
      </c>
      <c r="AC96" s="104" t="str">
        <f>IF($B96="","",IF(OR('②-1職員名簿'!AN96="○",'②-1職員名簿'!AN96="●"),IF($E96="正規職員","正",IF($E96="契約上の就業時間を記載","",IF($E96&gt;=Q$5,"常",Q96))),"-"))</f>
        <v/>
      </c>
      <c r="AE96" s="101" t="str">
        <f>IF('②-1職員名簿'!W96="","",'②-1職員名簿'!W96)</f>
        <v/>
      </c>
      <c r="AJ96" s="106" t="str">
        <f t="shared" si="37"/>
        <v>○</v>
      </c>
      <c r="AK96" s="106" t="str">
        <f t="shared" si="38"/>
        <v>○</v>
      </c>
      <c r="AL96" s="106" t="str">
        <f t="shared" si="39"/>
        <v>○</v>
      </c>
      <c r="AM96" s="106" t="str">
        <f t="shared" si="40"/>
        <v>○</v>
      </c>
      <c r="AN96" s="106" t="str">
        <f t="shared" si="41"/>
        <v>○</v>
      </c>
      <c r="AO96" s="106" t="str">
        <f t="shared" si="42"/>
        <v>○</v>
      </c>
      <c r="AP96" s="106" t="str">
        <f t="shared" si="43"/>
        <v>○</v>
      </c>
      <c r="AQ96" s="106" t="str">
        <f t="shared" si="44"/>
        <v>○</v>
      </c>
      <c r="AR96" s="106" t="str">
        <f t="shared" si="45"/>
        <v>○</v>
      </c>
      <c r="AS96" s="106" t="str">
        <f t="shared" si="46"/>
        <v>○</v>
      </c>
      <c r="AT96" s="106" t="str">
        <f t="shared" si="47"/>
        <v>○</v>
      </c>
      <c r="AU96" s="106" t="str">
        <f t="shared" si="48"/>
        <v>○</v>
      </c>
    </row>
    <row r="97" spans="1:47" s="106" customFormat="1" ht="23.15" customHeight="1">
      <c r="A97" s="102">
        <v>91</v>
      </c>
      <c r="B97" s="101" t="str">
        <f>IF('②-1職員名簿'!E97="","",'②-1職員名簿'!Y97)</f>
        <v/>
      </c>
      <c r="C97" s="104" t="str">
        <f>'②-1職員名簿'!BE97</f>
        <v/>
      </c>
      <c r="D97" s="136" t="str">
        <f t="shared" si="36"/>
        <v/>
      </c>
      <c r="E97" s="20" t="str">
        <f>IF($B97="","",IF(AND('②-1職員名簿'!C97="正",'②-1職員名簿'!D97="常"),"正規職員","契約上の就業時間を記載"))</f>
        <v/>
      </c>
      <c r="F97" s="10" t="str">
        <f>IF($B97="","",IF(OR('②-1職員名簿'!AC97="○",'②-1職員名簿'!AC97="●"),IF($E97="正規職員","正",IF($E97="契約上の就業時間を記載","","実績を入力")),"-"))</f>
        <v/>
      </c>
      <c r="G97" s="10" t="str">
        <f>IF($B97="","",IF(OR('②-1職員名簿'!AD97="○",'②-1職員名簿'!AD97="●"),IF($E97="正規職員","正",IF($E97="契約上の就業時間を記載","","実績を入力")),"-"))</f>
        <v/>
      </c>
      <c r="H97" s="10" t="str">
        <f>IF($B97="","",IF(OR('②-1職員名簿'!AE97="○",'②-1職員名簿'!AE97="●"),IF($E97="正規職員","正",IF($E97="契約上の就業時間を記載","","実績を入力")),"-"))</f>
        <v/>
      </c>
      <c r="I97" s="10" t="str">
        <f>IF($B97="","",IF(OR('②-1職員名簿'!AF97="○",'②-1職員名簿'!AF97="●"),IF($E97="正規職員","正",IF($E97="契約上の就業時間を記載","","実績を入力")),"-"))</f>
        <v/>
      </c>
      <c r="J97" s="10" t="str">
        <f>IF($B97="","",IF(OR('②-1職員名簿'!AG97="○",'②-1職員名簿'!AG97="●"),IF($E97="正規職員","正",IF($E97="契約上の就業時間を記載","","実績を入力")),"-"))</f>
        <v/>
      </c>
      <c r="K97" s="10" t="str">
        <f>IF($B97="","",IF(OR('②-1職員名簿'!AH97="○",'②-1職員名簿'!AH97="●"),IF($E97="正規職員","正",IF($E97="契約上の就業時間を記載","","実績を入力")),"-"))</f>
        <v/>
      </c>
      <c r="L97" s="10" t="str">
        <f>IF($B97="","",IF(OR('②-1職員名簿'!AI97="○",'②-1職員名簿'!AI97="●"),IF($E97="正規職員","正",IF($E97="契約上の就業時間を記載","","実績を入力")),"-"))</f>
        <v/>
      </c>
      <c r="M97" s="10" t="str">
        <f>IF($B97="","",IF(OR('②-1職員名簿'!AJ97="○",'②-1職員名簿'!AJ97="●"),IF($E97="正規職員","正",IF($E97="契約上の就業時間を記載","","実績を入力")),"-"))</f>
        <v/>
      </c>
      <c r="N97" s="10" t="str">
        <f>IF($B97="","",IF(OR('②-1職員名簿'!AK97="○",'②-1職員名簿'!AK97="●"),IF($E97="正規職員","正",IF($E97="契約上の就業時間を記載","","実績を入力")),"-"))</f>
        <v/>
      </c>
      <c r="O97" s="10" t="str">
        <f>IF($B97="","",IF(OR('②-1職員名簿'!AL97="○",'②-1職員名簿'!AL97="●"),IF($E97="正規職員","正",IF($E97="契約上の就業時間を記載","","実績を入力")),"-"))</f>
        <v/>
      </c>
      <c r="P97" s="10" t="str">
        <f>IF($B97="","",IF(OR('②-1職員名簿'!AM97="○",'②-1職員名簿'!AM97="●"),IF($E97="正規職員","正",IF($E97="契約上の就業時間を記載","","実績を入力")),"-"))</f>
        <v/>
      </c>
      <c r="Q97" s="10" t="str">
        <f>IF($B97="","",IF(OR('②-1職員名簿'!AN97="○",'②-1職員名簿'!AN97="●"),IF($E97="正規職員","正",IF($E97="契約上の就業時間を記載","","実績を入力")),"-"))</f>
        <v/>
      </c>
      <c r="R97" s="104" t="str">
        <f>IF($B97="","",IF(OR('②-1職員名簿'!AC97="○",'②-1職員名簿'!AC97="●"),IF($E97="正規職員","正",IF($E97="契約上の就業時間を記載","",IF($E97&gt;=F$5,"常",F97))),"-"))</f>
        <v/>
      </c>
      <c r="S97" s="104" t="str">
        <f>IF($B97="","",IF(OR('②-1職員名簿'!AD97="○",'②-1職員名簿'!AD97="●"),IF($E97="正規職員","正",IF($E97="契約上の就業時間を記載","",IF($E97&gt;=G$5,"常",G97))),"-"))</f>
        <v/>
      </c>
      <c r="T97" s="104" t="str">
        <f>IF($B97="","",IF(OR('②-1職員名簿'!AE97="○",'②-1職員名簿'!AE97="●"),IF($E97="正規職員","正",IF($E97="契約上の就業時間を記載","",IF($E97&gt;=H$5,"常",H97))),"-"))</f>
        <v/>
      </c>
      <c r="U97" s="104" t="str">
        <f>IF($B97="","",IF(OR('②-1職員名簿'!AF97="○",'②-1職員名簿'!AF97="●"),IF($E97="正規職員","正",IF($E97="契約上の就業時間を記載","",IF($E97&gt;=I$5,"常",I97))),"-"))</f>
        <v/>
      </c>
      <c r="V97" s="104" t="str">
        <f>IF($B97="","",IF(OR('②-1職員名簿'!AG97="○",'②-1職員名簿'!AG97="●"),IF($E97="正規職員","正",IF($E97="契約上の就業時間を記載","",IF($E97&gt;=J$5,"常",J97))),"-"))</f>
        <v/>
      </c>
      <c r="W97" s="104" t="str">
        <f>IF($B97="","",IF(OR('②-1職員名簿'!AH97="○",'②-1職員名簿'!AH97="●"),IF($E97="正規職員","正",IF($E97="契約上の就業時間を記載","",IF($E97&gt;=K$5,"常",K97))),"-"))</f>
        <v/>
      </c>
      <c r="X97" s="104" t="str">
        <f>IF($B97="","",IF(OR('②-1職員名簿'!AI97="○",'②-1職員名簿'!AI97="●"),IF($E97="正規職員","正",IF($E97="契約上の就業時間を記載","",IF($E97&gt;=L$5,"常",L97))),"-"))</f>
        <v/>
      </c>
      <c r="Y97" s="104" t="str">
        <f>IF($B97="","",IF(OR('②-1職員名簿'!AJ97="○",'②-1職員名簿'!AJ97="●"),IF($E97="正規職員","正",IF($E97="契約上の就業時間を記載","",IF($E97&gt;=M$5,"常",M97))),"-"))</f>
        <v/>
      </c>
      <c r="Z97" s="104" t="str">
        <f>IF($B97="","",IF(OR('②-1職員名簿'!AK97="○",'②-1職員名簿'!AK97="●"),IF($E97="正規職員","正",IF($E97="契約上の就業時間を記載","",IF($E97&gt;=N$5,"常",N97))),"-"))</f>
        <v/>
      </c>
      <c r="AA97" s="104" t="str">
        <f>IF($B97="","",IF(OR('②-1職員名簿'!AL97="○",'②-1職員名簿'!AL97="●"),IF($E97="正規職員","正",IF($E97="契約上の就業時間を記載","",IF($E97&gt;=O$5,"常",O97))),"-"))</f>
        <v/>
      </c>
      <c r="AB97" s="104" t="str">
        <f>IF($B97="","",IF(OR('②-1職員名簿'!AM97="○",'②-1職員名簿'!AM97="●"),IF($E97="正規職員","正",IF($E97="契約上の就業時間を記載","",IF($E97&gt;=P$5,"常",P97))),"-"))</f>
        <v/>
      </c>
      <c r="AC97" s="104" t="str">
        <f>IF($B97="","",IF(OR('②-1職員名簿'!AN97="○",'②-1職員名簿'!AN97="●"),IF($E97="正規職員","正",IF($E97="契約上の就業時間を記載","",IF($E97&gt;=Q$5,"常",Q97))),"-"))</f>
        <v/>
      </c>
      <c r="AE97" s="101" t="str">
        <f>IF('②-1職員名簿'!W97="","",'②-1職員名簿'!W97)</f>
        <v/>
      </c>
      <c r="AJ97" s="106" t="str">
        <f t="shared" si="37"/>
        <v>○</v>
      </c>
      <c r="AK97" s="106" t="str">
        <f t="shared" si="38"/>
        <v>○</v>
      </c>
      <c r="AL97" s="106" t="str">
        <f t="shared" si="39"/>
        <v>○</v>
      </c>
      <c r="AM97" s="106" t="str">
        <f t="shared" si="40"/>
        <v>○</v>
      </c>
      <c r="AN97" s="106" t="str">
        <f t="shared" si="41"/>
        <v>○</v>
      </c>
      <c r="AO97" s="106" t="str">
        <f t="shared" si="42"/>
        <v>○</v>
      </c>
      <c r="AP97" s="106" t="str">
        <f t="shared" si="43"/>
        <v>○</v>
      </c>
      <c r="AQ97" s="106" t="str">
        <f t="shared" si="44"/>
        <v>○</v>
      </c>
      <c r="AR97" s="106" t="str">
        <f t="shared" si="45"/>
        <v>○</v>
      </c>
      <c r="AS97" s="106" t="str">
        <f t="shared" si="46"/>
        <v>○</v>
      </c>
      <c r="AT97" s="106" t="str">
        <f t="shared" si="47"/>
        <v>○</v>
      </c>
      <c r="AU97" s="106" t="str">
        <f t="shared" si="48"/>
        <v>○</v>
      </c>
    </row>
    <row r="98" spans="1:47" s="106" customFormat="1" ht="23.15" customHeight="1">
      <c r="A98" s="102">
        <v>92</v>
      </c>
      <c r="B98" s="101" t="str">
        <f>IF('②-1職員名簿'!E98="","",'②-1職員名簿'!Y98)</f>
        <v/>
      </c>
      <c r="C98" s="104" t="str">
        <f>'②-1職員名簿'!BE98</f>
        <v/>
      </c>
      <c r="D98" s="136" t="str">
        <f t="shared" si="36"/>
        <v/>
      </c>
      <c r="E98" s="20" t="str">
        <f>IF($B98="","",IF(AND('②-1職員名簿'!C98="正",'②-1職員名簿'!D98="常"),"正規職員","契約上の就業時間を記載"))</f>
        <v/>
      </c>
      <c r="F98" s="10" t="str">
        <f>IF($B98="","",IF(OR('②-1職員名簿'!AC98="○",'②-1職員名簿'!AC98="●"),IF($E98="正規職員","正",IF($E98="契約上の就業時間を記載","","実績を入力")),"-"))</f>
        <v/>
      </c>
      <c r="G98" s="10" t="str">
        <f>IF($B98="","",IF(OR('②-1職員名簿'!AD98="○",'②-1職員名簿'!AD98="●"),IF($E98="正規職員","正",IF($E98="契約上の就業時間を記載","","実績を入力")),"-"))</f>
        <v/>
      </c>
      <c r="H98" s="10" t="str">
        <f>IF($B98="","",IF(OR('②-1職員名簿'!AE98="○",'②-1職員名簿'!AE98="●"),IF($E98="正規職員","正",IF($E98="契約上の就業時間を記載","","実績を入力")),"-"))</f>
        <v/>
      </c>
      <c r="I98" s="10" t="str">
        <f>IF($B98="","",IF(OR('②-1職員名簿'!AF98="○",'②-1職員名簿'!AF98="●"),IF($E98="正規職員","正",IF($E98="契約上の就業時間を記載","","実績を入力")),"-"))</f>
        <v/>
      </c>
      <c r="J98" s="10" t="str">
        <f>IF($B98="","",IF(OR('②-1職員名簿'!AG98="○",'②-1職員名簿'!AG98="●"),IF($E98="正規職員","正",IF($E98="契約上の就業時間を記載","","実績を入力")),"-"))</f>
        <v/>
      </c>
      <c r="K98" s="10" t="str">
        <f>IF($B98="","",IF(OR('②-1職員名簿'!AH98="○",'②-1職員名簿'!AH98="●"),IF($E98="正規職員","正",IF($E98="契約上の就業時間を記載","","実績を入力")),"-"))</f>
        <v/>
      </c>
      <c r="L98" s="10" t="str">
        <f>IF($B98="","",IF(OR('②-1職員名簿'!AI98="○",'②-1職員名簿'!AI98="●"),IF($E98="正規職員","正",IF($E98="契約上の就業時間を記載","","実績を入力")),"-"))</f>
        <v/>
      </c>
      <c r="M98" s="10" t="str">
        <f>IF($B98="","",IF(OR('②-1職員名簿'!AJ98="○",'②-1職員名簿'!AJ98="●"),IF($E98="正規職員","正",IF($E98="契約上の就業時間を記載","","実績を入力")),"-"))</f>
        <v/>
      </c>
      <c r="N98" s="10" t="str">
        <f>IF($B98="","",IF(OR('②-1職員名簿'!AK98="○",'②-1職員名簿'!AK98="●"),IF($E98="正規職員","正",IF($E98="契約上の就業時間を記載","","実績を入力")),"-"))</f>
        <v/>
      </c>
      <c r="O98" s="10" t="str">
        <f>IF($B98="","",IF(OR('②-1職員名簿'!AL98="○",'②-1職員名簿'!AL98="●"),IF($E98="正規職員","正",IF($E98="契約上の就業時間を記載","","実績を入力")),"-"))</f>
        <v/>
      </c>
      <c r="P98" s="10" t="str">
        <f>IF($B98="","",IF(OR('②-1職員名簿'!AM98="○",'②-1職員名簿'!AM98="●"),IF($E98="正規職員","正",IF($E98="契約上の就業時間を記載","","実績を入力")),"-"))</f>
        <v/>
      </c>
      <c r="Q98" s="10" t="str">
        <f>IF($B98="","",IF(OR('②-1職員名簿'!AN98="○",'②-1職員名簿'!AN98="●"),IF($E98="正規職員","正",IF($E98="契約上の就業時間を記載","","実績を入力")),"-"))</f>
        <v/>
      </c>
      <c r="R98" s="104" t="str">
        <f>IF($B98="","",IF(OR('②-1職員名簿'!AC98="○",'②-1職員名簿'!AC98="●"),IF($E98="正規職員","正",IF($E98="契約上の就業時間を記載","",IF($E98&gt;=F$5,"常",F98))),"-"))</f>
        <v/>
      </c>
      <c r="S98" s="104" t="str">
        <f>IF($B98="","",IF(OR('②-1職員名簿'!AD98="○",'②-1職員名簿'!AD98="●"),IF($E98="正規職員","正",IF($E98="契約上の就業時間を記載","",IF($E98&gt;=G$5,"常",G98))),"-"))</f>
        <v/>
      </c>
      <c r="T98" s="104" t="str">
        <f>IF($B98="","",IF(OR('②-1職員名簿'!AE98="○",'②-1職員名簿'!AE98="●"),IF($E98="正規職員","正",IF($E98="契約上の就業時間を記載","",IF($E98&gt;=H$5,"常",H98))),"-"))</f>
        <v/>
      </c>
      <c r="U98" s="104" t="str">
        <f>IF($B98="","",IF(OR('②-1職員名簿'!AF98="○",'②-1職員名簿'!AF98="●"),IF($E98="正規職員","正",IF($E98="契約上の就業時間を記載","",IF($E98&gt;=I$5,"常",I98))),"-"))</f>
        <v/>
      </c>
      <c r="V98" s="104" t="str">
        <f>IF($B98="","",IF(OR('②-1職員名簿'!AG98="○",'②-1職員名簿'!AG98="●"),IF($E98="正規職員","正",IF($E98="契約上の就業時間を記載","",IF($E98&gt;=J$5,"常",J98))),"-"))</f>
        <v/>
      </c>
      <c r="W98" s="104" t="str">
        <f>IF($B98="","",IF(OR('②-1職員名簿'!AH98="○",'②-1職員名簿'!AH98="●"),IF($E98="正規職員","正",IF($E98="契約上の就業時間を記載","",IF($E98&gt;=K$5,"常",K98))),"-"))</f>
        <v/>
      </c>
      <c r="X98" s="104" t="str">
        <f>IF($B98="","",IF(OR('②-1職員名簿'!AI98="○",'②-1職員名簿'!AI98="●"),IF($E98="正規職員","正",IF($E98="契約上の就業時間を記載","",IF($E98&gt;=L$5,"常",L98))),"-"))</f>
        <v/>
      </c>
      <c r="Y98" s="104" t="str">
        <f>IF($B98="","",IF(OR('②-1職員名簿'!AJ98="○",'②-1職員名簿'!AJ98="●"),IF($E98="正規職員","正",IF($E98="契約上の就業時間を記載","",IF($E98&gt;=M$5,"常",M98))),"-"))</f>
        <v/>
      </c>
      <c r="Z98" s="104" t="str">
        <f>IF($B98="","",IF(OR('②-1職員名簿'!AK98="○",'②-1職員名簿'!AK98="●"),IF($E98="正規職員","正",IF($E98="契約上の就業時間を記載","",IF($E98&gt;=N$5,"常",N98))),"-"))</f>
        <v/>
      </c>
      <c r="AA98" s="104" t="str">
        <f>IF($B98="","",IF(OR('②-1職員名簿'!AL98="○",'②-1職員名簿'!AL98="●"),IF($E98="正規職員","正",IF($E98="契約上の就業時間を記載","",IF($E98&gt;=O$5,"常",O98))),"-"))</f>
        <v/>
      </c>
      <c r="AB98" s="104" t="str">
        <f>IF($B98="","",IF(OR('②-1職員名簿'!AM98="○",'②-1職員名簿'!AM98="●"),IF($E98="正規職員","正",IF($E98="契約上の就業時間を記載","",IF($E98&gt;=P$5,"常",P98))),"-"))</f>
        <v/>
      </c>
      <c r="AC98" s="104" t="str">
        <f>IF($B98="","",IF(OR('②-1職員名簿'!AN98="○",'②-1職員名簿'!AN98="●"),IF($E98="正規職員","正",IF($E98="契約上の就業時間を記載","",IF($E98&gt;=Q$5,"常",Q98))),"-"))</f>
        <v/>
      </c>
      <c r="AE98" s="101" t="str">
        <f>IF('②-1職員名簿'!W98="","",'②-1職員名簿'!W98)</f>
        <v/>
      </c>
      <c r="AJ98" s="106" t="str">
        <f t="shared" si="37"/>
        <v>○</v>
      </c>
      <c r="AK98" s="106" t="str">
        <f t="shared" si="38"/>
        <v>○</v>
      </c>
      <c r="AL98" s="106" t="str">
        <f t="shared" si="39"/>
        <v>○</v>
      </c>
      <c r="AM98" s="106" t="str">
        <f t="shared" si="40"/>
        <v>○</v>
      </c>
      <c r="AN98" s="106" t="str">
        <f t="shared" si="41"/>
        <v>○</v>
      </c>
      <c r="AO98" s="106" t="str">
        <f t="shared" si="42"/>
        <v>○</v>
      </c>
      <c r="AP98" s="106" t="str">
        <f t="shared" si="43"/>
        <v>○</v>
      </c>
      <c r="AQ98" s="106" t="str">
        <f t="shared" si="44"/>
        <v>○</v>
      </c>
      <c r="AR98" s="106" t="str">
        <f t="shared" si="45"/>
        <v>○</v>
      </c>
      <c r="AS98" s="106" t="str">
        <f t="shared" si="46"/>
        <v>○</v>
      </c>
      <c r="AT98" s="106" t="str">
        <f t="shared" si="47"/>
        <v>○</v>
      </c>
      <c r="AU98" s="106" t="str">
        <f t="shared" si="48"/>
        <v>○</v>
      </c>
    </row>
    <row r="99" spans="1:47" s="106" customFormat="1" ht="23.15" customHeight="1">
      <c r="A99" s="102">
        <v>93</v>
      </c>
      <c r="B99" s="101" t="str">
        <f>IF('②-1職員名簿'!E99="","",'②-1職員名簿'!Y99)</f>
        <v/>
      </c>
      <c r="C99" s="104" t="str">
        <f>'②-1職員名簿'!BE99</f>
        <v/>
      </c>
      <c r="D99" s="136" t="str">
        <f t="shared" si="36"/>
        <v/>
      </c>
      <c r="E99" s="20" t="str">
        <f>IF($B99="","",IF(AND('②-1職員名簿'!C99="正",'②-1職員名簿'!D99="常"),"正規職員","契約上の就業時間を記載"))</f>
        <v/>
      </c>
      <c r="F99" s="10" t="str">
        <f>IF($B99="","",IF(OR('②-1職員名簿'!AC99="○",'②-1職員名簿'!AC99="●"),IF($E99="正規職員","正",IF($E99="契約上の就業時間を記載","","実績を入力")),"-"))</f>
        <v/>
      </c>
      <c r="G99" s="10" t="str">
        <f>IF($B99="","",IF(OR('②-1職員名簿'!AD99="○",'②-1職員名簿'!AD99="●"),IF($E99="正規職員","正",IF($E99="契約上の就業時間を記載","","実績を入力")),"-"))</f>
        <v/>
      </c>
      <c r="H99" s="10" t="str">
        <f>IF($B99="","",IF(OR('②-1職員名簿'!AE99="○",'②-1職員名簿'!AE99="●"),IF($E99="正規職員","正",IF($E99="契約上の就業時間を記載","","実績を入力")),"-"))</f>
        <v/>
      </c>
      <c r="I99" s="10" t="str">
        <f>IF($B99="","",IF(OR('②-1職員名簿'!AF99="○",'②-1職員名簿'!AF99="●"),IF($E99="正規職員","正",IF($E99="契約上の就業時間を記載","","実績を入力")),"-"))</f>
        <v/>
      </c>
      <c r="J99" s="10" t="str">
        <f>IF($B99="","",IF(OR('②-1職員名簿'!AG99="○",'②-1職員名簿'!AG99="●"),IF($E99="正規職員","正",IF($E99="契約上の就業時間を記載","","実績を入力")),"-"))</f>
        <v/>
      </c>
      <c r="K99" s="10" t="str">
        <f>IF($B99="","",IF(OR('②-1職員名簿'!AH99="○",'②-1職員名簿'!AH99="●"),IF($E99="正規職員","正",IF($E99="契約上の就業時間を記載","","実績を入力")),"-"))</f>
        <v/>
      </c>
      <c r="L99" s="10" t="str">
        <f>IF($B99="","",IF(OR('②-1職員名簿'!AI99="○",'②-1職員名簿'!AI99="●"),IF($E99="正規職員","正",IF($E99="契約上の就業時間を記載","","実績を入力")),"-"))</f>
        <v/>
      </c>
      <c r="M99" s="10" t="str">
        <f>IF($B99="","",IF(OR('②-1職員名簿'!AJ99="○",'②-1職員名簿'!AJ99="●"),IF($E99="正規職員","正",IF($E99="契約上の就業時間を記載","","実績を入力")),"-"))</f>
        <v/>
      </c>
      <c r="N99" s="10" t="str">
        <f>IF($B99="","",IF(OR('②-1職員名簿'!AK99="○",'②-1職員名簿'!AK99="●"),IF($E99="正規職員","正",IF($E99="契約上の就業時間を記載","","実績を入力")),"-"))</f>
        <v/>
      </c>
      <c r="O99" s="10" t="str">
        <f>IF($B99="","",IF(OR('②-1職員名簿'!AL99="○",'②-1職員名簿'!AL99="●"),IF($E99="正規職員","正",IF($E99="契約上の就業時間を記載","","実績を入力")),"-"))</f>
        <v/>
      </c>
      <c r="P99" s="10" t="str">
        <f>IF($B99="","",IF(OR('②-1職員名簿'!AM99="○",'②-1職員名簿'!AM99="●"),IF($E99="正規職員","正",IF($E99="契約上の就業時間を記載","","実績を入力")),"-"))</f>
        <v/>
      </c>
      <c r="Q99" s="10" t="str">
        <f>IF($B99="","",IF(OR('②-1職員名簿'!AN99="○",'②-1職員名簿'!AN99="●"),IF($E99="正規職員","正",IF($E99="契約上の就業時間を記載","","実績を入力")),"-"))</f>
        <v/>
      </c>
      <c r="R99" s="104" t="str">
        <f>IF($B99="","",IF(OR('②-1職員名簿'!AC99="○",'②-1職員名簿'!AC99="●"),IF($E99="正規職員","正",IF($E99="契約上の就業時間を記載","",IF($E99&gt;=F$5,"常",F99))),"-"))</f>
        <v/>
      </c>
      <c r="S99" s="104" t="str">
        <f>IF($B99="","",IF(OR('②-1職員名簿'!AD99="○",'②-1職員名簿'!AD99="●"),IF($E99="正規職員","正",IF($E99="契約上の就業時間を記載","",IF($E99&gt;=G$5,"常",G99))),"-"))</f>
        <v/>
      </c>
      <c r="T99" s="104" t="str">
        <f>IF($B99="","",IF(OR('②-1職員名簿'!AE99="○",'②-1職員名簿'!AE99="●"),IF($E99="正規職員","正",IF($E99="契約上の就業時間を記載","",IF($E99&gt;=H$5,"常",H99))),"-"))</f>
        <v/>
      </c>
      <c r="U99" s="104" t="str">
        <f>IF($B99="","",IF(OR('②-1職員名簿'!AF99="○",'②-1職員名簿'!AF99="●"),IF($E99="正規職員","正",IF($E99="契約上の就業時間を記載","",IF($E99&gt;=I$5,"常",I99))),"-"))</f>
        <v/>
      </c>
      <c r="V99" s="104" t="str">
        <f>IF($B99="","",IF(OR('②-1職員名簿'!AG99="○",'②-1職員名簿'!AG99="●"),IF($E99="正規職員","正",IF($E99="契約上の就業時間を記載","",IF($E99&gt;=J$5,"常",J99))),"-"))</f>
        <v/>
      </c>
      <c r="W99" s="104" t="str">
        <f>IF($B99="","",IF(OR('②-1職員名簿'!AH99="○",'②-1職員名簿'!AH99="●"),IF($E99="正規職員","正",IF($E99="契約上の就業時間を記載","",IF($E99&gt;=K$5,"常",K99))),"-"))</f>
        <v/>
      </c>
      <c r="X99" s="104" t="str">
        <f>IF($B99="","",IF(OR('②-1職員名簿'!AI99="○",'②-1職員名簿'!AI99="●"),IF($E99="正規職員","正",IF($E99="契約上の就業時間を記載","",IF($E99&gt;=L$5,"常",L99))),"-"))</f>
        <v/>
      </c>
      <c r="Y99" s="104" t="str">
        <f>IF($B99="","",IF(OR('②-1職員名簿'!AJ99="○",'②-1職員名簿'!AJ99="●"),IF($E99="正規職員","正",IF($E99="契約上の就業時間を記載","",IF($E99&gt;=M$5,"常",M99))),"-"))</f>
        <v/>
      </c>
      <c r="Z99" s="104" t="str">
        <f>IF($B99="","",IF(OR('②-1職員名簿'!AK99="○",'②-1職員名簿'!AK99="●"),IF($E99="正規職員","正",IF($E99="契約上の就業時間を記載","",IF($E99&gt;=N$5,"常",N99))),"-"))</f>
        <v/>
      </c>
      <c r="AA99" s="104" t="str">
        <f>IF($B99="","",IF(OR('②-1職員名簿'!AL99="○",'②-1職員名簿'!AL99="●"),IF($E99="正規職員","正",IF($E99="契約上の就業時間を記載","",IF($E99&gt;=O$5,"常",O99))),"-"))</f>
        <v/>
      </c>
      <c r="AB99" s="104" t="str">
        <f>IF($B99="","",IF(OR('②-1職員名簿'!AM99="○",'②-1職員名簿'!AM99="●"),IF($E99="正規職員","正",IF($E99="契約上の就業時間を記載","",IF($E99&gt;=P$5,"常",P99))),"-"))</f>
        <v/>
      </c>
      <c r="AC99" s="104" t="str">
        <f>IF($B99="","",IF(OR('②-1職員名簿'!AN99="○",'②-1職員名簿'!AN99="●"),IF($E99="正規職員","正",IF($E99="契約上の就業時間を記載","",IF($E99&gt;=Q$5,"常",Q99))),"-"))</f>
        <v/>
      </c>
      <c r="AE99" s="101" t="str">
        <f>IF('②-1職員名簿'!W99="","",'②-1職員名簿'!W99)</f>
        <v/>
      </c>
      <c r="AJ99" s="106" t="str">
        <f t="shared" si="37"/>
        <v>○</v>
      </c>
      <c r="AK99" s="106" t="str">
        <f t="shared" si="38"/>
        <v>○</v>
      </c>
      <c r="AL99" s="106" t="str">
        <f t="shared" si="39"/>
        <v>○</v>
      </c>
      <c r="AM99" s="106" t="str">
        <f t="shared" si="40"/>
        <v>○</v>
      </c>
      <c r="AN99" s="106" t="str">
        <f t="shared" si="41"/>
        <v>○</v>
      </c>
      <c r="AO99" s="106" t="str">
        <f t="shared" si="42"/>
        <v>○</v>
      </c>
      <c r="AP99" s="106" t="str">
        <f t="shared" si="43"/>
        <v>○</v>
      </c>
      <c r="AQ99" s="106" t="str">
        <f t="shared" si="44"/>
        <v>○</v>
      </c>
      <c r="AR99" s="106" t="str">
        <f t="shared" si="45"/>
        <v>○</v>
      </c>
      <c r="AS99" s="106" t="str">
        <f t="shared" si="46"/>
        <v>○</v>
      </c>
      <c r="AT99" s="106" t="str">
        <f t="shared" si="47"/>
        <v>○</v>
      </c>
      <c r="AU99" s="106" t="str">
        <f t="shared" si="48"/>
        <v>○</v>
      </c>
    </row>
    <row r="100" spans="1:47" s="106" customFormat="1" ht="23.15" customHeight="1">
      <c r="A100" s="102">
        <v>94</v>
      </c>
      <c r="B100" s="101" t="str">
        <f>IF('②-1職員名簿'!E100="","",'②-1職員名簿'!Y100)</f>
        <v/>
      </c>
      <c r="C100" s="104" t="str">
        <f>'②-1職員名簿'!BE100</f>
        <v/>
      </c>
      <c r="D100" s="136" t="str">
        <f t="shared" si="36"/>
        <v/>
      </c>
      <c r="E100" s="20" t="str">
        <f>IF($B100="","",IF(AND('②-1職員名簿'!C100="正",'②-1職員名簿'!D100="常"),"正規職員","契約上の就業時間を記載"))</f>
        <v/>
      </c>
      <c r="F100" s="10" t="str">
        <f>IF($B100="","",IF(OR('②-1職員名簿'!AC100="○",'②-1職員名簿'!AC100="●"),IF($E100="正規職員","正",IF($E100="契約上の就業時間を記載","","実績を入力")),"-"))</f>
        <v/>
      </c>
      <c r="G100" s="10" t="str">
        <f>IF($B100="","",IF(OR('②-1職員名簿'!AD100="○",'②-1職員名簿'!AD100="●"),IF($E100="正規職員","正",IF($E100="契約上の就業時間を記載","","実績を入力")),"-"))</f>
        <v/>
      </c>
      <c r="H100" s="10" t="str">
        <f>IF($B100="","",IF(OR('②-1職員名簿'!AE100="○",'②-1職員名簿'!AE100="●"),IF($E100="正規職員","正",IF($E100="契約上の就業時間を記載","","実績を入力")),"-"))</f>
        <v/>
      </c>
      <c r="I100" s="10" t="str">
        <f>IF($B100="","",IF(OR('②-1職員名簿'!AF100="○",'②-1職員名簿'!AF100="●"),IF($E100="正規職員","正",IF($E100="契約上の就業時間を記載","","実績を入力")),"-"))</f>
        <v/>
      </c>
      <c r="J100" s="10" t="str">
        <f>IF($B100="","",IF(OR('②-1職員名簿'!AG100="○",'②-1職員名簿'!AG100="●"),IF($E100="正規職員","正",IF($E100="契約上の就業時間を記載","","実績を入力")),"-"))</f>
        <v/>
      </c>
      <c r="K100" s="10" t="str">
        <f>IF($B100="","",IF(OR('②-1職員名簿'!AH100="○",'②-1職員名簿'!AH100="●"),IF($E100="正規職員","正",IF($E100="契約上の就業時間を記載","","実績を入力")),"-"))</f>
        <v/>
      </c>
      <c r="L100" s="10" t="str">
        <f>IF($B100="","",IF(OR('②-1職員名簿'!AI100="○",'②-1職員名簿'!AI100="●"),IF($E100="正規職員","正",IF($E100="契約上の就業時間を記載","","実績を入力")),"-"))</f>
        <v/>
      </c>
      <c r="M100" s="10" t="str">
        <f>IF($B100="","",IF(OR('②-1職員名簿'!AJ100="○",'②-1職員名簿'!AJ100="●"),IF($E100="正規職員","正",IF($E100="契約上の就業時間を記載","","実績を入力")),"-"))</f>
        <v/>
      </c>
      <c r="N100" s="10" t="str">
        <f>IF($B100="","",IF(OR('②-1職員名簿'!AK100="○",'②-1職員名簿'!AK100="●"),IF($E100="正規職員","正",IF($E100="契約上の就業時間を記載","","実績を入力")),"-"))</f>
        <v/>
      </c>
      <c r="O100" s="10" t="str">
        <f>IF($B100="","",IF(OR('②-1職員名簿'!AL100="○",'②-1職員名簿'!AL100="●"),IF($E100="正規職員","正",IF($E100="契約上の就業時間を記載","","実績を入力")),"-"))</f>
        <v/>
      </c>
      <c r="P100" s="10" t="str">
        <f>IF($B100="","",IF(OR('②-1職員名簿'!AM100="○",'②-1職員名簿'!AM100="●"),IF($E100="正規職員","正",IF($E100="契約上の就業時間を記載","","実績を入力")),"-"))</f>
        <v/>
      </c>
      <c r="Q100" s="10" t="str">
        <f>IF($B100="","",IF(OR('②-1職員名簿'!AN100="○",'②-1職員名簿'!AN100="●"),IF($E100="正規職員","正",IF($E100="契約上の就業時間を記載","","実績を入力")),"-"))</f>
        <v/>
      </c>
      <c r="R100" s="104" t="str">
        <f>IF($B100="","",IF(OR('②-1職員名簿'!AC100="○",'②-1職員名簿'!AC100="●"),IF($E100="正規職員","正",IF($E100="契約上の就業時間を記載","",IF($E100&gt;=F$5,"常",F100))),"-"))</f>
        <v/>
      </c>
      <c r="S100" s="104" t="str">
        <f>IF($B100="","",IF(OR('②-1職員名簿'!AD100="○",'②-1職員名簿'!AD100="●"),IF($E100="正規職員","正",IF($E100="契約上の就業時間を記載","",IF($E100&gt;=G$5,"常",G100))),"-"))</f>
        <v/>
      </c>
      <c r="T100" s="104" t="str">
        <f>IF($B100="","",IF(OR('②-1職員名簿'!AE100="○",'②-1職員名簿'!AE100="●"),IF($E100="正規職員","正",IF($E100="契約上の就業時間を記載","",IF($E100&gt;=H$5,"常",H100))),"-"))</f>
        <v/>
      </c>
      <c r="U100" s="104" t="str">
        <f>IF($B100="","",IF(OR('②-1職員名簿'!AF100="○",'②-1職員名簿'!AF100="●"),IF($E100="正規職員","正",IF($E100="契約上の就業時間を記載","",IF($E100&gt;=I$5,"常",I100))),"-"))</f>
        <v/>
      </c>
      <c r="V100" s="104" t="str">
        <f>IF($B100="","",IF(OR('②-1職員名簿'!AG100="○",'②-1職員名簿'!AG100="●"),IF($E100="正規職員","正",IF($E100="契約上の就業時間を記載","",IF($E100&gt;=J$5,"常",J100))),"-"))</f>
        <v/>
      </c>
      <c r="W100" s="104" t="str">
        <f>IF($B100="","",IF(OR('②-1職員名簿'!AH100="○",'②-1職員名簿'!AH100="●"),IF($E100="正規職員","正",IF($E100="契約上の就業時間を記載","",IF($E100&gt;=K$5,"常",K100))),"-"))</f>
        <v/>
      </c>
      <c r="X100" s="104" t="str">
        <f>IF($B100="","",IF(OR('②-1職員名簿'!AI100="○",'②-1職員名簿'!AI100="●"),IF($E100="正規職員","正",IF($E100="契約上の就業時間を記載","",IF($E100&gt;=L$5,"常",L100))),"-"))</f>
        <v/>
      </c>
      <c r="Y100" s="104" t="str">
        <f>IF($B100="","",IF(OR('②-1職員名簿'!AJ100="○",'②-1職員名簿'!AJ100="●"),IF($E100="正規職員","正",IF($E100="契約上の就業時間を記載","",IF($E100&gt;=M$5,"常",M100))),"-"))</f>
        <v/>
      </c>
      <c r="Z100" s="104" t="str">
        <f>IF($B100="","",IF(OR('②-1職員名簿'!AK100="○",'②-1職員名簿'!AK100="●"),IF($E100="正規職員","正",IF($E100="契約上の就業時間を記載","",IF($E100&gt;=N$5,"常",N100))),"-"))</f>
        <v/>
      </c>
      <c r="AA100" s="104" t="str">
        <f>IF($B100="","",IF(OR('②-1職員名簿'!AL100="○",'②-1職員名簿'!AL100="●"),IF($E100="正規職員","正",IF($E100="契約上の就業時間を記載","",IF($E100&gt;=O$5,"常",O100))),"-"))</f>
        <v/>
      </c>
      <c r="AB100" s="104" t="str">
        <f>IF($B100="","",IF(OR('②-1職員名簿'!AM100="○",'②-1職員名簿'!AM100="●"),IF($E100="正規職員","正",IF($E100="契約上の就業時間を記載","",IF($E100&gt;=P$5,"常",P100))),"-"))</f>
        <v/>
      </c>
      <c r="AC100" s="104" t="str">
        <f>IF($B100="","",IF(OR('②-1職員名簿'!AN100="○",'②-1職員名簿'!AN100="●"),IF($E100="正規職員","正",IF($E100="契約上の就業時間を記載","",IF($E100&gt;=Q$5,"常",Q100))),"-"))</f>
        <v/>
      </c>
      <c r="AE100" s="101" t="str">
        <f>IF('②-1職員名簿'!W100="","",'②-1職員名簿'!W100)</f>
        <v/>
      </c>
      <c r="AJ100" s="106" t="str">
        <f t="shared" si="37"/>
        <v>○</v>
      </c>
      <c r="AK100" s="106" t="str">
        <f t="shared" si="38"/>
        <v>○</v>
      </c>
      <c r="AL100" s="106" t="str">
        <f t="shared" si="39"/>
        <v>○</v>
      </c>
      <c r="AM100" s="106" t="str">
        <f t="shared" si="40"/>
        <v>○</v>
      </c>
      <c r="AN100" s="106" t="str">
        <f t="shared" si="41"/>
        <v>○</v>
      </c>
      <c r="AO100" s="106" t="str">
        <f t="shared" si="42"/>
        <v>○</v>
      </c>
      <c r="AP100" s="106" t="str">
        <f t="shared" si="43"/>
        <v>○</v>
      </c>
      <c r="AQ100" s="106" t="str">
        <f t="shared" si="44"/>
        <v>○</v>
      </c>
      <c r="AR100" s="106" t="str">
        <f t="shared" si="45"/>
        <v>○</v>
      </c>
      <c r="AS100" s="106" t="str">
        <f t="shared" si="46"/>
        <v>○</v>
      </c>
      <c r="AT100" s="106" t="str">
        <f t="shared" si="47"/>
        <v>○</v>
      </c>
      <c r="AU100" s="106" t="str">
        <f t="shared" si="48"/>
        <v>○</v>
      </c>
    </row>
    <row r="101" spans="1:47" s="106" customFormat="1" ht="23.15" customHeight="1">
      <c r="A101" s="102">
        <v>95</v>
      </c>
      <c r="B101" s="101" t="str">
        <f>IF('②-1職員名簿'!E101="","",'②-1職員名簿'!Y101)</f>
        <v/>
      </c>
      <c r="C101" s="104" t="str">
        <f>'②-1職員名簿'!BE101</f>
        <v/>
      </c>
      <c r="D101" s="136" t="str">
        <f t="shared" si="36"/>
        <v/>
      </c>
      <c r="E101" s="20" t="str">
        <f>IF($B101="","",IF(AND('②-1職員名簿'!C101="正",'②-1職員名簿'!D101="常"),"正規職員","契約上の就業時間を記載"))</f>
        <v/>
      </c>
      <c r="F101" s="10" t="str">
        <f>IF($B101="","",IF(OR('②-1職員名簿'!AC101="○",'②-1職員名簿'!AC101="●"),IF($E101="正規職員","正",IF($E101="契約上の就業時間を記載","","実績を入力")),"-"))</f>
        <v/>
      </c>
      <c r="G101" s="10" t="str">
        <f>IF($B101="","",IF(OR('②-1職員名簿'!AD101="○",'②-1職員名簿'!AD101="●"),IF($E101="正規職員","正",IF($E101="契約上の就業時間を記載","","実績を入力")),"-"))</f>
        <v/>
      </c>
      <c r="H101" s="10" t="str">
        <f>IF($B101="","",IF(OR('②-1職員名簿'!AE101="○",'②-1職員名簿'!AE101="●"),IF($E101="正規職員","正",IF($E101="契約上の就業時間を記載","","実績を入力")),"-"))</f>
        <v/>
      </c>
      <c r="I101" s="10" t="str">
        <f>IF($B101="","",IF(OR('②-1職員名簿'!AF101="○",'②-1職員名簿'!AF101="●"),IF($E101="正規職員","正",IF($E101="契約上の就業時間を記載","","実績を入力")),"-"))</f>
        <v/>
      </c>
      <c r="J101" s="10" t="str">
        <f>IF($B101="","",IF(OR('②-1職員名簿'!AG101="○",'②-1職員名簿'!AG101="●"),IF($E101="正規職員","正",IF($E101="契約上の就業時間を記載","","実績を入力")),"-"))</f>
        <v/>
      </c>
      <c r="K101" s="10" t="str">
        <f>IF($B101="","",IF(OR('②-1職員名簿'!AH101="○",'②-1職員名簿'!AH101="●"),IF($E101="正規職員","正",IF($E101="契約上の就業時間を記載","","実績を入力")),"-"))</f>
        <v/>
      </c>
      <c r="L101" s="10" t="str">
        <f>IF($B101="","",IF(OR('②-1職員名簿'!AI101="○",'②-1職員名簿'!AI101="●"),IF($E101="正規職員","正",IF($E101="契約上の就業時間を記載","","実績を入力")),"-"))</f>
        <v/>
      </c>
      <c r="M101" s="10" t="str">
        <f>IF($B101="","",IF(OR('②-1職員名簿'!AJ101="○",'②-1職員名簿'!AJ101="●"),IF($E101="正規職員","正",IF($E101="契約上の就業時間を記載","","実績を入力")),"-"))</f>
        <v/>
      </c>
      <c r="N101" s="10" t="str">
        <f>IF($B101="","",IF(OR('②-1職員名簿'!AK101="○",'②-1職員名簿'!AK101="●"),IF($E101="正規職員","正",IF($E101="契約上の就業時間を記載","","実績を入力")),"-"))</f>
        <v/>
      </c>
      <c r="O101" s="10" t="str">
        <f>IF($B101="","",IF(OR('②-1職員名簿'!AL101="○",'②-1職員名簿'!AL101="●"),IF($E101="正規職員","正",IF($E101="契約上の就業時間を記載","","実績を入力")),"-"))</f>
        <v/>
      </c>
      <c r="P101" s="10" t="str">
        <f>IF($B101="","",IF(OR('②-1職員名簿'!AM101="○",'②-1職員名簿'!AM101="●"),IF($E101="正規職員","正",IF($E101="契約上の就業時間を記載","","実績を入力")),"-"))</f>
        <v/>
      </c>
      <c r="Q101" s="10" t="str">
        <f>IF($B101="","",IF(OR('②-1職員名簿'!AN101="○",'②-1職員名簿'!AN101="●"),IF($E101="正規職員","正",IF($E101="契約上の就業時間を記載","","実績を入力")),"-"))</f>
        <v/>
      </c>
      <c r="R101" s="104" t="str">
        <f>IF($B101="","",IF(OR('②-1職員名簿'!AC101="○",'②-1職員名簿'!AC101="●"),IF($E101="正規職員","正",IF($E101="契約上の就業時間を記載","",IF($E101&gt;=F$5,"常",F101))),"-"))</f>
        <v/>
      </c>
      <c r="S101" s="104" t="str">
        <f>IF($B101="","",IF(OR('②-1職員名簿'!AD101="○",'②-1職員名簿'!AD101="●"),IF($E101="正規職員","正",IF($E101="契約上の就業時間を記載","",IF($E101&gt;=G$5,"常",G101))),"-"))</f>
        <v/>
      </c>
      <c r="T101" s="104" t="str">
        <f>IF($B101="","",IF(OR('②-1職員名簿'!AE101="○",'②-1職員名簿'!AE101="●"),IF($E101="正規職員","正",IF($E101="契約上の就業時間を記載","",IF($E101&gt;=H$5,"常",H101))),"-"))</f>
        <v/>
      </c>
      <c r="U101" s="104" t="str">
        <f>IF($B101="","",IF(OR('②-1職員名簿'!AF101="○",'②-1職員名簿'!AF101="●"),IF($E101="正規職員","正",IF($E101="契約上の就業時間を記載","",IF($E101&gt;=I$5,"常",I101))),"-"))</f>
        <v/>
      </c>
      <c r="V101" s="104" t="str">
        <f>IF($B101="","",IF(OR('②-1職員名簿'!AG101="○",'②-1職員名簿'!AG101="●"),IF($E101="正規職員","正",IF($E101="契約上の就業時間を記載","",IF($E101&gt;=J$5,"常",J101))),"-"))</f>
        <v/>
      </c>
      <c r="W101" s="104" t="str">
        <f>IF($B101="","",IF(OR('②-1職員名簿'!AH101="○",'②-1職員名簿'!AH101="●"),IF($E101="正規職員","正",IF($E101="契約上の就業時間を記載","",IF($E101&gt;=K$5,"常",K101))),"-"))</f>
        <v/>
      </c>
      <c r="X101" s="104" t="str">
        <f>IF($B101="","",IF(OR('②-1職員名簿'!AI101="○",'②-1職員名簿'!AI101="●"),IF($E101="正規職員","正",IF($E101="契約上の就業時間を記載","",IF($E101&gt;=L$5,"常",L101))),"-"))</f>
        <v/>
      </c>
      <c r="Y101" s="104" t="str">
        <f>IF($B101="","",IF(OR('②-1職員名簿'!AJ101="○",'②-1職員名簿'!AJ101="●"),IF($E101="正規職員","正",IF($E101="契約上の就業時間を記載","",IF($E101&gt;=M$5,"常",M101))),"-"))</f>
        <v/>
      </c>
      <c r="Z101" s="104" t="str">
        <f>IF($B101="","",IF(OR('②-1職員名簿'!AK101="○",'②-1職員名簿'!AK101="●"),IF($E101="正規職員","正",IF($E101="契約上の就業時間を記載","",IF($E101&gt;=N$5,"常",N101))),"-"))</f>
        <v/>
      </c>
      <c r="AA101" s="104" t="str">
        <f>IF($B101="","",IF(OR('②-1職員名簿'!AL101="○",'②-1職員名簿'!AL101="●"),IF($E101="正規職員","正",IF($E101="契約上の就業時間を記載","",IF($E101&gt;=O$5,"常",O101))),"-"))</f>
        <v/>
      </c>
      <c r="AB101" s="104" t="str">
        <f>IF($B101="","",IF(OR('②-1職員名簿'!AM101="○",'②-1職員名簿'!AM101="●"),IF($E101="正規職員","正",IF($E101="契約上の就業時間を記載","",IF($E101&gt;=P$5,"常",P101))),"-"))</f>
        <v/>
      </c>
      <c r="AC101" s="104" t="str">
        <f>IF($B101="","",IF(OR('②-1職員名簿'!AN101="○",'②-1職員名簿'!AN101="●"),IF($E101="正規職員","正",IF($E101="契約上の就業時間を記載","",IF($E101&gt;=Q$5,"常",Q101))),"-"))</f>
        <v/>
      </c>
      <c r="AE101" s="101" t="str">
        <f>IF('②-1職員名簿'!W101="","",'②-1職員名簿'!W101)</f>
        <v/>
      </c>
      <c r="AJ101" s="106" t="str">
        <f t="shared" si="37"/>
        <v>○</v>
      </c>
      <c r="AK101" s="106" t="str">
        <f t="shared" si="38"/>
        <v>○</v>
      </c>
      <c r="AL101" s="106" t="str">
        <f t="shared" si="39"/>
        <v>○</v>
      </c>
      <c r="AM101" s="106" t="str">
        <f t="shared" si="40"/>
        <v>○</v>
      </c>
      <c r="AN101" s="106" t="str">
        <f t="shared" si="41"/>
        <v>○</v>
      </c>
      <c r="AO101" s="106" t="str">
        <f t="shared" si="42"/>
        <v>○</v>
      </c>
      <c r="AP101" s="106" t="str">
        <f t="shared" si="43"/>
        <v>○</v>
      </c>
      <c r="AQ101" s="106" t="str">
        <f t="shared" si="44"/>
        <v>○</v>
      </c>
      <c r="AR101" s="106" t="str">
        <f t="shared" si="45"/>
        <v>○</v>
      </c>
      <c r="AS101" s="106" t="str">
        <f t="shared" si="46"/>
        <v>○</v>
      </c>
      <c r="AT101" s="106" t="str">
        <f t="shared" si="47"/>
        <v>○</v>
      </c>
      <c r="AU101" s="106" t="str">
        <f t="shared" si="48"/>
        <v>○</v>
      </c>
    </row>
    <row r="102" spans="1:47" s="106" customFormat="1" ht="23.15" customHeight="1">
      <c r="A102" s="102">
        <v>96</v>
      </c>
      <c r="B102" s="101" t="str">
        <f>IF('②-1職員名簿'!E102="","",'②-1職員名簿'!Y102)</f>
        <v/>
      </c>
      <c r="C102" s="104" t="str">
        <f>'②-1職員名簿'!BE102</f>
        <v/>
      </c>
      <c r="D102" s="136" t="str">
        <f t="shared" si="36"/>
        <v/>
      </c>
      <c r="E102" s="20" t="str">
        <f>IF($B102="","",IF(AND('②-1職員名簿'!C102="正",'②-1職員名簿'!D102="常"),"正規職員","契約上の就業時間を記載"))</f>
        <v/>
      </c>
      <c r="F102" s="10" t="str">
        <f>IF($B102="","",IF(OR('②-1職員名簿'!AC102="○",'②-1職員名簿'!AC102="●"),IF($E102="正規職員","正",IF($E102="契約上の就業時間を記載","","実績を入力")),"-"))</f>
        <v/>
      </c>
      <c r="G102" s="10" t="str">
        <f>IF($B102="","",IF(OR('②-1職員名簿'!AD102="○",'②-1職員名簿'!AD102="●"),IF($E102="正規職員","正",IF($E102="契約上の就業時間を記載","","実績を入力")),"-"))</f>
        <v/>
      </c>
      <c r="H102" s="10" t="str">
        <f>IF($B102="","",IF(OR('②-1職員名簿'!AE102="○",'②-1職員名簿'!AE102="●"),IF($E102="正規職員","正",IF($E102="契約上の就業時間を記載","","実績を入力")),"-"))</f>
        <v/>
      </c>
      <c r="I102" s="10" t="str">
        <f>IF($B102="","",IF(OR('②-1職員名簿'!AF102="○",'②-1職員名簿'!AF102="●"),IF($E102="正規職員","正",IF($E102="契約上の就業時間を記載","","実績を入力")),"-"))</f>
        <v/>
      </c>
      <c r="J102" s="10" t="str">
        <f>IF($B102="","",IF(OR('②-1職員名簿'!AG102="○",'②-1職員名簿'!AG102="●"),IF($E102="正規職員","正",IF($E102="契約上の就業時間を記載","","実績を入力")),"-"))</f>
        <v/>
      </c>
      <c r="K102" s="10" t="str">
        <f>IF($B102="","",IF(OR('②-1職員名簿'!AH102="○",'②-1職員名簿'!AH102="●"),IF($E102="正規職員","正",IF($E102="契約上の就業時間を記載","","実績を入力")),"-"))</f>
        <v/>
      </c>
      <c r="L102" s="10" t="str">
        <f>IF($B102="","",IF(OR('②-1職員名簿'!AI102="○",'②-1職員名簿'!AI102="●"),IF($E102="正規職員","正",IF($E102="契約上の就業時間を記載","","実績を入力")),"-"))</f>
        <v/>
      </c>
      <c r="M102" s="10" t="str">
        <f>IF($B102="","",IF(OR('②-1職員名簿'!AJ102="○",'②-1職員名簿'!AJ102="●"),IF($E102="正規職員","正",IF($E102="契約上の就業時間を記載","","実績を入力")),"-"))</f>
        <v/>
      </c>
      <c r="N102" s="10" t="str">
        <f>IF($B102="","",IF(OR('②-1職員名簿'!AK102="○",'②-1職員名簿'!AK102="●"),IF($E102="正規職員","正",IF($E102="契約上の就業時間を記載","","実績を入力")),"-"))</f>
        <v/>
      </c>
      <c r="O102" s="10" t="str">
        <f>IF($B102="","",IF(OR('②-1職員名簿'!AL102="○",'②-1職員名簿'!AL102="●"),IF($E102="正規職員","正",IF($E102="契約上の就業時間を記載","","実績を入力")),"-"))</f>
        <v/>
      </c>
      <c r="P102" s="10" t="str">
        <f>IF($B102="","",IF(OR('②-1職員名簿'!AM102="○",'②-1職員名簿'!AM102="●"),IF($E102="正規職員","正",IF($E102="契約上の就業時間を記載","","実績を入力")),"-"))</f>
        <v/>
      </c>
      <c r="Q102" s="10" t="str">
        <f>IF($B102="","",IF(OR('②-1職員名簿'!AN102="○",'②-1職員名簿'!AN102="●"),IF($E102="正規職員","正",IF($E102="契約上の就業時間を記載","","実績を入力")),"-"))</f>
        <v/>
      </c>
      <c r="R102" s="104" t="str">
        <f>IF($B102="","",IF(OR('②-1職員名簿'!AC102="○",'②-1職員名簿'!AC102="●"),IF($E102="正規職員","正",IF($E102="契約上の就業時間を記載","",IF($E102&gt;=F$5,"常",F102))),"-"))</f>
        <v/>
      </c>
      <c r="S102" s="104" t="str">
        <f>IF($B102="","",IF(OR('②-1職員名簿'!AD102="○",'②-1職員名簿'!AD102="●"),IF($E102="正規職員","正",IF($E102="契約上の就業時間を記載","",IF($E102&gt;=G$5,"常",G102))),"-"))</f>
        <v/>
      </c>
      <c r="T102" s="104" t="str">
        <f>IF($B102="","",IF(OR('②-1職員名簿'!AE102="○",'②-1職員名簿'!AE102="●"),IF($E102="正規職員","正",IF($E102="契約上の就業時間を記載","",IF($E102&gt;=H$5,"常",H102))),"-"))</f>
        <v/>
      </c>
      <c r="U102" s="104" t="str">
        <f>IF($B102="","",IF(OR('②-1職員名簿'!AF102="○",'②-1職員名簿'!AF102="●"),IF($E102="正規職員","正",IF($E102="契約上の就業時間を記載","",IF($E102&gt;=I$5,"常",I102))),"-"))</f>
        <v/>
      </c>
      <c r="V102" s="104" t="str">
        <f>IF($B102="","",IF(OR('②-1職員名簿'!AG102="○",'②-1職員名簿'!AG102="●"),IF($E102="正規職員","正",IF($E102="契約上の就業時間を記載","",IF($E102&gt;=J$5,"常",J102))),"-"))</f>
        <v/>
      </c>
      <c r="W102" s="104" t="str">
        <f>IF($B102="","",IF(OR('②-1職員名簿'!AH102="○",'②-1職員名簿'!AH102="●"),IF($E102="正規職員","正",IF($E102="契約上の就業時間を記載","",IF($E102&gt;=K$5,"常",K102))),"-"))</f>
        <v/>
      </c>
      <c r="X102" s="104" t="str">
        <f>IF($B102="","",IF(OR('②-1職員名簿'!AI102="○",'②-1職員名簿'!AI102="●"),IF($E102="正規職員","正",IF($E102="契約上の就業時間を記載","",IF($E102&gt;=L$5,"常",L102))),"-"))</f>
        <v/>
      </c>
      <c r="Y102" s="104" t="str">
        <f>IF($B102="","",IF(OR('②-1職員名簿'!AJ102="○",'②-1職員名簿'!AJ102="●"),IF($E102="正規職員","正",IF($E102="契約上の就業時間を記載","",IF($E102&gt;=M$5,"常",M102))),"-"))</f>
        <v/>
      </c>
      <c r="Z102" s="104" t="str">
        <f>IF($B102="","",IF(OR('②-1職員名簿'!AK102="○",'②-1職員名簿'!AK102="●"),IF($E102="正規職員","正",IF($E102="契約上の就業時間を記載","",IF($E102&gt;=N$5,"常",N102))),"-"))</f>
        <v/>
      </c>
      <c r="AA102" s="104" t="str">
        <f>IF($B102="","",IF(OR('②-1職員名簿'!AL102="○",'②-1職員名簿'!AL102="●"),IF($E102="正規職員","正",IF($E102="契約上の就業時間を記載","",IF($E102&gt;=O$5,"常",O102))),"-"))</f>
        <v/>
      </c>
      <c r="AB102" s="104" t="str">
        <f>IF($B102="","",IF(OR('②-1職員名簿'!AM102="○",'②-1職員名簿'!AM102="●"),IF($E102="正規職員","正",IF($E102="契約上の就業時間を記載","",IF($E102&gt;=P$5,"常",P102))),"-"))</f>
        <v/>
      </c>
      <c r="AC102" s="104" t="str">
        <f>IF($B102="","",IF(OR('②-1職員名簿'!AN102="○",'②-1職員名簿'!AN102="●"),IF($E102="正規職員","正",IF($E102="契約上の就業時間を記載","",IF($E102&gt;=Q$5,"常",Q102))),"-"))</f>
        <v/>
      </c>
      <c r="AE102" s="101" t="str">
        <f>IF('②-1職員名簿'!W102="","",'②-1職員名簿'!W102)</f>
        <v/>
      </c>
      <c r="AJ102" s="106" t="str">
        <f t="shared" si="37"/>
        <v>○</v>
      </c>
      <c r="AK102" s="106" t="str">
        <f t="shared" si="38"/>
        <v>○</v>
      </c>
      <c r="AL102" s="106" t="str">
        <f t="shared" si="39"/>
        <v>○</v>
      </c>
      <c r="AM102" s="106" t="str">
        <f t="shared" si="40"/>
        <v>○</v>
      </c>
      <c r="AN102" s="106" t="str">
        <f t="shared" si="41"/>
        <v>○</v>
      </c>
      <c r="AO102" s="106" t="str">
        <f t="shared" si="42"/>
        <v>○</v>
      </c>
      <c r="AP102" s="106" t="str">
        <f t="shared" si="43"/>
        <v>○</v>
      </c>
      <c r="AQ102" s="106" t="str">
        <f t="shared" si="44"/>
        <v>○</v>
      </c>
      <c r="AR102" s="106" t="str">
        <f t="shared" si="45"/>
        <v>○</v>
      </c>
      <c r="AS102" s="106" t="str">
        <f t="shared" si="46"/>
        <v>○</v>
      </c>
      <c r="AT102" s="106" t="str">
        <f t="shared" si="47"/>
        <v>○</v>
      </c>
      <c r="AU102" s="106" t="str">
        <f t="shared" si="48"/>
        <v>○</v>
      </c>
    </row>
    <row r="103" spans="1:47" s="106" customFormat="1" ht="23.15" customHeight="1">
      <c r="A103" s="102">
        <v>97</v>
      </c>
      <c r="B103" s="101" t="str">
        <f>IF('②-1職員名簿'!E103="","",'②-1職員名簿'!Y103)</f>
        <v/>
      </c>
      <c r="C103" s="104" t="str">
        <f>'②-1職員名簿'!BE103</f>
        <v/>
      </c>
      <c r="D103" s="136" t="str">
        <f t="shared" si="36"/>
        <v/>
      </c>
      <c r="E103" s="20" t="str">
        <f>IF($B103="","",IF(AND('②-1職員名簿'!C103="正",'②-1職員名簿'!D103="常"),"正規職員","契約上の就業時間を記載"))</f>
        <v/>
      </c>
      <c r="F103" s="10" t="str">
        <f>IF($B103="","",IF(OR('②-1職員名簿'!AC103="○",'②-1職員名簿'!AC103="●"),IF($E103="正規職員","正",IF($E103="契約上の就業時間を記載","","実績を入力")),"-"))</f>
        <v/>
      </c>
      <c r="G103" s="10" t="str">
        <f>IF($B103="","",IF(OR('②-1職員名簿'!AD103="○",'②-1職員名簿'!AD103="●"),IF($E103="正規職員","正",IF($E103="契約上の就業時間を記載","","実績を入力")),"-"))</f>
        <v/>
      </c>
      <c r="H103" s="10" t="str">
        <f>IF($B103="","",IF(OR('②-1職員名簿'!AE103="○",'②-1職員名簿'!AE103="●"),IF($E103="正規職員","正",IF($E103="契約上の就業時間を記載","","実績を入力")),"-"))</f>
        <v/>
      </c>
      <c r="I103" s="10" t="str">
        <f>IF($B103="","",IF(OR('②-1職員名簿'!AF103="○",'②-1職員名簿'!AF103="●"),IF($E103="正規職員","正",IF($E103="契約上の就業時間を記載","","実績を入力")),"-"))</f>
        <v/>
      </c>
      <c r="J103" s="10" t="str">
        <f>IF($B103="","",IF(OR('②-1職員名簿'!AG103="○",'②-1職員名簿'!AG103="●"),IF($E103="正規職員","正",IF($E103="契約上の就業時間を記載","","実績を入力")),"-"))</f>
        <v/>
      </c>
      <c r="K103" s="10" t="str">
        <f>IF($B103="","",IF(OR('②-1職員名簿'!AH103="○",'②-1職員名簿'!AH103="●"),IF($E103="正規職員","正",IF($E103="契約上の就業時間を記載","","実績を入力")),"-"))</f>
        <v/>
      </c>
      <c r="L103" s="10" t="str">
        <f>IF($B103="","",IF(OR('②-1職員名簿'!AI103="○",'②-1職員名簿'!AI103="●"),IF($E103="正規職員","正",IF($E103="契約上の就業時間を記載","","実績を入力")),"-"))</f>
        <v/>
      </c>
      <c r="M103" s="10" t="str">
        <f>IF($B103="","",IF(OR('②-1職員名簿'!AJ103="○",'②-1職員名簿'!AJ103="●"),IF($E103="正規職員","正",IF($E103="契約上の就業時間を記載","","実績を入力")),"-"))</f>
        <v/>
      </c>
      <c r="N103" s="10" t="str">
        <f>IF($B103="","",IF(OR('②-1職員名簿'!AK103="○",'②-1職員名簿'!AK103="●"),IF($E103="正規職員","正",IF($E103="契約上の就業時間を記載","","実績を入力")),"-"))</f>
        <v/>
      </c>
      <c r="O103" s="10" t="str">
        <f>IF($B103="","",IF(OR('②-1職員名簿'!AL103="○",'②-1職員名簿'!AL103="●"),IF($E103="正規職員","正",IF($E103="契約上の就業時間を記載","","実績を入力")),"-"))</f>
        <v/>
      </c>
      <c r="P103" s="10" t="str">
        <f>IF($B103="","",IF(OR('②-1職員名簿'!AM103="○",'②-1職員名簿'!AM103="●"),IF($E103="正規職員","正",IF($E103="契約上の就業時間を記載","","実績を入力")),"-"))</f>
        <v/>
      </c>
      <c r="Q103" s="10" t="str">
        <f>IF($B103="","",IF(OR('②-1職員名簿'!AN103="○",'②-1職員名簿'!AN103="●"),IF($E103="正規職員","正",IF($E103="契約上の就業時間を記載","","実績を入力")),"-"))</f>
        <v/>
      </c>
      <c r="R103" s="104" t="str">
        <f>IF($B103="","",IF(OR('②-1職員名簿'!AC103="○",'②-1職員名簿'!AC103="●"),IF($E103="正規職員","正",IF($E103="契約上の就業時間を記載","",IF($E103&gt;=F$5,"常",F103))),"-"))</f>
        <v/>
      </c>
      <c r="S103" s="104" t="str">
        <f>IF($B103="","",IF(OR('②-1職員名簿'!AD103="○",'②-1職員名簿'!AD103="●"),IF($E103="正規職員","正",IF($E103="契約上の就業時間を記載","",IF($E103&gt;=G$5,"常",G103))),"-"))</f>
        <v/>
      </c>
      <c r="T103" s="104" t="str">
        <f>IF($B103="","",IF(OR('②-1職員名簿'!AE103="○",'②-1職員名簿'!AE103="●"),IF($E103="正規職員","正",IF($E103="契約上の就業時間を記載","",IF($E103&gt;=H$5,"常",H103))),"-"))</f>
        <v/>
      </c>
      <c r="U103" s="104" t="str">
        <f>IF($B103="","",IF(OR('②-1職員名簿'!AF103="○",'②-1職員名簿'!AF103="●"),IF($E103="正規職員","正",IF($E103="契約上の就業時間を記載","",IF($E103&gt;=I$5,"常",I103))),"-"))</f>
        <v/>
      </c>
      <c r="V103" s="104" t="str">
        <f>IF($B103="","",IF(OR('②-1職員名簿'!AG103="○",'②-1職員名簿'!AG103="●"),IF($E103="正規職員","正",IF($E103="契約上の就業時間を記載","",IF($E103&gt;=J$5,"常",J103))),"-"))</f>
        <v/>
      </c>
      <c r="W103" s="104" t="str">
        <f>IF($B103="","",IF(OR('②-1職員名簿'!AH103="○",'②-1職員名簿'!AH103="●"),IF($E103="正規職員","正",IF($E103="契約上の就業時間を記載","",IF($E103&gt;=K$5,"常",K103))),"-"))</f>
        <v/>
      </c>
      <c r="X103" s="104" t="str">
        <f>IF($B103="","",IF(OR('②-1職員名簿'!AI103="○",'②-1職員名簿'!AI103="●"),IF($E103="正規職員","正",IF($E103="契約上の就業時間を記載","",IF($E103&gt;=L$5,"常",L103))),"-"))</f>
        <v/>
      </c>
      <c r="Y103" s="104" t="str">
        <f>IF($B103="","",IF(OR('②-1職員名簿'!AJ103="○",'②-1職員名簿'!AJ103="●"),IF($E103="正規職員","正",IF($E103="契約上の就業時間を記載","",IF($E103&gt;=M$5,"常",M103))),"-"))</f>
        <v/>
      </c>
      <c r="Z103" s="104" t="str">
        <f>IF($B103="","",IF(OR('②-1職員名簿'!AK103="○",'②-1職員名簿'!AK103="●"),IF($E103="正規職員","正",IF($E103="契約上の就業時間を記載","",IF($E103&gt;=N$5,"常",N103))),"-"))</f>
        <v/>
      </c>
      <c r="AA103" s="104" t="str">
        <f>IF($B103="","",IF(OR('②-1職員名簿'!AL103="○",'②-1職員名簿'!AL103="●"),IF($E103="正規職員","正",IF($E103="契約上の就業時間を記載","",IF($E103&gt;=O$5,"常",O103))),"-"))</f>
        <v/>
      </c>
      <c r="AB103" s="104" t="str">
        <f>IF($B103="","",IF(OR('②-1職員名簿'!AM103="○",'②-1職員名簿'!AM103="●"),IF($E103="正規職員","正",IF($E103="契約上の就業時間を記載","",IF($E103&gt;=P$5,"常",P103))),"-"))</f>
        <v/>
      </c>
      <c r="AC103" s="104" t="str">
        <f>IF($B103="","",IF(OR('②-1職員名簿'!AN103="○",'②-1職員名簿'!AN103="●"),IF($E103="正規職員","正",IF($E103="契約上の就業時間を記載","",IF($E103&gt;=Q$5,"常",Q103))),"-"))</f>
        <v/>
      </c>
      <c r="AE103" s="101" t="str">
        <f>IF('②-1職員名簿'!W103="","",'②-1職員名簿'!W103)</f>
        <v/>
      </c>
      <c r="AJ103" s="106" t="str">
        <f t="shared" si="37"/>
        <v>○</v>
      </c>
      <c r="AK103" s="106" t="str">
        <f t="shared" si="38"/>
        <v>○</v>
      </c>
      <c r="AL103" s="106" t="str">
        <f t="shared" si="39"/>
        <v>○</v>
      </c>
      <c r="AM103" s="106" t="str">
        <f t="shared" si="40"/>
        <v>○</v>
      </c>
      <c r="AN103" s="106" t="str">
        <f t="shared" si="41"/>
        <v>○</v>
      </c>
      <c r="AO103" s="106" t="str">
        <f t="shared" si="42"/>
        <v>○</v>
      </c>
      <c r="AP103" s="106" t="str">
        <f t="shared" si="43"/>
        <v>○</v>
      </c>
      <c r="AQ103" s="106" t="str">
        <f t="shared" si="44"/>
        <v>○</v>
      </c>
      <c r="AR103" s="106" t="str">
        <f t="shared" si="45"/>
        <v>○</v>
      </c>
      <c r="AS103" s="106" t="str">
        <f t="shared" si="46"/>
        <v>○</v>
      </c>
      <c r="AT103" s="106" t="str">
        <f t="shared" si="47"/>
        <v>○</v>
      </c>
      <c r="AU103" s="106" t="str">
        <f t="shared" si="48"/>
        <v>○</v>
      </c>
    </row>
    <row r="104" spans="1:47" s="106" customFormat="1" ht="23.15" customHeight="1">
      <c r="A104" s="102">
        <v>98</v>
      </c>
      <c r="B104" s="101" t="str">
        <f>IF('②-1職員名簿'!E104="","",'②-1職員名簿'!Y104)</f>
        <v/>
      </c>
      <c r="C104" s="104" t="str">
        <f>'②-1職員名簿'!BE104</f>
        <v/>
      </c>
      <c r="D104" s="136" t="str">
        <f t="shared" si="36"/>
        <v/>
      </c>
      <c r="E104" s="20" t="str">
        <f>IF($B104="","",IF(AND('②-1職員名簿'!C104="正",'②-1職員名簿'!D104="常"),"正規職員","契約上の就業時間を記載"))</f>
        <v/>
      </c>
      <c r="F104" s="10" t="str">
        <f>IF($B104="","",IF(OR('②-1職員名簿'!AC104="○",'②-1職員名簿'!AC104="●"),IF($E104="正規職員","正",IF($E104="契約上の就業時間を記載","","実績を入力")),"-"))</f>
        <v/>
      </c>
      <c r="G104" s="10" t="str">
        <f>IF($B104="","",IF(OR('②-1職員名簿'!AD104="○",'②-1職員名簿'!AD104="●"),IF($E104="正規職員","正",IF($E104="契約上の就業時間を記載","","実績を入力")),"-"))</f>
        <v/>
      </c>
      <c r="H104" s="10" t="str">
        <f>IF($B104="","",IF(OR('②-1職員名簿'!AE104="○",'②-1職員名簿'!AE104="●"),IF($E104="正規職員","正",IF($E104="契約上の就業時間を記載","","実績を入力")),"-"))</f>
        <v/>
      </c>
      <c r="I104" s="10" t="str">
        <f>IF($B104="","",IF(OR('②-1職員名簿'!AF104="○",'②-1職員名簿'!AF104="●"),IF($E104="正規職員","正",IF($E104="契約上の就業時間を記載","","実績を入力")),"-"))</f>
        <v/>
      </c>
      <c r="J104" s="10" t="str">
        <f>IF($B104="","",IF(OR('②-1職員名簿'!AG104="○",'②-1職員名簿'!AG104="●"),IF($E104="正規職員","正",IF($E104="契約上の就業時間を記載","","実績を入力")),"-"))</f>
        <v/>
      </c>
      <c r="K104" s="10" t="str">
        <f>IF($B104="","",IF(OR('②-1職員名簿'!AH104="○",'②-1職員名簿'!AH104="●"),IF($E104="正規職員","正",IF($E104="契約上の就業時間を記載","","実績を入力")),"-"))</f>
        <v/>
      </c>
      <c r="L104" s="10" t="str">
        <f>IF($B104="","",IF(OR('②-1職員名簿'!AI104="○",'②-1職員名簿'!AI104="●"),IF($E104="正規職員","正",IF($E104="契約上の就業時間を記載","","実績を入力")),"-"))</f>
        <v/>
      </c>
      <c r="M104" s="10" t="str">
        <f>IF($B104="","",IF(OR('②-1職員名簿'!AJ104="○",'②-1職員名簿'!AJ104="●"),IF($E104="正規職員","正",IF($E104="契約上の就業時間を記載","","実績を入力")),"-"))</f>
        <v/>
      </c>
      <c r="N104" s="10" t="str">
        <f>IF($B104="","",IF(OR('②-1職員名簿'!AK104="○",'②-1職員名簿'!AK104="●"),IF($E104="正規職員","正",IF($E104="契約上の就業時間を記載","","実績を入力")),"-"))</f>
        <v/>
      </c>
      <c r="O104" s="10" t="str">
        <f>IF($B104="","",IF(OR('②-1職員名簿'!AL104="○",'②-1職員名簿'!AL104="●"),IF($E104="正規職員","正",IF($E104="契約上の就業時間を記載","","実績を入力")),"-"))</f>
        <v/>
      </c>
      <c r="P104" s="10" t="str">
        <f>IF($B104="","",IF(OR('②-1職員名簿'!AM104="○",'②-1職員名簿'!AM104="●"),IF($E104="正規職員","正",IF($E104="契約上の就業時間を記載","","実績を入力")),"-"))</f>
        <v/>
      </c>
      <c r="Q104" s="10" t="str">
        <f>IF($B104="","",IF(OR('②-1職員名簿'!AN104="○",'②-1職員名簿'!AN104="●"),IF($E104="正規職員","正",IF($E104="契約上の就業時間を記載","","実績を入力")),"-"))</f>
        <v/>
      </c>
      <c r="R104" s="104" t="str">
        <f>IF($B104="","",IF(OR('②-1職員名簿'!AC104="○",'②-1職員名簿'!AC104="●"),IF($E104="正規職員","正",IF($E104="契約上の就業時間を記載","",IF($E104&gt;=F$5,"常",F104))),"-"))</f>
        <v/>
      </c>
      <c r="S104" s="104" t="str">
        <f>IF($B104="","",IF(OR('②-1職員名簿'!AD104="○",'②-1職員名簿'!AD104="●"),IF($E104="正規職員","正",IF($E104="契約上の就業時間を記載","",IF($E104&gt;=G$5,"常",G104))),"-"))</f>
        <v/>
      </c>
      <c r="T104" s="104" t="str">
        <f>IF($B104="","",IF(OR('②-1職員名簿'!AE104="○",'②-1職員名簿'!AE104="●"),IF($E104="正規職員","正",IF($E104="契約上の就業時間を記載","",IF($E104&gt;=H$5,"常",H104))),"-"))</f>
        <v/>
      </c>
      <c r="U104" s="104" t="str">
        <f>IF($B104="","",IF(OR('②-1職員名簿'!AF104="○",'②-1職員名簿'!AF104="●"),IF($E104="正規職員","正",IF($E104="契約上の就業時間を記載","",IF($E104&gt;=I$5,"常",I104))),"-"))</f>
        <v/>
      </c>
      <c r="V104" s="104" t="str">
        <f>IF($B104="","",IF(OR('②-1職員名簿'!AG104="○",'②-1職員名簿'!AG104="●"),IF($E104="正規職員","正",IF($E104="契約上の就業時間を記載","",IF($E104&gt;=J$5,"常",J104))),"-"))</f>
        <v/>
      </c>
      <c r="W104" s="104" t="str">
        <f>IF($B104="","",IF(OR('②-1職員名簿'!AH104="○",'②-1職員名簿'!AH104="●"),IF($E104="正規職員","正",IF($E104="契約上の就業時間を記載","",IF($E104&gt;=K$5,"常",K104))),"-"))</f>
        <v/>
      </c>
      <c r="X104" s="104" t="str">
        <f>IF($B104="","",IF(OR('②-1職員名簿'!AI104="○",'②-1職員名簿'!AI104="●"),IF($E104="正規職員","正",IF($E104="契約上の就業時間を記載","",IF($E104&gt;=L$5,"常",L104))),"-"))</f>
        <v/>
      </c>
      <c r="Y104" s="104" t="str">
        <f>IF($B104="","",IF(OR('②-1職員名簿'!AJ104="○",'②-1職員名簿'!AJ104="●"),IF($E104="正規職員","正",IF($E104="契約上の就業時間を記載","",IF($E104&gt;=M$5,"常",M104))),"-"))</f>
        <v/>
      </c>
      <c r="Z104" s="104" t="str">
        <f>IF($B104="","",IF(OR('②-1職員名簿'!AK104="○",'②-1職員名簿'!AK104="●"),IF($E104="正規職員","正",IF($E104="契約上の就業時間を記載","",IF($E104&gt;=N$5,"常",N104))),"-"))</f>
        <v/>
      </c>
      <c r="AA104" s="104" t="str">
        <f>IF($B104="","",IF(OR('②-1職員名簿'!AL104="○",'②-1職員名簿'!AL104="●"),IF($E104="正規職員","正",IF($E104="契約上の就業時間を記載","",IF($E104&gt;=O$5,"常",O104))),"-"))</f>
        <v/>
      </c>
      <c r="AB104" s="104" t="str">
        <f>IF($B104="","",IF(OR('②-1職員名簿'!AM104="○",'②-1職員名簿'!AM104="●"),IF($E104="正規職員","正",IF($E104="契約上の就業時間を記載","",IF($E104&gt;=P$5,"常",P104))),"-"))</f>
        <v/>
      </c>
      <c r="AC104" s="104" t="str">
        <f>IF($B104="","",IF(OR('②-1職員名簿'!AN104="○",'②-1職員名簿'!AN104="●"),IF($E104="正規職員","正",IF($E104="契約上の就業時間を記載","",IF($E104&gt;=Q$5,"常",Q104))),"-"))</f>
        <v/>
      </c>
      <c r="AE104" s="101" t="str">
        <f>IF('②-1職員名簿'!W104="","",'②-1職員名簿'!W104)</f>
        <v/>
      </c>
      <c r="AJ104" s="106" t="str">
        <f t="shared" si="37"/>
        <v>○</v>
      </c>
      <c r="AK104" s="106" t="str">
        <f t="shared" si="38"/>
        <v>○</v>
      </c>
      <c r="AL104" s="106" t="str">
        <f t="shared" si="39"/>
        <v>○</v>
      </c>
      <c r="AM104" s="106" t="str">
        <f t="shared" si="40"/>
        <v>○</v>
      </c>
      <c r="AN104" s="106" t="str">
        <f t="shared" si="41"/>
        <v>○</v>
      </c>
      <c r="AO104" s="106" t="str">
        <f t="shared" si="42"/>
        <v>○</v>
      </c>
      <c r="AP104" s="106" t="str">
        <f t="shared" si="43"/>
        <v>○</v>
      </c>
      <c r="AQ104" s="106" t="str">
        <f t="shared" si="44"/>
        <v>○</v>
      </c>
      <c r="AR104" s="106" t="str">
        <f t="shared" si="45"/>
        <v>○</v>
      </c>
      <c r="AS104" s="106" t="str">
        <f t="shared" si="46"/>
        <v>○</v>
      </c>
      <c r="AT104" s="106" t="str">
        <f t="shared" si="47"/>
        <v>○</v>
      </c>
      <c r="AU104" s="106" t="str">
        <f t="shared" si="48"/>
        <v>○</v>
      </c>
    </row>
    <row r="105" spans="1:47" s="106" customFormat="1" ht="23.15" customHeight="1">
      <c r="A105" s="102">
        <v>99</v>
      </c>
      <c r="B105" s="101" t="str">
        <f>IF('②-1職員名簿'!E105="","",'②-1職員名簿'!Y105)</f>
        <v/>
      </c>
      <c r="C105" s="104" t="str">
        <f>'②-1職員名簿'!BE105</f>
        <v/>
      </c>
      <c r="D105" s="136" t="str">
        <f t="shared" si="36"/>
        <v/>
      </c>
      <c r="E105" s="20" t="str">
        <f>IF($B105="","",IF(AND('②-1職員名簿'!C105="正",'②-1職員名簿'!D105="常"),"正規職員","契約上の就業時間を記載"))</f>
        <v/>
      </c>
      <c r="F105" s="10" t="str">
        <f>IF($B105="","",IF(OR('②-1職員名簿'!AC105="○",'②-1職員名簿'!AC105="●"),IF($E105="正規職員","正",IF($E105="契約上の就業時間を記載","","実績を入力")),"-"))</f>
        <v/>
      </c>
      <c r="G105" s="10" t="str">
        <f>IF($B105="","",IF(OR('②-1職員名簿'!AD105="○",'②-1職員名簿'!AD105="●"),IF($E105="正規職員","正",IF($E105="契約上の就業時間を記載","","実績を入力")),"-"))</f>
        <v/>
      </c>
      <c r="H105" s="10" t="str">
        <f>IF($B105="","",IF(OR('②-1職員名簿'!AE105="○",'②-1職員名簿'!AE105="●"),IF($E105="正規職員","正",IF($E105="契約上の就業時間を記載","","実績を入力")),"-"))</f>
        <v/>
      </c>
      <c r="I105" s="10" t="str">
        <f>IF($B105="","",IF(OR('②-1職員名簿'!AF105="○",'②-1職員名簿'!AF105="●"),IF($E105="正規職員","正",IF($E105="契約上の就業時間を記載","","実績を入力")),"-"))</f>
        <v/>
      </c>
      <c r="J105" s="10" t="str">
        <f>IF($B105="","",IF(OR('②-1職員名簿'!AG105="○",'②-1職員名簿'!AG105="●"),IF($E105="正規職員","正",IF($E105="契約上の就業時間を記載","","実績を入力")),"-"))</f>
        <v/>
      </c>
      <c r="K105" s="10" t="str">
        <f>IF($B105="","",IF(OR('②-1職員名簿'!AH105="○",'②-1職員名簿'!AH105="●"),IF($E105="正規職員","正",IF($E105="契約上の就業時間を記載","","実績を入力")),"-"))</f>
        <v/>
      </c>
      <c r="L105" s="10" t="str">
        <f>IF($B105="","",IF(OR('②-1職員名簿'!AI105="○",'②-1職員名簿'!AI105="●"),IF($E105="正規職員","正",IF($E105="契約上の就業時間を記載","","実績を入力")),"-"))</f>
        <v/>
      </c>
      <c r="M105" s="10" t="str">
        <f>IF($B105="","",IF(OR('②-1職員名簿'!AJ105="○",'②-1職員名簿'!AJ105="●"),IF($E105="正規職員","正",IF($E105="契約上の就業時間を記載","","実績を入力")),"-"))</f>
        <v/>
      </c>
      <c r="N105" s="10" t="str">
        <f>IF($B105="","",IF(OR('②-1職員名簿'!AK105="○",'②-1職員名簿'!AK105="●"),IF($E105="正規職員","正",IF($E105="契約上の就業時間を記載","","実績を入力")),"-"))</f>
        <v/>
      </c>
      <c r="O105" s="10" t="str">
        <f>IF($B105="","",IF(OR('②-1職員名簿'!AL105="○",'②-1職員名簿'!AL105="●"),IF($E105="正規職員","正",IF($E105="契約上の就業時間を記載","","実績を入力")),"-"))</f>
        <v/>
      </c>
      <c r="P105" s="10" t="str">
        <f>IF($B105="","",IF(OR('②-1職員名簿'!AM105="○",'②-1職員名簿'!AM105="●"),IF($E105="正規職員","正",IF($E105="契約上の就業時間を記載","","実績を入力")),"-"))</f>
        <v/>
      </c>
      <c r="Q105" s="10" t="str">
        <f>IF($B105="","",IF(OR('②-1職員名簿'!AN105="○",'②-1職員名簿'!AN105="●"),IF($E105="正規職員","正",IF($E105="契約上の就業時間を記載","","実績を入力")),"-"))</f>
        <v/>
      </c>
      <c r="R105" s="104" t="str">
        <f>IF($B105="","",IF(OR('②-1職員名簿'!AC105="○",'②-1職員名簿'!AC105="●"),IF($E105="正規職員","正",IF($E105="契約上の就業時間を記載","",IF($E105&gt;=F$5,"常",F105))),"-"))</f>
        <v/>
      </c>
      <c r="S105" s="104" t="str">
        <f>IF($B105="","",IF(OR('②-1職員名簿'!AD105="○",'②-1職員名簿'!AD105="●"),IF($E105="正規職員","正",IF($E105="契約上の就業時間を記載","",IF($E105&gt;=G$5,"常",G105))),"-"))</f>
        <v/>
      </c>
      <c r="T105" s="104" t="str">
        <f>IF($B105="","",IF(OR('②-1職員名簿'!AE105="○",'②-1職員名簿'!AE105="●"),IF($E105="正規職員","正",IF($E105="契約上の就業時間を記載","",IF($E105&gt;=H$5,"常",H105))),"-"))</f>
        <v/>
      </c>
      <c r="U105" s="104" t="str">
        <f>IF($B105="","",IF(OR('②-1職員名簿'!AF105="○",'②-1職員名簿'!AF105="●"),IF($E105="正規職員","正",IF($E105="契約上の就業時間を記載","",IF($E105&gt;=I$5,"常",I105))),"-"))</f>
        <v/>
      </c>
      <c r="V105" s="104" t="str">
        <f>IF($B105="","",IF(OR('②-1職員名簿'!AG105="○",'②-1職員名簿'!AG105="●"),IF($E105="正規職員","正",IF($E105="契約上の就業時間を記載","",IF($E105&gt;=J$5,"常",J105))),"-"))</f>
        <v/>
      </c>
      <c r="W105" s="104" t="str">
        <f>IF($B105="","",IF(OR('②-1職員名簿'!AH105="○",'②-1職員名簿'!AH105="●"),IF($E105="正規職員","正",IF($E105="契約上の就業時間を記載","",IF($E105&gt;=K$5,"常",K105))),"-"))</f>
        <v/>
      </c>
      <c r="X105" s="104" t="str">
        <f>IF($B105="","",IF(OR('②-1職員名簿'!AI105="○",'②-1職員名簿'!AI105="●"),IF($E105="正規職員","正",IF($E105="契約上の就業時間を記載","",IF($E105&gt;=L$5,"常",L105))),"-"))</f>
        <v/>
      </c>
      <c r="Y105" s="104" t="str">
        <f>IF($B105="","",IF(OR('②-1職員名簿'!AJ105="○",'②-1職員名簿'!AJ105="●"),IF($E105="正規職員","正",IF($E105="契約上の就業時間を記載","",IF($E105&gt;=M$5,"常",M105))),"-"))</f>
        <v/>
      </c>
      <c r="Z105" s="104" t="str">
        <f>IF($B105="","",IF(OR('②-1職員名簿'!AK105="○",'②-1職員名簿'!AK105="●"),IF($E105="正規職員","正",IF($E105="契約上の就業時間を記載","",IF($E105&gt;=N$5,"常",N105))),"-"))</f>
        <v/>
      </c>
      <c r="AA105" s="104" t="str">
        <f>IF($B105="","",IF(OR('②-1職員名簿'!AL105="○",'②-1職員名簿'!AL105="●"),IF($E105="正規職員","正",IF($E105="契約上の就業時間を記載","",IF($E105&gt;=O$5,"常",O105))),"-"))</f>
        <v/>
      </c>
      <c r="AB105" s="104" t="str">
        <f>IF($B105="","",IF(OR('②-1職員名簿'!AM105="○",'②-1職員名簿'!AM105="●"),IF($E105="正規職員","正",IF($E105="契約上の就業時間を記載","",IF($E105&gt;=P$5,"常",P105))),"-"))</f>
        <v/>
      </c>
      <c r="AC105" s="104" t="str">
        <f>IF($B105="","",IF(OR('②-1職員名簿'!AN105="○",'②-1職員名簿'!AN105="●"),IF($E105="正規職員","正",IF($E105="契約上の就業時間を記載","",IF($E105&gt;=Q$5,"常",Q105))),"-"))</f>
        <v/>
      </c>
      <c r="AE105" s="101" t="str">
        <f>IF('②-1職員名簿'!W105="","",'②-1職員名簿'!W105)</f>
        <v/>
      </c>
      <c r="AJ105" s="106" t="str">
        <f t="shared" si="37"/>
        <v>○</v>
      </c>
      <c r="AK105" s="106" t="str">
        <f t="shared" si="38"/>
        <v>○</v>
      </c>
      <c r="AL105" s="106" t="str">
        <f t="shared" si="39"/>
        <v>○</v>
      </c>
      <c r="AM105" s="106" t="str">
        <f t="shared" si="40"/>
        <v>○</v>
      </c>
      <c r="AN105" s="106" t="str">
        <f t="shared" si="41"/>
        <v>○</v>
      </c>
      <c r="AO105" s="106" t="str">
        <f t="shared" si="42"/>
        <v>○</v>
      </c>
      <c r="AP105" s="106" t="str">
        <f t="shared" si="43"/>
        <v>○</v>
      </c>
      <c r="AQ105" s="106" t="str">
        <f t="shared" si="44"/>
        <v>○</v>
      </c>
      <c r="AR105" s="106" t="str">
        <f t="shared" si="45"/>
        <v>○</v>
      </c>
      <c r="AS105" s="106" t="str">
        <f t="shared" si="46"/>
        <v>○</v>
      </c>
      <c r="AT105" s="106" t="str">
        <f t="shared" si="47"/>
        <v>○</v>
      </c>
      <c r="AU105" s="106" t="str">
        <f t="shared" si="48"/>
        <v>○</v>
      </c>
    </row>
    <row r="106" spans="1:47" s="106" customFormat="1" ht="23.15" customHeight="1">
      <c r="A106" s="102">
        <v>100</v>
      </c>
      <c r="B106" s="101" t="str">
        <f>IF('②-1職員名簿'!E106="","",'②-1職員名簿'!Y106)</f>
        <v/>
      </c>
      <c r="C106" s="104" t="str">
        <f>'②-1職員名簿'!BE106</f>
        <v/>
      </c>
      <c r="D106" s="136" t="str">
        <f t="shared" si="36"/>
        <v/>
      </c>
      <c r="E106" s="20" t="str">
        <f>IF($B106="","",IF(AND('②-1職員名簿'!C106="正",'②-1職員名簿'!D106="常"),"正規職員","契約上の就業時間を記載"))</f>
        <v/>
      </c>
      <c r="F106" s="10" t="str">
        <f>IF($B106="","",IF(OR('②-1職員名簿'!AC106="○",'②-1職員名簿'!AC106="●"),IF($E106="正規職員","正",IF($E106="契約上の就業時間を記載","","実績を入力")),"-"))</f>
        <v/>
      </c>
      <c r="G106" s="10" t="str">
        <f>IF($B106="","",IF(OR('②-1職員名簿'!AD106="○",'②-1職員名簿'!AD106="●"),IF($E106="正規職員","正",IF($E106="契約上の就業時間を記載","","実績を入力")),"-"))</f>
        <v/>
      </c>
      <c r="H106" s="10" t="str">
        <f>IF($B106="","",IF(OR('②-1職員名簿'!AE106="○",'②-1職員名簿'!AE106="●"),IF($E106="正規職員","正",IF($E106="契約上の就業時間を記載","","実績を入力")),"-"))</f>
        <v/>
      </c>
      <c r="I106" s="10" t="str">
        <f>IF($B106="","",IF(OR('②-1職員名簿'!AF106="○",'②-1職員名簿'!AF106="●"),IF($E106="正規職員","正",IF($E106="契約上の就業時間を記載","","実績を入力")),"-"))</f>
        <v/>
      </c>
      <c r="J106" s="10" t="str">
        <f>IF($B106="","",IF(OR('②-1職員名簿'!AG106="○",'②-1職員名簿'!AG106="●"),IF($E106="正規職員","正",IF($E106="契約上の就業時間を記載","","実績を入力")),"-"))</f>
        <v/>
      </c>
      <c r="K106" s="10" t="str">
        <f>IF($B106="","",IF(OR('②-1職員名簿'!AH106="○",'②-1職員名簿'!AH106="●"),IF($E106="正規職員","正",IF($E106="契約上の就業時間を記載","","実績を入力")),"-"))</f>
        <v/>
      </c>
      <c r="L106" s="10" t="str">
        <f>IF($B106="","",IF(OR('②-1職員名簿'!AI106="○",'②-1職員名簿'!AI106="●"),IF($E106="正規職員","正",IF($E106="契約上の就業時間を記載","","実績を入力")),"-"))</f>
        <v/>
      </c>
      <c r="M106" s="10" t="str">
        <f>IF($B106="","",IF(OR('②-1職員名簿'!AJ106="○",'②-1職員名簿'!AJ106="●"),IF($E106="正規職員","正",IF($E106="契約上の就業時間を記載","","実績を入力")),"-"))</f>
        <v/>
      </c>
      <c r="N106" s="10" t="str">
        <f>IF($B106="","",IF(OR('②-1職員名簿'!AK106="○",'②-1職員名簿'!AK106="●"),IF($E106="正規職員","正",IF($E106="契約上の就業時間を記載","","実績を入力")),"-"))</f>
        <v/>
      </c>
      <c r="O106" s="10" t="str">
        <f>IF($B106="","",IF(OR('②-1職員名簿'!AL106="○",'②-1職員名簿'!AL106="●"),IF($E106="正規職員","正",IF($E106="契約上の就業時間を記載","","実績を入力")),"-"))</f>
        <v/>
      </c>
      <c r="P106" s="10" t="str">
        <f>IF($B106="","",IF(OR('②-1職員名簿'!AM106="○",'②-1職員名簿'!AM106="●"),IF($E106="正規職員","正",IF($E106="契約上の就業時間を記載","","実績を入力")),"-"))</f>
        <v/>
      </c>
      <c r="Q106" s="10" t="str">
        <f>IF($B106="","",IF(OR('②-1職員名簿'!AN106="○",'②-1職員名簿'!AN106="●"),IF($E106="正規職員","正",IF($E106="契約上の就業時間を記載","","実績を入力")),"-"))</f>
        <v/>
      </c>
      <c r="R106" s="104" t="str">
        <f>IF($B106="","",IF(OR('②-1職員名簿'!AC106="○",'②-1職員名簿'!AC106="●"),IF($E106="正規職員","正",IF($E106="契約上の就業時間を記載","",IF($E106&gt;=F$5,"常",F106))),"-"))</f>
        <v/>
      </c>
      <c r="S106" s="104" t="str">
        <f>IF($B106="","",IF(OR('②-1職員名簿'!AD106="○",'②-1職員名簿'!AD106="●"),IF($E106="正規職員","正",IF($E106="契約上の就業時間を記載","",IF($E106&gt;=G$5,"常",G106))),"-"))</f>
        <v/>
      </c>
      <c r="T106" s="104" t="str">
        <f>IF($B106="","",IF(OR('②-1職員名簿'!AE106="○",'②-1職員名簿'!AE106="●"),IF($E106="正規職員","正",IF($E106="契約上の就業時間を記載","",IF($E106&gt;=H$5,"常",H106))),"-"))</f>
        <v/>
      </c>
      <c r="U106" s="104" t="str">
        <f>IF($B106="","",IF(OR('②-1職員名簿'!AF106="○",'②-1職員名簿'!AF106="●"),IF($E106="正規職員","正",IF($E106="契約上の就業時間を記載","",IF($E106&gt;=I$5,"常",I106))),"-"))</f>
        <v/>
      </c>
      <c r="V106" s="104" t="str">
        <f>IF($B106="","",IF(OR('②-1職員名簿'!AG106="○",'②-1職員名簿'!AG106="●"),IF($E106="正規職員","正",IF($E106="契約上の就業時間を記載","",IF($E106&gt;=J$5,"常",J106))),"-"))</f>
        <v/>
      </c>
      <c r="W106" s="104" t="str">
        <f>IF($B106="","",IF(OR('②-1職員名簿'!AH106="○",'②-1職員名簿'!AH106="●"),IF($E106="正規職員","正",IF($E106="契約上の就業時間を記載","",IF($E106&gt;=K$5,"常",K106))),"-"))</f>
        <v/>
      </c>
      <c r="X106" s="104" t="str">
        <f>IF($B106="","",IF(OR('②-1職員名簿'!AI106="○",'②-1職員名簿'!AI106="●"),IF($E106="正規職員","正",IF($E106="契約上の就業時間を記載","",IF($E106&gt;=L$5,"常",L106))),"-"))</f>
        <v/>
      </c>
      <c r="Y106" s="104" t="str">
        <f>IF($B106="","",IF(OR('②-1職員名簿'!AJ106="○",'②-1職員名簿'!AJ106="●"),IF($E106="正規職員","正",IF($E106="契約上の就業時間を記載","",IF($E106&gt;=M$5,"常",M106))),"-"))</f>
        <v/>
      </c>
      <c r="Z106" s="104" t="str">
        <f>IF($B106="","",IF(OR('②-1職員名簿'!AK106="○",'②-1職員名簿'!AK106="●"),IF($E106="正規職員","正",IF($E106="契約上の就業時間を記載","",IF($E106&gt;=N$5,"常",N106))),"-"))</f>
        <v/>
      </c>
      <c r="AA106" s="104" t="str">
        <f>IF($B106="","",IF(OR('②-1職員名簿'!AL106="○",'②-1職員名簿'!AL106="●"),IF($E106="正規職員","正",IF($E106="契約上の就業時間を記載","",IF($E106&gt;=O$5,"常",O106))),"-"))</f>
        <v/>
      </c>
      <c r="AB106" s="104" t="str">
        <f>IF($B106="","",IF(OR('②-1職員名簿'!AM106="○",'②-1職員名簿'!AM106="●"),IF($E106="正規職員","正",IF($E106="契約上の就業時間を記載","",IF($E106&gt;=P$5,"常",P106))),"-"))</f>
        <v/>
      </c>
      <c r="AC106" s="104" t="str">
        <f>IF($B106="","",IF(OR('②-1職員名簿'!AN106="○",'②-1職員名簿'!AN106="●"),IF($E106="正規職員","正",IF($E106="契約上の就業時間を記載","",IF($E106&gt;=Q$5,"常",Q106))),"-"))</f>
        <v/>
      </c>
      <c r="AE106" s="101" t="str">
        <f>IF('②-1職員名簿'!W106="","",'②-1職員名簿'!W106)</f>
        <v/>
      </c>
      <c r="AJ106" s="106" t="str">
        <f t="shared" si="37"/>
        <v>○</v>
      </c>
      <c r="AK106" s="106" t="str">
        <f t="shared" si="38"/>
        <v>○</v>
      </c>
      <c r="AL106" s="106" t="str">
        <f t="shared" si="39"/>
        <v>○</v>
      </c>
      <c r="AM106" s="106" t="str">
        <f t="shared" si="40"/>
        <v>○</v>
      </c>
      <c r="AN106" s="106" t="str">
        <f t="shared" si="41"/>
        <v>○</v>
      </c>
      <c r="AO106" s="106" t="str">
        <f t="shared" si="42"/>
        <v>○</v>
      </c>
      <c r="AP106" s="106" t="str">
        <f t="shared" si="43"/>
        <v>○</v>
      </c>
      <c r="AQ106" s="106" t="str">
        <f t="shared" si="44"/>
        <v>○</v>
      </c>
      <c r="AR106" s="106" t="str">
        <f t="shared" si="45"/>
        <v>○</v>
      </c>
      <c r="AS106" s="106" t="str">
        <f t="shared" si="46"/>
        <v>○</v>
      </c>
      <c r="AT106" s="106" t="str">
        <f t="shared" si="47"/>
        <v>○</v>
      </c>
      <c r="AU106" s="106" t="str">
        <f t="shared" si="48"/>
        <v>○</v>
      </c>
    </row>
    <row r="115" spans="6:20">
      <c r="F115" t="s">
        <v>1941</v>
      </c>
    </row>
    <row r="116" spans="6:20" ht="20">
      <c r="F116" s="138" t="s">
        <v>364</v>
      </c>
      <c r="G116" s="138"/>
      <c r="H116" s="138"/>
      <c r="I116" s="138"/>
      <c r="J116" s="138"/>
      <c r="K116" s="138"/>
      <c r="L116" s="138"/>
      <c r="M116" s="138"/>
      <c r="N116" s="138"/>
      <c r="O116" s="138"/>
      <c r="P116" s="138"/>
      <c r="Q116" s="138"/>
      <c r="R116" s="85"/>
      <c r="S116" s="85"/>
      <c r="T116" s="85"/>
    </row>
    <row r="117" spans="6:20" ht="61.5" customHeight="1">
      <c r="F117" s="738" t="s">
        <v>1843</v>
      </c>
      <c r="G117" s="738"/>
      <c r="H117" s="738" t="s">
        <v>365</v>
      </c>
      <c r="I117" s="738"/>
      <c r="J117" s="738"/>
      <c r="K117" s="738"/>
      <c r="L117" s="738"/>
      <c r="M117" s="738"/>
      <c r="N117" s="738"/>
      <c r="O117" s="738"/>
      <c r="P117" s="738"/>
      <c r="Q117" s="738"/>
    </row>
    <row r="118" spans="6:20" ht="197.25" customHeight="1">
      <c r="F118" s="744" t="s">
        <v>366</v>
      </c>
      <c r="G118" s="744"/>
      <c r="H118" s="738" t="s">
        <v>1599</v>
      </c>
      <c r="I118" s="738"/>
      <c r="J118" s="738"/>
      <c r="K118" s="738"/>
      <c r="L118" s="738"/>
      <c r="M118" s="738"/>
      <c r="N118" s="738"/>
      <c r="O118" s="738"/>
      <c r="P118" s="738"/>
      <c r="Q118" s="738"/>
    </row>
    <row r="119" spans="6:20" ht="129.75" customHeight="1">
      <c r="F119" s="738" t="s">
        <v>1844</v>
      </c>
      <c r="G119" s="738"/>
      <c r="H119" s="738" t="s">
        <v>1842</v>
      </c>
      <c r="I119" s="738"/>
      <c r="J119" s="738"/>
      <c r="K119" s="738"/>
      <c r="L119" s="738"/>
      <c r="M119" s="738"/>
      <c r="N119" s="738"/>
      <c r="O119" s="738"/>
      <c r="P119" s="738"/>
      <c r="Q119" s="738"/>
    </row>
    <row r="121" spans="6:20">
      <c r="F121" t="s">
        <v>1942</v>
      </c>
    </row>
    <row r="122" spans="6:20" ht="20">
      <c r="F122" s="138" t="s">
        <v>364</v>
      </c>
      <c r="G122" s="138"/>
      <c r="H122" s="138"/>
      <c r="I122" s="138"/>
      <c r="J122" s="138"/>
      <c r="K122" s="138"/>
      <c r="L122" s="138"/>
      <c r="M122" s="138"/>
      <c r="N122" s="138"/>
      <c r="O122" s="138"/>
      <c r="P122" s="138"/>
      <c r="Q122" s="138"/>
      <c r="R122" s="85"/>
      <c r="S122" s="85"/>
      <c r="T122" s="85"/>
    </row>
    <row r="123" spans="6:20" ht="61.5" customHeight="1">
      <c r="F123" s="738" t="s">
        <v>1943</v>
      </c>
      <c r="G123" s="738"/>
      <c r="H123" s="738" t="s">
        <v>365</v>
      </c>
      <c r="I123" s="738"/>
      <c r="J123" s="738"/>
      <c r="K123" s="738"/>
      <c r="L123" s="738"/>
      <c r="M123" s="738"/>
      <c r="N123" s="738"/>
      <c r="O123" s="738"/>
      <c r="P123" s="738"/>
      <c r="Q123" s="738"/>
    </row>
    <row r="124" spans="6:20" ht="197.25" customHeight="1">
      <c r="F124" s="744" t="s">
        <v>344</v>
      </c>
      <c r="G124" s="744"/>
      <c r="H124" s="738" t="s">
        <v>1599</v>
      </c>
      <c r="I124" s="738"/>
      <c r="J124" s="738"/>
      <c r="K124" s="738"/>
      <c r="L124" s="738"/>
      <c r="M124" s="738"/>
      <c r="N124" s="738"/>
      <c r="O124" s="738"/>
      <c r="P124" s="738"/>
      <c r="Q124" s="738"/>
    </row>
    <row r="125" spans="6:20" ht="129.75" customHeight="1">
      <c r="F125" s="738" t="s">
        <v>1944</v>
      </c>
      <c r="G125" s="738"/>
      <c r="H125" s="738" t="s">
        <v>2344</v>
      </c>
      <c r="I125" s="738"/>
      <c r="J125" s="738"/>
      <c r="K125" s="738"/>
      <c r="L125" s="738"/>
      <c r="M125" s="738"/>
      <c r="N125" s="738"/>
      <c r="O125" s="738"/>
      <c r="P125" s="738"/>
      <c r="Q125" s="738"/>
    </row>
  </sheetData>
  <sheetProtection algorithmName="SHA-512" hashValue="tLK4CZeNbNgXf09c/lsShZ9TDPmZsiaXQl7S0EhlDzKrf5v6/105VcGduFtfp/Jbz8h5Bs+9hUUvW+1xDKoc5A==" saltValue="XT07UREi2YPFx3yNHAXeNQ==" spinCount="100000" sheet="1" selectLockedCells="1"/>
  <mergeCells count="18">
    <mergeCell ref="F123:G123"/>
    <mergeCell ref="H123:Q123"/>
    <mergeCell ref="F124:G124"/>
    <mergeCell ref="H124:Q124"/>
    <mergeCell ref="F125:G125"/>
    <mergeCell ref="H125:Q125"/>
    <mergeCell ref="F119:G119"/>
    <mergeCell ref="H119:Q119"/>
    <mergeCell ref="H117:Q117"/>
    <mergeCell ref="F117:G117"/>
    <mergeCell ref="H118:Q118"/>
    <mergeCell ref="F118:G118"/>
    <mergeCell ref="A1:O1"/>
    <mergeCell ref="L2:Q2"/>
    <mergeCell ref="A5:A6"/>
    <mergeCell ref="B5:B6"/>
    <mergeCell ref="C5:C6"/>
    <mergeCell ref="D5:D6"/>
  </mergeCells>
  <phoneticPr fontId="1"/>
  <conditionalFormatting sqref="E7:E106">
    <cfRule type="containsText" dxfId="73" priority="13" operator="containsText" text="契約上の就業時間を記載">
      <formula>NOT(ISERROR(SEARCH("契約上の就業時間を記載",E7)))</formula>
    </cfRule>
  </conditionalFormatting>
  <conditionalFormatting sqref="F1:F1048576">
    <cfRule type="containsText" dxfId="72" priority="1" operator="containsText" text="見込を入力">
      <formula>NOT(ISERROR(SEARCH("見込を入力",F1)))</formula>
    </cfRule>
  </conditionalFormatting>
  <conditionalFormatting sqref="F5">
    <cfRule type="containsBlanks" dxfId="71" priority="10">
      <formula>LEN(TRIM(F5))=0</formula>
    </cfRule>
  </conditionalFormatting>
  <conditionalFormatting sqref="F5:Q5">
    <cfRule type="containsText" dxfId="70" priority="11" operator="containsText" text="常勤時間数">
      <formula>NOT(ISERROR(SEARCH("常勤時間数",F5)))</formula>
    </cfRule>
  </conditionalFormatting>
  <conditionalFormatting sqref="F7:AC106">
    <cfRule type="containsText" dxfId="69" priority="14" operator="containsText" text="実績を入力">
      <formula>NOT(ISERROR(SEARCH("実績を入力",F7)))</formula>
    </cfRule>
    <cfRule type="expression" dxfId="68" priority="15">
      <formula>$C7="パート非常勤　時間数入力→"</formula>
    </cfRule>
  </conditionalFormatting>
  <dataValidations disablePrompts="1" count="1">
    <dataValidation type="list" errorStyle="warning" allowBlank="1" showInputMessage="1" showErrorMessage="1" sqref="H983087:H983111 H917551:H917575 H852015:H852039 H786479:H786503 H720943:H720967 H655407:H655431 H589871:H589895 H524335:H524359 H458799:H458823 H393263:H393287 H327727:H327751 H262191:H262215 H196655:H196679 H131119:H131143 H65583:H65607 F983087:F983111 F917551:F917575 F852015:F852039 F786479:F786503 F720943:F720967 F655407:F655431 F589871:F589895 F524335:F524359 F458799:F458823 F393263:F393287 F327727:F327751 F262191:F262215 F196655:F196679 F131119:F131143 F65583:F65607 B65583:D65607 B131119:D131143 B196655:D196679 B262191:D262215 B327727:D327751 B393263:D393287 B458799:D458823 B524335:D524359 B589871:D589895 B655407:D655431 B720943:D720967 B786479:D786503 B852015:D852039 B917551:D917575 B983087:D983111" xr:uid="{9353E635-8007-4312-8E3A-14AD131BD501}">
      <formula1>#REF!</formula1>
    </dataValidation>
  </dataValidations>
  <pageMargins left="0.59055118110236227" right="0.31496062992125984" top="0.43307086614173229" bottom="0.35433070866141736" header="0.39370078740157483" footer="0.31496062992125984"/>
  <pageSetup paperSize="9" scale="93"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5E458-0902-4C83-BDB4-29898497C321}">
  <sheetPr codeName="Sheet8">
    <tabColor rgb="FF00B050"/>
  </sheetPr>
  <dimension ref="A1:W21"/>
  <sheetViews>
    <sheetView view="pageBreakPreview" zoomScale="85" zoomScaleNormal="85" zoomScaleSheetLayoutView="85" zoomScalePageLayoutView="75" workbookViewId="0">
      <selection activeCell="B10" sqref="B10"/>
    </sheetView>
  </sheetViews>
  <sheetFormatPr defaultColWidth="9" defaultRowHeight="13"/>
  <cols>
    <col min="1" max="19" width="8.83203125" style="40" customWidth="1"/>
    <col min="20" max="20" width="6.83203125" style="40" customWidth="1"/>
    <col min="21" max="21" width="11.83203125" style="40" customWidth="1"/>
    <col min="22" max="16384" width="9" style="40"/>
  </cols>
  <sheetData>
    <row r="1" spans="1:23" s="71" customFormat="1" ht="25" customHeight="1">
      <c r="A1" s="71" t="s">
        <v>112</v>
      </c>
    </row>
    <row r="2" spans="1:23" s="71" customFormat="1" ht="25" customHeight="1">
      <c r="A2" s="71" t="s">
        <v>113</v>
      </c>
      <c r="J2" s="72"/>
      <c r="W2" s="73"/>
    </row>
    <row r="3" spans="1:23" s="71" customFormat="1" ht="25" customHeight="1">
      <c r="H3" s="775" t="s">
        <v>114</v>
      </c>
      <c r="I3" s="775"/>
      <c r="J3" s="776">
        <f>①基本情報!D5</f>
        <v>0</v>
      </c>
      <c r="K3" s="776"/>
      <c r="L3" s="776"/>
      <c r="M3" s="776"/>
      <c r="N3" s="776"/>
      <c r="O3" s="775" t="s">
        <v>115</v>
      </c>
      <c r="P3" s="775"/>
      <c r="Q3" s="774" t="e">
        <f>①基本情報!F9</f>
        <v>#N/A</v>
      </c>
      <c r="R3" s="774"/>
      <c r="S3" s="266" t="s">
        <v>1381</v>
      </c>
      <c r="V3" s="73"/>
    </row>
    <row r="4" spans="1:23" s="71" customFormat="1" ht="25" customHeight="1">
      <c r="I4" s="74"/>
      <c r="J4" s="74"/>
      <c r="K4" s="268"/>
      <c r="L4" s="268"/>
      <c r="M4" s="268"/>
      <c r="N4" s="270" t="e">
        <f>①基本情報!J5</f>
        <v>#N/A</v>
      </c>
      <c r="O4" s="74"/>
      <c r="P4" s="74"/>
      <c r="Q4" s="774" t="e">
        <f>①基本情報!F10</f>
        <v>#N/A</v>
      </c>
      <c r="R4" s="774"/>
      <c r="S4" s="266" t="s">
        <v>1387</v>
      </c>
      <c r="T4" s="74"/>
      <c r="V4" s="40" t="e">
        <f>①基本情報!S10</f>
        <v>#N/A</v>
      </c>
      <c r="W4" s="73"/>
    </row>
    <row r="5" spans="1:23" s="71" customFormat="1" ht="16.5" customHeight="1" thickBot="1"/>
    <row r="6" spans="1:23" ht="22.5" customHeight="1">
      <c r="A6" s="781"/>
      <c r="B6" s="783" t="s">
        <v>116</v>
      </c>
      <c r="C6" s="782"/>
      <c r="D6" s="782"/>
      <c r="E6" s="782"/>
      <c r="F6" s="782"/>
      <c r="G6" s="782"/>
      <c r="H6" s="783" t="s">
        <v>117</v>
      </c>
      <c r="I6" s="784" t="s">
        <v>407</v>
      </c>
      <c r="J6" s="782"/>
      <c r="K6" s="782"/>
      <c r="L6" s="782"/>
      <c r="M6" s="782"/>
      <c r="N6" s="779" t="s">
        <v>406</v>
      </c>
      <c r="O6" s="779"/>
      <c r="P6" s="779" t="s">
        <v>408</v>
      </c>
      <c r="Q6" s="780"/>
      <c r="R6" s="777" t="s">
        <v>409</v>
      </c>
      <c r="S6" s="772" t="s">
        <v>118</v>
      </c>
      <c r="U6" s="71"/>
    </row>
    <row r="7" spans="1:23" ht="22.5" customHeight="1">
      <c r="A7" s="782"/>
      <c r="B7" s="781" t="s">
        <v>119</v>
      </c>
      <c r="C7" s="781" t="s">
        <v>120</v>
      </c>
      <c r="D7" s="781" t="s">
        <v>121</v>
      </c>
      <c r="E7" s="781" t="s">
        <v>122</v>
      </c>
      <c r="F7" s="781" t="s">
        <v>123</v>
      </c>
      <c r="G7" s="781" t="s">
        <v>124</v>
      </c>
      <c r="H7" s="782"/>
      <c r="I7" s="782"/>
      <c r="J7" s="782"/>
      <c r="K7" s="782"/>
      <c r="L7" s="782"/>
      <c r="M7" s="782"/>
      <c r="N7" s="779"/>
      <c r="O7" s="779"/>
      <c r="P7" s="779"/>
      <c r="Q7" s="780"/>
      <c r="R7" s="778"/>
      <c r="S7" s="773"/>
      <c r="U7" s="71"/>
    </row>
    <row r="8" spans="1:23" ht="22.5" customHeight="1">
      <c r="A8" s="782"/>
      <c r="B8" s="782"/>
      <c r="C8" s="782"/>
      <c r="D8" s="782"/>
      <c r="E8" s="782"/>
      <c r="F8" s="782"/>
      <c r="G8" s="782"/>
      <c r="H8" s="782"/>
      <c r="I8" s="84" t="s">
        <v>125</v>
      </c>
      <c r="J8" s="84" t="s">
        <v>126</v>
      </c>
      <c r="K8" s="84" t="s">
        <v>127</v>
      </c>
      <c r="L8" s="75" t="s">
        <v>127</v>
      </c>
      <c r="M8" s="84" t="s">
        <v>128</v>
      </c>
      <c r="N8" s="779"/>
      <c r="O8" s="779"/>
      <c r="P8" s="779"/>
      <c r="Q8" s="780"/>
      <c r="R8" s="778"/>
      <c r="S8" s="773"/>
    </row>
    <row r="9" spans="1:23" ht="22.5" customHeight="1">
      <c r="A9" s="782"/>
      <c r="B9" s="782"/>
      <c r="C9" s="782"/>
      <c r="D9" s="782"/>
      <c r="E9" s="782"/>
      <c r="F9" s="782"/>
      <c r="G9" s="782"/>
      <c r="H9" s="782"/>
      <c r="I9" s="84" t="s">
        <v>129</v>
      </c>
      <c r="J9" s="84" t="s">
        <v>130</v>
      </c>
      <c r="K9" s="84" t="s">
        <v>131</v>
      </c>
      <c r="L9" s="75" t="s">
        <v>132</v>
      </c>
      <c r="M9" s="84" t="s">
        <v>133</v>
      </c>
      <c r="N9" s="83" t="s">
        <v>1381</v>
      </c>
      <c r="O9" s="83" t="s">
        <v>1382</v>
      </c>
      <c r="P9" s="83" t="s">
        <v>1381</v>
      </c>
      <c r="Q9" s="269" t="s">
        <v>1382</v>
      </c>
      <c r="R9" s="778"/>
      <c r="S9" s="773"/>
    </row>
    <row r="10" spans="1:23" ht="22.5" customHeight="1">
      <c r="A10" s="83" t="s">
        <v>134</v>
      </c>
      <c r="B10" s="82"/>
      <c r="C10" s="82"/>
      <c r="D10" s="82"/>
      <c r="E10" s="82"/>
      <c r="F10" s="82"/>
      <c r="G10" s="82"/>
      <c r="H10" s="76">
        <f>SUM(B10:G10)</f>
        <v>0</v>
      </c>
      <c r="I10" s="76">
        <f t="shared" ref="I10:I21" si="0">ROUNDDOWN(B10/3,1)</f>
        <v>0</v>
      </c>
      <c r="J10" s="76">
        <f t="shared" ref="J10:J21" si="1">ROUNDDOWN((C10+D10)/6,1)</f>
        <v>0</v>
      </c>
      <c r="K10" s="76">
        <f t="shared" ref="K10:K21" si="2">ROUNDDOWN(E10/15,1)</f>
        <v>0</v>
      </c>
      <c r="L10" s="77">
        <f t="shared" ref="L10:L21" si="3">ROUNDDOWN(E10/20,1)</f>
        <v>0</v>
      </c>
      <c r="M10" s="76">
        <f t="shared" ref="M10:M21" si="4">ROUNDDOWN((F10+G10)/30,1)</f>
        <v>0</v>
      </c>
      <c r="N10" s="76" t="e">
        <f>IF(①基本情報!$Q$5=175,1,IF($Q$3&lt;=90,1,0))</f>
        <v>#N/A</v>
      </c>
      <c r="O10" s="76" t="e">
        <f>IF(①基本情報!$Q$5=81,0,IF($V$4="有",IF($Q$4&lt;=90,1,0),0))</f>
        <v>#N/A</v>
      </c>
      <c r="P10" s="76">
        <f>IF(①基本情報!F23="有",1,"")</f>
        <v>1</v>
      </c>
      <c r="Q10" s="78" t="e">
        <f>IF(①基本情報!$Q$5=81,0,IF(AND($V$4="有",P10=1),1,0))</f>
        <v>#N/A</v>
      </c>
      <c r="R10" s="79" t="e">
        <f>ROUND(I10+J10+K10+M10,0)+SUM(N10:Q10)</f>
        <v>#N/A</v>
      </c>
      <c r="S10" s="80" t="e">
        <f>ROUND(I10+J10+L10+M10,0)+SUM(N10:Q10)</f>
        <v>#N/A</v>
      </c>
    </row>
    <row r="11" spans="1:23" ht="22.5" customHeight="1">
      <c r="A11" s="83" t="s">
        <v>135</v>
      </c>
      <c r="B11" s="82"/>
      <c r="C11" s="82"/>
      <c r="D11" s="82"/>
      <c r="E11" s="82"/>
      <c r="F11" s="82"/>
      <c r="G11" s="82"/>
      <c r="H11" s="76">
        <f t="shared" ref="H11:H21" si="5">SUM(B11:G11)</f>
        <v>0</v>
      </c>
      <c r="I11" s="76">
        <f t="shared" si="0"/>
        <v>0</v>
      </c>
      <c r="J11" s="76">
        <f t="shared" si="1"/>
        <v>0</v>
      </c>
      <c r="K11" s="76">
        <f t="shared" si="2"/>
        <v>0</v>
      </c>
      <c r="L11" s="77">
        <f t="shared" si="3"/>
        <v>0</v>
      </c>
      <c r="M11" s="76">
        <f t="shared" si="4"/>
        <v>0</v>
      </c>
      <c r="N11" s="76" t="e">
        <f>IF(①基本情報!$Q$5=175,1,IF($Q$3&lt;=90,1,0))</f>
        <v>#N/A</v>
      </c>
      <c r="O11" s="76" t="e">
        <f>IF(①基本情報!$Q$5=81,0,IF($V$4="有",IF($Q$4&lt;=90,1,0),0))</f>
        <v>#N/A</v>
      </c>
      <c r="P11" s="76">
        <f t="shared" ref="P11" si="6">P10</f>
        <v>1</v>
      </c>
      <c r="Q11" s="78" t="e">
        <f>IF(①基本情報!$Q$5=81,0,IF(AND($V$4="有",P11=1),1,0))</f>
        <v>#N/A</v>
      </c>
      <c r="R11" s="79" t="e">
        <f>ROUND(I11+J11+K11+M11,0)+SUM(N11:Q11)</f>
        <v>#N/A</v>
      </c>
      <c r="S11" s="80" t="e">
        <f t="shared" ref="S11:S21" si="7">ROUND(I11+J11+L11+M11,0)+SUM(N11:Q11)</f>
        <v>#N/A</v>
      </c>
    </row>
    <row r="12" spans="1:23" ht="22.5" customHeight="1">
      <c r="A12" s="83" t="s">
        <v>136</v>
      </c>
      <c r="B12" s="82"/>
      <c r="C12" s="82"/>
      <c r="D12" s="82"/>
      <c r="E12" s="82"/>
      <c r="F12" s="82"/>
      <c r="G12" s="82"/>
      <c r="H12" s="76">
        <f t="shared" si="5"/>
        <v>0</v>
      </c>
      <c r="I12" s="76">
        <f t="shared" si="0"/>
        <v>0</v>
      </c>
      <c r="J12" s="76">
        <f t="shared" si="1"/>
        <v>0</v>
      </c>
      <c r="K12" s="76">
        <f t="shared" si="2"/>
        <v>0</v>
      </c>
      <c r="L12" s="77">
        <f t="shared" si="3"/>
        <v>0</v>
      </c>
      <c r="M12" s="76">
        <f t="shared" si="4"/>
        <v>0</v>
      </c>
      <c r="N12" s="76" t="e">
        <f>IF(①基本情報!$Q$5=175,1,IF($Q$3&lt;=90,1,0))</f>
        <v>#N/A</v>
      </c>
      <c r="O12" s="76" t="e">
        <f>IF(①基本情報!$Q$5=81,0,IF($V$4="有",IF($Q$4&lt;=90,1,0),0))</f>
        <v>#N/A</v>
      </c>
      <c r="P12" s="76">
        <f t="shared" ref="P12:P21" si="8">P11</f>
        <v>1</v>
      </c>
      <c r="Q12" s="78" t="e">
        <f>IF(①基本情報!$Q$5=81,0,IF(AND($V$4="有",P12=1),1,0))</f>
        <v>#N/A</v>
      </c>
      <c r="R12" s="79" t="e">
        <f t="shared" ref="R12:R21" si="9">ROUND(I12+J12+K12+M12,0)+SUM(N12:Q12)</f>
        <v>#N/A</v>
      </c>
      <c r="S12" s="80" t="e">
        <f t="shared" si="7"/>
        <v>#N/A</v>
      </c>
    </row>
    <row r="13" spans="1:23" ht="22.5" customHeight="1">
      <c r="A13" s="83" t="s">
        <v>137</v>
      </c>
      <c r="B13" s="82"/>
      <c r="C13" s="82"/>
      <c r="D13" s="82"/>
      <c r="E13" s="82"/>
      <c r="F13" s="82"/>
      <c r="G13" s="82"/>
      <c r="H13" s="76">
        <f t="shared" si="5"/>
        <v>0</v>
      </c>
      <c r="I13" s="76">
        <f t="shared" si="0"/>
        <v>0</v>
      </c>
      <c r="J13" s="76">
        <f t="shared" si="1"/>
        <v>0</v>
      </c>
      <c r="K13" s="76">
        <f t="shared" si="2"/>
        <v>0</v>
      </c>
      <c r="L13" s="77">
        <f t="shared" si="3"/>
        <v>0</v>
      </c>
      <c r="M13" s="76">
        <f t="shared" si="4"/>
        <v>0</v>
      </c>
      <c r="N13" s="76" t="e">
        <f>IF($Q$3&lt;=90,1,0)</f>
        <v>#N/A</v>
      </c>
      <c r="O13" s="76" t="e">
        <f>IF(①基本情報!$Q$5=81,0,IF($V$4="有",IF($Q$4&lt;=90,1,0),0))</f>
        <v>#N/A</v>
      </c>
      <c r="P13" s="76">
        <f t="shared" si="8"/>
        <v>1</v>
      </c>
      <c r="Q13" s="78" t="e">
        <f>IF(①基本情報!$Q$5=81,0,IF(AND($V$4="有",P13=1),1,0))</f>
        <v>#N/A</v>
      </c>
      <c r="R13" s="79" t="e">
        <f t="shared" si="9"/>
        <v>#N/A</v>
      </c>
      <c r="S13" s="80" t="e">
        <f t="shared" si="7"/>
        <v>#N/A</v>
      </c>
    </row>
    <row r="14" spans="1:23" ht="22.5" customHeight="1">
      <c r="A14" s="83" t="s">
        <v>138</v>
      </c>
      <c r="B14" s="82"/>
      <c r="C14" s="82"/>
      <c r="D14" s="82"/>
      <c r="E14" s="82"/>
      <c r="F14" s="82"/>
      <c r="G14" s="82"/>
      <c r="H14" s="76">
        <f t="shared" si="5"/>
        <v>0</v>
      </c>
      <c r="I14" s="76">
        <f t="shared" si="0"/>
        <v>0</v>
      </c>
      <c r="J14" s="76">
        <f t="shared" si="1"/>
        <v>0</v>
      </c>
      <c r="K14" s="76">
        <f t="shared" si="2"/>
        <v>0</v>
      </c>
      <c r="L14" s="77">
        <f t="shared" si="3"/>
        <v>0</v>
      </c>
      <c r="M14" s="76">
        <f t="shared" si="4"/>
        <v>0</v>
      </c>
      <c r="N14" s="76" t="e">
        <f t="shared" ref="N14:N21" si="10">IF($Q$3&lt;=90,1,0)</f>
        <v>#N/A</v>
      </c>
      <c r="O14" s="76" t="e">
        <f>IF(①基本情報!$Q$5=81,0,IF($V$4="有",IF($Q$4&lt;=90,1,0),0))</f>
        <v>#N/A</v>
      </c>
      <c r="P14" s="76">
        <f t="shared" si="8"/>
        <v>1</v>
      </c>
      <c r="Q14" s="78" t="e">
        <f>IF(①基本情報!$Q$5=81,0,IF(AND($V$4="有",P14=1),1,0))</f>
        <v>#N/A</v>
      </c>
      <c r="R14" s="79" t="e">
        <f t="shared" si="9"/>
        <v>#N/A</v>
      </c>
      <c r="S14" s="80" t="e">
        <f t="shared" si="7"/>
        <v>#N/A</v>
      </c>
    </row>
    <row r="15" spans="1:23" ht="22.5" customHeight="1">
      <c r="A15" s="83" t="s">
        <v>139</v>
      </c>
      <c r="B15" s="82"/>
      <c r="C15" s="82"/>
      <c r="D15" s="82"/>
      <c r="E15" s="82"/>
      <c r="F15" s="82"/>
      <c r="G15" s="82"/>
      <c r="H15" s="76">
        <f t="shared" si="5"/>
        <v>0</v>
      </c>
      <c r="I15" s="76">
        <f t="shared" si="0"/>
        <v>0</v>
      </c>
      <c r="J15" s="76">
        <f t="shared" si="1"/>
        <v>0</v>
      </c>
      <c r="K15" s="76">
        <f t="shared" si="2"/>
        <v>0</v>
      </c>
      <c r="L15" s="77">
        <f t="shared" si="3"/>
        <v>0</v>
      </c>
      <c r="M15" s="76">
        <f t="shared" si="4"/>
        <v>0</v>
      </c>
      <c r="N15" s="76" t="e">
        <f t="shared" si="10"/>
        <v>#N/A</v>
      </c>
      <c r="O15" s="76" t="e">
        <f>IF(①基本情報!$Q$5=81,0,IF($V$4="有",IF($Q$4&lt;=90,1,0),0))</f>
        <v>#N/A</v>
      </c>
      <c r="P15" s="76">
        <f t="shared" si="8"/>
        <v>1</v>
      </c>
      <c r="Q15" s="78" t="e">
        <f>IF(①基本情報!$Q$5=81,0,IF(AND($V$4="有",P15=1),1,0))</f>
        <v>#N/A</v>
      </c>
      <c r="R15" s="79" t="e">
        <f t="shared" si="9"/>
        <v>#N/A</v>
      </c>
      <c r="S15" s="80" t="e">
        <f t="shared" si="7"/>
        <v>#N/A</v>
      </c>
    </row>
    <row r="16" spans="1:23" ht="22.5" customHeight="1">
      <c r="A16" s="83" t="s">
        <v>140</v>
      </c>
      <c r="B16" s="82"/>
      <c r="C16" s="82"/>
      <c r="D16" s="82"/>
      <c r="E16" s="82"/>
      <c r="F16" s="82"/>
      <c r="G16" s="82"/>
      <c r="H16" s="76">
        <f t="shared" si="5"/>
        <v>0</v>
      </c>
      <c r="I16" s="76">
        <f t="shared" si="0"/>
        <v>0</v>
      </c>
      <c r="J16" s="76">
        <f t="shared" si="1"/>
        <v>0</v>
      </c>
      <c r="K16" s="76">
        <f t="shared" si="2"/>
        <v>0</v>
      </c>
      <c r="L16" s="77">
        <f t="shared" si="3"/>
        <v>0</v>
      </c>
      <c r="M16" s="76">
        <f t="shared" si="4"/>
        <v>0</v>
      </c>
      <c r="N16" s="76" t="e">
        <f t="shared" si="10"/>
        <v>#N/A</v>
      </c>
      <c r="O16" s="76" t="e">
        <f>IF($V$4="有",IF($Q$4&lt;=90,1,0),0)</f>
        <v>#N/A</v>
      </c>
      <c r="P16" s="76">
        <f t="shared" si="8"/>
        <v>1</v>
      </c>
      <c r="Q16" s="78" t="e">
        <f>IF(AND($V$4="有",P16=1),1,0)</f>
        <v>#N/A</v>
      </c>
      <c r="R16" s="79" t="e">
        <f t="shared" si="9"/>
        <v>#N/A</v>
      </c>
      <c r="S16" s="80" t="e">
        <f t="shared" si="7"/>
        <v>#N/A</v>
      </c>
    </row>
    <row r="17" spans="1:19" ht="22.5" customHeight="1">
      <c r="A17" s="83" t="s">
        <v>141</v>
      </c>
      <c r="B17" s="82"/>
      <c r="C17" s="82"/>
      <c r="D17" s="82"/>
      <c r="E17" s="82"/>
      <c r="F17" s="82"/>
      <c r="G17" s="82"/>
      <c r="H17" s="76">
        <f t="shared" si="5"/>
        <v>0</v>
      </c>
      <c r="I17" s="76">
        <f t="shared" si="0"/>
        <v>0</v>
      </c>
      <c r="J17" s="76">
        <f t="shared" si="1"/>
        <v>0</v>
      </c>
      <c r="K17" s="76">
        <f t="shared" si="2"/>
        <v>0</v>
      </c>
      <c r="L17" s="77">
        <f t="shared" si="3"/>
        <v>0</v>
      </c>
      <c r="M17" s="76">
        <f t="shared" si="4"/>
        <v>0</v>
      </c>
      <c r="N17" s="76" t="e">
        <f t="shared" si="10"/>
        <v>#N/A</v>
      </c>
      <c r="O17" s="76" t="e">
        <f t="shared" ref="O17:O21" si="11">IF($V$4="有",IF($Q$4&lt;=90,1,0),0)</f>
        <v>#N/A</v>
      </c>
      <c r="P17" s="76">
        <f t="shared" si="8"/>
        <v>1</v>
      </c>
      <c r="Q17" s="78" t="e">
        <f t="shared" ref="Q17:Q21" si="12">IF(AND($V$4="有",P17=1),1,0)</f>
        <v>#N/A</v>
      </c>
      <c r="R17" s="79" t="e">
        <f t="shared" si="9"/>
        <v>#N/A</v>
      </c>
      <c r="S17" s="80" t="e">
        <f t="shared" si="7"/>
        <v>#N/A</v>
      </c>
    </row>
    <row r="18" spans="1:19" ht="22.5" customHeight="1">
      <c r="A18" s="83" t="s">
        <v>142</v>
      </c>
      <c r="B18" s="82"/>
      <c r="C18" s="82"/>
      <c r="D18" s="82"/>
      <c r="E18" s="82"/>
      <c r="F18" s="82"/>
      <c r="G18" s="82"/>
      <c r="H18" s="76">
        <f t="shared" si="5"/>
        <v>0</v>
      </c>
      <c r="I18" s="76">
        <f t="shared" si="0"/>
        <v>0</v>
      </c>
      <c r="J18" s="76">
        <f t="shared" si="1"/>
        <v>0</v>
      </c>
      <c r="K18" s="76">
        <f t="shared" si="2"/>
        <v>0</v>
      </c>
      <c r="L18" s="77">
        <f t="shared" si="3"/>
        <v>0</v>
      </c>
      <c r="M18" s="76">
        <f t="shared" si="4"/>
        <v>0</v>
      </c>
      <c r="N18" s="76" t="e">
        <f t="shared" si="10"/>
        <v>#N/A</v>
      </c>
      <c r="O18" s="76" t="e">
        <f t="shared" si="11"/>
        <v>#N/A</v>
      </c>
      <c r="P18" s="76">
        <f t="shared" si="8"/>
        <v>1</v>
      </c>
      <c r="Q18" s="78" t="e">
        <f t="shared" si="12"/>
        <v>#N/A</v>
      </c>
      <c r="R18" s="79" t="e">
        <f t="shared" si="9"/>
        <v>#N/A</v>
      </c>
      <c r="S18" s="80" t="e">
        <f>ROUND(I18+J18+L18+M18,0)+SUM(N18:Q18)</f>
        <v>#N/A</v>
      </c>
    </row>
    <row r="19" spans="1:19" ht="22.5" customHeight="1">
      <c r="A19" s="83" t="s">
        <v>143</v>
      </c>
      <c r="B19" s="82"/>
      <c r="C19" s="82"/>
      <c r="D19" s="82"/>
      <c r="E19" s="82"/>
      <c r="F19" s="82"/>
      <c r="G19" s="82"/>
      <c r="H19" s="76">
        <f t="shared" si="5"/>
        <v>0</v>
      </c>
      <c r="I19" s="76">
        <f t="shared" si="0"/>
        <v>0</v>
      </c>
      <c r="J19" s="76">
        <f t="shared" si="1"/>
        <v>0</v>
      </c>
      <c r="K19" s="76">
        <f t="shared" si="2"/>
        <v>0</v>
      </c>
      <c r="L19" s="77">
        <f t="shared" si="3"/>
        <v>0</v>
      </c>
      <c r="M19" s="76">
        <f t="shared" si="4"/>
        <v>0</v>
      </c>
      <c r="N19" s="76" t="e">
        <f t="shared" si="10"/>
        <v>#N/A</v>
      </c>
      <c r="O19" s="76" t="e">
        <f t="shared" si="11"/>
        <v>#N/A</v>
      </c>
      <c r="P19" s="76">
        <f t="shared" si="8"/>
        <v>1</v>
      </c>
      <c r="Q19" s="78" t="e">
        <f t="shared" si="12"/>
        <v>#N/A</v>
      </c>
      <c r="R19" s="79" t="e">
        <f t="shared" si="9"/>
        <v>#N/A</v>
      </c>
      <c r="S19" s="80" t="e">
        <f t="shared" si="7"/>
        <v>#N/A</v>
      </c>
    </row>
    <row r="20" spans="1:19" ht="22.5" customHeight="1">
      <c r="A20" s="83" t="s">
        <v>144</v>
      </c>
      <c r="B20" s="82"/>
      <c r="C20" s="82"/>
      <c r="D20" s="82"/>
      <c r="E20" s="82"/>
      <c r="F20" s="82"/>
      <c r="G20" s="82"/>
      <c r="H20" s="76">
        <f t="shared" si="5"/>
        <v>0</v>
      </c>
      <c r="I20" s="76">
        <f t="shared" si="0"/>
        <v>0</v>
      </c>
      <c r="J20" s="76">
        <f t="shared" si="1"/>
        <v>0</v>
      </c>
      <c r="K20" s="76">
        <f t="shared" si="2"/>
        <v>0</v>
      </c>
      <c r="L20" s="77">
        <f t="shared" si="3"/>
        <v>0</v>
      </c>
      <c r="M20" s="76">
        <f t="shared" si="4"/>
        <v>0</v>
      </c>
      <c r="N20" s="76" t="e">
        <f t="shared" si="10"/>
        <v>#N/A</v>
      </c>
      <c r="O20" s="76" t="e">
        <f t="shared" si="11"/>
        <v>#N/A</v>
      </c>
      <c r="P20" s="76">
        <f t="shared" si="8"/>
        <v>1</v>
      </c>
      <c r="Q20" s="78" t="e">
        <f t="shared" si="12"/>
        <v>#N/A</v>
      </c>
      <c r="R20" s="79" t="e">
        <f t="shared" si="9"/>
        <v>#N/A</v>
      </c>
      <c r="S20" s="80" t="e">
        <f t="shared" si="7"/>
        <v>#N/A</v>
      </c>
    </row>
    <row r="21" spans="1:19" ht="22.5" customHeight="1" thickBot="1">
      <c r="A21" s="83" t="s">
        <v>145</v>
      </c>
      <c r="B21" s="82"/>
      <c r="C21" s="82"/>
      <c r="D21" s="82"/>
      <c r="E21" s="82"/>
      <c r="F21" s="82"/>
      <c r="G21" s="82"/>
      <c r="H21" s="76">
        <f t="shared" si="5"/>
        <v>0</v>
      </c>
      <c r="I21" s="76">
        <f t="shared" si="0"/>
        <v>0</v>
      </c>
      <c r="J21" s="76">
        <f t="shared" si="1"/>
        <v>0</v>
      </c>
      <c r="K21" s="76">
        <f t="shared" si="2"/>
        <v>0</v>
      </c>
      <c r="L21" s="77">
        <f t="shared" si="3"/>
        <v>0</v>
      </c>
      <c r="M21" s="76">
        <f t="shared" si="4"/>
        <v>0</v>
      </c>
      <c r="N21" s="76" t="e">
        <f t="shared" si="10"/>
        <v>#N/A</v>
      </c>
      <c r="O21" s="76" t="e">
        <f t="shared" si="11"/>
        <v>#N/A</v>
      </c>
      <c r="P21" s="76">
        <f t="shared" si="8"/>
        <v>1</v>
      </c>
      <c r="Q21" s="78" t="e">
        <f t="shared" si="12"/>
        <v>#N/A</v>
      </c>
      <c r="R21" s="81" t="e">
        <f t="shared" si="9"/>
        <v>#N/A</v>
      </c>
      <c r="S21" s="80" t="e">
        <f t="shared" si="7"/>
        <v>#N/A</v>
      </c>
    </row>
  </sheetData>
  <sheetProtection algorithmName="SHA-512" hashValue="VwSZH5JwIRK3kfld39W8zZZXiWSLjo2ghuW2p1bZEdj8Fvu8V5XnPbV228nnKd2XXeVluGXlRssiN06B8wCSsw==" saltValue="zIeD9paVJyxe+jbzNBqA7w==" spinCount="100000" sheet="1" selectLockedCells="1"/>
  <mergeCells count="19">
    <mergeCell ref="A6:A9"/>
    <mergeCell ref="B6:G6"/>
    <mergeCell ref="H6:H9"/>
    <mergeCell ref="I6:M7"/>
    <mergeCell ref="B7:B9"/>
    <mergeCell ref="C7:C9"/>
    <mergeCell ref="D7:D9"/>
    <mergeCell ref="E7:E9"/>
    <mergeCell ref="F7:F9"/>
    <mergeCell ref="G7:G9"/>
    <mergeCell ref="S6:S9"/>
    <mergeCell ref="Q4:R4"/>
    <mergeCell ref="H3:I3"/>
    <mergeCell ref="J3:N3"/>
    <mergeCell ref="O3:P3"/>
    <mergeCell ref="Q3:R3"/>
    <mergeCell ref="R6:R9"/>
    <mergeCell ref="N6:O8"/>
    <mergeCell ref="P6:Q8"/>
  </mergeCells>
  <phoneticPr fontId="1"/>
  <conditionalFormatting sqref="B10:G21">
    <cfRule type="containsBlanks" dxfId="67" priority="1">
      <formula>LEN(TRIM(B10))=0</formula>
    </cfRule>
  </conditionalFormatting>
  <dataValidations count="4">
    <dataValidation type="whole" allowBlank="1" showInputMessage="1" showErrorMessage="1" sqref="U65420 U130956 U196492 U262028 U327564 U393100 U458636 U524172 U589708 U655244 U720780 U786316 U851852 U917388 U982924" xr:uid="{A4B92BBE-4F5B-4A56-9C4B-02D9B1F175FB}">
      <formula1>0</formula1>
      <formula2>300</formula2>
    </dataValidation>
    <dataValidation allowBlank="1" showInputMessage="1" showErrorMessage="1" promptTitle="年齢別児童数" prompt="通常保育を行っている児童を入力してください！_x000a_（一時預かり、障害児保育を行っている児童は除きます！）_x000a_縦割り保育をしているクラスは、同じ横軸に異年齢がいる形になります。" sqref="B65426:G65435 B130962:G130971 B196498:G196507 B262034:G262043 B327570:G327579 B393106:G393115 B458642:G458651 B524178:G524187 B589714:G589723 B655250:G655259 B720786:G720795 B786322:G786331 B851858:G851867 B917394:G917403 B982930:G982939 B65437:G65446 B130973:G130982 B196509:G196518 B262045:G262054 B327581:G327590 B393117:G393126 B458653:G458662 B524189:G524198 B589725:G589734 B655261:G655270 B720797:G720806 B786333:G786342 B851869:G851878 B917405:G917414 B982941:G982950 B65448:G65457 B130984:G130993 B196520:G196529 B262056:G262065 B327592:G327601 B393128:G393137 B458664:G458673 B524200:G524209 B589736:G589745 B655272:G655281 B720808:G720817 B786344:G786353 B851880:G851889 B917416:G917425 B982952:G982961 B65459:G65468 B130995:G131004 B196531:G196540 B262067:G262076 B327603:G327612 B393139:G393148 B458675:G458684 B524211:G524220 B589747:G589756 B655283:G655292 B720819:G720828 B786355:G786364 B851891:G851900 B917427:G917436 B982963:G982972 B65470:G65479 B131006:G131015 B196542:G196551 B262078:G262087 B327614:G327623 B393150:G393159 B458686:G458695 B524222:G524231 B589758:G589767 B655294:G655303 B720830:G720839 B786366:G786375 B851902:G851911 B917438:G917447 B982974:G982983 B65481:G65490 B131017:G131026 B196553:G196562 B262089:G262098 B327625:G327634 B393161:G393170 B458697:G458706 B524233:G524242 B589769:G589778 B655305:G655314 B720841:G720850 B786377:G786386 B851913:G851922 B917449:G917458 B982985:G982994 B65492:G65501 B131028:G131037 B196564:G196573 B262100:G262109 B327636:G327645 B393172:G393181 B458708:G458717 B524244:G524253 B589780:G589789 B655316:G655325 B720852:G720861 B786388:G786397 B851924:G851933 B917460:G917469 B982996:G983005 B65503:G65512 B131039:G131048 B196575:G196584 B262111:G262120 B327647:G327656 B393183:G393192 B458719:G458728 B524255:G524264 B589791:G589800 B655327:G655336 B720863:G720872 B786399:G786408 B851935:G851944 B917471:G917480 B983007:G983016 B65514:G65523 B131050:G131059 B196586:G196595 B262122:G262131 B327658:G327667 B393194:G393203 B458730:G458739 B524266:G524275 B589802:G589811 B655338:G655347 B720874:G720883 B786410:G786419 B851946:G851955 B917482:G917491 B983018:G983027 B65525:G65534 B131061:G131070 B196597:G196606 B262133:G262142 B327669:G327678 B393205:G393214 B458741:G458750 B524277:G524286 B589813:G589822 B655349:G655358 B720885:G720894 B786421:G786430 B851957:G851966 B917493:G917502 B983029:G983038 B65536:G65545 B131072:G131081 B196608:G196617 B262144:G262153 B327680:G327689 B393216:G393225 B458752:G458761 B524288:G524297 B589824:G589833 B655360:G655369 B720896:G720905 B786432:G786441 B851968:G851977 B917504:G917513 B983040:G983049 B65547:G65556 B131083:G131092 B196619:G196628 B262155:G262164 B327691:G327700 B393227:G393236 B458763:G458772 B524299:G524308 B589835:G589844 B655371:G655380 B720907:G720916 B786443:G786452 B851979:G851988 B917515:G917524 B983051:G983060" xr:uid="{952F2D61-28BE-4377-BBFE-5D2D56BF8E4D}"/>
    <dataValidation allowBlank="1" showInputMessage="1" showErrorMessage="1" promptTitle="配置保育士" prompt="通常保育を行っている保育士数を入力してください！（主任保育士、一時預かり、障害児保育を行っている保育士は除く！）_x000a_乳児が４人以上で保健師・看護師・准看護師を保育士とみなす場合も入力。_x000a_準保育士→１日６時間以上かつ月２０日以上勤務する非正規職員保育士（雇用形態は正規でなければパート等の時給でもOK）_x000a_短時間保育士→1日６時間未満または月２０日未満の勤務の保育士" sqref="I65426:K65435 I130962:K130971 I196498:K196507 I262034:K262043 I327570:K327579 I393106:K393115 I458642:K458651 I524178:K524187 I589714:K589723 I655250:K655259 I720786:K720795 I786322:K786331 I851858:K851867 I917394:K917403 I982930:K982939 I65437:K65446 I130973:K130982 I196509:K196518 I262045:K262054 I327581:K327590 I393117:K393126 I458653:K458662 I524189:K524198 I589725:K589734 I655261:K655270 I720797:K720806 I786333:K786342 I851869:K851878 I917405:K917414 I982941:K982950 I65448:K65457 I130984:K130993 I196520:K196529 I262056:K262065 I327592:K327601 I393128:K393137 I458664:K458673 I524200:K524209 I589736:K589745 I655272:K655281 I720808:K720817 I786344:K786353 I851880:K851889 I917416:K917425 I982952:K982961 I65459:K65468 I130995:K131004 I196531:K196540 I262067:K262076 I327603:K327612 I393139:K393148 I458675:K458684 I524211:K524220 I589747:K589756 I655283:K655292 I720819:K720828 I786355:K786364 I851891:K851900 I917427:K917436 I982963:K982972 I65470:K65479 I131006:K131015 I196542:K196551 I262078:K262087 I327614:K327623 I393150:K393159 I458686:K458695 I524222:K524231 I589758:K589767 I655294:K655303 I720830:K720839 I786366:K786375 I851902:K851911 I917438:K917447 I982974:K982983 I65481:K65490 I131017:K131026 I196553:K196562 I262089:K262098 I327625:K327634 I393161:K393170 I458697:K458706 I524233:K524242 I589769:K589778 I655305:K655314 I720841:K720850 I786377:K786386 I851913:K851922 I917449:K917458 I982985:K982994 I65492:K65501 I131028:K131037 I196564:K196573 I262100:K262109 I327636:K327645 I393172:K393181 I458708:K458717 I524244:K524253 I589780:K589789 I655316:K655325 I720852:K720861 I786388:K786397 I851924:K851933 I917460:K917469 I982996:K983005 I65503:K65512 I131039:K131048 I196575:K196584 I262111:K262120 I327647:K327656 I393183:K393192 I458719:K458728 I524255:K524264 I589791:K589800 I655327:K655336 I720863:K720872 I786399:K786408 I851935:K851944 I917471:K917480 I983007:K983016 I65514:K65523 I131050:K131059 I196586:K196595 I262122:K262131 I327658:K327667 I393194:K393203 I458730:K458739 I524266:K524275 I589802:K589811 I655338:K655347 I720874:K720883 I786410:K786419 I851946:K851955 I917482:K917491 I983018:K983027 I65525:K65534 I131061:K131070 I196597:K196606 I262133:K262142 I327669:K327678 I393205:K393214 I458741:K458750 I524277:K524286 I589813:K589822 I655349:K655358 I720885:K720894 I786421:K786430 I851957:K851966 I917493:K917502 I983029:K983038 I65536:K65545 I131072:K131081 I196608:K196617 I262144:K262153 I327680:K327689 I393216:K393225 I458752:K458761 I524288:K524297 I589824:K589833 I655360:K655369 I720896:K720905 I786432:K786441 I851968:K851977 I917504:K917513 I983040:K983049 I65547:K65556 I131083:K131092 I196619:K196628 I262155:K262164 I327691:K327700 I393227:K393236 I458763:K458772 I524299:K524308 I589835:K589844 I655371:K655380 I720907:K720916 I786443:K786452 I851979:K851988 I917515:K917524 I983051:K983060" xr:uid="{3320DB09-D98A-4D86-B58E-1581350CD8E8}"/>
    <dataValidation type="whole" allowBlank="1" showInputMessage="1" showErrorMessage="1" error="数字のみ入力できます。_x000a_例えば90人の場合は、「90」と入力してください。" sqref="Q3:R4" xr:uid="{6C9193B9-2148-4C12-BAB6-8DFBC8B0CD0C}">
      <formula1>0</formula1>
      <formula2>300</formula2>
    </dataValidation>
  </dataValidations>
  <pageMargins left="0.78740157480314965" right="0.78740157480314965" top="0.98425196850393704" bottom="0.98425196850393704" header="0.51181102362204722" footer="0.51181102362204722"/>
  <pageSetup paperSize="9" scale="69" orientation="landscape" r:id="rId1"/>
  <headerFooter alignWithMargins="0">
    <oddFooter xml:space="preserve">&amp;L※　　・配置保育士数は、通常保育に係る保育士のみ記載（主任保育士、一時預かり、障害児保育担当保育士等は除く）。
　　　 ・配置保育士数の合計値は、原則として「算出内訳書(2)-(2)月別配置内訳書」の通常保育に係る保育士数と一致します。（乳児が４人以上している際に保健師、看護師又は准看護師を
　　　保育士とみなす場合は、その数を加えてください。ただし、准看護師は、平成27年6月28日以前に勤務していた分は算定できませんのでご注意ください。）
　　　 </oddFooter>
  </headerFooter>
  <colBreaks count="1" manualBreakCount="1">
    <brk id="21" max="38"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9709C-7730-4B90-BFC2-0B7273B66E01}">
  <sheetPr codeName="Sheet9">
    <tabColor rgb="FF00B050"/>
  </sheetPr>
  <dimension ref="A1:AP57"/>
  <sheetViews>
    <sheetView view="pageBreakPreview" zoomScale="84" zoomScaleNormal="85" zoomScaleSheetLayoutView="84" workbookViewId="0">
      <selection activeCell="G19" sqref="G19"/>
    </sheetView>
  </sheetViews>
  <sheetFormatPr defaultColWidth="9" defaultRowHeight="25" customHeight="1"/>
  <cols>
    <col min="1" max="1" width="5.58203125" style="38" customWidth="1"/>
    <col min="2" max="2" width="5" style="38" customWidth="1"/>
    <col min="3" max="25" width="4.58203125" style="38" customWidth="1"/>
    <col min="26" max="28" width="4.5" style="38" customWidth="1"/>
    <col min="29" max="29" width="5" style="38" customWidth="1"/>
    <col min="30" max="30" width="4.83203125" style="38" customWidth="1"/>
    <col min="31" max="31" width="1.08203125" style="38" customWidth="1"/>
    <col min="32" max="32" width="6.25" style="38" customWidth="1"/>
    <col min="33" max="33" width="6.25" style="50" customWidth="1"/>
    <col min="34" max="34" width="1.5" style="38" customWidth="1"/>
    <col min="35" max="35" width="4.58203125" style="38" customWidth="1"/>
    <col min="36" max="36" width="6.75" style="38" customWidth="1"/>
    <col min="37" max="37" width="6.58203125" style="38" customWidth="1"/>
    <col min="38" max="40" width="5.25" style="38" customWidth="1"/>
    <col min="41" max="41" width="4.5" style="50" bestFit="1" customWidth="1"/>
    <col min="42" max="42" width="5.58203125" style="38" customWidth="1"/>
    <col min="43" max="16384" width="9" style="38"/>
  </cols>
  <sheetData>
    <row r="1" spans="1:41" s="22" customFormat="1" ht="25" customHeight="1">
      <c r="A1" s="21" t="s">
        <v>112</v>
      </c>
      <c r="B1" s="21"/>
      <c r="C1" s="21"/>
      <c r="D1" s="21"/>
      <c r="E1" s="21"/>
      <c r="F1" s="21"/>
      <c r="G1" s="21"/>
      <c r="AI1" s="21"/>
      <c r="AJ1" s="21"/>
      <c r="AK1" s="21"/>
      <c r="AO1" s="23"/>
    </row>
    <row r="2" spans="1:41" s="21" customFormat="1" ht="25" customHeight="1">
      <c r="A2" s="21" t="s">
        <v>146</v>
      </c>
      <c r="AB2" s="787" t="s">
        <v>147</v>
      </c>
      <c r="AC2" s="787"/>
      <c r="AD2" s="787">
        <f>①基本情報!D5</f>
        <v>0</v>
      </c>
      <c r="AE2" s="787"/>
      <c r="AF2" s="787"/>
      <c r="AG2" s="787"/>
      <c r="AH2" s="787"/>
      <c r="AI2" s="787"/>
      <c r="AJ2" s="787"/>
      <c r="AK2" s="787"/>
      <c r="AL2" s="21" t="s">
        <v>148</v>
      </c>
    </row>
    <row r="3" spans="1:41" s="21" customFormat="1" ht="19">
      <c r="AO3" s="24"/>
    </row>
    <row r="4" spans="1:41" s="26" customFormat="1" ht="25" customHeight="1">
      <c r="A4" s="784" t="s">
        <v>149</v>
      </c>
      <c r="B4" s="788" t="s">
        <v>150</v>
      </c>
      <c r="C4" s="784" t="s">
        <v>151</v>
      </c>
      <c r="D4" s="784"/>
      <c r="E4" s="784"/>
      <c r="F4" s="784"/>
      <c r="G4" s="784"/>
      <c r="H4" s="794" t="s">
        <v>152</v>
      </c>
      <c r="I4" s="795" t="s">
        <v>153</v>
      </c>
      <c r="J4" s="796"/>
      <c r="K4" s="796"/>
      <c r="L4" s="796"/>
      <c r="M4" s="796"/>
      <c r="N4" s="796"/>
      <c r="O4" s="796"/>
      <c r="P4" s="796"/>
      <c r="Q4" s="796"/>
      <c r="R4" s="796"/>
      <c r="S4" s="796"/>
      <c r="T4" s="796"/>
      <c r="U4" s="796"/>
      <c r="V4" s="796"/>
      <c r="W4" s="796"/>
      <c r="X4" s="796"/>
      <c r="Y4" s="796"/>
      <c r="Z4" s="796"/>
      <c r="AA4" s="796"/>
      <c r="AB4" s="796"/>
      <c r="AC4" s="797"/>
      <c r="AD4" s="788" t="s">
        <v>154</v>
      </c>
      <c r="AE4" s="25"/>
      <c r="AF4" s="169" t="s">
        <v>155</v>
      </c>
      <c r="AG4" s="170" t="s">
        <v>156</v>
      </c>
      <c r="AI4" s="790" t="s">
        <v>157</v>
      </c>
      <c r="AJ4" s="790"/>
      <c r="AK4" s="790"/>
    </row>
    <row r="5" spans="1:41" s="25" customFormat="1" ht="27" customHeight="1">
      <c r="A5" s="784"/>
      <c r="B5" s="789"/>
      <c r="C5" s="784" t="s">
        <v>158</v>
      </c>
      <c r="D5" s="784"/>
      <c r="E5" s="784"/>
      <c r="F5" s="784" t="s">
        <v>1241</v>
      </c>
      <c r="G5" s="784"/>
      <c r="H5" s="794"/>
      <c r="I5" s="799" t="s">
        <v>71</v>
      </c>
      <c r="J5" s="28" t="s">
        <v>159</v>
      </c>
      <c r="K5" s="798" t="s">
        <v>160</v>
      </c>
      <c r="L5" s="798"/>
      <c r="M5" s="798"/>
      <c r="N5" s="798" t="s">
        <v>161</v>
      </c>
      <c r="O5" s="798"/>
      <c r="P5" s="798"/>
      <c r="Q5" s="798" t="s">
        <v>1847</v>
      </c>
      <c r="R5" s="798"/>
      <c r="S5" s="798"/>
      <c r="T5" s="798" t="s">
        <v>162</v>
      </c>
      <c r="U5" s="798"/>
      <c r="V5" s="798"/>
      <c r="W5" s="798" t="s">
        <v>163</v>
      </c>
      <c r="X5" s="798"/>
      <c r="Y5" s="798"/>
      <c r="Z5" s="795" t="s">
        <v>164</v>
      </c>
      <c r="AA5" s="796"/>
      <c r="AB5" s="796"/>
      <c r="AC5" s="797"/>
      <c r="AD5" s="789"/>
      <c r="AF5" s="784" t="s">
        <v>165</v>
      </c>
      <c r="AG5" s="784" t="s">
        <v>166</v>
      </c>
      <c r="AH5" s="26"/>
      <c r="AI5" s="784" t="s">
        <v>167</v>
      </c>
      <c r="AJ5" s="784"/>
      <c r="AK5" s="784"/>
    </row>
    <row r="6" spans="1:41" s="25" customFormat="1" ht="100.5" customHeight="1">
      <c r="A6" s="784"/>
      <c r="B6" s="789"/>
      <c r="C6" s="785" t="s">
        <v>168</v>
      </c>
      <c r="D6" s="785" t="s">
        <v>169</v>
      </c>
      <c r="E6" s="785" t="s">
        <v>170</v>
      </c>
      <c r="F6" s="791" t="s">
        <v>171</v>
      </c>
      <c r="G6" s="791" t="s">
        <v>172</v>
      </c>
      <c r="H6" s="794"/>
      <c r="I6" s="800"/>
      <c r="J6" s="793" t="s">
        <v>174</v>
      </c>
      <c r="K6" s="785" t="s">
        <v>168</v>
      </c>
      <c r="L6" s="785" t="s">
        <v>175</v>
      </c>
      <c r="M6" s="785" t="s">
        <v>176</v>
      </c>
      <c r="N6" s="785" t="s">
        <v>168</v>
      </c>
      <c r="O6" s="785" t="s">
        <v>175</v>
      </c>
      <c r="P6" s="785" t="s">
        <v>176</v>
      </c>
      <c r="Q6" s="785" t="s">
        <v>168</v>
      </c>
      <c r="R6" s="785" t="s">
        <v>175</v>
      </c>
      <c r="S6" s="785" t="s">
        <v>176</v>
      </c>
      <c r="T6" s="785" t="s">
        <v>168</v>
      </c>
      <c r="U6" s="785" t="s">
        <v>175</v>
      </c>
      <c r="V6" s="785" t="s">
        <v>176</v>
      </c>
      <c r="W6" s="785" t="s">
        <v>168</v>
      </c>
      <c r="X6" s="785" t="s">
        <v>175</v>
      </c>
      <c r="Y6" s="785" t="s">
        <v>176</v>
      </c>
      <c r="Z6" s="785" t="s">
        <v>168</v>
      </c>
      <c r="AA6" s="785" t="s">
        <v>175</v>
      </c>
      <c r="AB6" s="785" t="s">
        <v>177</v>
      </c>
      <c r="AC6" s="802" t="s">
        <v>178</v>
      </c>
      <c r="AD6" s="789"/>
      <c r="AE6" s="29"/>
      <c r="AF6" s="784"/>
      <c r="AG6" s="784"/>
      <c r="AH6" s="30"/>
      <c r="AI6" s="783" t="s">
        <v>149</v>
      </c>
      <c r="AJ6" s="786" t="s">
        <v>179</v>
      </c>
      <c r="AK6" s="786" t="s">
        <v>180</v>
      </c>
    </row>
    <row r="7" spans="1:41" s="25" customFormat="1" ht="60" customHeight="1">
      <c r="A7" s="784"/>
      <c r="B7" s="31" t="s">
        <v>181</v>
      </c>
      <c r="C7" s="785"/>
      <c r="D7" s="785"/>
      <c r="E7" s="785"/>
      <c r="F7" s="792"/>
      <c r="G7" s="792"/>
      <c r="H7" s="794"/>
      <c r="I7" s="801"/>
      <c r="J7" s="793"/>
      <c r="K7" s="785"/>
      <c r="L7" s="785"/>
      <c r="M7" s="785"/>
      <c r="N7" s="785"/>
      <c r="O7" s="785"/>
      <c r="P7" s="785"/>
      <c r="Q7" s="785"/>
      <c r="R7" s="785"/>
      <c r="S7" s="785"/>
      <c r="T7" s="785"/>
      <c r="U7" s="785"/>
      <c r="V7" s="785"/>
      <c r="W7" s="785"/>
      <c r="X7" s="785"/>
      <c r="Y7" s="785"/>
      <c r="Z7" s="785"/>
      <c r="AA7" s="785"/>
      <c r="AB7" s="785"/>
      <c r="AC7" s="803"/>
      <c r="AD7" s="32" t="s">
        <v>182</v>
      </c>
      <c r="AF7" s="785" t="s">
        <v>183</v>
      </c>
      <c r="AG7" s="785" t="s">
        <v>183</v>
      </c>
      <c r="AI7" s="783"/>
      <c r="AJ7" s="786"/>
      <c r="AK7" s="786"/>
    </row>
    <row r="8" spans="1:41" s="25" customFormat="1" ht="38.25" customHeight="1">
      <c r="A8" s="784"/>
      <c r="B8" s="358"/>
      <c r="C8" s="168" t="s">
        <v>185</v>
      </c>
      <c r="D8" s="168" t="s">
        <v>186</v>
      </c>
      <c r="E8" s="168" t="s">
        <v>187</v>
      </c>
      <c r="F8" s="168" t="s">
        <v>188</v>
      </c>
      <c r="G8" s="168" t="s">
        <v>189</v>
      </c>
      <c r="H8" s="33" t="s">
        <v>190</v>
      </c>
      <c r="I8" s="168" t="s">
        <v>191</v>
      </c>
      <c r="J8" s="168" t="s">
        <v>192</v>
      </c>
      <c r="K8" s="168" t="s">
        <v>193</v>
      </c>
      <c r="L8" s="168" t="s">
        <v>194</v>
      </c>
      <c r="M8" s="168" t="s">
        <v>195</v>
      </c>
      <c r="N8" s="168" t="s">
        <v>196</v>
      </c>
      <c r="O8" s="168" t="s">
        <v>197</v>
      </c>
      <c r="P8" s="168" t="s">
        <v>198</v>
      </c>
      <c r="Q8" s="168" t="s">
        <v>199</v>
      </c>
      <c r="R8" s="168" t="s">
        <v>200</v>
      </c>
      <c r="S8" s="168" t="s">
        <v>201</v>
      </c>
      <c r="T8" s="168" t="s">
        <v>202</v>
      </c>
      <c r="U8" s="168" t="s">
        <v>203</v>
      </c>
      <c r="V8" s="168" t="s">
        <v>204</v>
      </c>
      <c r="W8" s="168" t="s">
        <v>205</v>
      </c>
      <c r="X8" s="168" t="s">
        <v>206</v>
      </c>
      <c r="Y8" s="168" t="s">
        <v>207</v>
      </c>
      <c r="Z8" s="168" t="s">
        <v>208</v>
      </c>
      <c r="AA8" s="168" t="s">
        <v>209</v>
      </c>
      <c r="AB8" s="25" t="s">
        <v>210</v>
      </c>
      <c r="AC8" s="804"/>
      <c r="AD8" s="34" t="s">
        <v>211</v>
      </c>
      <c r="AF8" s="785"/>
      <c r="AG8" s="785"/>
      <c r="AI8" s="783"/>
      <c r="AJ8" s="786"/>
      <c r="AK8" s="786"/>
    </row>
    <row r="9" spans="1:41" s="35" customFormat="1" ht="37.5" customHeight="1">
      <c r="A9" s="173">
        <v>4</v>
      </c>
      <c r="B9" s="171" t="e">
        <f>'③児童数及び保育士定数 (2)-(1)'!R10</f>
        <v>#N/A</v>
      </c>
      <c r="C9" s="76">
        <f>COUNTIFS('②-1職員名簿'!AP$7:AP$106,"A",'②-2勤務時間数入力'!F$7:F$106,"正")</f>
        <v>0</v>
      </c>
      <c r="D9" s="76">
        <f>COUNTIFS('②-1職員名簿'!AP$7:AP$106,"A",'②-2勤務時間数入力'!$C$7:$C$106,"常勤的非常勤",'②-2勤務時間数入力'!R$7:R$106,"常")</f>
        <v>0</v>
      </c>
      <c r="E9" s="76">
        <f>SUMIFS('②-2勤務時間数入力'!R$7:R$106,'②-1職員名簿'!AP$7:AP$106,"A",'②-1職員名簿'!$C$7:$C$106,"パート")</f>
        <v>0</v>
      </c>
      <c r="F9" s="76">
        <f>COUNTIFS('②-1職員名簿'!AP$7:AP$106,"A",'②-2勤務時間数入力'!$C$7:$C$106,"嘱託常勤",'②-2勤務時間数入力'!R$7:R$106,"常")</f>
        <v>0</v>
      </c>
      <c r="G9" s="76">
        <f>SUMIFS('②-2勤務時間数入力'!R$7:R$106,'②-1職員名簿'!AP$7:AP$106,"A",'②-1職員名簿'!$C$7:$C$106,"嘱託等")</f>
        <v>0</v>
      </c>
      <c r="H9" s="174">
        <f>'②-2勤務時間数入力'!AH7</f>
        <v>0</v>
      </c>
      <c r="I9" s="175">
        <f>COUNTIFS('②-1職員名簿'!W7:W106,"園長",'②-1職員名簿'!AP$7:AP$106,"A",'②-1職員名簿'!AC$7:AC$106,"○")</f>
        <v>0</v>
      </c>
      <c r="J9" s="174" t="e">
        <f>IF(①基本情報!F$35="有",1,0)</f>
        <v>#N/A</v>
      </c>
      <c r="K9" s="76">
        <f>COUNTIFS('②-1職員名簿'!AP$7:AP$106,"A",'②-1職員名簿'!$W$7:$W$106,$K$5,'②-2勤務時間数入力'!F$7:F$106,"正")</f>
        <v>0</v>
      </c>
      <c r="L9" s="76">
        <f>COUNTIFS('②-1職員名簿'!AP$7:AP$106,"A",'②-1職員名簿'!$W$7:$W$106,$K$5,'②-2勤務時間数入力'!R$7:R$106,"常")</f>
        <v>0</v>
      </c>
      <c r="M9" s="76">
        <f>SUMIFS('②-2勤務時間数入力'!R$7:R$106,'②-1職員名簿'!AP$7:AP$106,"A",'②-1職員名簿'!$W$7:$W$106,$K$5)</f>
        <v>0</v>
      </c>
      <c r="N9" s="76">
        <f>COUNTIFS('②-1職員名簿'!AP$7:AP$106,"A",'②-1職員名簿'!$W$7:$W$106,$N$5,'②-2勤務時間数入力'!F$7:F$106,"正")</f>
        <v>0</v>
      </c>
      <c r="O9" s="76">
        <f>COUNTIFS('②-1職員名簿'!AP$7:AP$106,"A",'②-1職員名簿'!$W$7:$W$106,$N$5,'②-2勤務時間数入力'!R$7:R$106,"常")</f>
        <v>0</v>
      </c>
      <c r="P9" s="76">
        <f>SUMIFS('②-2勤務時間数入力'!R$7:R$106,'②-1職員名簿'!AP$7:AP$106,"A",'②-1職員名簿'!$W$7:$W$106,$N$5)</f>
        <v>0</v>
      </c>
      <c r="Q9" s="76">
        <f>COUNTIFS('②-1職員名簿'!AP$7:AP$106,"A",'②-1職員名簿'!$W$7:$W$106,$Q$5,'②-2勤務時間数入力'!F$7:F$106,"正")</f>
        <v>0</v>
      </c>
      <c r="R9" s="76">
        <f>COUNTIFS('②-1職員名簿'!AP$7:AP$106,"A",'②-1職員名簿'!$W$7:$W$106,$Q$5,'②-2勤務時間数入力'!R$7:R$106,"常")</f>
        <v>0</v>
      </c>
      <c r="S9" s="76">
        <f>SUMIFS('②-2勤務時間数入力'!R$7:R$106,'②-1職員名簿'!AP$7:AP$106,"A",'②-1職員名簿'!$W$7:$W$106,$Q$5)</f>
        <v>0</v>
      </c>
      <c r="T9" s="76">
        <f>COUNTIFS('②-1職員名簿'!AP$7:AP$106,"A",'②-1職員名簿'!$W$7:$W$106,$T$5,'②-2勤務時間数入力'!F$7:F$106,"正")</f>
        <v>0</v>
      </c>
      <c r="U9" s="76">
        <f>COUNTIFS('②-1職員名簿'!AP$7:AP$106,"A",'②-1職員名簿'!$W$7:$W$106,$T$5,'②-2勤務時間数入力'!R$7:R$106,"常")</f>
        <v>0</v>
      </c>
      <c r="V9" s="76">
        <f>SUMIFS('②-2勤務時間数入力'!R$7:R$106,'②-1職員名簿'!AP$7:AP$106,"A",'②-1職員名簿'!$W$7:$W$106,$T$5)</f>
        <v>0</v>
      </c>
      <c r="W9" s="76">
        <f>COUNTIFS('②-1職員名簿'!AP$7:AP$106,"A",'②-1職員名簿'!$W$7:$W$106,$W$5,'②-2勤務時間数入力'!F$7:F$106,"正")</f>
        <v>0</v>
      </c>
      <c r="X9" s="76">
        <f>COUNTIFS('②-1職員名簿'!AP$7:AP$106,"A",'②-1職員名簿'!$W$7:$W$106,$W$5,'②-2勤務時間数入力'!R$7:R$106,"常")</f>
        <v>0</v>
      </c>
      <c r="Y9" s="76">
        <f>SUMIFS('②-2勤務時間数入力'!R$7:R$106,'②-1職員名簿'!AP$7:AP$106,"A",'②-1職員名簿'!$W$7:$W$106,$W$5)</f>
        <v>0</v>
      </c>
      <c r="Z9" s="171" t="e">
        <f t="shared" ref="Z9:Z20" si="0">C9-I9-J9-K9-N9-Q9-T9-W9</f>
        <v>#N/A</v>
      </c>
      <c r="AA9" s="171">
        <f t="shared" ref="AA9:AA20" si="1">D9+F9-L9-O9-R9-U9-X9</f>
        <v>0</v>
      </c>
      <c r="AB9" s="183" t="e">
        <f t="shared" ref="AB9:AB20" si="2">ROUNDDOWN((E9+G9-M9-P9-S9-V9-Y9)/H9,3)</f>
        <v>#DIV/0!</v>
      </c>
      <c r="AC9" s="183" t="e">
        <f>Z9+AA9+AB9</f>
        <v>#N/A</v>
      </c>
      <c r="AD9" s="281" t="e">
        <f>AC9-B9</f>
        <v>#N/A</v>
      </c>
      <c r="AE9" s="184"/>
      <c r="AF9" s="185" t="e">
        <f>'④-2月別配置内訳書(2)-(2)-(B)'!AG9</f>
        <v>#N/A</v>
      </c>
      <c r="AG9" s="185" t="e">
        <f>'④-3月別配置内訳書(2)-(2)-(C)・(D)'!W9</f>
        <v>#DIV/0!</v>
      </c>
      <c r="AH9" s="40"/>
      <c r="AI9" s="172">
        <v>4</v>
      </c>
      <c r="AJ9" s="199" t="e">
        <f t="shared" ref="AJ9:AJ20" si="3">IF(ROUNDDOWN(SUM(AC9,AF9,AG9),0)&gt;=B9,"○",B9-ROUNDDOWN(SUM(AC9,AF9,AG9),0))</f>
        <v>#N/A</v>
      </c>
      <c r="AK9" s="332" t="e">
        <f>IF(ROUNDDOWN(SUM(AD9:AG9),0)&lt;=0,"×",ROUNDDOWN(SUM(AD9:AG9),0))</f>
        <v>#N/A</v>
      </c>
    </row>
    <row r="10" spans="1:41" s="35" customFormat="1" ht="36" customHeight="1">
      <c r="A10" s="280">
        <v>5</v>
      </c>
      <c r="B10" s="336" t="e">
        <f>'③児童数及び保育士定数 (2)-(1)'!R11</f>
        <v>#N/A</v>
      </c>
      <c r="C10" s="337">
        <f>COUNTIFS('②-1職員名簿'!AQ$7:AQ$106,"A",'②-2勤務時間数入力'!G$7:G$106,"正")</f>
        <v>0</v>
      </c>
      <c r="D10" s="337">
        <f>COUNTIFS('②-1職員名簿'!AQ$7:AQ$106,"A",'②-2勤務時間数入力'!$C$7:$C$106,"常勤的非常勤",'②-2勤務時間数入力'!S$7:S$106,"常")</f>
        <v>0</v>
      </c>
      <c r="E10" s="337">
        <f>SUMIFS('②-2勤務時間数入力'!S$7:S$106,'②-1職員名簿'!AQ$7:AQ$106,"A",'②-1職員名簿'!$C$7:$C$106,"パート")</f>
        <v>0</v>
      </c>
      <c r="F10" s="337">
        <f>COUNTIFS('②-1職員名簿'!AQ$7:AQ$106,"A",'②-2勤務時間数入力'!$C$7:$C$106,"嘱託常勤",'②-2勤務時間数入力'!S$7:S$106,"常")</f>
        <v>0</v>
      </c>
      <c r="G10" s="337">
        <f>SUMIFS('②-2勤務時間数入力'!S$7:S$106,'②-1職員名簿'!AQ$7:AQ$106,"A",'②-1職員名簿'!$C$7:$C$106,"嘱託等")</f>
        <v>0</v>
      </c>
      <c r="H10" s="338">
        <f>'②-2勤務時間数入力'!AH8</f>
        <v>0</v>
      </c>
      <c r="I10" s="339">
        <f>COUNTIFS('②-1職員名簿'!W7:W106,"園長",'②-1職員名簿'!AQ$7:AQ$106,"A",'②-1職員名簿'!AD$7:AD$106,"○")</f>
        <v>0</v>
      </c>
      <c r="J10" s="338" t="e">
        <f>IF(①基本情報!G$35="有",1,0)</f>
        <v>#N/A</v>
      </c>
      <c r="K10" s="337">
        <f>COUNTIFS('②-1職員名簿'!AQ$7:AQ$106,"A",'②-1職員名簿'!$W$7:$W$106,$K$5,'②-2勤務時間数入力'!G$7:G$106,"正")</f>
        <v>0</v>
      </c>
      <c r="L10" s="76">
        <f>COUNTIFS('②-1職員名簿'!AQ$7:AQ$106,"A",'②-1職員名簿'!$W$7:$W$106,$K$5,'②-2勤務時間数入力'!S$7:S$106,"常")</f>
        <v>0</v>
      </c>
      <c r="M10" s="76">
        <f>SUMIFS('②-2勤務時間数入力'!S$7:S$106,'②-1職員名簿'!AQ$7:AQ$106,"A",'②-1職員名簿'!$W$7:$W$106,$K$5)</f>
        <v>0</v>
      </c>
      <c r="N10" s="76">
        <f>COUNTIFS('②-1職員名簿'!AQ$7:AQ$106,"A",'②-1職員名簿'!$W$7:$W$106,$N$5,'②-2勤務時間数入力'!G$7:G$106,"正")</f>
        <v>0</v>
      </c>
      <c r="O10" s="76">
        <f>COUNTIFS('②-1職員名簿'!AQ$7:AQ$106,"A",'②-1職員名簿'!$W$7:$W$106,$N$5,'②-2勤務時間数入力'!S$7:S$106,"常")</f>
        <v>0</v>
      </c>
      <c r="P10" s="76">
        <f>SUMIFS('②-2勤務時間数入力'!S$7:S$106,'②-1職員名簿'!AQ$7:AQ$106,"A",'②-1職員名簿'!$W$7:$W$106,$N$5)</f>
        <v>0</v>
      </c>
      <c r="Q10" s="76">
        <f>COUNTIFS('②-1職員名簿'!AQ$7:AQ$106,"A",'②-1職員名簿'!$W$7:$W$106,$Q$5,'②-2勤務時間数入力'!G$7:G$106,"正")</f>
        <v>0</v>
      </c>
      <c r="R10" s="76">
        <f>COUNTIFS('②-1職員名簿'!AQ$7:AQ$106,"A",'②-1職員名簿'!$W$7:$W$106,$Q$5,'②-2勤務時間数入力'!S$7:S$106,"常")</f>
        <v>0</v>
      </c>
      <c r="S10" s="76">
        <f>SUMIFS('②-2勤務時間数入力'!S$7:S$106,'②-1職員名簿'!AQ$7:AQ$106,"A",'②-1職員名簿'!$W$7:$W$106,$Q$5)</f>
        <v>0</v>
      </c>
      <c r="T10" s="76">
        <f>COUNTIFS('②-1職員名簿'!AQ$7:AQ$106,"A",'②-1職員名簿'!$W$7:$W$106,$T$5,'②-2勤務時間数入力'!G$7:G$106,"正")</f>
        <v>0</v>
      </c>
      <c r="U10" s="76">
        <f>COUNTIFS('②-1職員名簿'!AQ$7:AQ$106,"A",'②-1職員名簿'!$W$7:$W$106,$T$5,'②-2勤務時間数入力'!S$7:S$106,"常")</f>
        <v>0</v>
      </c>
      <c r="V10" s="76">
        <f>SUMIFS('②-2勤務時間数入力'!S$7:S$106,'②-1職員名簿'!AQ$7:AQ$106,"A",'②-1職員名簿'!$W$7:$W$106,$T$5)</f>
        <v>0</v>
      </c>
      <c r="W10" s="76">
        <f>COUNTIFS('②-1職員名簿'!AQ$7:AQ$106,"A",'②-1職員名簿'!$W$7:$W$106,$W$5,'②-2勤務時間数入力'!G$7:G$106,"正")</f>
        <v>0</v>
      </c>
      <c r="X10" s="76">
        <f>COUNTIFS('②-1職員名簿'!AQ$7:AQ$106,"A",'②-1職員名簿'!$W$7:$W$106,$W$5,'②-2勤務時間数入力'!S$7:S$106,"常")</f>
        <v>0</v>
      </c>
      <c r="Y10" s="76">
        <f>SUMIFS('②-2勤務時間数入力'!S$7:S$106,'②-1職員名簿'!AQ$7:AQ$106,"A",'②-1職員名簿'!$W$7:$W$106,$W$5)</f>
        <v>0</v>
      </c>
      <c r="Z10" s="171" t="e">
        <f t="shared" si="0"/>
        <v>#N/A</v>
      </c>
      <c r="AA10" s="171">
        <f t="shared" si="1"/>
        <v>0</v>
      </c>
      <c r="AB10" s="183" t="e">
        <f t="shared" si="2"/>
        <v>#DIV/0!</v>
      </c>
      <c r="AC10" s="183" t="e">
        <f t="shared" ref="AC10:AC20" si="4">Z10+AA10+AB10</f>
        <v>#N/A</v>
      </c>
      <c r="AD10" s="281" t="e">
        <f t="shared" ref="AD10:AD20" si="5">AC10-B10</f>
        <v>#N/A</v>
      </c>
      <c r="AE10" s="184"/>
      <c r="AF10" s="185" t="e">
        <f>'④-2月別配置内訳書(2)-(2)-(B)'!AG10</f>
        <v>#N/A</v>
      </c>
      <c r="AG10" s="185" t="e">
        <f>'④-3月別配置内訳書(2)-(2)-(C)・(D)'!W10</f>
        <v>#DIV/0!</v>
      </c>
      <c r="AH10" s="40"/>
      <c r="AI10" s="172">
        <v>5</v>
      </c>
      <c r="AJ10" s="199" t="e">
        <f t="shared" si="3"/>
        <v>#N/A</v>
      </c>
      <c r="AK10" s="332" t="e">
        <f t="shared" ref="AK10:AK20" si="6">IF(ROUNDDOWN(SUM(AD10:AG10),0)&lt;=0,"×",ROUNDDOWN(SUM(AD10:AG10),0))</f>
        <v>#N/A</v>
      </c>
    </row>
    <row r="11" spans="1:41" s="35" customFormat="1" ht="36" customHeight="1">
      <c r="A11" s="280">
        <v>6</v>
      </c>
      <c r="B11" s="336" t="e">
        <f>'③児童数及び保育士定数 (2)-(1)'!R12</f>
        <v>#N/A</v>
      </c>
      <c r="C11" s="337">
        <f>COUNTIFS('②-1職員名簿'!AR$7:AR$106,"A",'②-2勤務時間数入力'!H$7:H$106,"正")</f>
        <v>0</v>
      </c>
      <c r="D11" s="337">
        <f>COUNTIFS('②-1職員名簿'!AR$7:AR$106,"A",'②-2勤務時間数入力'!$C$7:$C$106,"常勤的非常勤",'②-2勤務時間数入力'!T$7:T$106,"常")</f>
        <v>0</v>
      </c>
      <c r="E11" s="337">
        <f>SUMIFS('②-2勤務時間数入力'!T$7:T$106,'②-1職員名簿'!AR$7:AR$106,"A",'②-1職員名簿'!$C$7:$C$106,"パート")</f>
        <v>0</v>
      </c>
      <c r="F11" s="337">
        <f>COUNTIFS('②-1職員名簿'!AR$7:AR$106,"A",'②-2勤務時間数入力'!$C$7:$C$106,"嘱託常勤",'②-2勤務時間数入力'!T$7:T$106,"常")</f>
        <v>0</v>
      </c>
      <c r="G11" s="337">
        <f>SUMIFS('②-2勤務時間数入力'!T$7:T$106,'②-1職員名簿'!AR$7:AR$106,"A",'②-1職員名簿'!$C$7:$C$106,"嘱託等")</f>
        <v>0</v>
      </c>
      <c r="H11" s="338">
        <f>'②-2勤務時間数入力'!AH9</f>
        <v>0</v>
      </c>
      <c r="I11" s="339">
        <f>COUNTIFS('②-1職員名簿'!W7:W106,"園長",'②-1職員名簿'!AR$7:AR$106,"A",'②-1職員名簿'!AE$7:AE$106,"○")</f>
        <v>0</v>
      </c>
      <c r="J11" s="338" t="e">
        <f>IF(①基本情報!H$35="有",1,0)</f>
        <v>#N/A</v>
      </c>
      <c r="K11" s="337">
        <f>COUNTIFS('②-1職員名簿'!AR$7:AR$106,"A",'②-1職員名簿'!$W$7:$W$106,$K$5,'②-2勤務時間数入力'!H$7:H$106,"正")</f>
        <v>0</v>
      </c>
      <c r="L11" s="76">
        <f>COUNTIFS('②-1職員名簿'!AR$7:AR$106,"A",'②-1職員名簿'!$W$7:$W$106,$K$5,'②-2勤務時間数入力'!T$7:T$106,"常")</f>
        <v>0</v>
      </c>
      <c r="M11" s="76">
        <f>SUMIFS('②-2勤務時間数入力'!T$7:T$106,'②-1職員名簿'!AR$7:AR$106,"A",'②-1職員名簿'!$W$7:$W$106,$K$5)</f>
        <v>0</v>
      </c>
      <c r="N11" s="76">
        <f>COUNTIFS('②-1職員名簿'!AR$7:AR$106,"A",'②-1職員名簿'!$W$7:$W$106,$N$5,'②-2勤務時間数入力'!H$7:H$106,"正")</f>
        <v>0</v>
      </c>
      <c r="O11" s="76">
        <f>COUNTIFS('②-1職員名簿'!AR$7:AR$106,"A",'②-1職員名簿'!$W$7:$W$106,$N$5,'②-2勤務時間数入力'!T$7:T$106,"常")</f>
        <v>0</v>
      </c>
      <c r="P11" s="76">
        <f>SUMIFS('②-2勤務時間数入力'!T$7:T$106,'②-1職員名簿'!AR$7:AR$106,"A",'②-1職員名簿'!$W$7:$W$106,$N$5)</f>
        <v>0</v>
      </c>
      <c r="Q11" s="76">
        <f>COUNTIFS('②-1職員名簿'!AR$7:AR$106,"A",'②-1職員名簿'!$W$7:$W$106,$Q$5,'②-2勤務時間数入力'!H$7:H$106,"正")</f>
        <v>0</v>
      </c>
      <c r="R11" s="76">
        <f>COUNTIFS('②-1職員名簿'!AR$7:AR$106,"A",'②-1職員名簿'!$W$7:$W$106,$Q$5,'②-2勤務時間数入力'!T$7:T$106,"常")</f>
        <v>0</v>
      </c>
      <c r="S11" s="76">
        <f>SUMIFS('②-2勤務時間数入力'!T$7:T$106,'②-1職員名簿'!AR$7:AR$106,"A",'②-1職員名簿'!$W$7:$W$106,$Q$5)</f>
        <v>0</v>
      </c>
      <c r="T11" s="76">
        <f>COUNTIFS('②-1職員名簿'!AR$7:AR$106,"A",'②-1職員名簿'!$W$7:$W$106,$T$5,'②-2勤務時間数入力'!H$7:H$106,"正")</f>
        <v>0</v>
      </c>
      <c r="U11" s="76">
        <f>COUNTIFS('②-1職員名簿'!AR$7:AR$106,"A",'②-1職員名簿'!$W$7:$W$106,$T$5,'②-2勤務時間数入力'!T$7:T$106,"常")</f>
        <v>0</v>
      </c>
      <c r="V11" s="76">
        <f>SUMIFS('②-2勤務時間数入力'!T$7:T$106,'②-1職員名簿'!AR$7:AR$106,"A",'②-1職員名簿'!$W$7:$W$106,$T$5)</f>
        <v>0</v>
      </c>
      <c r="W11" s="76">
        <f>COUNTIFS('②-1職員名簿'!AR$7:AR$106,"A",'②-1職員名簿'!$W$7:$W$106,$W$5,'②-2勤務時間数入力'!H$7:H$106,"正")</f>
        <v>0</v>
      </c>
      <c r="X11" s="76">
        <f>COUNTIFS('②-1職員名簿'!AR$7:AR$106,"A",'②-1職員名簿'!$W$7:$W$106,$W$5,'②-2勤務時間数入力'!T$7:T$106,"常")</f>
        <v>0</v>
      </c>
      <c r="Y11" s="76">
        <f>SUMIFS('②-2勤務時間数入力'!T$7:T$106,'②-1職員名簿'!AR$7:AR$106,"A",'②-1職員名簿'!$W$7:$W$106,$W$5)</f>
        <v>0</v>
      </c>
      <c r="Z11" s="171" t="e">
        <f t="shared" si="0"/>
        <v>#N/A</v>
      </c>
      <c r="AA11" s="171">
        <f t="shared" si="1"/>
        <v>0</v>
      </c>
      <c r="AB11" s="183" t="e">
        <f t="shared" si="2"/>
        <v>#DIV/0!</v>
      </c>
      <c r="AC11" s="183" t="e">
        <f t="shared" si="4"/>
        <v>#N/A</v>
      </c>
      <c r="AD11" s="281" t="e">
        <f t="shared" si="5"/>
        <v>#N/A</v>
      </c>
      <c r="AE11" s="184"/>
      <c r="AF11" s="185" t="e">
        <f>'④-2月別配置内訳書(2)-(2)-(B)'!AG11</f>
        <v>#N/A</v>
      </c>
      <c r="AG11" s="185" t="e">
        <f>'④-3月別配置内訳書(2)-(2)-(C)・(D)'!W11</f>
        <v>#DIV/0!</v>
      </c>
      <c r="AH11" s="40"/>
      <c r="AI11" s="172">
        <v>6</v>
      </c>
      <c r="AJ11" s="199" t="e">
        <f t="shared" si="3"/>
        <v>#N/A</v>
      </c>
      <c r="AK11" s="332" t="e">
        <f t="shared" si="6"/>
        <v>#N/A</v>
      </c>
    </row>
    <row r="12" spans="1:41" s="35" customFormat="1" ht="36" customHeight="1">
      <c r="A12" s="280">
        <v>7</v>
      </c>
      <c r="B12" s="336" t="e">
        <f>'③児童数及び保育士定数 (2)-(1)'!R13</f>
        <v>#N/A</v>
      </c>
      <c r="C12" s="337">
        <f>COUNTIFS('②-1職員名簿'!AS$7:AS$106,"A",'②-2勤務時間数入力'!I$7:I$106,"正")</f>
        <v>0</v>
      </c>
      <c r="D12" s="337">
        <f>COUNTIFS('②-1職員名簿'!AS$7:AS$106,"A",'②-2勤務時間数入力'!$C$7:$C$106,"常勤的非常勤",'②-2勤務時間数入力'!U$7:U$106,"常")</f>
        <v>0</v>
      </c>
      <c r="E12" s="337">
        <f>SUMIFS('②-2勤務時間数入力'!U$7:U$106,'②-1職員名簿'!AS$7:AS$106,"A",'②-1職員名簿'!$C$7:$C$106,"パート")</f>
        <v>0</v>
      </c>
      <c r="F12" s="337">
        <f>COUNTIFS('②-1職員名簿'!AS$7:AS$106,"A",'②-2勤務時間数入力'!$C$7:$C$106,"嘱託常勤",'②-2勤務時間数入力'!U$7:U$106,"常")</f>
        <v>0</v>
      </c>
      <c r="G12" s="337">
        <f>SUMIFS('②-2勤務時間数入力'!U$7:U$106,'②-1職員名簿'!AS$7:AS$106,"A",'②-1職員名簿'!$C$7:$C$106,"嘱託等")</f>
        <v>0</v>
      </c>
      <c r="H12" s="338">
        <f>'②-2勤務時間数入力'!AH10</f>
        <v>0</v>
      </c>
      <c r="I12" s="339">
        <f>COUNTIFS('②-1職員名簿'!W7:W106,"園長",'②-1職員名簿'!AS$7:AS$106,"A",'②-1職員名簿'!AF$7:AF$106,"○")</f>
        <v>0</v>
      </c>
      <c r="J12" s="338" t="e">
        <f>IF(①基本情報!I$35="有",1,0)</f>
        <v>#N/A</v>
      </c>
      <c r="K12" s="337">
        <f>COUNTIFS('②-1職員名簿'!AS$7:AS$106,"A",'②-1職員名簿'!$W$7:$W$106,$K$5,'②-2勤務時間数入力'!I$7:I$106,"正")</f>
        <v>0</v>
      </c>
      <c r="L12" s="76">
        <f>COUNTIFS('②-1職員名簿'!AS$7:AS$106,"A",'②-1職員名簿'!$W$7:$W$106,$K$5,'②-2勤務時間数入力'!U$7:U$106,"常")</f>
        <v>0</v>
      </c>
      <c r="M12" s="76">
        <f>SUMIFS('②-2勤務時間数入力'!U$7:U$106,'②-1職員名簿'!AS$7:AS$106,"A",'②-1職員名簿'!$W$7:$W$106,$K$5)</f>
        <v>0</v>
      </c>
      <c r="N12" s="76">
        <f>COUNTIFS('②-1職員名簿'!AS$7:AS$106,"A",'②-1職員名簿'!$W$7:$W$106,$N$5,'②-2勤務時間数入力'!I$7:I$106,"正")</f>
        <v>0</v>
      </c>
      <c r="O12" s="76">
        <f>COUNTIFS('②-1職員名簿'!AS$7:AS$106,"A",'②-1職員名簿'!$W$7:$W$106,$N$5,'②-2勤務時間数入力'!U$7:U$106,"常")</f>
        <v>0</v>
      </c>
      <c r="P12" s="76">
        <f>SUMIFS('②-2勤務時間数入力'!U$7:U$106,'②-1職員名簿'!AS$7:AS$106,"A",'②-1職員名簿'!$W$7:$W$106,$N$5)</f>
        <v>0</v>
      </c>
      <c r="Q12" s="76">
        <f>COUNTIFS('②-1職員名簿'!AS$7:AS$106,"A",'②-1職員名簿'!$W$7:$W$106,$Q$5,'②-2勤務時間数入力'!I$7:I$106,"正")</f>
        <v>0</v>
      </c>
      <c r="R12" s="76">
        <f>COUNTIFS('②-1職員名簿'!AS$7:AS$106,"A",'②-1職員名簿'!$W$7:$W$106,$Q$5,'②-2勤務時間数入力'!U$7:U$106,"常")</f>
        <v>0</v>
      </c>
      <c r="S12" s="76">
        <f>SUMIFS('②-2勤務時間数入力'!U$7:U$106,'②-1職員名簿'!AS$7:AS$106,"A",'②-1職員名簿'!$W$7:$W$106,$Q$5)</f>
        <v>0</v>
      </c>
      <c r="T12" s="76">
        <f>COUNTIFS('②-1職員名簿'!AS$7:AS$106,"A",'②-1職員名簿'!$W$7:$W$106,$T$5,'②-2勤務時間数入力'!I$7:I$106,"正")</f>
        <v>0</v>
      </c>
      <c r="U12" s="76">
        <f>COUNTIFS('②-1職員名簿'!AS$7:AS$106,"A",'②-1職員名簿'!$W$7:$W$106,$T$5,'②-2勤務時間数入力'!U$7:U$106,"常")</f>
        <v>0</v>
      </c>
      <c r="V12" s="76">
        <f>SUMIFS('②-2勤務時間数入力'!U$7:U$106,'②-1職員名簿'!AS$7:AS$106,"A",'②-1職員名簿'!$W$7:$W$106,$T$5)</f>
        <v>0</v>
      </c>
      <c r="W12" s="76">
        <f>COUNTIFS('②-1職員名簿'!AS$7:AS$106,"A",'②-1職員名簿'!$W$7:$W$106,$W$5,'②-2勤務時間数入力'!I$7:I$106,"正")</f>
        <v>0</v>
      </c>
      <c r="X12" s="76">
        <f>COUNTIFS('②-1職員名簿'!AS$7:AS$106,"A",'②-1職員名簿'!$W$7:$W$106,$W$5,'②-2勤務時間数入力'!U$7:U$106,"常")</f>
        <v>0</v>
      </c>
      <c r="Y12" s="76">
        <f>SUMIFS('②-2勤務時間数入力'!U$7:U$106,'②-1職員名簿'!AS$7:AS$106,"A",'②-1職員名簿'!$W$7:$W$106,$W$5)</f>
        <v>0</v>
      </c>
      <c r="Z12" s="171" t="e">
        <f t="shared" si="0"/>
        <v>#N/A</v>
      </c>
      <c r="AA12" s="171">
        <f t="shared" si="1"/>
        <v>0</v>
      </c>
      <c r="AB12" s="183" t="e">
        <f t="shared" si="2"/>
        <v>#DIV/0!</v>
      </c>
      <c r="AC12" s="183" t="e">
        <f t="shared" si="4"/>
        <v>#N/A</v>
      </c>
      <c r="AD12" s="281" t="e">
        <f t="shared" si="5"/>
        <v>#N/A</v>
      </c>
      <c r="AE12" s="184"/>
      <c r="AF12" s="185" t="e">
        <f>'④-2月別配置内訳書(2)-(2)-(B)'!AG12</f>
        <v>#N/A</v>
      </c>
      <c r="AG12" s="185" t="e">
        <f>'④-3月別配置内訳書(2)-(2)-(C)・(D)'!W12</f>
        <v>#DIV/0!</v>
      </c>
      <c r="AH12" s="40"/>
      <c r="AI12" s="172">
        <v>7</v>
      </c>
      <c r="AJ12" s="199" t="e">
        <f t="shared" si="3"/>
        <v>#N/A</v>
      </c>
      <c r="AK12" s="332" t="e">
        <f t="shared" si="6"/>
        <v>#N/A</v>
      </c>
    </row>
    <row r="13" spans="1:41" s="35" customFormat="1" ht="36" customHeight="1">
      <c r="A13" s="280">
        <v>8</v>
      </c>
      <c r="B13" s="336" t="e">
        <f>'③児童数及び保育士定数 (2)-(1)'!R14</f>
        <v>#N/A</v>
      </c>
      <c r="C13" s="337">
        <f>COUNTIFS('②-1職員名簿'!AT$7:AT$106,"A",'②-2勤務時間数入力'!J$7:J$106,"正")</f>
        <v>0</v>
      </c>
      <c r="D13" s="337">
        <f>COUNTIFS('②-1職員名簿'!AT$7:AT$106,"A",'②-2勤務時間数入力'!$C$7:$C$106,"常勤的非常勤",'②-2勤務時間数入力'!V$7:V$106,"常")</f>
        <v>0</v>
      </c>
      <c r="E13" s="337">
        <f>SUMIFS('②-2勤務時間数入力'!V$7:V$106,'②-1職員名簿'!AT$7:AT$106,"A",'②-1職員名簿'!$C$7:$C$106,"パート")</f>
        <v>0</v>
      </c>
      <c r="F13" s="337">
        <f>COUNTIFS('②-1職員名簿'!AT$7:AT$106,"A",'②-2勤務時間数入力'!$C$7:$C$106,"嘱託常勤",'②-2勤務時間数入力'!V$7:V$106,"常")</f>
        <v>0</v>
      </c>
      <c r="G13" s="337">
        <f>SUMIFS('②-2勤務時間数入力'!V$7:V$106,'②-1職員名簿'!AT$7:AT$106,"A",'②-1職員名簿'!$C$7:$C$106,"嘱託等")</f>
        <v>0</v>
      </c>
      <c r="H13" s="338">
        <f>'②-2勤務時間数入力'!AH11</f>
        <v>0</v>
      </c>
      <c r="I13" s="339">
        <f>COUNTIFS('②-1職員名簿'!W7:W106,"園長",'②-1職員名簿'!AT$7:AT$106,"A",'②-1職員名簿'!AG$7:AG$106,"○")</f>
        <v>0</v>
      </c>
      <c r="J13" s="338" t="e">
        <f>IF(①基本情報!J$35="有",1,0)</f>
        <v>#N/A</v>
      </c>
      <c r="K13" s="337">
        <f>COUNTIFS('②-1職員名簿'!AT$7:AT$106,"A",'②-1職員名簿'!$W$7:$W$106,$K$5,'②-2勤務時間数入力'!J$7:J$106,"正")</f>
        <v>0</v>
      </c>
      <c r="L13" s="76">
        <f>COUNTIFS('②-1職員名簿'!AT$7:AT$106,"A",'②-1職員名簿'!$W$7:$W$106,$K$5,'②-2勤務時間数入力'!V$7:V$106,"常")</f>
        <v>0</v>
      </c>
      <c r="M13" s="76">
        <f>SUMIFS('②-2勤務時間数入力'!V$7:V$106,'②-1職員名簿'!AT$7:AT$106,"A",'②-1職員名簿'!$W$7:$W$106,$K$5)</f>
        <v>0</v>
      </c>
      <c r="N13" s="76">
        <f>COUNTIFS('②-1職員名簿'!AT$7:AT$106,"A",'②-1職員名簿'!$W$7:$W$106,$N$5,'②-2勤務時間数入力'!J$7:J$106,"正")</f>
        <v>0</v>
      </c>
      <c r="O13" s="76">
        <f>COUNTIFS('②-1職員名簿'!AT$7:AT$106,"A",'②-1職員名簿'!$W$7:$W$106,$N$5,'②-2勤務時間数入力'!V$7:V$106,"常")</f>
        <v>0</v>
      </c>
      <c r="P13" s="76">
        <f>SUMIFS('②-2勤務時間数入力'!V$7:V$106,'②-1職員名簿'!AT$7:AT$106,"A",'②-1職員名簿'!$W$7:$W$106,$N$5)</f>
        <v>0</v>
      </c>
      <c r="Q13" s="76">
        <f>COUNTIFS('②-1職員名簿'!AT$7:AT$106,"A",'②-1職員名簿'!$W$7:$W$106,$Q$5,'②-2勤務時間数入力'!J$7:J$106,"正")</f>
        <v>0</v>
      </c>
      <c r="R13" s="76">
        <f>COUNTIFS('②-1職員名簿'!AT$7:AT$106,"A",'②-1職員名簿'!$W$7:$W$106,$Q$5,'②-2勤務時間数入力'!V$7:V$106,"常")</f>
        <v>0</v>
      </c>
      <c r="S13" s="76">
        <f>SUMIFS('②-2勤務時間数入力'!V$7:V$106,'②-1職員名簿'!AT$7:AT$106,"A",'②-1職員名簿'!$W$7:$W$106,$Q$5)</f>
        <v>0</v>
      </c>
      <c r="T13" s="76">
        <f>COUNTIFS('②-1職員名簿'!AT$7:AT$106,"A",'②-1職員名簿'!$W$7:$W$106,$T$5,'②-2勤務時間数入力'!J$7:J$106,"正")</f>
        <v>0</v>
      </c>
      <c r="U13" s="76">
        <f>COUNTIFS('②-1職員名簿'!AT$7:AT$106,"A",'②-1職員名簿'!$W$7:$W$106,$T$5,'②-2勤務時間数入力'!V$7:V$106,"常")</f>
        <v>0</v>
      </c>
      <c r="V13" s="76">
        <f>SUMIFS('②-2勤務時間数入力'!V$7:V$106,'②-1職員名簿'!AT$7:AT$106,"A",'②-1職員名簿'!$W$7:$W$106,$T$5)</f>
        <v>0</v>
      </c>
      <c r="W13" s="76">
        <f>COUNTIFS('②-1職員名簿'!AT$7:AT$106,"A",'②-1職員名簿'!$W$7:$W$106,$W$5,'②-2勤務時間数入力'!J$7:J$106,"正")</f>
        <v>0</v>
      </c>
      <c r="X13" s="76">
        <f>COUNTIFS('②-1職員名簿'!AT$7:AT$106,"A",'②-1職員名簿'!$W$7:$W$106,$W$5,'②-2勤務時間数入力'!V$7:V$106,"常")</f>
        <v>0</v>
      </c>
      <c r="Y13" s="76">
        <f>SUMIFS('②-2勤務時間数入力'!V$7:V$106,'②-1職員名簿'!AT$7:AT$106,"A",'②-1職員名簿'!$W$7:$W$106,$W$5)</f>
        <v>0</v>
      </c>
      <c r="Z13" s="171" t="e">
        <f t="shared" si="0"/>
        <v>#N/A</v>
      </c>
      <c r="AA13" s="171">
        <f t="shared" si="1"/>
        <v>0</v>
      </c>
      <c r="AB13" s="183" t="e">
        <f t="shared" si="2"/>
        <v>#DIV/0!</v>
      </c>
      <c r="AC13" s="183" t="e">
        <f t="shared" si="4"/>
        <v>#N/A</v>
      </c>
      <c r="AD13" s="281" t="e">
        <f t="shared" si="5"/>
        <v>#N/A</v>
      </c>
      <c r="AE13" s="184"/>
      <c r="AF13" s="185" t="e">
        <f>'④-2月別配置内訳書(2)-(2)-(B)'!AG13</f>
        <v>#N/A</v>
      </c>
      <c r="AG13" s="185" t="e">
        <f>'④-3月別配置内訳書(2)-(2)-(C)・(D)'!W13</f>
        <v>#DIV/0!</v>
      </c>
      <c r="AH13" s="40"/>
      <c r="AI13" s="172">
        <v>8</v>
      </c>
      <c r="AJ13" s="199" t="e">
        <f t="shared" si="3"/>
        <v>#N/A</v>
      </c>
      <c r="AK13" s="332" t="e">
        <f t="shared" si="6"/>
        <v>#N/A</v>
      </c>
    </row>
    <row r="14" spans="1:41" s="35" customFormat="1" ht="36" customHeight="1">
      <c r="A14" s="280">
        <v>9</v>
      </c>
      <c r="B14" s="336" t="e">
        <f>'③児童数及び保育士定数 (2)-(1)'!R15</f>
        <v>#N/A</v>
      </c>
      <c r="C14" s="337">
        <f>COUNTIFS('②-1職員名簿'!AU$7:AU$106,"A",'②-2勤務時間数入力'!K$7:K$106,"正")</f>
        <v>0</v>
      </c>
      <c r="D14" s="337">
        <f>COUNTIFS('②-1職員名簿'!AU$7:AU$106,"A",'②-2勤務時間数入力'!$C$7:$C$106,"常勤的非常勤",'②-2勤務時間数入力'!W$7:W$106,"常")</f>
        <v>0</v>
      </c>
      <c r="E14" s="337">
        <f>SUMIFS('②-2勤務時間数入力'!W$7:W$106,'②-1職員名簿'!AU$7:AU$106,"A",'②-1職員名簿'!$C$7:$C$106,"パート")</f>
        <v>0</v>
      </c>
      <c r="F14" s="337">
        <f>COUNTIFS('②-1職員名簿'!AU$7:AU$106,"A",'②-2勤務時間数入力'!$C$7:$C$106,"嘱託常勤",'②-2勤務時間数入力'!W$7:W$106,"常")</f>
        <v>0</v>
      </c>
      <c r="G14" s="337">
        <f>SUMIFS('②-2勤務時間数入力'!W$7:W$106,'②-1職員名簿'!AU$7:AU$106,"A",'②-1職員名簿'!$C$7:$C$106,"嘱託等")</f>
        <v>0</v>
      </c>
      <c r="H14" s="338">
        <f>'②-2勤務時間数入力'!AH12</f>
        <v>0</v>
      </c>
      <c r="I14" s="339">
        <f>COUNTIFS('②-1職員名簿'!W7:W106,"園長",'②-1職員名簿'!AU$7:AU$106,"A",'②-1職員名簿'!AH$7:AH$106,"○")</f>
        <v>0</v>
      </c>
      <c r="J14" s="338" t="e">
        <f>IF(①基本情報!K$35="有",1,0)</f>
        <v>#N/A</v>
      </c>
      <c r="K14" s="337">
        <f>COUNTIFS('②-1職員名簿'!AU$7:AU$106,"A",'②-1職員名簿'!$W$7:$W$106,$K$5,'②-2勤務時間数入力'!K$7:K$106,"正")</f>
        <v>0</v>
      </c>
      <c r="L14" s="76">
        <f>COUNTIFS('②-1職員名簿'!AU$7:AU$106,"A",'②-1職員名簿'!$W$7:$W$106,$K$5,'②-2勤務時間数入力'!W$7:W$106,"常")</f>
        <v>0</v>
      </c>
      <c r="M14" s="76">
        <f>SUMIFS('②-2勤務時間数入力'!W$7:W$106,'②-1職員名簿'!AU$7:AU$106,"A",'②-1職員名簿'!$W$7:$W$106,$K$5)</f>
        <v>0</v>
      </c>
      <c r="N14" s="76">
        <f>COUNTIFS('②-1職員名簿'!AU$7:AU$106,"A",'②-1職員名簿'!$W$7:$W$106,$N$5,'②-2勤務時間数入力'!K$7:K$106,"正")</f>
        <v>0</v>
      </c>
      <c r="O14" s="76">
        <f>COUNTIFS('②-1職員名簿'!AU$7:AU$106,"A",'②-1職員名簿'!$W$7:$W$106,$N$5,'②-2勤務時間数入力'!W$7:W$106,"常")</f>
        <v>0</v>
      </c>
      <c r="P14" s="76">
        <f>SUMIFS('②-2勤務時間数入力'!W$7:W$106,'②-1職員名簿'!AU$7:AU$106,"A",'②-1職員名簿'!$W$7:$W$106,$N$5)</f>
        <v>0</v>
      </c>
      <c r="Q14" s="76">
        <f>COUNTIFS('②-1職員名簿'!AU$7:AU$106,"A",'②-1職員名簿'!$W$7:$W$106,$Q$5,'②-2勤務時間数入力'!K$7:K$106,"正")</f>
        <v>0</v>
      </c>
      <c r="R14" s="76">
        <f>COUNTIFS('②-1職員名簿'!AU$7:AU$106,"A",'②-1職員名簿'!$W$7:$W$106,$Q$5,'②-2勤務時間数入力'!W$7:W$106,"常")</f>
        <v>0</v>
      </c>
      <c r="S14" s="76">
        <f>SUMIFS('②-2勤務時間数入力'!W$7:W$106,'②-1職員名簿'!AU$7:AU$106,"A",'②-1職員名簿'!$W$7:$W$106,$Q$5)</f>
        <v>0</v>
      </c>
      <c r="T14" s="76">
        <f>COUNTIFS('②-1職員名簿'!AU$7:AU$106,"A",'②-1職員名簿'!$W$7:$W$106,$T$5,'②-2勤務時間数入力'!K$7:K$106,"正")</f>
        <v>0</v>
      </c>
      <c r="U14" s="76">
        <f>COUNTIFS('②-1職員名簿'!AU$7:AU$106,"A",'②-1職員名簿'!$W$7:$W$106,$T$5,'②-2勤務時間数入力'!W$7:W$106,"常")</f>
        <v>0</v>
      </c>
      <c r="V14" s="76">
        <f>SUMIFS('②-2勤務時間数入力'!W$7:W$106,'②-1職員名簿'!AU$7:AU$106,"A",'②-1職員名簿'!$W$7:$W$106,$T$5)</f>
        <v>0</v>
      </c>
      <c r="W14" s="76">
        <f>COUNTIFS('②-1職員名簿'!AU$7:AU$106,"A",'②-1職員名簿'!$W$7:$W$106,$W$5,'②-2勤務時間数入力'!K$7:K$106,"正")</f>
        <v>0</v>
      </c>
      <c r="X14" s="76">
        <f>COUNTIFS('②-1職員名簿'!AU$7:AU$106,"A",'②-1職員名簿'!$W$7:$W$106,$W$5,'②-2勤務時間数入力'!W$7:W$106,"常")</f>
        <v>0</v>
      </c>
      <c r="Y14" s="76">
        <f>SUMIFS('②-2勤務時間数入力'!W$7:W$106,'②-1職員名簿'!AU$7:AU$106,"A",'②-1職員名簿'!$W$7:$W$106,$W$5)</f>
        <v>0</v>
      </c>
      <c r="Z14" s="171" t="e">
        <f t="shared" si="0"/>
        <v>#N/A</v>
      </c>
      <c r="AA14" s="171">
        <f t="shared" si="1"/>
        <v>0</v>
      </c>
      <c r="AB14" s="183" t="e">
        <f t="shared" si="2"/>
        <v>#DIV/0!</v>
      </c>
      <c r="AC14" s="183" t="e">
        <f t="shared" si="4"/>
        <v>#N/A</v>
      </c>
      <c r="AD14" s="281" t="e">
        <f t="shared" si="5"/>
        <v>#N/A</v>
      </c>
      <c r="AE14" s="184"/>
      <c r="AF14" s="185" t="e">
        <f>'④-2月別配置内訳書(2)-(2)-(B)'!AG14</f>
        <v>#N/A</v>
      </c>
      <c r="AG14" s="185" t="e">
        <f>'④-3月別配置内訳書(2)-(2)-(C)・(D)'!W14</f>
        <v>#DIV/0!</v>
      </c>
      <c r="AH14" s="40"/>
      <c r="AI14" s="172">
        <v>9</v>
      </c>
      <c r="AJ14" s="199" t="e">
        <f t="shared" si="3"/>
        <v>#N/A</v>
      </c>
      <c r="AK14" s="332" t="e">
        <f t="shared" si="6"/>
        <v>#N/A</v>
      </c>
    </row>
    <row r="15" spans="1:41" s="35" customFormat="1" ht="36" customHeight="1">
      <c r="A15" s="280">
        <v>10</v>
      </c>
      <c r="B15" s="336" t="e">
        <f>'③児童数及び保育士定数 (2)-(1)'!R16</f>
        <v>#N/A</v>
      </c>
      <c r="C15" s="337">
        <f>COUNTIFS('②-1職員名簿'!AV$7:AV$106,"A",'②-2勤務時間数入力'!L$7:L$106,"正")</f>
        <v>0</v>
      </c>
      <c r="D15" s="337">
        <f>COUNTIFS('②-1職員名簿'!AV$7:AV$106,"A",'②-2勤務時間数入力'!$C$7:$C$106,"常勤的非常勤",'②-2勤務時間数入力'!X$7:X$106,"常")</f>
        <v>0</v>
      </c>
      <c r="E15" s="337">
        <f>SUMIFS('②-2勤務時間数入力'!X$7:X$106,'②-1職員名簿'!AV$7:AV$106,"A",'②-1職員名簿'!$C$7:$C$106,"パート")</f>
        <v>0</v>
      </c>
      <c r="F15" s="337">
        <f>COUNTIFS('②-1職員名簿'!AV$7:AV$106,"A",'②-2勤務時間数入力'!$C$7:$C$106,"嘱託常勤",'②-2勤務時間数入力'!X$7:X$106,"常")</f>
        <v>0</v>
      </c>
      <c r="G15" s="337">
        <f>SUMIFS('②-2勤務時間数入力'!X$7:X$106,'②-1職員名簿'!AV$7:AV$106,"A",'②-1職員名簿'!$C$7:$C$106,"嘱託等")</f>
        <v>0</v>
      </c>
      <c r="H15" s="338">
        <f>'②-2勤務時間数入力'!AH13</f>
        <v>0</v>
      </c>
      <c r="I15" s="339">
        <f>COUNTIFS('②-1職員名簿'!W7:W106,"園長",'②-1職員名簿'!AV$7:AV$106,"A",'②-1職員名簿'!AI$7:AI$106,"○")</f>
        <v>0</v>
      </c>
      <c r="J15" s="338" t="e">
        <f>IF(①基本情報!L$35="有",1,0)</f>
        <v>#N/A</v>
      </c>
      <c r="K15" s="337">
        <f>COUNTIFS('②-1職員名簿'!AV$7:AV$106,"A",'②-1職員名簿'!$W$7:$W$106,$K$5,'②-2勤務時間数入力'!L$7:L$106,"正")</f>
        <v>0</v>
      </c>
      <c r="L15" s="76">
        <f>COUNTIFS('②-1職員名簿'!AV$7:AV$106,"A",'②-1職員名簿'!$W$7:$W$106,$K$5,'②-2勤務時間数入力'!X$7:X$106,"常")</f>
        <v>0</v>
      </c>
      <c r="M15" s="76">
        <f>SUMIFS('②-2勤務時間数入力'!X$7:X$106,'②-1職員名簿'!AV$7:AV$106,"A",'②-1職員名簿'!$W$7:$W$106,$K$5)</f>
        <v>0</v>
      </c>
      <c r="N15" s="76">
        <f>COUNTIFS('②-1職員名簿'!AV$7:AV$106,"A",'②-1職員名簿'!$W$7:$W$106,$N$5,'②-2勤務時間数入力'!L$7:L$106,"正")</f>
        <v>0</v>
      </c>
      <c r="O15" s="76">
        <f>COUNTIFS('②-1職員名簿'!AV$7:AV$106,"A",'②-1職員名簿'!$W$7:$W$106,$N$5,'②-2勤務時間数入力'!X$7:X$106,"常")</f>
        <v>0</v>
      </c>
      <c r="P15" s="76">
        <f>SUMIFS('②-2勤務時間数入力'!X$7:X$106,'②-1職員名簿'!AV$7:AV$106,"A",'②-1職員名簿'!$W$7:$W$106,$N$5)</f>
        <v>0</v>
      </c>
      <c r="Q15" s="76">
        <f>COUNTIFS('②-1職員名簿'!AV$7:AV$106,"A",'②-1職員名簿'!$W$7:$W$106,$Q$5,'②-2勤務時間数入力'!L$7:L$106,"正")</f>
        <v>0</v>
      </c>
      <c r="R15" s="76">
        <f>COUNTIFS('②-1職員名簿'!AV$7:AV$106,"A",'②-1職員名簿'!$W$7:$W$106,$Q$5,'②-2勤務時間数入力'!X$7:X$106,"常")</f>
        <v>0</v>
      </c>
      <c r="S15" s="76">
        <f>SUMIFS('②-2勤務時間数入力'!X$7:X$106,'②-1職員名簿'!AV$7:AV$106,"A",'②-1職員名簿'!$W$7:$W$106,$Q$5)</f>
        <v>0</v>
      </c>
      <c r="T15" s="76">
        <f>COUNTIFS('②-1職員名簿'!AV$7:AV$106,"A",'②-1職員名簿'!$W$7:$W$106,$T$5,'②-2勤務時間数入力'!L$7:L$106,"正")</f>
        <v>0</v>
      </c>
      <c r="U15" s="76">
        <f>COUNTIFS('②-1職員名簿'!AV$7:AV$106,"A",'②-1職員名簿'!$W$7:$W$106,$T$5,'②-2勤務時間数入力'!X$7:X$106,"常")</f>
        <v>0</v>
      </c>
      <c r="V15" s="76">
        <f>SUMIFS('②-2勤務時間数入力'!X$7:X$106,'②-1職員名簿'!AV$7:AV$106,"A",'②-1職員名簿'!$W$7:$W$106,$T$5)</f>
        <v>0</v>
      </c>
      <c r="W15" s="76">
        <f>COUNTIFS('②-1職員名簿'!AV$7:AV$106,"A",'②-1職員名簿'!$W$7:$W$106,$W$5,'②-2勤務時間数入力'!L$7:L$106,"正")</f>
        <v>0</v>
      </c>
      <c r="X15" s="76">
        <f>COUNTIFS('②-1職員名簿'!AV$7:AV$106,"A",'②-1職員名簿'!$W$7:$W$106,$W$5,'②-2勤務時間数入力'!X$7:X$106,"常")</f>
        <v>0</v>
      </c>
      <c r="Y15" s="76">
        <f>SUMIFS('②-2勤務時間数入力'!X$7:X$106,'②-1職員名簿'!AV$7:AV$106,"A",'②-1職員名簿'!$W$7:$W$106,$W$5)</f>
        <v>0</v>
      </c>
      <c r="Z15" s="171" t="e">
        <f t="shared" si="0"/>
        <v>#N/A</v>
      </c>
      <c r="AA15" s="171">
        <f t="shared" si="1"/>
        <v>0</v>
      </c>
      <c r="AB15" s="183" t="e">
        <f t="shared" si="2"/>
        <v>#DIV/0!</v>
      </c>
      <c r="AC15" s="183" t="e">
        <f t="shared" si="4"/>
        <v>#N/A</v>
      </c>
      <c r="AD15" s="281" t="e">
        <f t="shared" si="5"/>
        <v>#N/A</v>
      </c>
      <c r="AE15" s="184"/>
      <c r="AF15" s="185" t="e">
        <f>'④-2月別配置内訳書(2)-(2)-(B)'!AG15</f>
        <v>#N/A</v>
      </c>
      <c r="AG15" s="185" t="e">
        <f>'④-3月別配置内訳書(2)-(2)-(C)・(D)'!W15</f>
        <v>#DIV/0!</v>
      </c>
      <c r="AH15" s="40"/>
      <c r="AI15" s="172">
        <v>10</v>
      </c>
      <c r="AJ15" s="199" t="e">
        <f t="shared" si="3"/>
        <v>#N/A</v>
      </c>
      <c r="AK15" s="332" t="e">
        <f t="shared" si="6"/>
        <v>#N/A</v>
      </c>
    </row>
    <row r="16" spans="1:41" s="35" customFormat="1" ht="36" customHeight="1">
      <c r="A16" s="280">
        <v>11</v>
      </c>
      <c r="B16" s="336" t="e">
        <f>'③児童数及び保育士定数 (2)-(1)'!R17</f>
        <v>#N/A</v>
      </c>
      <c r="C16" s="337">
        <f>COUNTIFS('②-1職員名簿'!AW$7:AW$106,"A",'②-2勤務時間数入力'!M$7:M$106,"正")</f>
        <v>0</v>
      </c>
      <c r="D16" s="337">
        <f>COUNTIFS('②-1職員名簿'!AW$7:AW$106,"A",'②-2勤務時間数入力'!$C$7:$C$106,"常勤的非常勤",'②-2勤務時間数入力'!Y$7:Y$106,"常")</f>
        <v>0</v>
      </c>
      <c r="E16" s="337">
        <f>SUMIFS('②-2勤務時間数入力'!Y$7:Y$106,'②-1職員名簿'!AW$7:AW$106,"A",'②-1職員名簿'!$C$7:$C$106,"パート")</f>
        <v>0</v>
      </c>
      <c r="F16" s="337">
        <f>COUNTIFS('②-1職員名簿'!AW$7:AW$106,"A",'②-2勤務時間数入力'!$C$7:$C$106,"嘱託常勤",'②-2勤務時間数入力'!Y$7:Y$106,"常")</f>
        <v>0</v>
      </c>
      <c r="G16" s="337">
        <f>SUMIFS('②-2勤務時間数入力'!Y$7:Y$106,'②-1職員名簿'!AW$7:AW$106,"A",'②-1職員名簿'!$C$7:$C$106,"嘱託等")</f>
        <v>0</v>
      </c>
      <c r="H16" s="338">
        <f>'②-2勤務時間数入力'!AH14</f>
        <v>0</v>
      </c>
      <c r="I16" s="339">
        <f>COUNTIFS('②-1職員名簿'!W7:W106,"園長",'②-1職員名簿'!AW$7:AW$106,"A",'②-1職員名簿'!AJ$7:AJ$106,"○")</f>
        <v>0</v>
      </c>
      <c r="J16" s="338" t="e">
        <f>IF(①基本情報!M$35="有",1,0)</f>
        <v>#N/A</v>
      </c>
      <c r="K16" s="337">
        <f>COUNTIFS('②-1職員名簿'!AW$7:AW$106,"A",'②-1職員名簿'!$W$7:$W$106,$K$5,'②-2勤務時間数入力'!M$7:M$106,"正")</f>
        <v>0</v>
      </c>
      <c r="L16" s="76">
        <f>COUNTIFS('②-1職員名簿'!AW$7:AW$106,"A",'②-1職員名簿'!$W$7:$W$106,$K$5,'②-2勤務時間数入力'!Y$7:Y$106,"常")</f>
        <v>0</v>
      </c>
      <c r="M16" s="76">
        <f>SUMIFS('②-2勤務時間数入力'!Y$7:Y$106,'②-1職員名簿'!AW$7:AW$106,"A",'②-1職員名簿'!$W$7:$W$106,$K$5)</f>
        <v>0</v>
      </c>
      <c r="N16" s="76">
        <f>COUNTIFS('②-1職員名簿'!AW$7:AW$106,"A",'②-1職員名簿'!$W$7:$W$106,$N$5,'②-2勤務時間数入力'!M$7:M$106,"正")</f>
        <v>0</v>
      </c>
      <c r="O16" s="76">
        <f>COUNTIFS('②-1職員名簿'!AW$7:AW$106,"A",'②-1職員名簿'!$W$7:$W$106,$N$5,'②-2勤務時間数入力'!Y$7:Y$106,"常")</f>
        <v>0</v>
      </c>
      <c r="P16" s="76">
        <f>SUMIFS('②-2勤務時間数入力'!Y$7:Y$106,'②-1職員名簿'!AW$7:AW$106,"A",'②-1職員名簿'!$W$7:$W$106,$N$5)</f>
        <v>0</v>
      </c>
      <c r="Q16" s="76">
        <f>COUNTIFS('②-1職員名簿'!AW$7:AW$106,"A",'②-1職員名簿'!$W$7:$W$106,$Q$5,'②-2勤務時間数入力'!M$7:M$106,"正")</f>
        <v>0</v>
      </c>
      <c r="R16" s="76">
        <f>COUNTIFS('②-1職員名簿'!AW$7:AW$106,"A",'②-1職員名簿'!$W$7:$W$106,$Q$5,'②-2勤務時間数入力'!Y$7:Y$106,"常")</f>
        <v>0</v>
      </c>
      <c r="S16" s="76">
        <f>SUMIFS('②-2勤務時間数入力'!Y$7:Y$106,'②-1職員名簿'!AW$7:AW$106,"A",'②-1職員名簿'!$W$7:$W$106,$Q$5)</f>
        <v>0</v>
      </c>
      <c r="T16" s="76">
        <f>COUNTIFS('②-1職員名簿'!AW$7:AW$106,"A",'②-1職員名簿'!$W$7:$W$106,$T$5,'②-2勤務時間数入力'!M$7:M$106,"正")</f>
        <v>0</v>
      </c>
      <c r="U16" s="76">
        <f>COUNTIFS('②-1職員名簿'!AW$7:AW$106,"A",'②-1職員名簿'!$W$7:$W$106,$T$5,'②-2勤務時間数入力'!Y$7:Y$106,"常")</f>
        <v>0</v>
      </c>
      <c r="V16" s="76">
        <f>SUMIFS('②-2勤務時間数入力'!Y$7:Y$106,'②-1職員名簿'!AW$7:AW$106,"A",'②-1職員名簿'!$W$7:$W$106,$T$5)</f>
        <v>0</v>
      </c>
      <c r="W16" s="76">
        <f>COUNTIFS('②-1職員名簿'!AW$7:AW$106,"A",'②-1職員名簿'!$W$7:$W$106,$W$5,'②-2勤務時間数入力'!M$7:M$106,"正")</f>
        <v>0</v>
      </c>
      <c r="X16" s="76">
        <f>COUNTIFS('②-1職員名簿'!AW$7:AW$106,"A",'②-1職員名簿'!$W$7:$W$106,$W$5,'②-2勤務時間数入力'!Y$7:Y$106,"常")</f>
        <v>0</v>
      </c>
      <c r="Y16" s="76">
        <f>SUMIFS('②-2勤務時間数入力'!Y$7:Y$106,'②-1職員名簿'!AW$7:AW$106,"A",'②-1職員名簿'!$W$7:$W$106,$W$5)</f>
        <v>0</v>
      </c>
      <c r="Z16" s="171" t="e">
        <f t="shared" si="0"/>
        <v>#N/A</v>
      </c>
      <c r="AA16" s="171">
        <f t="shared" si="1"/>
        <v>0</v>
      </c>
      <c r="AB16" s="183" t="e">
        <f t="shared" si="2"/>
        <v>#DIV/0!</v>
      </c>
      <c r="AC16" s="183" t="e">
        <f t="shared" si="4"/>
        <v>#N/A</v>
      </c>
      <c r="AD16" s="281" t="e">
        <f t="shared" si="5"/>
        <v>#N/A</v>
      </c>
      <c r="AE16" s="184"/>
      <c r="AF16" s="185" t="e">
        <f>'④-2月別配置内訳書(2)-(2)-(B)'!AG16</f>
        <v>#N/A</v>
      </c>
      <c r="AG16" s="185" t="e">
        <f>'④-3月別配置内訳書(2)-(2)-(C)・(D)'!W16</f>
        <v>#DIV/0!</v>
      </c>
      <c r="AH16" s="40"/>
      <c r="AI16" s="172">
        <v>11</v>
      </c>
      <c r="AJ16" s="199" t="e">
        <f t="shared" si="3"/>
        <v>#N/A</v>
      </c>
      <c r="AK16" s="332" t="e">
        <f t="shared" si="6"/>
        <v>#N/A</v>
      </c>
    </row>
    <row r="17" spans="1:42" s="35" customFormat="1" ht="36" customHeight="1">
      <c r="A17" s="280">
        <v>12</v>
      </c>
      <c r="B17" s="336" t="e">
        <f>'③児童数及び保育士定数 (2)-(1)'!R18</f>
        <v>#N/A</v>
      </c>
      <c r="C17" s="337">
        <f>COUNTIFS('②-1職員名簿'!AX$7:AX$106,"A",'②-2勤務時間数入力'!N$7:N$106,"正")</f>
        <v>0</v>
      </c>
      <c r="D17" s="337">
        <f>COUNTIFS('②-1職員名簿'!AX$7:AX$106,"A",'②-2勤務時間数入力'!$C$7:$C$106,"常勤的非常勤",'②-2勤務時間数入力'!Z$7:Z$106,"常")</f>
        <v>0</v>
      </c>
      <c r="E17" s="337">
        <f>SUMIFS('②-2勤務時間数入力'!Z$7:Z$106,'②-1職員名簿'!AX$7:AX$106,"A",'②-1職員名簿'!$C$7:$C$106,"パート")</f>
        <v>0</v>
      </c>
      <c r="F17" s="337">
        <f>COUNTIFS('②-1職員名簿'!AX$7:AX$106,"A",'②-2勤務時間数入力'!$C$7:$C$106,"嘱託常勤",'②-2勤務時間数入力'!Z$7:Z$106,"常")</f>
        <v>0</v>
      </c>
      <c r="G17" s="337">
        <f>SUMIFS('②-2勤務時間数入力'!Z$7:Z$106,'②-1職員名簿'!AX$7:AX$106,"A",'②-1職員名簿'!$C$7:$C$106,"嘱託等")</f>
        <v>0</v>
      </c>
      <c r="H17" s="338">
        <f>'②-2勤務時間数入力'!AH15</f>
        <v>0</v>
      </c>
      <c r="I17" s="339">
        <f>COUNTIFS('②-1職員名簿'!W7:W106,"園長",'②-1職員名簿'!AX$7:AX$106,"A",'②-1職員名簿'!AK$7:AK$106,"○")</f>
        <v>0</v>
      </c>
      <c r="J17" s="338" t="e">
        <f>IF(①基本情報!N$35="有",1,0)</f>
        <v>#N/A</v>
      </c>
      <c r="K17" s="337">
        <f>COUNTIFS('②-1職員名簿'!AX$7:AX$106,"A",'②-1職員名簿'!$W$7:$W$106,$K$5,'②-2勤務時間数入力'!N$7:N$106,"正")</f>
        <v>0</v>
      </c>
      <c r="L17" s="76">
        <f>COUNTIFS('②-1職員名簿'!AX$7:AX$106,"A",'②-1職員名簿'!$W$7:$W$106,$K$5,'②-2勤務時間数入力'!Z$7:Z$106,"常")</f>
        <v>0</v>
      </c>
      <c r="M17" s="76">
        <f>SUMIFS('②-2勤務時間数入力'!Z$7:Z$106,'②-1職員名簿'!AX$7:AX$106,"A",'②-1職員名簿'!$W$7:$W$106,$K$5)</f>
        <v>0</v>
      </c>
      <c r="N17" s="76">
        <f>COUNTIFS('②-1職員名簿'!AX$7:AX$106,"A",'②-1職員名簿'!$W$7:$W$106,$N$5,'②-2勤務時間数入力'!N$7:N$106,"正")</f>
        <v>0</v>
      </c>
      <c r="O17" s="76">
        <f>COUNTIFS('②-1職員名簿'!AX$7:AX$106,"A",'②-1職員名簿'!$W$7:$W$106,$N$5,'②-2勤務時間数入力'!Z$7:Z$106,"常")</f>
        <v>0</v>
      </c>
      <c r="P17" s="76">
        <f>SUMIFS('②-2勤務時間数入力'!Z$7:Z$106,'②-1職員名簿'!AX$7:AX$106,"A",'②-1職員名簿'!$W$7:$W$106,$N$5)</f>
        <v>0</v>
      </c>
      <c r="Q17" s="76">
        <f>COUNTIFS('②-1職員名簿'!AX$7:AX$106,"A",'②-1職員名簿'!$W$7:$W$106,$Q$5,'②-2勤務時間数入力'!N$7:N$106,"正")</f>
        <v>0</v>
      </c>
      <c r="R17" s="76">
        <f>COUNTIFS('②-1職員名簿'!AX$7:AX$106,"A",'②-1職員名簿'!$W$7:$W$106,$Q$5,'②-2勤務時間数入力'!Z$7:Z$106,"常")</f>
        <v>0</v>
      </c>
      <c r="S17" s="76">
        <f>SUMIFS('②-2勤務時間数入力'!Z$7:Z$106,'②-1職員名簿'!AX$7:AX$106,"A",'②-1職員名簿'!$W$7:$W$106,$Q$5)</f>
        <v>0</v>
      </c>
      <c r="T17" s="76">
        <f>COUNTIFS('②-1職員名簿'!AX$7:AX$106,"A",'②-1職員名簿'!$W$7:$W$106,$T$5,'②-2勤務時間数入力'!N$7:N$106,"正")</f>
        <v>0</v>
      </c>
      <c r="U17" s="76">
        <f>COUNTIFS('②-1職員名簿'!AX$7:AX$106,"A",'②-1職員名簿'!$W$7:$W$106,$T$5,'②-2勤務時間数入力'!Z$7:Z$106,"常")</f>
        <v>0</v>
      </c>
      <c r="V17" s="76">
        <f>SUMIFS('②-2勤務時間数入力'!Z$7:Z$106,'②-1職員名簿'!AX$7:AX$106,"A",'②-1職員名簿'!$W$7:$W$106,$T$5)</f>
        <v>0</v>
      </c>
      <c r="W17" s="76">
        <f>COUNTIFS('②-1職員名簿'!AX$7:AX$106,"A",'②-1職員名簿'!$W$7:$W$106,$W$5,'②-2勤務時間数入力'!N$7:N$106,"正")</f>
        <v>0</v>
      </c>
      <c r="X17" s="76">
        <f>COUNTIFS('②-1職員名簿'!AX$7:AX$106,"A",'②-1職員名簿'!$W$7:$W$106,$W$5,'②-2勤務時間数入力'!Z$7:Z$106,"常")</f>
        <v>0</v>
      </c>
      <c r="Y17" s="76">
        <f>SUMIFS('②-2勤務時間数入力'!Z$7:Z$106,'②-1職員名簿'!AX$7:AX$106,"A",'②-1職員名簿'!$W$7:$W$106,$W$5)</f>
        <v>0</v>
      </c>
      <c r="Z17" s="171" t="e">
        <f t="shared" si="0"/>
        <v>#N/A</v>
      </c>
      <c r="AA17" s="171">
        <f t="shared" si="1"/>
        <v>0</v>
      </c>
      <c r="AB17" s="183" t="e">
        <f t="shared" si="2"/>
        <v>#DIV/0!</v>
      </c>
      <c r="AC17" s="183" t="e">
        <f t="shared" si="4"/>
        <v>#N/A</v>
      </c>
      <c r="AD17" s="281" t="e">
        <f t="shared" si="5"/>
        <v>#N/A</v>
      </c>
      <c r="AE17" s="184"/>
      <c r="AF17" s="185" t="e">
        <f>'④-2月別配置内訳書(2)-(2)-(B)'!AG17</f>
        <v>#N/A</v>
      </c>
      <c r="AG17" s="185" t="e">
        <f>'④-3月別配置内訳書(2)-(2)-(C)・(D)'!W17</f>
        <v>#DIV/0!</v>
      </c>
      <c r="AH17" s="40"/>
      <c r="AI17" s="172">
        <v>12</v>
      </c>
      <c r="AJ17" s="199" t="e">
        <f t="shared" si="3"/>
        <v>#N/A</v>
      </c>
      <c r="AK17" s="332" t="e">
        <f t="shared" si="6"/>
        <v>#N/A</v>
      </c>
    </row>
    <row r="18" spans="1:42" s="35" customFormat="1" ht="36" customHeight="1">
      <c r="A18" s="280">
        <v>1</v>
      </c>
      <c r="B18" s="171" t="e">
        <f>'③児童数及び保育士定数 (2)-(1)'!R19</f>
        <v>#N/A</v>
      </c>
      <c r="C18" s="76">
        <f>COUNTIFS('②-1職員名簿'!AY$7:AY$106,"A",'②-2勤務時間数入力'!O$7:O$106,"正")</f>
        <v>0</v>
      </c>
      <c r="D18" s="76">
        <f>COUNTIFS('②-1職員名簿'!AY$7:AY$106,"A",'②-2勤務時間数入力'!$C$7:$C$106,"常勤的非常勤",'②-2勤務時間数入力'!AA$7:AA$106,"常")</f>
        <v>0</v>
      </c>
      <c r="E18" s="76">
        <f>SUMIFS('②-2勤務時間数入力'!AA$7:AA$106,'②-1職員名簿'!AY$7:AY$106,"A",'②-1職員名簿'!$C$7:$C$106,"パート")</f>
        <v>0</v>
      </c>
      <c r="F18" s="76">
        <f>COUNTIFS('②-1職員名簿'!AY$7:AY$106,"A",'②-2勤務時間数入力'!$C$7:$C$106,"嘱託常勤",'②-2勤務時間数入力'!AA$7:AA$106,"常")</f>
        <v>0</v>
      </c>
      <c r="G18" s="76">
        <f>SUMIFS('②-2勤務時間数入力'!AA$7:AA$106,'②-1職員名簿'!AY$7:AY$106,"A",'②-1職員名簿'!$C$7:$C$106,"嘱託等")</f>
        <v>0</v>
      </c>
      <c r="H18" s="174">
        <f>'②-2勤務時間数入力'!AH16</f>
        <v>0</v>
      </c>
      <c r="I18" s="175">
        <f>COUNTIFS('②-1職員名簿'!W7:W106,"園長",'②-1職員名簿'!AY$7:AY$106,"A",'②-1職員名簿'!AL$7:AL$106,"○")</f>
        <v>0</v>
      </c>
      <c r="J18" s="174" t="e">
        <f>IF(①基本情報!O$35="有",1,0)</f>
        <v>#N/A</v>
      </c>
      <c r="K18" s="76">
        <f>COUNTIFS('②-1職員名簿'!AY$7:AY$106,"A",'②-1職員名簿'!$W$7:$W$106,$K$5,'②-2勤務時間数入力'!O$7:O$106,"正")</f>
        <v>0</v>
      </c>
      <c r="L18" s="76">
        <f>COUNTIFS('②-1職員名簿'!AY$7:AY$106,"A",'②-1職員名簿'!$W$7:$W$106,$K$5,'②-2勤務時間数入力'!AA$7:AA$106,"常")</f>
        <v>0</v>
      </c>
      <c r="M18" s="76">
        <f>SUMIFS('②-2勤務時間数入力'!AA$7:AA$106,'②-1職員名簿'!AY$7:AY$106,"A",'②-1職員名簿'!$W$7:$W$106,$K$5)</f>
        <v>0</v>
      </c>
      <c r="N18" s="76">
        <f>COUNTIFS('②-1職員名簿'!AY$7:AY$106,"A",'②-1職員名簿'!$W$7:$W$106,$N$5,'②-2勤務時間数入力'!O$7:O$106,"正")</f>
        <v>0</v>
      </c>
      <c r="O18" s="76">
        <f>COUNTIFS('②-1職員名簿'!AY$7:AY$106,"A",'②-1職員名簿'!$W$7:$W$106,$N$5,'②-2勤務時間数入力'!AA$7:AA$106,"常")</f>
        <v>0</v>
      </c>
      <c r="P18" s="76">
        <f>SUMIFS('②-2勤務時間数入力'!AA$7:AA$106,'②-1職員名簿'!AY$7:AY$106,"A",'②-1職員名簿'!$W$7:$W$106,$N$5)</f>
        <v>0</v>
      </c>
      <c r="Q18" s="76">
        <f>COUNTIFS('②-1職員名簿'!AY$7:AY$106,"A",'②-1職員名簿'!$W$7:$W$106,$Q$5,'②-2勤務時間数入力'!O$7:O$106,"正")</f>
        <v>0</v>
      </c>
      <c r="R18" s="76">
        <f>COUNTIFS('②-1職員名簿'!AY$7:AY$106,"A",'②-1職員名簿'!$W$7:$W$106,$Q$5,'②-2勤務時間数入力'!AA$7:AA$106,"常")</f>
        <v>0</v>
      </c>
      <c r="S18" s="76">
        <f>SUMIFS('②-2勤務時間数入力'!AA$7:AA$106,'②-1職員名簿'!AY$7:AY$106,"A",'②-1職員名簿'!$W$7:$W$106,$Q$5)</f>
        <v>0</v>
      </c>
      <c r="T18" s="76">
        <f>COUNTIFS('②-1職員名簿'!AY$7:AY$106,"A",'②-1職員名簿'!$W$7:$W$106,$T$5,'②-2勤務時間数入力'!O$7:O$106,"正")</f>
        <v>0</v>
      </c>
      <c r="U18" s="76">
        <f>COUNTIFS('②-1職員名簿'!AY$7:AY$106,"A",'②-1職員名簿'!$W$7:$W$106,$T$5,'②-2勤務時間数入力'!AA$7:AA$106,"常")</f>
        <v>0</v>
      </c>
      <c r="V18" s="76">
        <f>SUMIFS('②-2勤務時間数入力'!AA$7:AA$106,'②-1職員名簿'!AY$7:AY$106,"A",'②-1職員名簿'!$W$7:$W$106,$T$5)</f>
        <v>0</v>
      </c>
      <c r="W18" s="76">
        <f>COUNTIFS('②-1職員名簿'!AY$7:AY$106,"A",'②-1職員名簿'!$W$7:$W$106,$W$5,'②-2勤務時間数入力'!O$7:O$106,"正")</f>
        <v>0</v>
      </c>
      <c r="X18" s="76">
        <f>COUNTIFS('②-1職員名簿'!AY$7:AY$106,"A",'②-1職員名簿'!$W$7:$W$106,$W$5,'②-2勤務時間数入力'!AA$7:AA$106,"常")</f>
        <v>0</v>
      </c>
      <c r="Y18" s="76">
        <f>SUMIFS('②-2勤務時間数入力'!AA$7:AA$106,'②-1職員名簿'!AY$7:AY$106,"A",'②-1職員名簿'!$W$7:$W$106,$W$5)</f>
        <v>0</v>
      </c>
      <c r="Z18" s="171" t="e">
        <f>C18-I18-J18-K18-N18-Q18-T18-W18</f>
        <v>#N/A</v>
      </c>
      <c r="AA18" s="171">
        <f t="shared" si="1"/>
        <v>0</v>
      </c>
      <c r="AB18" s="183" t="e">
        <f t="shared" si="2"/>
        <v>#DIV/0!</v>
      </c>
      <c r="AC18" s="183" t="e">
        <f t="shared" si="4"/>
        <v>#N/A</v>
      </c>
      <c r="AD18" s="281" t="e">
        <f t="shared" si="5"/>
        <v>#N/A</v>
      </c>
      <c r="AE18" s="184"/>
      <c r="AF18" s="185" t="e">
        <f>'④-2月別配置内訳書(2)-(2)-(B)'!AG18</f>
        <v>#N/A</v>
      </c>
      <c r="AG18" s="185" t="e">
        <f>'④-3月別配置内訳書(2)-(2)-(C)・(D)'!W18</f>
        <v>#DIV/0!</v>
      </c>
      <c r="AH18" s="40"/>
      <c r="AI18" s="172">
        <v>1</v>
      </c>
      <c r="AJ18" s="199" t="e">
        <f t="shared" si="3"/>
        <v>#N/A</v>
      </c>
      <c r="AK18" s="332" t="e">
        <f t="shared" si="6"/>
        <v>#N/A</v>
      </c>
    </row>
    <row r="19" spans="1:42" s="35" customFormat="1" ht="36" customHeight="1">
      <c r="A19" s="280">
        <v>2</v>
      </c>
      <c r="B19" s="171" t="e">
        <f>'③児童数及び保育士定数 (2)-(1)'!R20</f>
        <v>#N/A</v>
      </c>
      <c r="C19" s="76">
        <f>COUNTIFS('②-1職員名簿'!AZ$7:AZ$106,"A",'②-2勤務時間数入力'!P$7:P$106,"正")</f>
        <v>0</v>
      </c>
      <c r="D19" s="76">
        <f>COUNTIFS('②-1職員名簿'!AZ$7:AZ$106,"A",'②-2勤務時間数入力'!$C$7:$C$106,"常勤的非常勤",'②-2勤務時間数入力'!AB$7:AB$106,"常")</f>
        <v>0</v>
      </c>
      <c r="E19" s="76">
        <f>SUMIFS('②-2勤務時間数入力'!AB$7:AB$106,'②-1職員名簿'!AZ$7:AZ$106,"A",'②-1職員名簿'!$C$7:$C$106,"パート")</f>
        <v>0</v>
      </c>
      <c r="F19" s="76">
        <f>COUNTIFS('②-1職員名簿'!AZ$7:AZ$106,"A",'②-2勤務時間数入力'!$C$7:$C$106,"嘱託常勤",'②-2勤務時間数入力'!AB$7:AB$106,"常")</f>
        <v>0</v>
      </c>
      <c r="G19" s="76">
        <f>SUMIFS('②-2勤務時間数入力'!AB$7:AB$106,'②-1職員名簿'!AZ$7:AZ$106,"A",'②-1職員名簿'!$C$7:$C$106,"嘱託等")</f>
        <v>0</v>
      </c>
      <c r="H19" s="174">
        <f>'②-2勤務時間数入力'!AH17</f>
        <v>0</v>
      </c>
      <c r="I19" s="175">
        <f>COUNTIFS('②-1職員名簿'!W7:W106,"園長",'②-1職員名簿'!AZ$7:AZ$106,"A",'②-1職員名簿'!AM$7:AM$106,"○")</f>
        <v>0</v>
      </c>
      <c r="J19" s="174" t="e">
        <f>IF(①基本情報!P$35="有",1,0)</f>
        <v>#N/A</v>
      </c>
      <c r="K19" s="76">
        <f>COUNTIFS('②-1職員名簿'!AZ$7:AZ$106,"A",'②-1職員名簿'!$W$7:$W$106,$K$5,'②-2勤務時間数入力'!P$7:P$106,"正")</f>
        <v>0</v>
      </c>
      <c r="L19" s="76">
        <f>COUNTIFS('②-1職員名簿'!AZ$7:AZ$106,"A",'②-1職員名簿'!$W$7:$W$106,$K$5,'②-2勤務時間数入力'!AB$7:AB$106,"常")</f>
        <v>0</v>
      </c>
      <c r="M19" s="76">
        <f>SUMIFS('②-2勤務時間数入力'!AB$7:AB$106,'②-1職員名簿'!AZ$7:AZ$106,"A",'②-1職員名簿'!$W$7:$W$106,$K$5)</f>
        <v>0</v>
      </c>
      <c r="N19" s="76">
        <f>COUNTIFS('②-1職員名簿'!AZ$7:AZ$106,"A",'②-1職員名簿'!$W$7:$W$106,$N$5,'②-2勤務時間数入力'!P$7:P$106,"正")</f>
        <v>0</v>
      </c>
      <c r="O19" s="76">
        <f>COUNTIFS('②-1職員名簿'!AZ$7:AZ$106,"A",'②-1職員名簿'!$W$7:$W$106,$N$5,'②-2勤務時間数入力'!AB$7:AB$106,"常")</f>
        <v>0</v>
      </c>
      <c r="P19" s="76">
        <f>SUMIFS('②-2勤務時間数入力'!AB$7:AB$106,'②-1職員名簿'!AZ$7:AZ$106,"A",'②-1職員名簿'!$W$7:$W$106,$N$5)</f>
        <v>0</v>
      </c>
      <c r="Q19" s="76">
        <f>COUNTIFS('②-1職員名簿'!AZ$7:AZ$106,"A",'②-1職員名簿'!$W$7:$W$106,$Q$5,'②-2勤務時間数入力'!P$7:P$106,"正")</f>
        <v>0</v>
      </c>
      <c r="R19" s="76">
        <f>COUNTIFS('②-1職員名簿'!AZ$7:AZ$106,"A",'②-1職員名簿'!$W$7:$W$106,$Q$5,'②-2勤務時間数入力'!AB$7:AB$106,"常")</f>
        <v>0</v>
      </c>
      <c r="S19" s="76">
        <f>SUMIFS('②-2勤務時間数入力'!AB$7:AB$106,'②-1職員名簿'!AZ$7:AZ$106,"A",'②-1職員名簿'!$W$7:$W$106,$Q$5)</f>
        <v>0</v>
      </c>
      <c r="T19" s="76">
        <f>COUNTIFS('②-1職員名簿'!AZ$7:AZ$106,"A",'②-1職員名簿'!$W$7:$W$106,$T$5,'②-2勤務時間数入力'!P$7:P$106,"正")</f>
        <v>0</v>
      </c>
      <c r="U19" s="76">
        <f>COUNTIFS('②-1職員名簿'!AZ$7:AZ$106,"A",'②-1職員名簿'!$W$7:$W$106,$T$5,'②-2勤務時間数入力'!AB$7:AB$106,"常")</f>
        <v>0</v>
      </c>
      <c r="V19" s="76">
        <f>SUMIFS('②-2勤務時間数入力'!AB$7:AB$106,'②-1職員名簿'!AZ$7:AZ$106,"A",'②-1職員名簿'!$W$7:$W$106,$T$5)</f>
        <v>0</v>
      </c>
      <c r="W19" s="76">
        <f>COUNTIFS('②-1職員名簿'!AZ$7:AZ$106,"A",'②-1職員名簿'!$W$7:$W$106,$W$5,'②-2勤務時間数入力'!P$7:P$106,"正")</f>
        <v>0</v>
      </c>
      <c r="X19" s="76">
        <f>COUNTIFS('②-1職員名簿'!AZ$7:AZ$106,"A",'②-1職員名簿'!$W$7:$W$106,$W$5,'②-2勤務時間数入力'!AB$7:AB$106,"常")</f>
        <v>0</v>
      </c>
      <c r="Y19" s="76">
        <f>SUMIFS('②-2勤務時間数入力'!AB$7:AB$106,'②-1職員名簿'!AZ$7:AZ$106,"A",'②-1職員名簿'!$W$7:$W$106,$W$5)</f>
        <v>0</v>
      </c>
      <c r="Z19" s="171" t="e">
        <f t="shared" si="0"/>
        <v>#N/A</v>
      </c>
      <c r="AA19" s="171">
        <f>D19+F19-L19-O19-R19-U19-X19</f>
        <v>0</v>
      </c>
      <c r="AB19" s="183" t="e">
        <f t="shared" si="2"/>
        <v>#DIV/0!</v>
      </c>
      <c r="AC19" s="183" t="e">
        <f t="shared" si="4"/>
        <v>#N/A</v>
      </c>
      <c r="AD19" s="281" t="e">
        <f t="shared" si="5"/>
        <v>#N/A</v>
      </c>
      <c r="AE19" s="184"/>
      <c r="AF19" s="185" t="e">
        <f>'④-2月別配置内訳書(2)-(2)-(B)'!AG19</f>
        <v>#N/A</v>
      </c>
      <c r="AG19" s="185" t="e">
        <f>'④-3月別配置内訳書(2)-(2)-(C)・(D)'!W19</f>
        <v>#DIV/0!</v>
      </c>
      <c r="AH19" s="40"/>
      <c r="AI19" s="172">
        <v>2</v>
      </c>
      <c r="AJ19" s="199" t="e">
        <f>IF(ROUNDDOWN(SUM(AC19,AF19,AG19),0)&gt;=B19,"○",B19-ROUNDDOWN(SUM(AC19,AF19,AG19),0))</f>
        <v>#N/A</v>
      </c>
      <c r="AK19" s="332" t="e">
        <f t="shared" si="6"/>
        <v>#N/A</v>
      </c>
    </row>
    <row r="20" spans="1:42" s="35" customFormat="1" ht="36" customHeight="1">
      <c r="A20" s="280">
        <v>3</v>
      </c>
      <c r="B20" s="171" t="e">
        <f>'③児童数及び保育士定数 (2)-(1)'!R21</f>
        <v>#N/A</v>
      </c>
      <c r="C20" s="76">
        <f>COUNTIFS('②-1職員名簿'!BA$7:BA$106,"A",'②-2勤務時間数入力'!Q$7:Q$106,"正")</f>
        <v>0</v>
      </c>
      <c r="D20" s="76">
        <f>COUNTIFS('②-1職員名簿'!BA$7:BA$106,"A",'②-2勤務時間数入力'!$C$7:$C$106,"常勤的非常勤",'②-2勤務時間数入力'!AC$7:AC$106,"常")</f>
        <v>0</v>
      </c>
      <c r="E20" s="76">
        <f>SUMIFS('②-2勤務時間数入力'!AC$7:AC$106,'②-1職員名簿'!BA$7:BA$106,"A",'②-1職員名簿'!$C$7:$C$106,"パート")</f>
        <v>0</v>
      </c>
      <c r="F20" s="76">
        <f>COUNTIFS('②-1職員名簿'!BA$7:BA$106,"A",'②-2勤務時間数入力'!$C$7:$C$106,"嘱託常勤",'②-2勤務時間数入力'!AC$7:AC$106,"常")</f>
        <v>0</v>
      </c>
      <c r="G20" s="76">
        <f>SUMIFS('②-2勤務時間数入力'!AC$7:AC$106,'②-1職員名簿'!BA$7:BA$106,"A",'②-1職員名簿'!$C$7:$C$106,"嘱託等")</f>
        <v>0</v>
      </c>
      <c r="H20" s="174">
        <f>'②-2勤務時間数入力'!AH18</f>
        <v>0</v>
      </c>
      <c r="I20" s="174">
        <f>COUNTIFS('②-1職員名簿'!W7:W106,"園長",'②-1職員名簿'!BA$7:BA$106,"A",'②-1職員名簿'!AN$7:AN$106,"○")</f>
        <v>0</v>
      </c>
      <c r="J20" s="174" t="e">
        <f>IF(①基本情報!Q$35="有",1,0)</f>
        <v>#N/A</v>
      </c>
      <c r="K20" s="76">
        <f>COUNTIFS('②-1職員名簿'!BA$7:BA$106,"A",'②-1職員名簿'!$W$7:$W$106,$K$5,'②-2勤務時間数入力'!Q$7:Q$106,"正")</f>
        <v>0</v>
      </c>
      <c r="L20" s="76">
        <f>COUNTIFS('②-1職員名簿'!BA$7:BA$106,"A",'②-1職員名簿'!$W$7:$W$106,$K$5,'②-2勤務時間数入力'!AC$7:AC$106,"常")</f>
        <v>0</v>
      </c>
      <c r="M20" s="76">
        <f>SUMIFS('②-2勤務時間数入力'!AC$7:AC$106,'②-1職員名簿'!BA$7:BA$106,"A",'②-1職員名簿'!$W$7:$W$106,$K$5)</f>
        <v>0</v>
      </c>
      <c r="N20" s="76">
        <f>COUNTIFS('②-1職員名簿'!BA$7:BA$106,"A",'②-1職員名簿'!$W$7:$W$106,$N$5,'②-2勤務時間数入力'!Q$7:Q$106,"正")</f>
        <v>0</v>
      </c>
      <c r="O20" s="76">
        <f>COUNTIFS('②-1職員名簿'!BA$7:BA$106,"A",'②-1職員名簿'!$W$7:$W$106,$N$5,'②-2勤務時間数入力'!AC$7:AC$106,"常")</f>
        <v>0</v>
      </c>
      <c r="P20" s="76">
        <f>SUMIFS('②-2勤務時間数入力'!AC$7:AC$106,'②-1職員名簿'!BA$7:BA$106,"A",'②-1職員名簿'!$W$7:$W$106,$N$5)</f>
        <v>0</v>
      </c>
      <c r="Q20" s="76">
        <f>COUNTIFS('②-1職員名簿'!BA$7:BA$106,"A",'②-1職員名簿'!$W$7:$W$106,$Q$5,'②-2勤務時間数入力'!Q$7:Q$106,"正")</f>
        <v>0</v>
      </c>
      <c r="R20" s="76">
        <f>COUNTIFS('②-1職員名簿'!BA$7:BA$106,"A",'②-1職員名簿'!$W$7:$W$106,$Q$5,'②-2勤務時間数入力'!AC$7:AC$106,"常")</f>
        <v>0</v>
      </c>
      <c r="S20" s="76">
        <f>SUMIFS('②-2勤務時間数入力'!AC$7:AC$106,'②-1職員名簿'!BA$7:BA$106,"A",'②-1職員名簿'!$W$7:$W$106,$Q$5)</f>
        <v>0</v>
      </c>
      <c r="T20" s="76">
        <f>COUNTIFS('②-1職員名簿'!BA$7:BA$106,"A",'②-1職員名簿'!$W$7:$W$106,$T$5,'②-2勤務時間数入力'!Q$7:Q$106,"正")</f>
        <v>0</v>
      </c>
      <c r="U20" s="76">
        <f>COUNTIFS('②-1職員名簿'!BA$7:BA$106,"A",'②-1職員名簿'!$W$7:$W$106,$T$5,'②-2勤務時間数入力'!AC$7:AC$106,"常")</f>
        <v>0</v>
      </c>
      <c r="V20" s="76">
        <f>SUMIFS('②-2勤務時間数入力'!AC$7:AC$106,'②-1職員名簿'!BA$7:BA$106,"A",'②-1職員名簿'!$W$7:$W$106,$T$5)</f>
        <v>0</v>
      </c>
      <c r="W20" s="76">
        <f>COUNTIFS('②-1職員名簿'!BA$7:BA$106,"A",'②-1職員名簿'!$W$7:$W$106,$W$5,'②-2勤務時間数入力'!Q$7:Q$106,"正")</f>
        <v>0</v>
      </c>
      <c r="X20" s="76">
        <f>COUNTIFS('②-1職員名簿'!BA$7:BA$106,"A",'②-1職員名簿'!$W$7:$W$106,$W$5,'②-2勤務時間数入力'!AC$7:AC$106,"常")</f>
        <v>0</v>
      </c>
      <c r="Y20" s="76">
        <f>SUMIFS('②-2勤務時間数入力'!AC$7:AC$106,'②-1職員名簿'!BA$7:BA$106,"A",'②-1職員名簿'!$W$7:$W$106,$W$5)</f>
        <v>0</v>
      </c>
      <c r="Z20" s="171" t="e">
        <f t="shared" si="0"/>
        <v>#N/A</v>
      </c>
      <c r="AA20" s="171">
        <f t="shared" si="1"/>
        <v>0</v>
      </c>
      <c r="AB20" s="183" t="e">
        <f t="shared" si="2"/>
        <v>#DIV/0!</v>
      </c>
      <c r="AC20" s="183" t="e">
        <f t="shared" si="4"/>
        <v>#N/A</v>
      </c>
      <c r="AD20" s="281" t="e">
        <f t="shared" si="5"/>
        <v>#N/A</v>
      </c>
      <c r="AE20" s="184"/>
      <c r="AF20" s="185" t="e">
        <f>'④-2月別配置内訳書(2)-(2)-(B)'!AG20</f>
        <v>#N/A</v>
      </c>
      <c r="AG20" s="185" t="e">
        <f>'④-3月別配置内訳書(2)-(2)-(C)・(D)'!W20</f>
        <v>#DIV/0!</v>
      </c>
      <c r="AH20" s="40"/>
      <c r="AI20" s="172">
        <v>3</v>
      </c>
      <c r="AJ20" s="199" t="e">
        <f t="shared" si="3"/>
        <v>#N/A</v>
      </c>
      <c r="AK20" s="332" t="e">
        <f t="shared" si="6"/>
        <v>#N/A</v>
      </c>
    </row>
    <row r="21" spans="1:42" s="35" customFormat="1" ht="18.75" customHeight="1">
      <c r="A21" s="36"/>
      <c r="B21" s="37"/>
      <c r="C21" s="38"/>
      <c r="D21" s="44"/>
      <c r="E21" s="44"/>
      <c r="F21" s="44"/>
      <c r="G21" s="44"/>
      <c r="H21" s="38"/>
      <c r="I21" s="38"/>
      <c r="J21" s="39"/>
      <c r="K21" s="40"/>
      <c r="L21" s="44"/>
      <c r="M21" s="44"/>
      <c r="N21" s="40"/>
      <c r="O21" s="44"/>
      <c r="P21" s="44"/>
      <c r="Q21" s="40"/>
      <c r="R21" s="44"/>
      <c r="S21" s="44"/>
      <c r="T21" s="40"/>
      <c r="U21" s="44"/>
      <c r="V21" s="44"/>
      <c r="W21" s="40"/>
      <c r="X21" s="44"/>
      <c r="Y21" s="44"/>
      <c r="Z21" s="41"/>
      <c r="AA21" s="47"/>
      <c r="AB21" s="47"/>
      <c r="AC21" s="47"/>
      <c r="AD21" s="47"/>
      <c r="AE21" s="47"/>
      <c r="AF21" s="40"/>
      <c r="AG21" s="48"/>
      <c r="AH21" s="40"/>
      <c r="AI21" s="38"/>
      <c r="AJ21" s="44"/>
      <c r="AK21" s="47"/>
      <c r="AL21" s="40"/>
      <c r="AM21" s="40"/>
      <c r="AN21" s="40"/>
      <c r="AO21" s="42"/>
      <c r="AP21" s="41"/>
    </row>
    <row r="22" spans="1:42" s="35" customFormat="1" ht="18.75" customHeight="1">
      <c r="A22" s="43" t="s">
        <v>212</v>
      </c>
      <c r="B22" s="44" t="s">
        <v>213</v>
      </c>
      <c r="C22" s="44"/>
      <c r="D22" s="39"/>
      <c r="E22" s="39"/>
      <c r="F22" s="39"/>
      <c r="G22" s="39"/>
      <c r="H22" s="44"/>
      <c r="I22" s="44"/>
      <c r="J22" s="45"/>
      <c r="K22" s="46"/>
      <c r="L22" s="39"/>
      <c r="M22" s="39"/>
      <c r="N22" s="44"/>
      <c r="O22" s="39"/>
      <c r="P22" s="39"/>
      <c r="Q22" s="44"/>
      <c r="R22" s="39"/>
      <c r="S22" s="39"/>
      <c r="T22" s="44"/>
      <c r="U22" s="39"/>
      <c r="V22" s="39"/>
      <c r="W22" s="44"/>
      <c r="X22" s="39"/>
      <c r="Y22" s="39"/>
      <c r="Z22" s="47"/>
      <c r="AA22" s="39"/>
      <c r="AB22" s="39"/>
      <c r="AC22" s="39"/>
      <c r="AD22" s="39"/>
      <c r="AE22" s="39"/>
      <c r="AF22" s="39"/>
      <c r="AG22" s="39"/>
      <c r="AH22" s="40"/>
      <c r="AI22" s="44"/>
      <c r="AJ22" s="39"/>
      <c r="AK22" s="39"/>
      <c r="AL22" s="40"/>
      <c r="AM22" s="40"/>
      <c r="AN22" s="40"/>
      <c r="AO22" s="42"/>
      <c r="AP22" s="41"/>
    </row>
    <row r="23" spans="1:42" s="35" customFormat="1" ht="18.75" customHeight="1">
      <c r="A23" s="43" t="s">
        <v>214</v>
      </c>
      <c r="B23" s="49" t="s">
        <v>215</v>
      </c>
      <c r="C23" s="39"/>
      <c r="D23" s="44"/>
      <c r="E23" s="44"/>
      <c r="F23" s="44"/>
      <c r="G23" s="44"/>
      <c r="H23" s="39"/>
      <c r="I23" s="39"/>
      <c r="J23" s="44"/>
      <c r="K23" s="39"/>
      <c r="L23" s="46"/>
      <c r="M23" s="46"/>
      <c r="N23" s="39"/>
      <c r="O23" s="46"/>
      <c r="P23" s="46"/>
      <c r="Q23" s="39"/>
      <c r="R23" s="46"/>
      <c r="S23" s="46"/>
      <c r="T23" s="39"/>
      <c r="U23" s="46"/>
      <c r="V23" s="46"/>
      <c r="W23" s="39"/>
      <c r="X23" s="46"/>
      <c r="Y23" s="46"/>
      <c r="Z23" s="39"/>
      <c r="AA23" s="47"/>
      <c r="AB23" s="47"/>
      <c r="AC23" s="47"/>
      <c r="AD23" s="47"/>
      <c r="AE23" s="47"/>
      <c r="AF23" s="40"/>
      <c r="AG23" s="48"/>
      <c r="AH23" s="39"/>
      <c r="AI23" s="39"/>
      <c r="AJ23" s="44"/>
      <c r="AK23" s="47"/>
      <c r="AL23" s="39"/>
      <c r="AM23" s="39"/>
      <c r="AN23" s="39"/>
      <c r="AO23" s="39"/>
      <c r="AP23" s="39"/>
    </row>
    <row r="24" spans="1:42" ht="18.75" customHeight="1">
      <c r="A24" s="43" t="s">
        <v>216</v>
      </c>
      <c r="B24" s="44" t="s">
        <v>1586</v>
      </c>
      <c r="C24" s="44"/>
      <c r="H24" s="44"/>
      <c r="I24" s="44"/>
      <c r="K24" s="46"/>
      <c r="L24" s="40"/>
      <c r="M24" s="40"/>
      <c r="N24" s="46"/>
      <c r="O24" s="40"/>
      <c r="P24" s="40"/>
      <c r="Q24" s="46"/>
      <c r="R24" s="40"/>
      <c r="S24" s="40"/>
      <c r="T24" s="46"/>
      <c r="U24" s="40"/>
      <c r="V24" s="40"/>
      <c r="W24" s="46"/>
      <c r="X24" s="40"/>
      <c r="Y24" s="40"/>
      <c r="Z24" s="47"/>
      <c r="AA24" s="41"/>
      <c r="AB24" s="41"/>
      <c r="AC24" s="41"/>
      <c r="AD24" s="41"/>
      <c r="AE24" s="41"/>
      <c r="AF24" s="40"/>
      <c r="AH24" s="40"/>
      <c r="AI24" s="44"/>
      <c r="AK24" s="41"/>
      <c r="AL24" s="40"/>
      <c r="AM24" s="40"/>
      <c r="AN24" s="40"/>
      <c r="AO24" s="42"/>
      <c r="AP24" s="41"/>
    </row>
    <row r="25" spans="1:42" ht="18.75" customHeight="1">
      <c r="A25" s="37"/>
      <c r="K25" s="40"/>
      <c r="N25" s="40"/>
      <c r="Q25" s="40"/>
      <c r="T25" s="40"/>
      <c r="W25" s="40"/>
      <c r="Z25" s="41"/>
      <c r="AH25" s="40"/>
      <c r="AL25" s="40"/>
      <c r="AM25" s="40"/>
      <c r="AN25" s="40"/>
      <c r="AO25" s="42"/>
      <c r="AP25" s="41"/>
    </row>
    <row r="26" spans="1:42" ht="18.75" customHeight="1"/>
    <row r="27" spans="1:42" ht="25" customHeight="1">
      <c r="L27" s="143"/>
      <c r="M27" s="142"/>
      <c r="O27" s="142"/>
      <c r="P27" s="142"/>
      <c r="R27" s="142"/>
      <c r="S27" s="142"/>
      <c r="U27" s="142"/>
      <c r="V27" s="142"/>
      <c r="X27" s="142"/>
      <c r="Y27" s="142"/>
    </row>
    <row r="28" spans="1:42" ht="25" customHeight="1">
      <c r="F28" s="50"/>
      <c r="I28" s="142" t="s">
        <v>367</v>
      </c>
      <c r="J28" s="142"/>
      <c r="K28" s="142"/>
      <c r="L28" s="142"/>
      <c r="M28" s="142"/>
      <c r="N28" s="142"/>
      <c r="O28" s="142"/>
      <c r="P28" s="142"/>
      <c r="Q28" s="142"/>
      <c r="R28" s="142"/>
      <c r="S28" s="142"/>
      <c r="T28" s="142"/>
      <c r="U28" s="142"/>
      <c r="V28" s="142"/>
      <c r="W28" s="142"/>
      <c r="X28" s="142"/>
      <c r="Y28" s="142"/>
      <c r="AG28" s="38"/>
    </row>
    <row r="29" spans="1:42" ht="25" customHeight="1">
      <c r="B29" s="50"/>
      <c r="I29" s="142" t="s">
        <v>369</v>
      </c>
      <c r="J29" s="142"/>
      <c r="K29" s="142"/>
      <c r="L29" s="142"/>
      <c r="M29" s="142"/>
      <c r="N29" s="142"/>
      <c r="O29" s="142"/>
      <c r="P29" s="142"/>
      <c r="Q29" s="142"/>
      <c r="R29" s="142"/>
      <c r="S29" s="142"/>
      <c r="T29" s="142"/>
      <c r="U29" s="142"/>
      <c r="V29" s="142"/>
      <c r="W29" s="142"/>
      <c r="X29" s="142"/>
      <c r="Y29" s="142"/>
      <c r="AG29" s="38"/>
      <c r="AO29" s="38"/>
    </row>
    <row r="30" spans="1:42" ht="25" customHeight="1">
      <c r="B30" s="50"/>
      <c r="I30" s="142" t="s">
        <v>368</v>
      </c>
      <c r="J30" s="142"/>
      <c r="K30" s="142"/>
      <c r="L30" s="142"/>
      <c r="M30" s="142"/>
      <c r="N30" s="142"/>
      <c r="O30" s="142"/>
      <c r="P30" s="142"/>
      <c r="Q30" s="142"/>
      <c r="R30" s="142"/>
      <c r="S30" s="142"/>
      <c r="T30" s="142"/>
      <c r="U30" s="142"/>
      <c r="V30" s="142"/>
      <c r="W30" s="142"/>
      <c r="X30" s="142"/>
      <c r="Y30" s="142"/>
      <c r="AG30" s="38"/>
      <c r="AO30" s="38"/>
    </row>
    <row r="31" spans="1:42" ht="25" customHeight="1">
      <c r="B31" s="50"/>
      <c r="I31" s="142" t="s">
        <v>370</v>
      </c>
      <c r="J31" s="142"/>
      <c r="K31" s="142"/>
      <c r="L31" s="142"/>
      <c r="M31" s="142"/>
      <c r="N31" s="142"/>
      <c r="O31" s="142"/>
      <c r="P31" s="142"/>
      <c r="Q31" s="142"/>
      <c r="R31" s="142"/>
      <c r="S31" s="142"/>
      <c r="T31" s="142"/>
      <c r="U31" s="142"/>
      <c r="V31" s="142"/>
      <c r="W31" s="142"/>
      <c r="X31" s="142"/>
      <c r="Y31" s="142"/>
      <c r="AG31" s="38"/>
      <c r="AO31" s="38"/>
    </row>
    <row r="32" spans="1:42" ht="25" customHeight="1">
      <c r="B32" s="50"/>
      <c r="I32" s="142"/>
      <c r="J32" s="142"/>
      <c r="K32" s="142"/>
      <c r="N32" s="142"/>
      <c r="Q32" s="142"/>
      <c r="T32" s="142"/>
      <c r="W32" s="142"/>
      <c r="AG32" s="38"/>
      <c r="AO32" s="38"/>
    </row>
    <row r="33" spans="2:41" ht="25" customHeight="1">
      <c r="B33" s="50"/>
      <c r="AG33" s="38"/>
      <c r="AO33" s="38"/>
    </row>
    <row r="34" spans="2:41" ht="25" customHeight="1">
      <c r="B34" s="50"/>
      <c r="F34" s="50"/>
      <c r="AG34" s="38"/>
      <c r="AO34" s="38"/>
    </row>
    <row r="35" spans="2:41" ht="25" customHeight="1">
      <c r="B35" s="50"/>
      <c r="AG35" s="38"/>
      <c r="AO35" s="38"/>
    </row>
    <row r="36" spans="2:41" ht="25" customHeight="1">
      <c r="B36" s="50"/>
      <c r="F36" s="50"/>
      <c r="AG36" s="38"/>
      <c r="AO36" s="38"/>
    </row>
    <row r="37" spans="2:41" ht="25" customHeight="1">
      <c r="F37" s="50"/>
      <c r="AG37" s="38"/>
      <c r="AO37" s="38"/>
    </row>
    <row r="38" spans="2:41" ht="25" customHeight="1">
      <c r="AG38" s="38"/>
      <c r="AO38" s="38"/>
    </row>
    <row r="39" spans="2:41" ht="25" customHeight="1">
      <c r="AG39" s="38"/>
      <c r="AO39" s="38"/>
    </row>
    <row r="40" spans="2:41" ht="25" customHeight="1">
      <c r="AG40" s="38"/>
      <c r="AO40" s="38"/>
    </row>
    <row r="41" spans="2:41" ht="25" customHeight="1">
      <c r="AG41" s="38"/>
      <c r="AO41" s="38"/>
    </row>
    <row r="42" spans="2:41" ht="25" customHeight="1">
      <c r="AG42" s="38"/>
      <c r="AO42" s="38"/>
    </row>
    <row r="43" spans="2:41" ht="25" customHeight="1">
      <c r="AG43" s="38"/>
      <c r="AO43" s="38"/>
    </row>
    <row r="44" spans="2:41" ht="25" customHeight="1">
      <c r="AG44" s="38"/>
      <c r="AO44" s="38"/>
    </row>
    <row r="45" spans="2:41" ht="25" customHeight="1">
      <c r="AG45" s="38"/>
      <c r="AO45" s="38"/>
    </row>
    <row r="46" spans="2:41" ht="25" customHeight="1">
      <c r="AG46" s="38"/>
      <c r="AO46" s="38"/>
    </row>
    <row r="47" spans="2:41" ht="25" customHeight="1">
      <c r="AG47" s="38"/>
      <c r="AO47" s="38"/>
    </row>
    <row r="48" spans="2:41" ht="25" customHeight="1">
      <c r="D48" s="50"/>
      <c r="AG48" s="38"/>
      <c r="AO48" s="38"/>
    </row>
    <row r="49" spans="2:41" ht="25" customHeight="1">
      <c r="D49" s="50"/>
      <c r="AG49" s="38"/>
      <c r="AO49" s="38"/>
    </row>
    <row r="50" spans="2:41" ht="25" customHeight="1">
      <c r="AG50" s="38"/>
      <c r="AO50" s="38"/>
    </row>
    <row r="51" spans="2:41" ht="25" customHeight="1">
      <c r="B51" s="50"/>
      <c r="AG51" s="38"/>
      <c r="AO51" s="38"/>
    </row>
    <row r="52" spans="2:41" ht="25" customHeight="1">
      <c r="B52" s="50"/>
      <c r="F52" s="50"/>
      <c r="AG52" s="38"/>
      <c r="AO52" s="38"/>
    </row>
    <row r="53" spans="2:41" ht="25" customHeight="1">
      <c r="F53" s="50"/>
      <c r="AG53" s="38"/>
      <c r="AO53" s="38"/>
    </row>
    <row r="54" spans="2:41" ht="25" customHeight="1">
      <c r="E54" s="50"/>
      <c r="AG54" s="38"/>
      <c r="AO54" s="38"/>
    </row>
    <row r="55" spans="2:41" ht="25" customHeight="1">
      <c r="E55" s="50"/>
      <c r="AG55" s="38"/>
      <c r="AO55" s="38"/>
    </row>
    <row r="56" spans="2:41" ht="25" customHeight="1">
      <c r="AG56" s="38"/>
      <c r="AO56" s="38"/>
    </row>
    <row r="57" spans="2:41" ht="25" customHeight="1">
      <c r="B57" s="50"/>
      <c r="J57" s="50"/>
      <c r="AO57" s="38"/>
    </row>
  </sheetData>
  <sheetProtection algorithmName="SHA-512" hashValue="TOPfkCwIdvM/2mBxfkD3aRxP8JmrACxO0ywceEuYlePqzD1TRvTWKvDFBOKUZrP0hzxTRj1zEWHMVEjzRH6VUg==" saltValue="GLJYkXKMiPR4gN1FWHF+vA==" spinCount="100000" sheet="1" selectLockedCells="1"/>
  <mergeCells count="51">
    <mergeCell ref="K6:K7"/>
    <mergeCell ref="L6:L7"/>
    <mergeCell ref="M6:M7"/>
    <mergeCell ref="Z6:Z7"/>
    <mergeCell ref="AA6:AA7"/>
    <mergeCell ref="T6:T7"/>
    <mergeCell ref="U6:U7"/>
    <mergeCell ref="V6:V7"/>
    <mergeCell ref="W6:W7"/>
    <mergeCell ref="X6:X7"/>
    <mergeCell ref="Y6:Y7"/>
    <mergeCell ref="Z5:AC5"/>
    <mergeCell ref="AF5:AF6"/>
    <mergeCell ref="AG5:AG6"/>
    <mergeCell ref="N6:N7"/>
    <mergeCell ref="O6:O7"/>
    <mergeCell ref="S6:S7"/>
    <mergeCell ref="AB6:AB7"/>
    <mergeCell ref="AC6:AC8"/>
    <mergeCell ref="A4:A8"/>
    <mergeCell ref="B4:B6"/>
    <mergeCell ref="C4:G4"/>
    <mergeCell ref="H4:H7"/>
    <mergeCell ref="I4:AC4"/>
    <mergeCell ref="C5:E5"/>
    <mergeCell ref="F5:G5"/>
    <mergeCell ref="K5:M5"/>
    <mergeCell ref="N5:P5"/>
    <mergeCell ref="Q5:S5"/>
    <mergeCell ref="T5:V5"/>
    <mergeCell ref="I5:I7"/>
    <mergeCell ref="D6:D7"/>
    <mergeCell ref="E6:E7"/>
    <mergeCell ref="F6:F7"/>
    <mergeCell ref="W5:Y5"/>
    <mergeCell ref="AI5:AK5"/>
    <mergeCell ref="C6:C7"/>
    <mergeCell ref="AK6:AK8"/>
    <mergeCell ref="AF7:AF8"/>
    <mergeCell ref="AB2:AC2"/>
    <mergeCell ref="AD2:AK2"/>
    <mergeCell ref="AD4:AD6"/>
    <mergeCell ref="AI4:AK4"/>
    <mergeCell ref="AG7:AG8"/>
    <mergeCell ref="AI6:AI8"/>
    <mergeCell ref="AJ6:AJ8"/>
    <mergeCell ref="G6:G7"/>
    <mergeCell ref="J6:J7"/>
    <mergeCell ref="P6:P7"/>
    <mergeCell ref="Q6:Q7"/>
    <mergeCell ref="R6:R7"/>
  </mergeCells>
  <phoneticPr fontId="1"/>
  <dataValidations count="5">
    <dataValidation allowBlank="1" showInputMessage="1" showErrorMessage="1" promptTitle="主任保育士加算" prompt="主任保育士加算該当園は１を入力" sqref="J65541:J65552 J131077:J131088 J196613:J196624 J262149:J262160 J327685:J327696 J393221:J393232 J458757:J458768 J524293:J524304 J589829:J589840 J655365:J655376 J720901:J720912 J786437:J786448 J851973:J851984 J917509:J917520 J983045:J983056" xr:uid="{A3C689FA-304C-4F3B-BF9E-9AACC3F32299}"/>
    <dataValidation allowBlank="1" showInputMessage="1" showErrorMessage="1" promptTitle="実際の人数（保育士）" prompt="名簿と照らし合わせて、施設長以外で、保育を行う職員を入力してください_x000a_（主任保育士、一時預かり、障害児保育、支援センター保育士を含みます！）_x000a_延長保育を行う保育士は除きます！_x000a__x000a_乳児が４人以上で保健師・看護師を保育士とみなす場合は。右のq、r、s欄に入力！" sqref="D131078:G131089 C131079:C131090 H131079:I131090 D196614:G196625 C196615:C196626 H196615:I196626 D262150:G262161 C262151:C262162 H262151:I262162 D327686:G327697 C327687:C327698 H327687:I327698 D393222:G393233 C393223:C393234 H393223:I393234 D458758:G458769 C458759:C458770 H458759:I458770 D524294:G524305 C524295:C524306 H524295:I524306 D589830:G589841 C589831:C589842 H589831:I589842 D655366:G655377 C655367:C655378 H655367:I655378 D720902:G720913 C720903:C720914 H720903:I720914 D786438:G786449 C786439:C786450 H786439:I786450 D851974:G851985 C851975:C851986 H851975:I851986 D917510:G917521 C917511:C917522 H917511:I917522 D983046:G983057 C983047:C983058 H983047:I983058 D65542:G65553 C65543:C65554 H65543:I65554 AJ983046:AJ983057 AI983047:AI983058 AJ65542:AJ65553 AI65543:AI65554 AJ131078:AJ131089 AI131079:AI131090 AJ196614:AJ196625 AI196615:AI196626 AJ262150:AJ262161 AI262151:AI262162 AJ327686:AJ327697 AI327687:AI327698 AJ393222:AJ393233 AI393223:AI393234 AJ458758:AJ458769 AI458759:AI458770 AJ524294:AJ524305 AI524295:AI524306 AJ589830:AJ589841 AI589831:AI589842 AJ655366:AJ655377 AI655367:AI655378 AJ720902:AJ720913 AI720903:AI720914 AJ786438:AJ786449 AI786439:AI786450 AJ851974:AJ851985 AI851975:AI851986 AJ917510:AJ917521 AI917511:AI917522" xr:uid="{8ACAB8D5-C28C-48F5-B2DE-D7F6D37C9753}"/>
    <dataValidation allowBlank="1" showInputMessage="1" showErrorMessage="1" promptTitle="一時預かり" prompt="一時預かりにあたる保育士の人数及び時間数を入力して下さい。_x000a__x000a_準保育士→１日６時間以上かつ月２０日以上勤務する非正規職員保育士（雇用形態は正規でなければパート等の時給でもOK）_x000a__x000a_短時間保育士→1日６時間未満または月２０日未満の勤務の保育士" sqref="K65543:K65554 L983046:M983057 K983047:K983058 L917510:M917521 K917511:K917522 L851974:M851985 K851975:K851986 L786438:M786449 K786439:K786450 L720902:M720913 K720903:K720914 L655366:M655377 K655367:K655378 L589830:M589841 K589831:K589842 L524294:M524305 K524295:K524306 L458758:M458769 K458759:K458770 L393222:M393233 K393223:K393234 L327686:M327697 K327687:K327698 L262150:M262161 K262151:K262162 L196614:M196625 K196615:K196626 L131078:M131089 K131079:K131090 L65542:M65553" xr:uid="{29938CE1-5931-488B-8E1E-1F8196EF63A0}"/>
    <dataValidation allowBlank="1" showInputMessage="1" showErrorMessage="1" promptTitle="その他（支援センター、加算等）" prompt="支援センター業務にあたる保育士、チーム保育推進加算、入所児童特別加算対象者の人数及び時間数を入力して下さい。_x000a__x000a_準保育士→１日６時間以上かつ月２０日以上勤務する非正規職員保育士（雇用形態は正規でなければパート等の時給でもOK）_x000a__x000a_短時間保育士→1日６時間未満または月２０日未満の勤務の保育士" sqref="N65543:N65554 O131078:P131089 N131079:N131090 O196614:P196625 N196615:N196626 O262150:P262161 N262151:N262162 O327686:P327697 N327687:N327698 O393222:P393233 N393223:N393234 O458758:P458769 N458759:N458770 O524294:P524305 N524295:N524306 O589830:P589841 N589831:N589842 O655366:P655377 N655367:N655378 O720902:P720913 N720903:N720914 O786438:P786449 N786439:N786450 O851974:P851985 N851975:N851986 O917510:P917521 N917511:N917522 O983046:P983057 N983047:N983058 O65542:P65553 R983046:S983057 Q983047:Q983058 R917510:S917521 Q917511:Q917522 R851974:S851985 Q851975:Q851986 R786438:S786449 Q786439:Q786450 R720902:S720913 Q720903:Q720914 R655366:S655377 Q655367:Q655378 R589830:S589841 Q589831:Q589842 R524294:S524305 Q524295:Q524306 R458758:S458769 Q458759:Q458770 R393222:S393233 Q393223:Q393234 R327686:S327697 Q327687:Q327698 R262150:S262161 Q262151:Q262162 R196614:S196625 Q196615:Q196626 R131078:S131089 Q131079:Q131090 R65542:S65553 Q65543:Q65554 U65542:V65553 T65543:T65554 U131078:V131089 T131079:T131090 U196614:V196625 T196615:T196626 U262150:V262161 T262151:T262162 U327686:V327697 T327687:T327698 U393222:V393233 T393223:T393234 U458758:V458769 T458759:T458770 U524294:V524305 T524295:T524306 U589830:V589841 T589831:T589842 U655366:V655377 T655367:T655378 U720902:V720913 T720903:T720914 U786438:V786449 T786439:T786450 U851974:V851985 T851975:T851986 U917510:V917521 T917511:T917522 U983046:V983057 T983047:T983058 X983046:Y983057 W983047:W983058 X917510:Y917521 W917511:W917522 X851974:Y851985 W851975:W851986 X786438:Y786449 W786439:W786450 X720902:Y720913 W720903:W720914 X655366:Y655377 W655367:W655378 X589830:Y589841 W589831:W589842 X524294:Y524305 W524295:W524306 X458758:Y458769 W458759:W458770 X393222:Y393233 W393223:W393234 X327686:Y327697 W327687:W327698 X262150:Y262161 W262151:W262162 X196614:Y196625 W196615:W196626 X131078:Y131089 W131079:W131090 X65542:Y65553 W65543:W65554" xr:uid="{79B5E444-F48E-492A-8C5E-D33011E465A4}"/>
    <dataValidation allowBlank="1" showErrorMessage="1" sqref="C9:Y20" xr:uid="{EAA1BA82-C2DD-4013-A190-EB66842D1FCF}"/>
  </dataValidations>
  <printOptions horizontalCentered="1"/>
  <pageMargins left="0.51181102362204722" right="0.39370078740157483" top="0.51181102362204722" bottom="0.51181102362204722" header="0.51181102362204722" footer="0.51181102362204722"/>
  <pageSetup paperSize="9" scale="61"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B25C7-51B0-4F4E-90A8-C8FEF7DEFAEF}">
  <sheetPr codeName="Sheet10">
    <tabColor rgb="FF00B050"/>
  </sheetPr>
  <dimension ref="A1:AM71"/>
  <sheetViews>
    <sheetView view="pageBreakPreview" zoomScale="84" zoomScaleNormal="85" zoomScaleSheetLayoutView="84" workbookViewId="0">
      <selection activeCell="K8" sqref="K8"/>
    </sheetView>
  </sheetViews>
  <sheetFormatPr defaultColWidth="9" defaultRowHeight="25" customHeight="1"/>
  <cols>
    <col min="1" max="1" width="5.58203125" style="38" customWidth="1"/>
    <col min="2" max="28" width="4.58203125" style="38" customWidth="1"/>
    <col min="29" max="33" width="6.58203125" style="38" customWidth="1"/>
    <col min="34" max="34" width="1.75" style="38" customWidth="1"/>
    <col min="35" max="37" width="5.25" style="38" customWidth="1"/>
    <col min="38" max="38" width="4.5" style="50" bestFit="1" customWidth="1"/>
    <col min="39" max="39" width="5.58203125" style="38" customWidth="1"/>
    <col min="40" max="16384" width="9" style="38"/>
  </cols>
  <sheetData>
    <row r="1" spans="1:38" s="22" customFormat="1" ht="25" customHeight="1">
      <c r="A1" s="21" t="s">
        <v>112</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L1" s="23"/>
    </row>
    <row r="2" spans="1:38" s="21" customFormat="1" ht="25" customHeight="1">
      <c r="A2" s="21" t="s">
        <v>217</v>
      </c>
      <c r="V2" s="787" t="s">
        <v>147</v>
      </c>
      <c r="W2" s="787"/>
      <c r="X2" s="787">
        <f>①基本情報!D5</f>
        <v>0</v>
      </c>
      <c r="Y2" s="787"/>
      <c r="Z2" s="787"/>
      <c r="AA2" s="787"/>
      <c r="AB2" s="787"/>
      <c r="AC2" s="787"/>
      <c r="AD2" s="787"/>
      <c r="AE2" s="787"/>
      <c r="AF2" s="787"/>
      <c r="AG2" s="51"/>
      <c r="AI2" s="21" t="s">
        <v>148</v>
      </c>
    </row>
    <row r="3" spans="1:38" s="21" customFormat="1" ht="11.25" customHeight="1">
      <c r="AL3" s="24"/>
    </row>
    <row r="4" spans="1:38" s="26" customFormat="1" ht="25" customHeight="1">
      <c r="A4" s="784" t="s">
        <v>149</v>
      </c>
      <c r="B4" s="784" t="s">
        <v>218</v>
      </c>
      <c r="C4" s="784"/>
      <c r="D4" s="784"/>
      <c r="E4" s="784"/>
      <c r="F4" s="784"/>
      <c r="G4" s="784"/>
      <c r="H4" s="784"/>
      <c r="I4" s="784"/>
      <c r="J4" s="784"/>
      <c r="K4" s="784"/>
      <c r="L4" s="794" t="s">
        <v>152</v>
      </c>
      <c r="M4" s="784" t="s">
        <v>219</v>
      </c>
      <c r="N4" s="784"/>
      <c r="O4" s="784"/>
      <c r="P4" s="784"/>
      <c r="Q4" s="784"/>
      <c r="R4" s="784"/>
      <c r="S4" s="784"/>
      <c r="T4" s="784"/>
      <c r="U4" s="784"/>
      <c r="V4" s="784"/>
      <c r="W4" s="784"/>
      <c r="X4" s="784"/>
      <c r="Y4" s="784"/>
      <c r="Z4" s="784"/>
      <c r="AA4" s="784"/>
      <c r="AB4" s="784"/>
      <c r="AC4" s="784"/>
      <c r="AD4" s="784"/>
      <c r="AE4" s="784"/>
      <c r="AF4" s="784"/>
      <c r="AG4" s="784" t="s">
        <v>220</v>
      </c>
    </row>
    <row r="5" spans="1:38" s="25" customFormat="1" ht="27" customHeight="1">
      <c r="A5" s="784"/>
      <c r="B5" s="779" t="s">
        <v>221</v>
      </c>
      <c r="C5" s="779"/>
      <c r="D5" s="779"/>
      <c r="E5" s="779"/>
      <c r="F5" s="779"/>
      <c r="G5" s="779" t="s">
        <v>222</v>
      </c>
      <c r="H5" s="779"/>
      <c r="I5" s="779"/>
      <c r="J5" s="779"/>
      <c r="K5" s="779"/>
      <c r="L5" s="794"/>
      <c r="M5" s="799" t="s">
        <v>435</v>
      </c>
      <c r="N5" s="798" t="s">
        <v>160</v>
      </c>
      <c r="O5" s="798"/>
      <c r="P5" s="798"/>
      <c r="Q5" s="798" t="s">
        <v>161</v>
      </c>
      <c r="R5" s="798"/>
      <c r="S5" s="798"/>
      <c r="T5" s="798" t="s">
        <v>1847</v>
      </c>
      <c r="U5" s="798"/>
      <c r="V5" s="798"/>
      <c r="W5" s="798" t="s">
        <v>162</v>
      </c>
      <c r="X5" s="798"/>
      <c r="Y5" s="798"/>
      <c r="Z5" s="798" t="s">
        <v>163</v>
      </c>
      <c r="AA5" s="798"/>
      <c r="AB5" s="798"/>
      <c r="AC5" s="784" t="s">
        <v>164</v>
      </c>
      <c r="AD5" s="784"/>
      <c r="AE5" s="784"/>
      <c r="AF5" s="784" t="s">
        <v>178</v>
      </c>
      <c r="AG5" s="784"/>
    </row>
    <row r="6" spans="1:38" s="25" customFormat="1" ht="37.5" customHeight="1">
      <c r="A6" s="784"/>
      <c r="B6" s="784" t="s">
        <v>158</v>
      </c>
      <c r="C6" s="784"/>
      <c r="D6" s="784"/>
      <c r="E6" s="784" t="s">
        <v>1241</v>
      </c>
      <c r="F6" s="784"/>
      <c r="G6" s="784" t="s">
        <v>158</v>
      </c>
      <c r="H6" s="784"/>
      <c r="I6" s="784"/>
      <c r="J6" s="784" t="s">
        <v>1241</v>
      </c>
      <c r="K6" s="784"/>
      <c r="L6" s="794"/>
      <c r="M6" s="800"/>
      <c r="N6" s="785" t="s">
        <v>168</v>
      </c>
      <c r="O6" s="785" t="s">
        <v>175</v>
      </c>
      <c r="P6" s="785" t="s">
        <v>176</v>
      </c>
      <c r="Q6" s="785" t="s">
        <v>168</v>
      </c>
      <c r="R6" s="785" t="s">
        <v>175</v>
      </c>
      <c r="S6" s="785" t="s">
        <v>176</v>
      </c>
      <c r="T6" s="785" t="s">
        <v>168</v>
      </c>
      <c r="U6" s="785" t="s">
        <v>175</v>
      </c>
      <c r="V6" s="785" t="s">
        <v>176</v>
      </c>
      <c r="W6" s="785" t="s">
        <v>168</v>
      </c>
      <c r="X6" s="785" t="s">
        <v>175</v>
      </c>
      <c r="Y6" s="785" t="s">
        <v>176</v>
      </c>
      <c r="Z6" s="785" t="s">
        <v>168</v>
      </c>
      <c r="AA6" s="785" t="s">
        <v>175</v>
      </c>
      <c r="AB6" s="785" t="s">
        <v>176</v>
      </c>
      <c r="AC6" s="785" t="s">
        <v>168</v>
      </c>
      <c r="AD6" s="785" t="s">
        <v>169</v>
      </c>
      <c r="AE6" s="785" t="s">
        <v>177</v>
      </c>
      <c r="AF6" s="784"/>
      <c r="AG6" s="168" t="s">
        <v>223</v>
      </c>
    </row>
    <row r="7" spans="1:38" s="25" customFormat="1" ht="78.75" customHeight="1">
      <c r="A7" s="784"/>
      <c r="B7" s="52" t="s">
        <v>224</v>
      </c>
      <c r="C7" s="52" t="s">
        <v>225</v>
      </c>
      <c r="D7" s="53" t="s">
        <v>226</v>
      </c>
      <c r="E7" s="52" t="s">
        <v>171</v>
      </c>
      <c r="F7" s="52" t="s">
        <v>172</v>
      </c>
      <c r="G7" s="52" t="s">
        <v>224</v>
      </c>
      <c r="H7" s="52" t="s">
        <v>225</v>
      </c>
      <c r="I7" s="53" t="s">
        <v>226</v>
      </c>
      <c r="J7" s="52" t="s">
        <v>171</v>
      </c>
      <c r="K7" s="52" t="s">
        <v>172</v>
      </c>
      <c r="L7" s="794"/>
      <c r="M7" s="801"/>
      <c r="N7" s="785"/>
      <c r="O7" s="785"/>
      <c r="P7" s="785"/>
      <c r="Q7" s="785"/>
      <c r="R7" s="785"/>
      <c r="S7" s="785"/>
      <c r="T7" s="785"/>
      <c r="U7" s="785"/>
      <c r="V7" s="785"/>
      <c r="W7" s="785"/>
      <c r="X7" s="785"/>
      <c r="Y7" s="785"/>
      <c r="Z7" s="785"/>
      <c r="AA7" s="785"/>
      <c r="AB7" s="785"/>
      <c r="AC7" s="785"/>
      <c r="AD7" s="785"/>
      <c r="AE7" s="785"/>
      <c r="AF7" s="784"/>
      <c r="AG7" s="785" t="s">
        <v>183</v>
      </c>
      <c r="AI7" s="54" t="s">
        <v>66</v>
      </c>
      <c r="AJ7" s="54" t="s">
        <v>67</v>
      </c>
    </row>
    <row r="8" spans="1:38" s="25" customFormat="1" ht="38.25" customHeight="1">
      <c r="A8" s="784"/>
      <c r="B8" s="168" t="s">
        <v>185</v>
      </c>
      <c r="C8" s="168" t="s">
        <v>186</v>
      </c>
      <c r="D8" s="168" t="s">
        <v>97</v>
      </c>
      <c r="E8" s="55" t="s">
        <v>98</v>
      </c>
      <c r="F8" s="55" t="s">
        <v>100</v>
      </c>
      <c r="G8" s="168" t="s">
        <v>101</v>
      </c>
      <c r="H8" s="168" t="s">
        <v>102</v>
      </c>
      <c r="I8" s="168" t="s">
        <v>103</v>
      </c>
      <c r="J8" s="168" t="s">
        <v>227</v>
      </c>
      <c r="K8" s="168" t="s">
        <v>228</v>
      </c>
      <c r="L8" s="33" t="s">
        <v>190</v>
      </c>
      <c r="M8" s="33"/>
      <c r="N8" s="168" t="s">
        <v>229</v>
      </c>
      <c r="O8" s="168" t="s">
        <v>230</v>
      </c>
      <c r="P8" s="168" t="s">
        <v>231</v>
      </c>
      <c r="Q8" s="168" t="s">
        <v>232</v>
      </c>
      <c r="R8" s="168" t="s">
        <v>233</v>
      </c>
      <c r="S8" s="168" t="s">
        <v>234</v>
      </c>
      <c r="T8" s="168" t="s">
        <v>235</v>
      </c>
      <c r="U8" s="168" t="s">
        <v>236</v>
      </c>
      <c r="V8" s="168" t="s">
        <v>237</v>
      </c>
      <c r="W8" s="168" t="s">
        <v>238</v>
      </c>
      <c r="X8" s="168" t="s">
        <v>239</v>
      </c>
      <c r="Y8" s="168" t="s">
        <v>240</v>
      </c>
      <c r="Z8" s="168" t="s">
        <v>241</v>
      </c>
      <c r="AA8" s="168" t="s">
        <v>242</v>
      </c>
      <c r="AB8" s="168" t="s">
        <v>210</v>
      </c>
      <c r="AC8" s="168" t="s">
        <v>243</v>
      </c>
      <c r="AD8" s="168" t="s">
        <v>244</v>
      </c>
      <c r="AE8" s="168" t="s">
        <v>245</v>
      </c>
      <c r="AF8" s="784"/>
      <c r="AG8" s="785"/>
    </row>
    <row r="9" spans="1:38" s="35" customFormat="1" ht="37.5" customHeight="1">
      <c r="A9" s="173">
        <v>4</v>
      </c>
      <c r="B9" s="337">
        <f>COUNTIFS('②-1職員名簿'!AP$7:AP$106,"B",'②-1職員名簿'!$BE$7:$BE$106,"正規職員",'②-1職員名簿'!$BF$7:$BF$106,"○")</f>
        <v>0</v>
      </c>
      <c r="C9" s="337">
        <f>COUNTIFS('②-1職員名簿'!AP$7:AP$106,"B",'②-2勤務時間数入力'!$C$7:$C$106,"常勤的非常勤",'②-1職員名簿'!$BF$7:$BF$106,"○",'②-2勤務時間数入力'!R$7:R$106,"常")</f>
        <v>0</v>
      </c>
      <c r="D9" s="337">
        <f>SUMIFS('②-2勤務時間数入力'!R$7:R$106,'②-1職員名簿'!AP$7:AP$106,"B",'②-1職員名簿'!$BF$7:$BF$106,"○",'②-1職員名簿'!$C$7:$C$106,"パート")</f>
        <v>0</v>
      </c>
      <c r="E9" s="337">
        <f>COUNTIFS('②-1職員名簿'!AP$7:AP$106,"B",'②-2勤務時間数入力'!$C$7:$C$106,"嘱託常勤",'②-1職員名簿'!$BF$7:$BF$106,"○",'②-2勤務時間数入力'!R$7:R$106,"常")</f>
        <v>0</v>
      </c>
      <c r="F9" s="337">
        <f>SUMIFS('②-2勤務時間数入力'!R$7:R$106,'②-1職員名簿'!AP$7:AP$106,"B",'②-1職員名簿'!$BF$7:$BF$106,"○",'②-1職員名簿'!$C$7:$C$106,"嘱託等")</f>
        <v>0</v>
      </c>
      <c r="G9" s="337">
        <f>COUNTIFS('②-1職員名簿'!AP$7:AP$106,"B",'②-1職員名簿'!$BE$7:$BE$106,"正規職員",'②-1職員名簿'!$BG$7:$BG$106,"○")</f>
        <v>0</v>
      </c>
      <c r="H9" s="337">
        <f>COUNTIFS('②-1職員名簿'!AP$7:AP$106,"B",'②-2勤務時間数入力'!$C$7:$C$106,"常勤的非常勤",'②-1職員名簿'!$BG$7:$BG$106,"○",'②-2勤務時間数入力'!R$7:R$106,"常")</f>
        <v>0</v>
      </c>
      <c r="I9" s="337">
        <f>SUMIFS('②-2勤務時間数入力'!R$7:R$106,'②-1職員名簿'!AP$7:AP$106,"B",'②-1職員名簿'!$BG$7:$BG$106,"○",'②-1職員名簿'!$C$7:$C$106,"パート")</f>
        <v>0</v>
      </c>
      <c r="J9" s="337">
        <f>COUNTIFS('②-1職員名簿'!AP$7:AP$106,"B",'②-2勤務時間数入力'!$C$7:$C$106,"嘱託常勤",'②-1職員名簿'!$BG$7:$BG$106,"○",'②-2勤務時間数入力'!R$7:R$106,"常")</f>
        <v>0</v>
      </c>
      <c r="K9" s="337">
        <f>SUMIFS('②-2勤務時間数入力'!R$7:R$106,'②-1職員名簿'!AP$7:AP$106,"B",'②-1職員名簿'!$BG$7:$BG$106,"○",'②-1職員名簿'!$C$7:$C$106,"嘱託等")</f>
        <v>0</v>
      </c>
      <c r="L9" s="338">
        <f>'②-2勤務時間数入力'!AH7</f>
        <v>0</v>
      </c>
      <c r="M9" s="339">
        <f>COUNTIFS('②-1職員名簿'!W7:W106,"園長",'②-1職員名簿'!AP$7:AP$106,"B")</f>
        <v>0</v>
      </c>
      <c r="N9" s="337">
        <f>COUNTIFS('②-1職員名簿'!AP$7:AP$106,"B",'②-1職員名簿'!$W$7:$W$106,$N$5,'②-2勤務時間数入力'!F$7:F$106,"正")</f>
        <v>0</v>
      </c>
      <c r="O9" s="337">
        <f>COUNTIFS('②-1職員名簿'!AP$7:AP$106,"B",'②-1職員名簿'!$W$7:$W$106,$N$5,'②-2勤務時間数入力'!R$7:R$106,"常")</f>
        <v>0</v>
      </c>
      <c r="P9" s="337">
        <f>SUMIFS('②-2勤務時間数入力'!R$7:R$106,'②-1職員名簿'!AP$7:AP$106,"B",'②-1職員名簿'!$W$7:$W$106,$N$5)</f>
        <v>0</v>
      </c>
      <c r="Q9" s="337">
        <f>COUNTIFS('②-1職員名簿'!AP$7:AP$106,"B",'②-1職員名簿'!$W$7:$W$106,$Q$5,'②-2勤務時間数入力'!F$7:F$106,"正")</f>
        <v>0</v>
      </c>
      <c r="R9" s="337">
        <f>COUNTIFS('②-1職員名簿'!AP$7:AP$106,"B",'②-1職員名簿'!$W$7:$W$106,$Q$5,'②-2勤務時間数入力'!R$7:R$106,"常")</f>
        <v>0</v>
      </c>
      <c r="S9" s="337">
        <f>SUMIFS('②-2勤務時間数入力'!R$7:R$106,'②-1職員名簿'!AP$7:AP$106,"B",'②-1職員名簿'!$W$7:$W$106,$Q$5)</f>
        <v>0</v>
      </c>
      <c r="T9" s="337">
        <f>COUNTIFS('②-1職員名簿'!AP$7:AP$106,"B",'②-1職員名簿'!$W$7:$W$106,$T$5,'②-2勤務時間数入力'!F$7:F$106,"正")</f>
        <v>0</v>
      </c>
      <c r="U9" s="337">
        <f>COUNTIFS('②-1職員名簿'!AP$7:AP$106,"B",'②-1職員名簿'!$W$7:$W$106,$T$5,'②-2勤務時間数入力'!F$7:F$106,"常")</f>
        <v>0</v>
      </c>
      <c r="V9" s="337">
        <f>SUMIFS('②-2勤務時間数入力'!R$7:R$106,'②-1職員名簿'!AP$7:AP$106,"B",'②-1職員名簿'!$W$7:$W$106,$T$5)</f>
        <v>0</v>
      </c>
      <c r="W9" s="337">
        <f>COUNTIFS('②-1職員名簿'!AP$7:AP$106,"B",'②-1職員名簿'!$W$7:$W$106,$W$5,'②-2勤務時間数入力'!F$7:F$106,"正")</f>
        <v>0</v>
      </c>
      <c r="X9" s="337">
        <f>COUNTIFS('②-1職員名簿'!AP$7:AP$106,"B",'②-1職員名簿'!$W$7:$W$106,$W$5,'②-2勤務時間数入力'!R$7:R$106,"常")</f>
        <v>0</v>
      </c>
      <c r="Y9" s="337">
        <f>SUMIFS('②-2勤務時間数入力'!R$7:R$106,'②-1職員名簿'!AP$7:AP$106,"B",'②-1職員名簿'!$W$7:$W$106,$W$5)</f>
        <v>0</v>
      </c>
      <c r="Z9" s="337">
        <f>COUNTIFS('②-1職員名簿'!AP$7:AP$106,"B",'②-1職員名簿'!$W$7:$W$106,$Z$5,'②-2勤務時間数入力'!F$7:F$106,"正")</f>
        <v>0</v>
      </c>
      <c r="AA9" s="337">
        <f>COUNTIFS('②-1職員名簿'!AP$7:AP$106,"B",'②-1職員名簿'!$W$7:$W$106,$Z$5,'②-2勤務時間数入力'!R$7:R$106,"常")</f>
        <v>0</v>
      </c>
      <c r="AB9" s="337">
        <f>SUMIFS('②-2勤務時間数入力'!R$7:R$106,'②-1職員名簿'!AP$7:AP$106,"B",'②-1職員名簿'!$W$7:$W$106,$Z$5)</f>
        <v>0</v>
      </c>
      <c r="AC9" s="176">
        <f t="shared" ref="AC9:AC20" si="0">B9+G9-N9-Q9-T9-W9-Z9</f>
        <v>0</v>
      </c>
      <c r="AD9" s="176">
        <f t="shared" ref="AD9:AD20" si="1">C9+E9+H9+J9-O9-R9-U9-X9-AA9</f>
        <v>0</v>
      </c>
      <c r="AE9" s="186" t="e">
        <f t="shared" ref="AE9:AE20" si="2">ROUNDDOWN((D9+F9+I9+K9-P9-S9-V9-Y9-AB9)/L9,3)</f>
        <v>#DIV/0!</v>
      </c>
      <c r="AF9" s="186" t="e">
        <f>AC9+AD9+AE9</f>
        <v>#DIV/0!</v>
      </c>
      <c r="AG9" s="185" t="e">
        <f>IF(①基本情報!$F$9&gt;90,MIN(AF9,3,MIN(AF9,AI9,3)+MIN(AF9,AJ9,1)),MIN(AF9,4,MIN(AF9,AI9,4)+MIN(AF9,AJ9,2)))</f>
        <v>#N/A</v>
      </c>
      <c r="AI9" s="35" t="e">
        <f>B9+C9+E9+ROUNDDOWN((D9+F9)/L9,3)</f>
        <v>#DIV/0!</v>
      </c>
      <c r="AJ9" s="35" t="e">
        <f>G9+H9+J9+ROUNDDOWN((I9+K9)/L9,3)</f>
        <v>#DIV/0!</v>
      </c>
    </row>
    <row r="10" spans="1:38" s="35" customFormat="1" ht="36" customHeight="1">
      <c r="A10" s="280">
        <v>5</v>
      </c>
      <c r="B10" s="337">
        <f>COUNTIFS('②-1職員名簿'!AQ$7:AQ$106,"B",'②-1職員名簿'!$BE$7:$BE$106,"正規職員",'②-1職員名簿'!$BF$7:$BF$106,"○")</f>
        <v>0</v>
      </c>
      <c r="C10" s="337">
        <f>COUNTIFS('②-1職員名簿'!AD$7:AD$106,"●",'②-2勤務時間数入力'!$C$7:$C$106,"常勤的非常勤",'②-1職員名簿'!$BF$7:$BF$106,"○",'②-2勤務時間数入力'!S$7:S$106,"常")</f>
        <v>0</v>
      </c>
      <c r="D10" s="337">
        <f>SUMIFS('②-2勤務時間数入力'!S$7:S$106,'②-1職員名簿'!AD$7:AD$106,"●",'②-1職員名簿'!$BF$7:$BF$106,"○",'②-1職員名簿'!$C$7:$C$106,"パート")</f>
        <v>0</v>
      </c>
      <c r="E10" s="337">
        <f>COUNTIFS('②-1職員名簿'!AD$7:AD$106,"●",'②-2勤務時間数入力'!$C$7:$C$106,"嘱託常勤",'②-1職員名簿'!$BF$7:$BF$106,"○",'②-2勤務時間数入力'!S$7:S$106,"常")</f>
        <v>0</v>
      </c>
      <c r="F10" s="337">
        <f>SUMIFS('②-2勤務時間数入力'!S$7:S$106,'②-1職員名簿'!AD$7:AD$106,"●",'②-1職員名簿'!$BF$7:$BF$106,"○",'②-1職員名簿'!$C$7:$C$106,"嘱託等")</f>
        <v>0</v>
      </c>
      <c r="G10" s="337">
        <f>COUNTIFS('②-1職員名簿'!AD$7:AD$106,"●",'②-1職員名簿'!$BE$7:$BE$106,"正規職員",'②-1職員名簿'!$BG$7:$BG$106,"○")</f>
        <v>0</v>
      </c>
      <c r="H10" s="337">
        <f>COUNTIFS('②-1職員名簿'!AD$7:AD$106,"●",'②-2勤務時間数入力'!$C$7:$C$106,"常勤的非常勤",'②-1職員名簿'!$BG$7:$BG$106,"○",'②-2勤務時間数入力'!S$7:S$106,"常")</f>
        <v>0</v>
      </c>
      <c r="I10" s="337">
        <f>SUMIFS('②-2勤務時間数入力'!S$7:S$106,'②-1職員名簿'!AD$7:AD$106,"●",'②-1職員名簿'!$BG$7:$BG$106,"○",'②-1職員名簿'!$C$7:$C$106,"パート")</f>
        <v>0</v>
      </c>
      <c r="J10" s="337">
        <f>COUNTIFS('②-1職員名簿'!AD$7:AD$106,"●",'②-2勤務時間数入力'!$C$7:$C$106,"嘱託常勤",'②-1職員名簿'!$BG$7:$BG$106,"○",'②-2勤務時間数入力'!S$7:S$106,"常")</f>
        <v>0</v>
      </c>
      <c r="K10" s="337">
        <f>SUMIFS('②-2勤務時間数入力'!S$7:S$106,'②-1職員名簿'!AD$7:AD$106,"●",'②-1職員名簿'!$BG$7:$BG$106,"○",'②-1職員名簿'!$C$7:$C$106,"嘱託等")</f>
        <v>0</v>
      </c>
      <c r="L10" s="338">
        <f>'②-2勤務時間数入力'!AH8</f>
        <v>0</v>
      </c>
      <c r="M10" s="339">
        <f>COUNTIFS('②-1職員名簿'!W7:W106,"園長",'②-1職員名簿'!AD$7:AD$106,"●")</f>
        <v>0</v>
      </c>
      <c r="N10" s="337">
        <f>COUNTIFS('②-1職員名簿'!AD$7:AD$106,"●",'②-1職員名簿'!$W$7:$W$106,$N$5,'②-2勤務時間数入力'!G$7:G$106,"正")</f>
        <v>0</v>
      </c>
      <c r="O10" s="337">
        <f>COUNTIFS('②-1職員名簿'!AD$7:AD$106,"●",'②-1職員名簿'!$W$7:$W$106,$N$5,'②-2勤務時間数入力'!S$7:S$106,"常")</f>
        <v>0</v>
      </c>
      <c r="P10" s="337">
        <f>SUMIFS('②-2勤務時間数入力'!S$7:S$106,'②-1職員名簿'!AD$7:AD$106,"●",'②-1職員名簿'!$W$7:$W$106,$N$5)</f>
        <v>0</v>
      </c>
      <c r="Q10" s="337">
        <f>COUNTIFS('②-1職員名簿'!AD$7:AD$106,"●",'②-1職員名簿'!$W$7:$W$106,$Q$5,'②-2勤務時間数入力'!G$7:G$106,"正")</f>
        <v>0</v>
      </c>
      <c r="R10" s="337">
        <f>COUNTIFS('②-1職員名簿'!AD$7:AD$106,"●",'②-1職員名簿'!$W$7:$W$106,$Q$5,'②-2勤務時間数入力'!S$7:S$106,"常")</f>
        <v>0</v>
      </c>
      <c r="S10" s="337">
        <f>SUMIFS('②-2勤務時間数入力'!S$7:S$106,'②-1職員名簿'!AD$7:AD$106,"●",'②-1職員名簿'!$W$7:$W$106,$Q$5)</f>
        <v>0</v>
      </c>
      <c r="T10" s="337">
        <f>COUNTIFS('②-1職員名簿'!AD$7:AD$106,"●",'②-1職員名簿'!$W$7:$W$106,$T$5,'②-2勤務時間数入力'!G$7:G$106,"正")</f>
        <v>0</v>
      </c>
      <c r="U10" s="337">
        <f>COUNTIFS('②-1職員名簿'!AD$7:AD$106,"●",'②-1職員名簿'!$W$7:$W$106,$T$5,'②-2勤務時間数入力'!G$7:G$106,"常")</f>
        <v>0</v>
      </c>
      <c r="V10" s="337">
        <f>SUMIFS('②-2勤務時間数入力'!S$7:S$106,'②-1職員名簿'!AD$7:AD$106,"●",'②-1職員名簿'!$W$7:$W$106,$T$5)</f>
        <v>0</v>
      </c>
      <c r="W10" s="337">
        <f>COUNTIFS('②-1職員名簿'!AD$7:AD$106,"●",'②-1職員名簿'!$W$7:$W$106,$W$5,'②-2勤務時間数入力'!G$7:G$106,"正")</f>
        <v>0</v>
      </c>
      <c r="X10" s="337">
        <f>COUNTIFS('②-1職員名簿'!AD$7:AD$106,"●",'②-1職員名簿'!$W$7:$W$106,$W$5,'②-2勤務時間数入力'!S$7:S$106,"常")</f>
        <v>0</v>
      </c>
      <c r="Y10" s="337">
        <f>SUMIFS('②-2勤務時間数入力'!S$7:S$106,'②-1職員名簿'!AD$7:AD$106,"●",'②-1職員名簿'!$W$7:$W$106,$W$5)</f>
        <v>0</v>
      </c>
      <c r="Z10" s="337">
        <f>COUNTIFS('②-1職員名簿'!AD$7:AD$106,"●",'②-1職員名簿'!$W$7:$W$106,$Z$5,'②-2勤務時間数入力'!G$7:G$106,"正")</f>
        <v>0</v>
      </c>
      <c r="AA10" s="337">
        <f>COUNTIFS('②-1職員名簿'!AD$7:AD$106,"●",'②-1職員名簿'!$W$7:$W$106,$Z$5,'②-2勤務時間数入力'!S$7:S$106,"常")</f>
        <v>0</v>
      </c>
      <c r="AB10" s="337">
        <f>SUMIFS('②-2勤務時間数入力'!S$7:S$106,'②-1職員名簿'!AD$7:AD$106,"●",'②-1職員名簿'!$W$7:$W$106,$Z$5)</f>
        <v>0</v>
      </c>
      <c r="AC10" s="176">
        <f t="shared" si="0"/>
        <v>0</v>
      </c>
      <c r="AD10" s="176">
        <f t="shared" si="1"/>
        <v>0</v>
      </c>
      <c r="AE10" s="186" t="e">
        <f t="shared" si="2"/>
        <v>#DIV/0!</v>
      </c>
      <c r="AF10" s="186" t="e">
        <f t="shared" ref="AF10:AF20" si="3">AC10+AD10+AE10</f>
        <v>#DIV/0!</v>
      </c>
      <c r="AG10" s="185" t="e">
        <f>IF(①基本情報!$F$9&gt;90,MIN(AF10,3,MIN(AF10,AI10,3)+MIN(AF10,AJ10,1)),MIN(AF10,4,MIN(AF10,AI10,4)+MIN(AF10,AJ10,2)))</f>
        <v>#N/A</v>
      </c>
      <c r="AI10" s="35" t="e">
        <f t="shared" ref="AI10:AI20" si="4">B10+C10+E10+ROUNDDOWN((D10+F10)/L10,3)</f>
        <v>#DIV/0!</v>
      </c>
      <c r="AJ10" s="35" t="e">
        <f t="shared" ref="AJ10:AJ20" si="5">G10+H10+J10+ROUNDDOWN((I10+K10)/L10,3)</f>
        <v>#DIV/0!</v>
      </c>
    </row>
    <row r="11" spans="1:38" s="35" customFormat="1" ht="36" customHeight="1">
      <c r="A11" s="280">
        <v>6</v>
      </c>
      <c r="B11" s="337">
        <f>COUNTIFS('②-1職員名簿'!AR$7:AR$106,"B",'②-1職員名簿'!$BE$7:$BE$106,"正規職員",'②-1職員名簿'!$BF$7:$BF$106,"○")</f>
        <v>0</v>
      </c>
      <c r="C11" s="337">
        <f>COUNTIFS('②-1職員名簿'!AE$7:AE$106,"●",'②-2勤務時間数入力'!$C$7:$C$106,"常勤的非常勤",'②-1職員名簿'!$BF$7:$BF$106,"○",'②-2勤務時間数入力'!T$7:T$106,"常")</f>
        <v>0</v>
      </c>
      <c r="D11" s="337">
        <f>SUMIFS('②-2勤務時間数入力'!T$7:T$106,'②-1職員名簿'!AE$7:AE$106,"●",'②-1職員名簿'!$BF$7:$BF$106,"○",'②-1職員名簿'!$C$7:$C$106,"パート")</f>
        <v>0</v>
      </c>
      <c r="E11" s="337">
        <f>COUNTIFS('②-1職員名簿'!AE$7:AE$106,"●",'②-2勤務時間数入力'!$C$7:$C$106,"嘱託常勤",'②-1職員名簿'!$BF$7:$BF$106,"○",'②-2勤務時間数入力'!T$7:T$106,"常")</f>
        <v>0</v>
      </c>
      <c r="F11" s="337">
        <f>SUMIFS('②-2勤務時間数入力'!T$7:T$106,'②-1職員名簿'!AE$7:AE$106,"●",'②-1職員名簿'!$BF$7:$BF$106,"○",'②-1職員名簿'!$C$7:$C$106,"嘱託等")</f>
        <v>0</v>
      </c>
      <c r="G11" s="337">
        <f>COUNTIFS('②-1職員名簿'!AE$7:AE$106,"●",'②-1職員名簿'!$BE$7:$BE$106,"正規職員",'②-1職員名簿'!$BG$7:$BG$106,"○")</f>
        <v>0</v>
      </c>
      <c r="H11" s="337">
        <f>COUNTIFS('②-1職員名簿'!AE$7:AE$106,"●",'②-2勤務時間数入力'!$C$7:$C$106,"常勤的非常勤",'②-1職員名簿'!$BG$7:$BG$106,"○",'②-2勤務時間数入力'!T$7:T$106,"常")</f>
        <v>0</v>
      </c>
      <c r="I11" s="337">
        <f>SUMIFS('②-2勤務時間数入力'!T$7:T$106,'②-1職員名簿'!AE$7:AE$106,"●",'②-1職員名簿'!$BG$7:$BG$106,"○",'②-1職員名簿'!$C$7:$C$106,"パート")</f>
        <v>0</v>
      </c>
      <c r="J11" s="337">
        <f>COUNTIFS('②-1職員名簿'!AE$7:AE$106,"●",'②-2勤務時間数入力'!$C$7:$C$106,"嘱託常勤",'②-1職員名簿'!$BG$7:$BG$106,"○",'②-2勤務時間数入力'!T$7:T$106,"常")</f>
        <v>0</v>
      </c>
      <c r="K11" s="337">
        <f>SUMIFS('②-2勤務時間数入力'!T$7:T$106,'②-1職員名簿'!AE$7:AE$106,"●",'②-1職員名簿'!$BG$7:$BG$106,"○",'②-1職員名簿'!$C$7:$C$106,"嘱託等")</f>
        <v>0</v>
      </c>
      <c r="L11" s="338">
        <f>'②-2勤務時間数入力'!AH9</f>
        <v>0</v>
      </c>
      <c r="M11" s="339">
        <f>COUNTIFS('②-1職員名簿'!W7:W106,"園長",'②-1職員名簿'!AE$7:AE$106,"●")</f>
        <v>0</v>
      </c>
      <c r="N11" s="337">
        <f>COUNTIFS('②-1職員名簿'!AE$7:AE$106,"●",'②-1職員名簿'!$W$7:$W$106,$N$5,'②-2勤務時間数入力'!H$7:H$106,"正")</f>
        <v>0</v>
      </c>
      <c r="O11" s="337">
        <f>COUNTIFS('②-1職員名簿'!AE$7:AE$106,"●",'②-1職員名簿'!$W$7:$W$106,$N$5,'②-2勤務時間数入力'!T$7:T$106,"常")</f>
        <v>0</v>
      </c>
      <c r="P11" s="337">
        <f>SUMIFS('②-2勤務時間数入力'!T$7:T$106,'②-1職員名簿'!AE$7:AE$106,"●",'②-1職員名簿'!$W$7:$W$106,$N$5)</f>
        <v>0</v>
      </c>
      <c r="Q11" s="337">
        <f>COUNTIFS('②-1職員名簿'!AE$7:AE$106,"●",'②-1職員名簿'!$W$7:$W$106,$Q$5,'②-2勤務時間数入力'!H$7:H$106,"正")</f>
        <v>0</v>
      </c>
      <c r="R11" s="337">
        <f>COUNTIFS('②-1職員名簿'!AE$7:AE$106,"●",'②-1職員名簿'!$W$7:$W$106,$Q$5,'②-2勤務時間数入力'!T$7:T$106,"常")</f>
        <v>0</v>
      </c>
      <c r="S11" s="337">
        <f>SUMIFS('②-2勤務時間数入力'!T$7:T$106,'②-1職員名簿'!AE$7:AE$106,"●",'②-1職員名簿'!$W$7:$W$106,$Q$5)</f>
        <v>0</v>
      </c>
      <c r="T11" s="337">
        <f>COUNTIFS('②-1職員名簿'!AE$7:AE$106,"●",'②-1職員名簿'!$W$7:$W$106,$T$5,'②-2勤務時間数入力'!H$7:H$106,"正")</f>
        <v>0</v>
      </c>
      <c r="U11" s="337">
        <f>COUNTIFS('②-1職員名簿'!AE$7:AE$106,"●",'②-1職員名簿'!$W$7:$W$106,$T$5,'②-2勤務時間数入力'!H$7:H$106,"常")</f>
        <v>0</v>
      </c>
      <c r="V11" s="337">
        <f>SUMIFS('②-2勤務時間数入力'!T$7:T$106,'②-1職員名簿'!AE$7:AE$106,"●",'②-1職員名簿'!$W$7:$W$106,$T$5)</f>
        <v>0</v>
      </c>
      <c r="W11" s="337">
        <f>COUNTIFS('②-1職員名簿'!AE$7:AE$106,"●",'②-1職員名簿'!$W$7:$W$106,$W$5,'②-2勤務時間数入力'!H$7:H$106,"正")</f>
        <v>0</v>
      </c>
      <c r="X11" s="337">
        <f>COUNTIFS('②-1職員名簿'!AE$7:AE$106,"●",'②-1職員名簿'!$W$7:$W$106,$W$5,'②-2勤務時間数入力'!T$7:T$106,"常")</f>
        <v>0</v>
      </c>
      <c r="Y11" s="337">
        <f>SUMIFS('②-2勤務時間数入力'!T$7:T$106,'②-1職員名簿'!AE$7:AE$106,"●",'②-1職員名簿'!$W$7:$W$106,$W$5)</f>
        <v>0</v>
      </c>
      <c r="Z11" s="337">
        <f>COUNTIFS('②-1職員名簿'!AE$7:AE$106,"●",'②-1職員名簿'!$W$7:$W$106,$Z$5,'②-2勤務時間数入力'!H$7:H$106,"正")</f>
        <v>0</v>
      </c>
      <c r="AA11" s="337">
        <f>COUNTIFS('②-1職員名簿'!AE$7:AE$106,"●",'②-1職員名簿'!$W$7:$W$106,$Z$5,'②-2勤務時間数入力'!T$7:T$106,"常")</f>
        <v>0</v>
      </c>
      <c r="AB11" s="337">
        <f>SUMIFS('②-2勤務時間数入力'!T$7:T$106,'②-1職員名簿'!AE$7:AE$106,"●",'②-1職員名簿'!$W$7:$W$106,$Z$5)</f>
        <v>0</v>
      </c>
      <c r="AC11" s="176">
        <f t="shared" si="0"/>
        <v>0</v>
      </c>
      <c r="AD11" s="176">
        <f t="shared" si="1"/>
        <v>0</v>
      </c>
      <c r="AE11" s="186" t="e">
        <f t="shared" si="2"/>
        <v>#DIV/0!</v>
      </c>
      <c r="AF11" s="186" t="e">
        <f t="shared" si="3"/>
        <v>#DIV/0!</v>
      </c>
      <c r="AG11" s="185" t="e">
        <f>IF(①基本情報!$F$9&gt;90,MIN(AF11,3,MIN(AF11,AI11,3)+MIN(AF11,AJ11,1)),MIN(AF11,4,MIN(AF11,AI11,4)+MIN(AF11,AJ11,2)))</f>
        <v>#N/A</v>
      </c>
      <c r="AI11" s="35" t="e">
        <f t="shared" si="4"/>
        <v>#DIV/0!</v>
      </c>
      <c r="AJ11" s="35" t="e">
        <f t="shared" si="5"/>
        <v>#DIV/0!</v>
      </c>
    </row>
    <row r="12" spans="1:38" s="35" customFormat="1" ht="36" customHeight="1">
      <c r="A12" s="280">
        <v>7</v>
      </c>
      <c r="B12" s="337">
        <f>COUNTIFS('②-1職員名簿'!AS$7:AS$106,"B",'②-1職員名簿'!$BE$7:$BE$106,"正規職員",'②-1職員名簿'!$BF$7:$BF$106,"○")</f>
        <v>0</v>
      </c>
      <c r="C12" s="337">
        <f>COUNTIFS('②-1職員名簿'!AF$7:AF$106,"●",'②-2勤務時間数入力'!$C$7:$C$106,"常勤的非常勤",'②-1職員名簿'!$BF$7:$BF$106,"○",'②-2勤務時間数入力'!U$7:U$106,"常")</f>
        <v>0</v>
      </c>
      <c r="D12" s="337">
        <f>SUMIFS('②-2勤務時間数入力'!U$7:U$106,'②-1職員名簿'!AF$7:AF$106,"●",'②-1職員名簿'!$BF$7:$BF$106,"○",'②-1職員名簿'!$C$7:$C$106,"パート")</f>
        <v>0</v>
      </c>
      <c r="E12" s="337">
        <f>COUNTIFS('②-1職員名簿'!AF$7:AF$106,"●",'②-2勤務時間数入力'!$C$7:$C$106,"嘱託常勤",'②-1職員名簿'!$BF$7:$BF$106,"○",'②-2勤務時間数入力'!U$7:U$106,"常")</f>
        <v>0</v>
      </c>
      <c r="F12" s="337">
        <f>SUMIFS('②-2勤務時間数入力'!U$7:U$106,'②-1職員名簿'!AF$7:AF$106,"●",'②-1職員名簿'!$BF$7:$BF$106,"○",'②-1職員名簿'!$C$7:$C$106,"嘱託等")</f>
        <v>0</v>
      </c>
      <c r="G12" s="337">
        <f>COUNTIFS('②-1職員名簿'!AF$7:AF$106,"●",'②-1職員名簿'!$BE$7:$BE$106,"正規職員",'②-1職員名簿'!$BG$7:$BG$106,"○")</f>
        <v>0</v>
      </c>
      <c r="H12" s="337">
        <f>COUNTIFS('②-1職員名簿'!AF$7:AF$106,"●",'②-2勤務時間数入力'!$C$7:$C$106,"常勤的非常勤",'②-1職員名簿'!$BG$7:$BG$106,"○",'②-2勤務時間数入力'!U$7:U$106,"常")</f>
        <v>0</v>
      </c>
      <c r="I12" s="337">
        <f>SUMIFS('②-2勤務時間数入力'!U$7:U$106,'②-1職員名簿'!AF$7:AF$106,"●",'②-1職員名簿'!$BG$7:$BG$106,"○",'②-1職員名簿'!$C$7:$C$106,"パート")</f>
        <v>0</v>
      </c>
      <c r="J12" s="337">
        <f>COUNTIFS('②-1職員名簿'!AF$7:AF$106,"●",'②-2勤務時間数入力'!$C$7:$C$106,"嘱託常勤",'②-1職員名簿'!$BG$7:$BG$106,"○",'②-2勤務時間数入力'!U$7:U$106,"常")</f>
        <v>0</v>
      </c>
      <c r="K12" s="337">
        <f>SUMIFS('②-2勤務時間数入力'!U$7:U$106,'②-1職員名簿'!AF$7:AF$106,"●",'②-1職員名簿'!$BG$7:$BG$106,"○",'②-1職員名簿'!$C$7:$C$106,"嘱託等")</f>
        <v>0</v>
      </c>
      <c r="L12" s="338">
        <f>'②-2勤務時間数入力'!AH10</f>
        <v>0</v>
      </c>
      <c r="M12" s="339">
        <f>COUNTIFS('②-1職員名簿'!W7:W106,"園長",'②-1職員名簿'!AF$7:AF$106,"●")</f>
        <v>0</v>
      </c>
      <c r="N12" s="337">
        <f>COUNTIFS('②-1職員名簿'!AF$7:AF$106,"●",'②-1職員名簿'!$W$7:$W$106,$N$5,'②-2勤務時間数入力'!I$7:I$106,"正")</f>
        <v>0</v>
      </c>
      <c r="O12" s="337">
        <f>COUNTIFS('②-1職員名簿'!AF$7:AF$106,"●",'②-1職員名簿'!$W$7:$W$106,$N$5,'②-2勤務時間数入力'!U$7:U$106,"常")</f>
        <v>0</v>
      </c>
      <c r="P12" s="337">
        <f>SUMIFS('②-2勤務時間数入力'!U$7:U$106,'②-1職員名簿'!AF$7:AF$106,"●",'②-1職員名簿'!$W$7:$W$106,$N$5)</f>
        <v>0</v>
      </c>
      <c r="Q12" s="337">
        <f>COUNTIFS('②-1職員名簿'!AF$7:AF$106,"●",'②-1職員名簿'!$W$7:$W$106,$Q$5,'②-2勤務時間数入力'!I$7:I$106,"正")</f>
        <v>0</v>
      </c>
      <c r="R12" s="337">
        <f>COUNTIFS('②-1職員名簿'!AF$7:AF$106,"●",'②-1職員名簿'!$W$7:$W$106,$Q$5,'②-2勤務時間数入力'!U$7:U$106,"常")</f>
        <v>0</v>
      </c>
      <c r="S12" s="337">
        <f>SUMIFS('②-2勤務時間数入力'!U$7:U$106,'②-1職員名簿'!AF$7:AF$106,"●",'②-1職員名簿'!$W$7:$W$106,$Q$5)</f>
        <v>0</v>
      </c>
      <c r="T12" s="337">
        <f>COUNTIFS('②-1職員名簿'!AF$7:AF$106,"●",'②-1職員名簿'!$W$7:$W$106,$T$5,'②-2勤務時間数入力'!I$7:I$106,"正")</f>
        <v>0</v>
      </c>
      <c r="U12" s="337">
        <f>COUNTIFS('②-1職員名簿'!AF$7:AF$106,"●",'②-1職員名簿'!$W$7:$W$106,$T$5,'②-2勤務時間数入力'!I$7:I$106,"常")</f>
        <v>0</v>
      </c>
      <c r="V12" s="337">
        <f>SUMIFS('②-2勤務時間数入力'!U$7:U$106,'②-1職員名簿'!AF$7:AF$106,"●",'②-1職員名簿'!$W$7:$W$106,$T$5)</f>
        <v>0</v>
      </c>
      <c r="W12" s="337">
        <f>COUNTIFS('②-1職員名簿'!AF$7:AF$106,"●",'②-1職員名簿'!$W$7:$W$106,$W$5,'②-2勤務時間数入力'!I$7:I$106,"正")</f>
        <v>0</v>
      </c>
      <c r="X12" s="337">
        <f>COUNTIFS('②-1職員名簿'!AF$7:AF$106,"●",'②-1職員名簿'!$W$7:$W$106,$W$5,'②-2勤務時間数入力'!U$7:U$106,"常")</f>
        <v>0</v>
      </c>
      <c r="Y12" s="337">
        <f>SUMIFS('②-2勤務時間数入力'!U$7:U$106,'②-1職員名簿'!AF$7:AF$106,"●",'②-1職員名簿'!$W$7:$W$106,$W$5)</f>
        <v>0</v>
      </c>
      <c r="Z12" s="337">
        <f>COUNTIFS('②-1職員名簿'!AF$7:AF$106,"●",'②-1職員名簿'!$W$7:$W$106,$Z$5,'②-2勤務時間数入力'!I$7:I$106,"正")</f>
        <v>0</v>
      </c>
      <c r="AA12" s="337">
        <f>COUNTIFS('②-1職員名簿'!AF$7:AF$106,"●",'②-1職員名簿'!$W$7:$W$106,$Z$5,'②-2勤務時間数入力'!U$7:U$106,"常")</f>
        <v>0</v>
      </c>
      <c r="AB12" s="337">
        <f>SUMIFS('②-2勤務時間数入力'!U$7:U$106,'②-1職員名簿'!AF$7:AF$106,"●",'②-1職員名簿'!$W$7:$W$106,$Z$5)</f>
        <v>0</v>
      </c>
      <c r="AC12" s="176">
        <f t="shared" si="0"/>
        <v>0</v>
      </c>
      <c r="AD12" s="176">
        <f t="shared" si="1"/>
        <v>0</v>
      </c>
      <c r="AE12" s="186" t="e">
        <f t="shared" si="2"/>
        <v>#DIV/0!</v>
      </c>
      <c r="AF12" s="186" t="e">
        <f t="shared" si="3"/>
        <v>#DIV/0!</v>
      </c>
      <c r="AG12" s="185" t="e">
        <f>IF(①基本情報!$F$9&gt;90,MIN(AF12,3,MIN(AF12,AI12,3)+MIN(AF12,AJ12,1)),MIN(AF12,4,MIN(AF12,AI12,4)+MIN(AF12,AJ12,2)))</f>
        <v>#N/A</v>
      </c>
      <c r="AI12" s="35" t="e">
        <f t="shared" si="4"/>
        <v>#DIV/0!</v>
      </c>
      <c r="AJ12" s="35" t="e">
        <f t="shared" si="5"/>
        <v>#DIV/0!</v>
      </c>
    </row>
    <row r="13" spans="1:38" s="35" customFormat="1" ht="36" customHeight="1">
      <c r="A13" s="280">
        <v>8</v>
      </c>
      <c r="B13" s="337">
        <f>COUNTIFS('②-1職員名簿'!AT$7:AT$106,"B",'②-1職員名簿'!$BE$7:$BE$106,"正規職員",'②-1職員名簿'!$BF$7:$BF$106,"○")</f>
        <v>0</v>
      </c>
      <c r="C13" s="337">
        <f>COUNTIFS('②-1職員名簿'!AG$7:AG$106,"●",'②-2勤務時間数入力'!$C$7:$C$106,"常勤的非常勤",'②-1職員名簿'!$BF$7:$BF$106,"○",'②-2勤務時間数入力'!V$7:V$106,"常")</f>
        <v>0</v>
      </c>
      <c r="D13" s="337">
        <f>SUMIFS('②-2勤務時間数入力'!V$7:V$106,'②-1職員名簿'!AG$7:AG$106,"●",'②-1職員名簿'!$BF$7:$BF$106,"○",'②-1職員名簿'!$C$7:$C$106,"パート")</f>
        <v>0</v>
      </c>
      <c r="E13" s="337">
        <f>COUNTIFS('②-1職員名簿'!AG$7:AG$106,"●",'②-2勤務時間数入力'!$C$7:$C$106,"嘱託常勤",'②-1職員名簿'!$BF$7:$BF$106,"○",'②-2勤務時間数入力'!V$7:V$106,"常")</f>
        <v>0</v>
      </c>
      <c r="F13" s="337">
        <f>SUMIFS('②-2勤務時間数入力'!V$7:V$106,'②-1職員名簿'!AG$7:AG$106,"●",'②-1職員名簿'!$BF$7:$BF$106,"○",'②-1職員名簿'!$C$7:$C$106,"嘱託等")</f>
        <v>0</v>
      </c>
      <c r="G13" s="337">
        <f>COUNTIFS('②-1職員名簿'!AG$7:AG$106,"●",'②-1職員名簿'!$BE$7:$BE$106,"正規職員",'②-1職員名簿'!$BG$7:$BG$106,"○")</f>
        <v>0</v>
      </c>
      <c r="H13" s="337">
        <f>COUNTIFS('②-1職員名簿'!AG$7:AG$106,"●",'②-2勤務時間数入力'!$C$7:$C$106,"常勤的非常勤",'②-1職員名簿'!$BG$7:$BG$106,"○",'②-2勤務時間数入力'!V$7:V$106,"常")</f>
        <v>0</v>
      </c>
      <c r="I13" s="337">
        <f>SUMIFS('②-2勤務時間数入力'!V$7:V$106,'②-1職員名簿'!AG$7:AG$106,"●",'②-1職員名簿'!$BG$7:$BG$106,"○",'②-1職員名簿'!$C$7:$C$106,"パート")</f>
        <v>0</v>
      </c>
      <c r="J13" s="337">
        <f>COUNTIFS('②-1職員名簿'!AG$7:AG$106,"●",'②-2勤務時間数入力'!$C$7:$C$106,"嘱託常勤",'②-1職員名簿'!$BG$7:$BG$106,"○",'②-2勤務時間数入力'!V$7:V$106,"常")</f>
        <v>0</v>
      </c>
      <c r="K13" s="337">
        <f>SUMIFS('②-2勤務時間数入力'!V$7:V$106,'②-1職員名簿'!AG$7:AG$106,"●",'②-1職員名簿'!$BG$7:$BG$106,"○",'②-1職員名簿'!$C$7:$C$106,"嘱託等")</f>
        <v>0</v>
      </c>
      <c r="L13" s="338">
        <f>'②-2勤務時間数入力'!AH11</f>
        <v>0</v>
      </c>
      <c r="M13" s="339">
        <f>COUNTIFS('②-1職員名簿'!W7:W106,"園長",'②-1職員名簿'!AG$7:AG$106,"●")</f>
        <v>0</v>
      </c>
      <c r="N13" s="337">
        <f>COUNTIFS('②-1職員名簿'!AG$7:AG$106,"●",'②-1職員名簿'!$W$7:$W$106,$N$5,'②-2勤務時間数入力'!J$7:J$106,"正")</f>
        <v>0</v>
      </c>
      <c r="O13" s="337">
        <f>COUNTIFS('②-1職員名簿'!AG$7:AG$106,"●",'②-1職員名簿'!$W$7:$W$106,$N$5,'②-2勤務時間数入力'!V$7:V$106,"常")</f>
        <v>0</v>
      </c>
      <c r="P13" s="337">
        <f>SUMIFS('②-2勤務時間数入力'!V$7:V$106,'②-1職員名簿'!AG$7:AG$106,"●",'②-1職員名簿'!$W$7:$W$106,$N$5)</f>
        <v>0</v>
      </c>
      <c r="Q13" s="337">
        <f>COUNTIFS('②-1職員名簿'!AG$7:AG$106,"●",'②-1職員名簿'!$W$7:$W$106,$Q$5,'②-2勤務時間数入力'!J$7:J$106,"正")</f>
        <v>0</v>
      </c>
      <c r="R13" s="337">
        <f>COUNTIFS('②-1職員名簿'!AG$7:AG$106,"●",'②-1職員名簿'!$W$7:$W$106,$Q$5,'②-2勤務時間数入力'!V$7:V$106,"常")</f>
        <v>0</v>
      </c>
      <c r="S13" s="337">
        <f>SUMIFS('②-2勤務時間数入力'!V$7:V$106,'②-1職員名簿'!AG$7:AG$106,"●",'②-1職員名簿'!$W$7:$W$106,$Q$5)</f>
        <v>0</v>
      </c>
      <c r="T13" s="337">
        <f>COUNTIFS('②-1職員名簿'!AG$7:AG$106,"●",'②-1職員名簿'!$W$7:$W$106,$T$5,'②-2勤務時間数入力'!J$7:J$106,"正")</f>
        <v>0</v>
      </c>
      <c r="U13" s="337">
        <f>COUNTIFS('②-1職員名簿'!AG$7:AG$106,"●",'②-1職員名簿'!$W$7:$W$106,$T$5,'②-2勤務時間数入力'!J$7:J$106,"常")</f>
        <v>0</v>
      </c>
      <c r="V13" s="337">
        <f>SUMIFS('②-2勤務時間数入力'!V$7:V$106,'②-1職員名簿'!AG$7:AG$106,"●",'②-1職員名簿'!$W$7:$W$106,$T$5)</f>
        <v>0</v>
      </c>
      <c r="W13" s="337">
        <f>COUNTIFS('②-1職員名簿'!AG$7:AG$106,"●",'②-1職員名簿'!$W$7:$W$106,$W$5,'②-2勤務時間数入力'!J$7:J$106,"正")</f>
        <v>0</v>
      </c>
      <c r="X13" s="337">
        <f>COUNTIFS('②-1職員名簿'!AG$7:AG$106,"●",'②-1職員名簿'!$W$7:$W$106,$W$5,'②-2勤務時間数入力'!V$7:V$106,"常")</f>
        <v>0</v>
      </c>
      <c r="Y13" s="337">
        <f>SUMIFS('②-2勤務時間数入力'!V$7:V$106,'②-1職員名簿'!AG$7:AG$106,"●",'②-1職員名簿'!$W$7:$W$106,$W$5)</f>
        <v>0</v>
      </c>
      <c r="Z13" s="337">
        <f>COUNTIFS('②-1職員名簿'!AG$7:AG$106,"●",'②-1職員名簿'!$W$7:$W$106,$Z$5,'②-2勤務時間数入力'!J$7:J$106,"正")</f>
        <v>0</v>
      </c>
      <c r="AA13" s="337">
        <f>COUNTIFS('②-1職員名簿'!AG$7:AG$106,"●",'②-1職員名簿'!$W$7:$W$106,$Z$5,'②-2勤務時間数入力'!V$7:V$106,"常")</f>
        <v>0</v>
      </c>
      <c r="AB13" s="337">
        <f>SUMIFS('②-2勤務時間数入力'!V$7:V$106,'②-1職員名簿'!AG$7:AG$106,"●",'②-1職員名簿'!$W$7:$W$106,$Z$5)</f>
        <v>0</v>
      </c>
      <c r="AC13" s="176">
        <f t="shared" si="0"/>
        <v>0</v>
      </c>
      <c r="AD13" s="176">
        <f t="shared" si="1"/>
        <v>0</v>
      </c>
      <c r="AE13" s="186" t="e">
        <f t="shared" si="2"/>
        <v>#DIV/0!</v>
      </c>
      <c r="AF13" s="186" t="e">
        <f t="shared" si="3"/>
        <v>#DIV/0!</v>
      </c>
      <c r="AG13" s="185" t="e">
        <f>IF(①基本情報!$F$9&gt;90,MIN(AF13,3,MIN(AF13,AI13,3)+MIN(AF13,AJ13,1)),MIN(AF13,4,MIN(AF13,AI13,4)+MIN(AF13,AJ13,2)))</f>
        <v>#N/A</v>
      </c>
      <c r="AI13" s="35" t="e">
        <f t="shared" si="4"/>
        <v>#DIV/0!</v>
      </c>
      <c r="AJ13" s="35" t="e">
        <f t="shared" si="5"/>
        <v>#DIV/0!</v>
      </c>
    </row>
    <row r="14" spans="1:38" s="35" customFormat="1" ht="36" customHeight="1">
      <c r="A14" s="280">
        <v>9</v>
      </c>
      <c r="B14" s="337">
        <f>COUNTIFS('②-1職員名簿'!AU$7:AU$106,"B",'②-1職員名簿'!$BE$7:$BE$106,"正規職員",'②-1職員名簿'!$BF$7:$BF$106,"○")</f>
        <v>0</v>
      </c>
      <c r="C14" s="337">
        <f>COUNTIFS('②-1職員名簿'!AH$7:AH$106,"●",'②-2勤務時間数入力'!$C$7:$C$106,"常勤的非常勤",'②-1職員名簿'!$BF$7:$BF$106,"○",'②-2勤務時間数入力'!W$7:W$106,"常")</f>
        <v>0</v>
      </c>
      <c r="D14" s="337">
        <f>SUMIFS('②-2勤務時間数入力'!W$7:W$106,'②-1職員名簿'!AH$7:AH$106,"●",'②-1職員名簿'!$BF$7:$BF$106,"○",'②-1職員名簿'!$C$7:$C$106,"パート")</f>
        <v>0</v>
      </c>
      <c r="E14" s="337">
        <f>COUNTIFS('②-1職員名簿'!AH$7:AH$106,"●",'②-2勤務時間数入力'!$C$7:$C$106,"嘱託常勤",'②-1職員名簿'!$BF$7:$BF$106,"○",'②-2勤務時間数入力'!W$7:W$106,"常")</f>
        <v>0</v>
      </c>
      <c r="F14" s="337">
        <f>SUMIFS('②-2勤務時間数入力'!W$7:W$106,'②-1職員名簿'!AH$7:AH$106,"●",'②-1職員名簿'!$BF$7:$BF$106,"○",'②-1職員名簿'!$C$7:$C$106,"嘱託等")</f>
        <v>0</v>
      </c>
      <c r="G14" s="337">
        <f>COUNTIFS('②-1職員名簿'!AH$7:AH$106,"●",'②-1職員名簿'!$BE$7:$BE$106,"正規職員",'②-1職員名簿'!$BG$7:$BG$106,"○")</f>
        <v>0</v>
      </c>
      <c r="H14" s="337">
        <f>COUNTIFS('②-1職員名簿'!AH$7:AH$106,"●",'②-2勤務時間数入力'!$C$7:$C$106,"常勤的非常勤",'②-1職員名簿'!$BG$7:$BG$106,"○",'②-2勤務時間数入力'!W$7:W$106,"常")</f>
        <v>0</v>
      </c>
      <c r="I14" s="337">
        <f>SUMIFS('②-2勤務時間数入力'!W$7:W$106,'②-1職員名簿'!AH$7:AH$106,"●",'②-1職員名簿'!$BG$7:$BG$106,"○",'②-1職員名簿'!$C$7:$C$106,"パート")</f>
        <v>0</v>
      </c>
      <c r="J14" s="337">
        <f>COUNTIFS('②-1職員名簿'!AH$7:AH$106,"●",'②-2勤務時間数入力'!$C$7:$C$106,"嘱託常勤",'②-1職員名簿'!$BG$7:$BG$106,"○",'②-2勤務時間数入力'!W$7:W$106,"常")</f>
        <v>0</v>
      </c>
      <c r="K14" s="337">
        <f>SUMIFS('②-2勤務時間数入力'!W$7:W$106,'②-1職員名簿'!AH$7:AH$106,"●",'②-1職員名簿'!$BG$7:$BG$106,"○",'②-1職員名簿'!$C$7:$C$106,"嘱託等")</f>
        <v>0</v>
      </c>
      <c r="L14" s="338">
        <f>'②-2勤務時間数入力'!AH12</f>
        <v>0</v>
      </c>
      <c r="M14" s="339">
        <f>COUNTIFS('②-1職員名簿'!W7:W106,"園長",'②-1職員名簿'!AH$7:AH$106,"●")</f>
        <v>0</v>
      </c>
      <c r="N14" s="337">
        <f>COUNTIFS('②-1職員名簿'!AH$7:AH$106,"●",'②-1職員名簿'!$W$7:$W$106,$N$5,'②-2勤務時間数入力'!K$7:K$106,"正")</f>
        <v>0</v>
      </c>
      <c r="O14" s="337">
        <f>COUNTIFS('②-1職員名簿'!AH$7:AH$106,"●",'②-1職員名簿'!$W$7:$W$106,$N$5,'②-2勤務時間数入力'!W$7:W$106,"常")</f>
        <v>0</v>
      </c>
      <c r="P14" s="337">
        <f>SUMIFS('②-2勤務時間数入力'!W$7:W$106,'②-1職員名簿'!AH$7:AH$106,"●",'②-1職員名簿'!$W$7:$W$106,$N$5)</f>
        <v>0</v>
      </c>
      <c r="Q14" s="337">
        <f>COUNTIFS('②-1職員名簿'!AH$7:AH$106,"●",'②-1職員名簿'!$W$7:$W$106,$Q$5,'②-2勤務時間数入力'!K$7:K$106,"正")</f>
        <v>0</v>
      </c>
      <c r="R14" s="337">
        <f>COUNTIFS('②-1職員名簿'!AH$7:AH$106,"●",'②-1職員名簿'!$W$7:$W$106,$Q$5,'②-2勤務時間数入力'!W$7:W$106,"常")</f>
        <v>0</v>
      </c>
      <c r="S14" s="337">
        <f>SUMIFS('②-2勤務時間数入力'!W$7:W$106,'②-1職員名簿'!AH$7:AH$106,"●",'②-1職員名簿'!$W$7:$W$106,$Q$5)</f>
        <v>0</v>
      </c>
      <c r="T14" s="337">
        <f>COUNTIFS('②-1職員名簿'!AH$7:AH$106,"●",'②-1職員名簿'!$W$7:$W$106,$T$5,'②-2勤務時間数入力'!K$7:K$106,"正")</f>
        <v>0</v>
      </c>
      <c r="U14" s="337">
        <f>COUNTIFS('②-1職員名簿'!AH$7:AH$106,"●",'②-1職員名簿'!$W$7:$W$106,$T$5,'②-2勤務時間数入力'!K$7:K$106,"常")</f>
        <v>0</v>
      </c>
      <c r="V14" s="337">
        <f>SUMIFS('②-2勤務時間数入力'!W$7:W$106,'②-1職員名簿'!AH$7:AH$106,"●",'②-1職員名簿'!$W$7:$W$106,$T$5)</f>
        <v>0</v>
      </c>
      <c r="W14" s="337">
        <f>COUNTIFS('②-1職員名簿'!AH$7:AH$106,"●",'②-1職員名簿'!$W$7:$W$106,$W$5,'②-2勤務時間数入力'!K$7:K$106,"正")</f>
        <v>0</v>
      </c>
      <c r="X14" s="337">
        <f>COUNTIFS('②-1職員名簿'!AH$7:AH$106,"●",'②-1職員名簿'!$W$7:$W$106,$W$5,'②-2勤務時間数入力'!W$7:W$106,"常")</f>
        <v>0</v>
      </c>
      <c r="Y14" s="337">
        <f>SUMIFS('②-2勤務時間数入力'!W$7:W$106,'②-1職員名簿'!AH$7:AH$106,"●",'②-1職員名簿'!$W$7:$W$106,$W$5)</f>
        <v>0</v>
      </c>
      <c r="Z14" s="337">
        <f>COUNTIFS('②-1職員名簿'!AH$7:AH$106,"●",'②-1職員名簿'!$W$7:$W$106,$Z$5,'②-2勤務時間数入力'!K$7:K$106,"正")</f>
        <v>0</v>
      </c>
      <c r="AA14" s="337">
        <f>COUNTIFS('②-1職員名簿'!AH$7:AH$106,"●",'②-1職員名簿'!$W$7:$W$106,$Z$5,'②-2勤務時間数入力'!W$7:W$106,"常")</f>
        <v>0</v>
      </c>
      <c r="AB14" s="337">
        <f>SUMIFS('②-2勤務時間数入力'!W$7:W$106,'②-1職員名簿'!AH$7:AH$106,"●",'②-1職員名簿'!$W$7:$W$106,$Z$5)</f>
        <v>0</v>
      </c>
      <c r="AC14" s="176">
        <f t="shared" si="0"/>
        <v>0</v>
      </c>
      <c r="AD14" s="176">
        <f t="shared" si="1"/>
        <v>0</v>
      </c>
      <c r="AE14" s="186" t="e">
        <f t="shared" si="2"/>
        <v>#DIV/0!</v>
      </c>
      <c r="AF14" s="186" t="e">
        <f t="shared" si="3"/>
        <v>#DIV/0!</v>
      </c>
      <c r="AG14" s="185" t="e">
        <f>IF(①基本情報!$F$9&gt;90,MIN(AF14,3,MIN(AF14,AI14,3)+MIN(AF14,AJ14,1)),MIN(AF14,4,MIN(AF14,AI14,4)+MIN(AF14,AJ14,2)))</f>
        <v>#N/A</v>
      </c>
      <c r="AI14" s="35" t="e">
        <f t="shared" si="4"/>
        <v>#DIV/0!</v>
      </c>
      <c r="AJ14" s="35" t="e">
        <f t="shared" si="5"/>
        <v>#DIV/0!</v>
      </c>
    </row>
    <row r="15" spans="1:38" s="35" customFormat="1" ht="36" customHeight="1">
      <c r="A15" s="280">
        <v>10</v>
      </c>
      <c r="B15" s="337">
        <f>COUNTIFS('②-1職員名簿'!AV$7:AV$106,"B",'②-1職員名簿'!$BE$7:$BE$106,"正規職員",'②-1職員名簿'!$BF$7:$BF$106,"○")</f>
        <v>0</v>
      </c>
      <c r="C15" s="337">
        <f>COUNTIFS('②-1職員名簿'!AI$7:AI$106,"●",'②-2勤務時間数入力'!$C$7:$C$106,"常勤的非常勤",'②-1職員名簿'!$BF$7:$BF$106,"○",'②-2勤務時間数入力'!X$7:X$106,"常")</f>
        <v>0</v>
      </c>
      <c r="D15" s="337">
        <f>SUMIFS('②-2勤務時間数入力'!X$7:X$106,'②-1職員名簿'!AI$7:AI$106,"●",'②-1職員名簿'!$BF$7:$BF$106,"○",'②-1職員名簿'!$C$7:$C$106,"パート")</f>
        <v>0</v>
      </c>
      <c r="E15" s="337">
        <f>COUNTIFS('②-1職員名簿'!AI$7:AI$106,"●",'②-2勤務時間数入力'!$C$7:$C$106,"嘱託常勤",'②-1職員名簿'!$BF$7:$BF$106,"○",'②-2勤務時間数入力'!X$7:X$106,"常")</f>
        <v>0</v>
      </c>
      <c r="F15" s="337">
        <f>SUMIFS('②-2勤務時間数入力'!X$7:X$106,'②-1職員名簿'!AI$7:AI$106,"●",'②-1職員名簿'!$BF$7:$BF$106,"○",'②-1職員名簿'!$C$7:$C$106,"嘱託等")</f>
        <v>0</v>
      </c>
      <c r="G15" s="337">
        <f>COUNTIFS('②-1職員名簿'!AI$7:AI$106,"●",'②-1職員名簿'!$BE$7:$BE$106,"正規職員",'②-1職員名簿'!$BG$7:$BG$106,"○")</f>
        <v>0</v>
      </c>
      <c r="H15" s="337">
        <f>COUNTIFS('②-1職員名簿'!AI$7:AI$106,"●",'②-2勤務時間数入力'!$C$7:$C$106,"常勤的非常勤",'②-1職員名簿'!$BG$7:$BG$106,"○",'②-2勤務時間数入力'!X$7:X$106,"常")</f>
        <v>0</v>
      </c>
      <c r="I15" s="337">
        <f>SUMIFS('②-2勤務時間数入力'!X$7:X$106,'②-1職員名簿'!AI$7:AI$106,"●",'②-1職員名簿'!$BG$7:$BG$106,"○",'②-1職員名簿'!$C$7:$C$106,"パート")</f>
        <v>0</v>
      </c>
      <c r="J15" s="337">
        <f>COUNTIFS('②-1職員名簿'!AI$7:AI$106,"●",'②-2勤務時間数入力'!$C$7:$C$106,"嘱託常勤",'②-1職員名簿'!$BG$7:$BG$106,"○",'②-2勤務時間数入力'!X$7:X$106,"常")</f>
        <v>0</v>
      </c>
      <c r="K15" s="337">
        <f>SUMIFS('②-2勤務時間数入力'!X$7:X$106,'②-1職員名簿'!AI$7:AI$106,"●",'②-1職員名簿'!$BG$7:$BG$106,"○",'②-1職員名簿'!$C$7:$C$106,"嘱託等")</f>
        <v>0</v>
      </c>
      <c r="L15" s="338">
        <f>'②-2勤務時間数入力'!AH13</f>
        <v>0</v>
      </c>
      <c r="M15" s="339">
        <f>COUNTIFS('②-1職員名簿'!W7:W106,"園長",'②-1職員名簿'!AI$7:AI$106,"●")</f>
        <v>0</v>
      </c>
      <c r="N15" s="337">
        <f>COUNTIFS('②-1職員名簿'!AI$7:AI$106,"●",'②-1職員名簿'!$W$7:$W$106,$N$5,'②-2勤務時間数入力'!L$7:L$106,"正")</f>
        <v>0</v>
      </c>
      <c r="O15" s="337">
        <f>COUNTIFS('②-1職員名簿'!AI$7:AI$106,"●",'②-1職員名簿'!$W$7:$W$106,$N$5,'②-2勤務時間数入力'!X$7:X$106,"常")</f>
        <v>0</v>
      </c>
      <c r="P15" s="337">
        <f>SUMIFS('②-2勤務時間数入力'!X$7:X$106,'②-1職員名簿'!AI$7:AI$106,"●",'②-1職員名簿'!$W$7:$W$106,$N$5)</f>
        <v>0</v>
      </c>
      <c r="Q15" s="337">
        <f>COUNTIFS('②-1職員名簿'!AI$7:AI$106,"●",'②-1職員名簿'!$W$7:$W$106,$Q$5,'②-2勤務時間数入力'!L$7:L$106,"正")</f>
        <v>0</v>
      </c>
      <c r="R15" s="337">
        <f>COUNTIFS('②-1職員名簿'!AI$7:AI$106,"●",'②-1職員名簿'!$W$7:$W$106,$Q$5,'②-2勤務時間数入力'!X$7:X$106,"常")</f>
        <v>0</v>
      </c>
      <c r="S15" s="337">
        <f>SUMIFS('②-2勤務時間数入力'!X$7:X$106,'②-1職員名簿'!AI$7:AI$106,"●",'②-1職員名簿'!$W$7:$W$106,$Q$5)</f>
        <v>0</v>
      </c>
      <c r="T15" s="337">
        <f>COUNTIFS('②-1職員名簿'!AI$7:AI$106,"●",'②-1職員名簿'!$W$7:$W$106,$T$5,'②-2勤務時間数入力'!L$7:L$106,"正")</f>
        <v>0</v>
      </c>
      <c r="U15" s="337">
        <f>COUNTIFS('②-1職員名簿'!AI$7:AI$106,"●",'②-1職員名簿'!$W$7:$W$106,$T$5,'②-2勤務時間数入力'!L$7:L$106,"常")</f>
        <v>0</v>
      </c>
      <c r="V15" s="337">
        <f>SUMIFS('②-2勤務時間数入力'!X$7:X$106,'②-1職員名簿'!AI$7:AI$106,"●",'②-1職員名簿'!$W$7:$W$106,$T$5)</f>
        <v>0</v>
      </c>
      <c r="W15" s="337">
        <f>COUNTIFS('②-1職員名簿'!AI$7:AI$106,"●",'②-1職員名簿'!$W$7:$W$106,$W$5,'②-2勤務時間数入力'!L$7:L$106,"正")</f>
        <v>0</v>
      </c>
      <c r="X15" s="337">
        <f>COUNTIFS('②-1職員名簿'!AI$7:AI$106,"●",'②-1職員名簿'!$W$7:$W$106,$W$5,'②-2勤務時間数入力'!X$7:X$106,"常")</f>
        <v>0</v>
      </c>
      <c r="Y15" s="337">
        <f>SUMIFS('②-2勤務時間数入力'!X$7:X$106,'②-1職員名簿'!AI$7:AI$106,"●",'②-1職員名簿'!$W$7:$W$106,$W$5)</f>
        <v>0</v>
      </c>
      <c r="Z15" s="337">
        <f>COUNTIFS('②-1職員名簿'!AI$7:AI$106,"●",'②-1職員名簿'!$W$7:$W$106,$Z$5,'②-2勤務時間数入力'!L$7:L$106,"正")</f>
        <v>0</v>
      </c>
      <c r="AA15" s="337">
        <f>COUNTIFS('②-1職員名簿'!AI$7:AI$106,"●",'②-1職員名簿'!$W$7:$W$106,$Z$5,'②-2勤務時間数入力'!X$7:X$106,"常")</f>
        <v>0</v>
      </c>
      <c r="AB15" s="337">
        <f>SUMIFS('②-2勤務時間数入力'!X$7:X$106,'②-1職員名簿'!AI$7:AI$106,"●",'②-1職員名簿'!$W$7:$W$106,$Z$5)</f>
        <v>0</v>
      </c>
      <c r="AC15" s="176">
        <f t="shared" si="0"/>
        <v>0</v>
      </c>
      <c r="AD15" s="176">
        <f t="shared" si="1"/>
        <v>0</v>
      </c>
      <c r="AE15" s="186" t="e">
        <f t="shared" si="2"/>
        <v>#DIV/0!</v>
      </c>
      <c r="AF15" s="186" t="e">
        <f t="shared" si="3"/>
        <v>#DIV/0!</v>
      </c>
      <c r="AG15" s="185" t="e">
        <f>IF(①基本情報!$F$9&gt;90,MIN(AF15,3,MIN(AF15,AI15,3)+MIN(AF15,AJ15,1)),MIN(AF15,4,MIN(AF15,AI15,4)+MIN(AF15,AJ15,2)))</f>
        <v>#N/A</v>
      </c>
      <c r="AI15" s="35" t="e">
        <f t="shared" si="4"/>
        <v>#DIV/0!</v>
      </c>
      <c r="AJ15" s="35" t="e">
        <f t="shared" si="5"/>
        <v>#DIV/0!</v>
      </c>
    </row>
    <row r="16" spans="1:38" s="35" customFormat="1" ht="36" customHeight="1">
      <c r="A16" s="280">
        <v>11</v>
      </c>
      <c r="B16" s="337">
        <f>COUNTIFS('②-1職員名簿'!AW$7:AW$106,"B",'②-1職員名簿'!$BE$7:$BE$106,"正規職員",'②-1職員名簿'!$BF$7:$BF$106,"○")</f>
        <v>0</v>
      </c>
      <c r="C16" s="337">
        <f>COUNTIFS('②-1職員名簿'!AJ$7:AJ$106,"●",'②-2勤務時間数入力'!$C$7:$C$106,"常勤的非常勤",'②-1職員名簿'!$BF$7:$BF$106,"○",'②-2勤務時間数入力'!Y$7:Y$106,"常")</f>
        <v>0</v>
      </c>
      <c r="D16" s="337">
        <f>SUMIFS('②-2勤務時間数入力'!Y$7:Y$106,'②-1職員名簿'!AJ$7:AJ$106,"●",'②-1職員名簿'!$BF$7:$BF$106,"○",'②-1職員名簿'!$C$7:$C$106,"パート")</f>
        <v>0</v>
      </c>
      <c r="E16" s="337">
        <f>COUNTIFS('②-1職員名簿'!AJ$7:AJ$106,"●",'②-2勤務時間数入力'!$C$7:$C$106,"嘱託常勤",'②-1職員名簿'!$BF$7:$BF$106,"○",'②-2勤務時間数入力'!Y$7:Y$106,"常")</f>
        <v>0</v>
      </c>
      <c r="F16" s="337">
        <f>SUMIFS('②-2勤務時間数入力'!Y$7:Y$106,'②-1職員名簿'!AJ$7:AJ$106,"●",'②-1職員名簿'!$BF$7:$BF$106,"○",'②-1職員名簿'!$C$7:$C$106,"嘱託等")</f>
        <v>0</v>
      </c>
      <c r="G16" s="337">
        <f>COUNTIFS('②-1職員名簿'!AJ$7:AJ$106,"●",'②-1職員名簿'!$BE$7:$BE$106,"正規職員",'②-1職員名簿'!$BG$7:$BG$106,"○")</f>
        <v>0</v>
      </c>
      <c r="H16" s="337">
        <f>COUNTIFS('②-1職員名簿'!AJ$7:AJ$106,"●",'②-2勤務時間数入力'!$C$7:$C$106,"常勤的非常勤",'②-1職員名簿'!$BG$7:$BG$106,"○",'②-2勤務時間数入力'!Y$7:Y$106,"常")</f>
        <v>0</v>
      </c>
      <c r="I16" s="337">
        <f>SUMIFS('②-2勤務時間数入力'!Y$7:Y$106,'②-1職員名簿'!AJ$7:AJ$106,"●",'②-1職員名簿'!$BG$7:$BG$106,"○",'②-1職員名簿'!$C$7:$C$106,"パート")</f>
        <v>0</v>
      </c>
      <c r="J16" s="337">
        <f>COUNTIFS('②-1職員名簿'!AJ$7:AJ$106,"●",'②-2勤務時間数入力'!$C$7:$C$106,"嘱託常勤",'②-1職員名簿'!$BG$7:$BG$106,"○",'②-2勤務時間数入力'!Y$7:Y$106,"常")</f>
        <v>0</v>
      </c>
      <c r="K16" s="337">
        <f>SUMIFS('②-2勤務時間数入力'!Y$7:Y$106,'②-1職員名簿'!AJ$7:AJ$106,"●",'②-1職員名簿'!$BG$7:$BG$106,"○",'②-1職員名簿'!$C$7:$C$106,"嘱託等")</f>
        <v>0</v>
      </c>
      <c r="L16" s="338">
        <f>'②-2勤務時間数入力'!AH14</f>
        <v>0</v>
      </c>
      <c r="M16" s="339">
        <f>COUNTIFS('②-1職員名簿'!W7:W106,"園長",'②-1職員名簿'!AJ$7:AJ$106,"●")</f>
        <v>0</v>
      </c>
      <c r="N16" s="337">
        <f>COUNTIFS('②-1職員名簿'!AJ$7:AJ$106,"●",'②-1職員名簿'!$W$7:$W$106,$N$5,'②-2勤務時間数入力'!M$7:M$106,"正")</f>
        <v>0</v>
      </c>
      <c r="O16" s="337">
        <f>COUNTIFS('②-1職員名簿'!AJ$7:AJ$106,"●",'②-1職員名簿'!$W$7:$W$106,$N$5,'②-2勤務時間数入力'!Y$7:Y$106,"常")</f>
        <v>0</v>
      </c>
      <c r="P16" s="337">
        <f>SUMIFS('②-2勤務時間数入力'!Y$7:Y$106,'②-1職員名簿'!AJ$7:AJ$106,"●",'②-1職員名簿'!$W$7:$W$106,$N$5)</f>
        <v>0</v>
      </c>
      <c r="Q16" s="337">
        <f>COUNTIFS('②-1職員名簿'!AJ$7:AJ$106,"●",'②-1職員名簿'!$W$7:$W$106,$Q$5,'②-2勤務時間数入力'!M$7:M$106,"正")</f>
        <v>0</v>
      </c>
      <c r="R16" s="337">
        <f>COUNTIFS('②-1職員名簿'!AJ$7:AJ$106,"●",'②-1職員名簿'!$W$7:$W$106,$Q$5,'②-2勤務時間数入力'!Y$7:Y$106,"常")</f>
        <v>0</v>
      </c>
      <c r="S16" s="337">
        <f>SUMIFS('②-2勤務時間数入力'!Y$7:Y$106,'②-1職員名簿'!AJ$7:AJ$106,"●",'②-1職員名簿'!$W$7:$W$106,$Q$5)</f>
        <v>0</v>
      </c>
      <c r="T16" s="337">
        <f>COUNTIFS('②-1職員名簿'!AJ$7:AJ$106,"●",'②-1職員名簿'!$W$7:$W$106,$T$5,'②-2勤務時間数入力'!M$7:M$106,"正")</f>
        <v>0</v>
      </c>
      <c r="U16" s="337">
        <f>COUNTIFS('②-1職員名簿'!AJ$7:AJ$106,"●",'②-1職員名簿'!$W$7:$W$106,$T$5,'②-2勤務時間数入力'!M$7:M$106,"常")</f>
        <v>0</v>
      </c>
      <c r="V16" s="337">
        <f>SUMIFS('②-2勤務時間数入力'!Y$7:Y$106,'②-1職員名簿'!AJ$7:AJ$106,"●",'②-1職員名簿'!$W$7:$W$106,$T$5)</f>
        <v>0</v>
      </c>
      <c r="W16" s="337">
        <f>COUNTIFS('②-1職員名簿'!AJ$7:AJ$106,"●",'②-1職員名簿'!$W$7:$W$106,$W$5,'②-2勤務時間数入力'!M$7:M$106,"正")</f>
        <v>0</v>
      </c>
      <c r="X16" s="337">
        <f>COUNTIFS('②-1職員名簿'!AJ$7:AJ$106,"●",'②-1職員名簿'!$W$7:$W$106,$W$5,'②-2勤務時間数入力'!Y$7:Y$106,"常")</f>
        <v>0</v>
      </c>
      <c r="Y16" s="337">
        <f>SUMIFS('②-2勤務時間数入力'!Y$7:Y$106,'②-1職員名簿'!AJ$7:AJ$106,"●",'②-1職員名簿'!$W$7:$W$106,$W$5)</f>
        <v>0</v>
      </c>
      <c r="Z16" s="337">
        <f>COUNTIFS('②-1職員名簿'!AJ$7:AJ$106,"●",'②-1職員名簿'!$W$7:$W$106,$Z$5,'②-2勤務時間数入力'!M$7:M$106,"正")</f>
        <v>0</v>
      </c>
      <c r="AA16" s="337">
        <f>COUNTIFS('②-1職員名簿'!AJ$7:AJ$106,"●",'②-1職員名簿'!$W$7:$W$106,$Z$5,'②-2勤務時間数入力'!Y$7:Y$106,"常")</f>
        <v>0</v>
      </c>
      <c r="AB16" s="337">
        <f>SUMIFS('②-2勤務時間数入力'!Y$7:Y$106,'②-1職員名簿'!AJ$7:AJ$106,"●",'②-1職員名簿'!$W$7:$W$106,$Z$5)</f>
        <v>0</v>
      </c>
      <c r="AC16" s="176">
        <f t="shared" si="0"/>
        <v>0</v>
      </c>
      <c r="AD16" s="176">
        <f t="shared" si="1"/>
        <v>0</v>
      </c>
      <c r="AE16" s="186" t="e">
        <f t="shared" si="2"/>
        <v>#DIV/0!</v>
      </c>
      <c r="AF16" s="186" t="e">
        <f t="shared" si="3"/>
        <v>#DIV/0!</v>
      </c>
      <c r="AG16" s="185" t="e">
        <f>IF(①基本情報!$F$9&gt;90,MIN(AF16,3,MIN(AF16,AI16,3)+MIN(AF16,AJ16,1)),MIN(AF16,4,MIN(AF16,AI16,4)+MIN(AF16,AJ16,2)))</f>
        <v>#N/A</v>
      </c>
      <c r="AI16" s="35" t="e">
        <f t="shared" si="4"/>
        <v>#DIV/0!</v>
      </c>
      <c r="AJ16" s="35" t="e">
        <f t="shared" si="5"/>
        <v>#DIV/0!</v>
      </c>
    </row>
    <row r="17" spans="1:39" s="35" customFormat="1" ht="36" customHeight="1">
      <c r="A17" s="280">
        <v>12</v>
      </c>
      <c r="B17" s="337">
        <f>COUNTIFS('②-1職員名簿'!AX$7:AX$106,"B",'②-1職員名簿'!$BE$7:$BE$106,"正規職員",'②-1職員名簿'!$BF$7:$BF$106,"○")</f>
        <v>0</v>
      </c>
      <c r="C17" s="337">
        <f>COUNTIFS('②-1職員名簿'!AK$7:AK$106,"●",'②-2勤務時間数入力'!$C$7:$C$106,"常勤的非常勤",'②-1職員名簿'!$BF$7:$BF$106,"○",'②-2勤務時間数入力'!Z$7:Z$106,"常")</f>
        <v>0</v>
      </c>
      <c r="D17" s="337">
        <f>SUMIFS('②-2勤務時間数入力'!Z$7:Z$106,'②-1職員名簿'!AK$7:AK$106,"●",'②-1職員名簿'!$BF$7:$BF$106,"○",'②-1職員名簿'!$C$7:$C$106,"パート")</f>
        <v>0</v>
      </c>
      <c r="E17" s="337">
        <f>COUNTIFS('②-1職員名簿'!AK$7:AK$106,"●",'②-2勤務時間数入力'!$C$7:$C$106,"嘱託常勤",'②-1職員名簿'!$BF$7:$BF$106,"○",'②-2勤務時間数入力'!Z$7:Z$106,"常")</f>
        <v>0</v>
      </c>
      <c r="F17" s="337">
        <f>SUMIFS('②-2勤務時間数入力'!Z$7:Z$106,'②-1職員名簿'!AK$7:AK$106,"●",'②-1職員名簿'!$BF$7:$BF$106,"○",'②-1職員名簿'!$C$7:$C$106,"嘱託等")</f>
        <v>0</v>
      </c>
      <c r="G17" s="337">
        <f>COUNTIFS('②-1職員名簿'!AK$7:AK$106,"●",'②-1職員名簿'!$BE$7:$BE$106,"正規職員",'②-1職員名簿'!$BG$7:$BG$106,"○")</f>
        <v>0</v>
      </c>
      <c r="H17" s="337">
        <f>COUNTIFS('②-1職員名簿'!AK$7:AK$106,"●",'②-2勤務時間数入力'!$C$7:$C$106,"常勤的非常勤",'②-1職員名簿'!$BG$7:$BG$106,"○",'②-2勤務時間数入力'!Z$7:Z$106,"常")</f>
        <v>0</v>
      </c>
      <c r="I17" s="337">
        <f>SUMIFS('②-2勤務時間数入力'!Z$7:Z$106,'②-1職員名簿'!AK$7:AK$106,"●",'②-1職員名簿'!$BG$7:$BG$106,"○",'②-1職員名簿'!$C$7:$C$106,"パート")</f>
        <v>0</v>
      </c>
      <c r="J17" s="337">
        <f>COUNTIFS('②-1職員名簿'!AK$7:AK$106,"●",'②-2勤務時間数入力'!$C$7:$C$106,"嘱託常勤",'②-1職員名簿'!$BG$7:$BG$106,"○",'②-2勤務時間数入力'!Z$7:Z$106,"常")</f>
        <v>0</v>
      </c>
      <c r="K17" s="337">
        <f>SUMIFS('②-2勤務時間数入力'!Z$7:Z$106,'②-1職員名簿'!AK$7:AK$106,"●",'②-1職員名簿'!$BG$7:$BG$106,"○",'②-1職員名簿'!$C$7:$C$106,"嘱託等")</f>
        <v>0</v>
      </c>
      <c r="L17" s="338">
        <f>'②-2勤務時間数入力'!AH15</f>
        <v>0</v>
      </c>
      <c r="M17" s="339">
        <f>COUNTIFS('②-1職員名簿'!W7:W106,"園長",'②-1職員名簿'!AK$7:AK$106,"●")</f>
        <v>0</v>
      </c>
      <c r="N17" s="337">
        <f>COUNTIFS('②-1職員名簿'!AK$7:AK$106,"●",'②-1職員名簿'!$W$7:$W$106,$N$5,'②-2勤務時間数入力'!N$7:N$106,"正")</f>
        <v>0</v>
      </c>
      <c r="O17" s="337">
        <f>COUNTIFS('②-1職員名簿'!AK$7:AK$106,"●",'②-1職員名簿'!$W$7:$W$106,$N$5,'②-2勤務時間数入力'!Z$7:Z$106,"常")</f>
        <v>0</v>
      </c>
      <c r="P17" s="337">
        <f>SUMIFS('②-2勤務時間数入力'!Z$7:Z$106,'②-1職員名簿'!AK$7:AK$106,"●",'②-1職員名簿'!$W$7:$W$106,$N$5)</f>
        <v>0</v>
      </c>
      <c r="Q17" s="337">
        <f>COUNTIFS('②-1職員名簿'!AK$7:AK$106,"●",'②-1職員名簿'!$W$7:$W$106,$Q$5,'②-2勤務時間数入力'!N$7:N$106,"正")</f>
        <v>0</v>
      </c>
      <c r="R17" s="337">
        <f>COUNTIFS('②-1職員名簿'!AK$7:AK$106,"●",'②-1職員名簿'!$W$7:$W$106,$Q$5,'②-2勤務時間数入力'!Z$7:Z$106,"常")</f>
        <v>0</v>
      </c>
      <c r="S17" s="337">
        <f>SUMIFS('②-2勤務時間数入力'!Z$7:Z$106,'②-1職員名簿'!AK$7:AK$106,"●",'②-1職員名簿'!$W$7:$W$106,$Q$5)</f>
        <v>0</v>
      </c>
      <c r="T17" s="337">
        <f>COUNTIFS('②-1職員名簿'!AK$7:AK$106,"●",'②-1職員名簿'!$W$7:$W$106,$T$5,'②-2勤務時間数入力'!N$7:N$106,"正")</f>
        <v>0</v>
      </c>
      <c r="U17" s="337">
        <f>COUNTIFS('②-1職員名簿'!AK$7:AK$106,"●",'②-1職員名簿'!$W$7:$W$106,$T$5,'②-2勤務時間数入力'!N$7:N$106,"常")</f>
        <v>0</v>
      </c>
      <c r="V17" s="337">
        <f>SUMIFS('②-2勤務時間数入力'!Z$7:Z$106,'②-1職員名簿'!AK$7:AK$106,"●",'②-1職員名簿'!$W$7:$W$106,$T$5)</f>
        <v>0</v>
      </c>
      <c r="W17" s="337">
        <f>COUNTIFS('②-1職員名簿'!AK$7:AK$106,"●",'②-1職員名簿'!$W$7:$W$106,$W$5,'②-2勤務時間数入力'!N$7:N$106,"正")</f>
        <v>0</v>
      </c>
      <c r="X17" s="337">
        <f>COUNTIFS('②-1職員名簿'!AK$7:AK$106,"●",'②-1職員名簿'!$W$7:$W$106,$W$5,'②-2勤務時間数入力'!Z$7:Z$106,"常")</f>
        <v>0</v>
      </c>
      <c r="Y17" s="337">
        <f>SUMIFS('②-2勤務時間数入力'!Z$7:Z$106,'②-1職員名簿'!AK$7:AK$106,"●",'②-1職員名簿'!$W$7:$W$106,$W$5)</f>
        <v>0</v>
      </c>
      <c r="Z17" s="337">
        <f>COUNTIFS('②-1職員名簿'!AK$7:AK$106,"●",'②-1職員名簿'!$W$7:$W$106,$Z$5,'②-2勤務時間数入力'!N$7:N$106,"正")</f>
        <v>0</v>
      </c>
      <c r="AA17" s="337">
        <f>COUNTIFS('②-1職員名簿'!AK$7:AK$106,"●",'②-1職員名簿'!$W$7:$W$106,$Z$5,'②-2勤務時間数入力'!Z$7:Z$106,"常")</f>
        <v>0</v>
      </c>
      <c r="AB17" s="337">
        <f>SUMIFS('②-2勤務時間数入力'!Z$7:Z$106,'②-1職員名簿'!AK$7:AK$106,"●",'②-1職員名簿'!$W$7:$W$106,$Z$5)</f>
        <v>0</v>
      </c>
      <c r="AC17" s="176">
        <f t="shared" si="0"/>
        <v>0</v>
      </c>
      <c r="AD17" s="176">
        <f t="shared" si="1"/>
        <v>0</v>
      </c>
      <c r="AE17" s="186" t="e">
        <f t="shared" si="2"/>
        <v>#DIV/0!</v>
      </c>
      <c r="AF17" s="186" t="e">
        <f t="shared" si="3"/>
        <v>#DIV/0!</v>
      </c>
      <c r="AG17" s="185" t="e">
        <f>IF(①基本情報!$F$9&gt;90,MIN(AF17,3,MIN(AF17,AI17,3)+MIN(AF17,AJ17,1)),MIN(AF17,4,MIN(AF17,AI17,4)+MIN(AF17,AJ17,2)))</f>
        <v>#N/A</v>
      </c>
      <c r="AI17" s="35" t="e">
        <f t="shared" si="4"/>
        <v>#DIV/0!</v>
      </c>
      <c r="AJ17" s="35" t="e">
        <f t="shared" si="5"/>
        <v>#DIV/0!</v>
      </c>
    </row>
    <row r="18" spans="1:39" s="35" customFormat="1" ht="36" customHeight="1">
      <c r="A18" s="280">
        <v>1</v>
      </c>
      <c r="B18" s="337">
        <f>COUNTIFS('②-1職員名簿'!AY$7:AY$106,"B",'②-1職員名簿'!$BE$7:$BE$106,"正規職員",'②-1職員名簿'!$BF$7:$BF$106,"○")</f>
        <v>0</v>
      </c>
      <c r="C18" s="337">
        <f>COUNTIFS('②-1職員名簿'!AL$7:AL$106,"●",'②-2勤務時間数入力'!$C$7:$C$106,"常勤的非常勤",'②-1職員名簿'!$BF$7:$BF$106,"○",'②-2勤務時間数入力'!AA$7:AA$106,"常")</f>
        <v>0</v>
      </c>
      <c r="D18" s="337">
        <f>SUMIFS('②-2勤務時間数入力'!AA$7:AA$106,'②-1職員名簿'!AL$7:AL$106,"●",'②-1職員名簿'!$BF$7:$BF$106,"○",'②-1職員名簿'!$C$7:$C$106,"パート")</f>
        <v>0</v>
      </c>
      <c r="E18" s="337">
        <f>COUNTIFS('②-1職員名簿'!AL$7:AL$106,"●",'②-2勤務時間数入力'!$C$7:$C$106,"嘱託常勤",'②-1職員名簿'!$BF$7:$BF$106,"○",'②-2勤務時間数入力'!AA$7:AA$106,"常")</f>
        <v>0</v>
      </c>
      <c r="F18" s="337">
        <f>SUMIFS('②-2勤務時間数入力'!AA$7:AA$106,'②-1職員名簿'!AL$7:AL$106,"●",'②-1職員名簿'!$BF$7:$BF$106,"○",'②-1職員名簿'!$C$7:$C$106,"嘱託等")</f>
        <v>0</v>
      </c>
      <c r="G18" s="337">
        <f>COUNTIFS('②-1職員名簿'!AL$7:AL$106,"●",'②-1職員名簿'!$BE$7:$BE$106,"正規職員",'②-1職員名簿'!$BG$7:$BG$106,"○")</f>
        <v>0</v>
      </c>
      <c r="H18" s="337">
        <f>COUNTIFS('②-1職員名簿'!AL$7:AL$106,"●",'②-2勤務時間数入力'!$C$7:$C$106,"常勤的非常勤",'②-1職員名簿'!$BG$7:$BG$106,"○",'②-2勤務時間数入力'!AA$7:AA$106,"常")</f>
        <v>0</v>
      </c>
      <c r="I18" s="337">
        <f>SUMIFS('②-2勤務時間数入力'!AA$7:AA$106,'②-1職員名簿'!AL$7:AL$106,"●",'②-1職員名簿'!$BG$7:$BG$106,"○",'②-1職員名簿'!$C$7:$C$106,"パート")</f>
        <v>0</v>
      </c>
      <c r="J18" s="337">
        <f>COUNTIFS('②-1職員名簿'!AL$7:AL$106,"●",'②-2勤務時間数入力'!$C$7:$C$106,"嘱託常勤",'②-1職員名簿'!$BG$7:$BG$106,"○",'②-2勤務時間数入力'!AA$7:AA$106,"常")</f>
        <v>0</v>
      </c>
      <c r="K18" s="337">
        <f>SUMIFS('②-2勤務時間数入力'!AA$7:AA$106,'②-1職員名簿'!AL$7:AL$106,"●",'②-1職員名簿'!$BG$7:$BG$106,"○",'②-1職員名簿'!$C$7:$C$106,"嘱託等")</f>
        <v>0</v>
      </c>
      <c r="L18" s="338">
        <f>'②-2勤務時間数入力'!AH16</f>
        <v>0</v>
      </c>
      <c r="M18" s="339">
        <f>COUNTIFS('②-1職員名簿'!W7:W106,"園長",'②-1職員名簿'!AL$7:AL$106,"●")</f>
        <v>0</v>
      </c>
      <c r="N18" s="337">
        <f>COUNTIFS('②-1職員名簿'!AL$7:AL$106,"●",'②-1職員名簿'!$W$7:$W$106,$N$5,'②-2勤務時間数入力'!O$7:O$106,"正")</f>
        <v>0</v>
      </c>
      <c r="O18" s="337">
        <f>COUNTIFS('②-1職員名簿'!AL$7:AL$106,"●",'②-1職員名簿'!$W$7:$W$106,$N$5,'②-2勤務時間数入力'!AA$7:AA$106,"常")</f>
        <v>0</v>
      </c>
      <c r="P18" s="337">
        <f>SUMIFS('②-2勤務時間数入力'!AA$7:AA$106,'②-1職員名簿'!AL$7:AL$106,"●",'②-1職員名簿'!$W$7:$W$106,$N$5)</f>
        <v>0</v>
      </c>
      <c r="Q18" s="337">
        <f>COUNTIFS('②-1職員名簿'!AL$7:AL$106,"●",'②-1職員名簿'!$W$7:$W$106,$Q$5,'②-2勤務時間数入力'!O$7:O$106,"正")</f>
        <v>0</v>
      </c>
      <c r="R18" s="337">
        <f>COUNTIFS('②-1職員名簿'!AL$7:AL$106,"●",'②-1職員名簿'!$W$7:$W$106,$Q$5,'②-2勤務時間数入力'!AA$7:AA$106,"常")</f>
        <v>0</v>
      </c>
      <c r="S18" s="337">
        <f>SUMIFS('②-2勤務時間数入力'!AA$7:AA$106,'②-1職員名簿'!AL$7:AL$106,"●",'②-1職員名簿'!$W$7:$W$106,$Q$5)</f>
        <v>0</v>
      </c>
      <c r="T18" s="337">
        <f>COUNTIFS('②-1職員名簿'!AL$7:AL$106,"●",'②-1職員名簿'!$W$7:$W$106,$T$5,'②-2勤務時間数入力'!O$7:O$106,"正")</f>
        <v>0</v>
      </c>
      <c r="U18" s="337">
        <f>COUNTIFS('②-1職員名簿'!AL$7:AL$106,"●",'②-1職員名簿'!$W$7:$W$106,$T$5,'②-2勤務時間数入力'!O$7:O$106,"常")</f>
        <v>0</v>
      </c>
      <c r="V18" s="337">
        <f>SUMIFS('②-2勤務時間数入力'!AA$7:AA$106,'②-1職員名簿'!AL$7:AL$106,"●",'②-1職員名簿'!$W$7:$W$106,$T$5)</f>
        <v>0</v>
      </c>
      <c r="W18" s="337">
        <f>COUNTIFS('②-1職員名簿'!AL$7:AL$106,"●",'②-1職員名簿'!$W$7:$W$106,$W$5,'②-2勤務時間数入力'!O$7:O$106,"正")</f>
        <v>0</v>
      </c>
      <c r="X18" s="337">
        <f>COUNTIFS('②-1職員名簿'!AL$7:AL$106,"●",'②-1職員名簿'!$W$7:$W$106,$W$5,'②-2勤務時間数入力'!AA$7:AA$106,"常")</f>
        <v>0</v>
      </c>
      <c r="Y18" s="337">
        <f>SUMIFS('②-2勤務時間数入力'!AA$7:AA$106,'②-1職員名簿'!AL$7:AL$106,"●",'②-1職員名簿'!$W$7:$W$106,$W$5)</f>
        <v>0</v>
      </c>
      <c r="Z18" s="337">
        <f>COUNTIFS('②-1職員名簿'!AL$7:AL$106,"●",'②-1職員名簿'!$W$7:$W$106,$Z$5,'②-2勤務時間数入力'!O$7:O$106,"正")</f>
        <v>0</v>
      </c>
      <c r="AA18" s="337">
        <f>COUNTIFS('②-1職員名簿'!AL$7:AL$106,"●",'②-1職員名簿'!$W$7:$W$106,$Z$5,'②-2勤務時間数入力'!AA$7:AA$106,"常")</f>
        <v>0</v>
      </c>
      <c r="AB18" s="337">
        <f>SUMIFS('②-2勤務時間数入力'!AA$7:AA$106,'②-1職員名簿'!AL$7:AL$106,"●",'②-1職員名簿'!$W$7:$W$106,$Z$5)</f>
        <v>0</v>
      </c>
      <c r="AC18" s="176">
        <f t="shared" si="0"/>
        <v>0</v>
      </c>
      <c r="AD18" s="176">
        <f t="shared" si="1"/>
        <v>0</v>
      </c>
      <c r="AE18" s="186" t="e">
        <f t="shared" si="2"/>
        <v>#DIV/0!</v>
      </c>
      <c r="AF18" s="186" t="e">
        <f t="shared" si="3"/>
        <v>#DIV/0!</v>
      </c>
      <c r="AG18" s="185" t="e">
        <f>IF(①基本情報!$F$9&gt;90,MIN(AF18,3,MIN(AF18,AI18,3)+MIN(AF18,AJ18,1)),MIN(AF18,4,MIN(AF18,AI18,4)+MIN(AF18,AJ18,2)))</f>
        <v>#N/A</v>
      </c>
      <c r="AI18" s="35" t="e">
        <f t="shared" si="4"/>
        <v>#DIV/0!</v>
      </c>
      <c r="AJ18" s="35" t="e">
        <f t="shared" si="5"/>
        <v>#DIV/0!</v>
      </c>
    </row>
    <row r="19" spans="1:39" s="35" customFormat="1" ht="36" customHeight="1">
      <c r="A19" s="280">
        <v>2</v>
      </c>
      <c r="B19" s="337">
        <f>COUNTIFS('②-1職員名簿'!AZ$7:AZ$106,"B",'②-1職員名簿'!$BE$7:$BE$106,"正規職員",'②-1職員名簿'!$BF$7:$BF$106,"○")</f>
        <v>0</v>
      </c>
      <c r="C19" s="337">
        <f>COUNTIFS('②-1職員名簿'!AM$7:AM$106,"●",'②-2勤務時間数入力'!$C$7:$C$106,"常勤的非常勤",'②-1職員名簿'!$BF$7:$BF$106,"○",'②-2勤務時間数入力'!AB$7:AB$106,"常")</f>
        <v>0</v>
      </c>
      <c r="D19" s="337">
        <f>SUMIFS('②-2勤務時間数入力'!AB$7:AB$106,'②-1職員名簿'!AM$7:AM$106,"●",'②-1職員名簿'!$BF$7:$BF$106,"○",'②-1職員名簿'!$C$7:$C$106,"パート")</f>
        <v>0</v>
      </c>
      <c r="E19" s="337">
        <f>COUNTIFS('②-1職員名簿'!AM$7:AM$106,"●",'②-2勤務時間数入力'!$C$7:$C$106,"嘱託常勤",'②-1職員名簿'!$BF$7:$BF$106,"○",'②-2勤務時間数入力'!AB$7:AB$106,"常")</f>
        <v>0</v>
      </c>
      <c r="F19" s="337">
        <f>SUMIFS('②-2勤務時間数入力'!AB$7:AB$106,'②-1職員名簿'!AM$7:AM$106,"●",'②-1職員名簿'!$BF$7:$BF$106,"○",'②-1職員名簿'!$C$7:$C$106,"嘱託等")</f>
        <v>0</v>
      </c>
      <c r="G19" s="337">
        <f>COUNTIFS('②-1職員名簿'!AM$7:AM$106,"●",'②-1職員名簿'!$BE$7:$BE$106,"正規職員",'②-1職員名簿'!$BG$7:$BG$106,"○")</f>
        <v>0</v>
      </c>
      <c r="H19" s="337">
        <f>COUNTIFS('②-1職員名簿'!AM$7:AM$106,"●",'②-2勤務時間数入力'!$C$7:$C$106,"常勤的非常勤",'②-1職員名簿'!$BG$7:$BG$106,"○",'②-2勤務時間数入力'!AB$7:AB$106,"常")</f>
        <v>0</v>
      </c>
      <c r="I19" s="337">
        <f>SUMIFS('②-2勤務時間数入力'!AB$7:AB$106,'②-1職員名簿'!AM$7:AM$106,"●",'②-1職員名簿'!$BG$7:$BG$106,"○",'②-1職員名簿'!$C$7:$C$106,"パート")</f>
        <v>0</v>
      </c>
      <c r="J19" s="337">
        <f>COUNTIFS('②-1職員名簿'!AM$7:AM$106,"●",'②-2勤務時間数入力'!$C$7:$C$106,"嘱託常勤",'②-1職員名簿'!$BG$7:$BG$106,"○",'②-2勤務時間数入力'!AB$7:AB$106,"常")</f>
        <v>0</v>
      </c>
      <c r="K19" s="337">
        <f>SUMIFS('②-2勤務時間数入力'!AB$7:AB$106,'②-1職員名簿'!AM$7:AM$106,"●",'②-1職員名簿'!$BG$7:$BG$106,"○",'②-1職員名簿'!$C$7:$C$106,"嘱託等")</f>
        <v>0</v>
      </c>
      <c r="L19" s="338">
        <f>'②-2勤務時間数入力'!AH17</f>
        <v>0</v>
      </c>
      <c r="M19" s="339">
        <f>COUNTIFS('②-1職員名簿'!W7:W106,"園長",'②-1職員名簿'!AM$7:AM$106,"●")</f>
        <v>0</v>
      </c>
      <c r="N19" s="337">
        <f>COUNTIFS('②-1職員名簿'!AM$7:AM$106,"●",'②-1職員名簿'!$W$7:$W$106,$N$5,'②-2勤務時間数入力'!P$7:P$106,"正")</f>
        <v>0</v>
      </c>
      <c r="O19" s="337">
        <f>COUNTIFS('②-1職員名簿'!AM$7:AM$106,"●",'②-1職員名簿'!$W$7:$W$106,$N$5,'②-2勤務時間数入力'!AB$7:AB$106,"常")</f>
        <v>0</v>
      </c>
      <c r="P19" s="337">
        <f>SUMIFS('②-2勤務時間数入力'!AB$7:AB$106,'②-1職員名簿'!AM$7:AM$106,"●",'②-1職員名簿'!$W$7:$W$106,$N$5)</f>
        <v>0</v>
      </c>
      <c r="Q19" s="337">
        <f>COUNTIFS('②-1職員名簿'!AM$7:AM$106,"●",'②-1職員名簿'!$W$7:$W$106,$Q$5,'②-2勤務時間数入力'!P$7:P$106,"正")</f>
        <v>0</v>
      </c>
      <c r="R19" s="337">
        <f>COUNTIFS('②-1職員名簿'!AM$7:AM$106,"●",'②-1職員名簿'!$W$7:$W$106,$Q$5,'②-2勤務時間数入力'!AB$7:AB$106,"常")</f>
        <v>0</v>
      </c>
      <c r="S19" s="337">
        <f>SUMIFS('②-2勤務時間数入力'!AB$7:AB$106,'②-1職員名簿'!AM$7:AM$106,"●",'②-1職員名簿'!$W$7:$W$106,$Q$5)</f>
        <v>0</v>
      </c>
      <c r="T19" s="337">
        <f>COUNTIFS('②-1職員名簿'!AM$7:AM$106,"●",'②-1職員名簿'!$W$7:$W$106,$T$5,'②-2勤務時間数入力'!P$7:P$106,"正")</f>
        <v>0</v>
      </c>
      <c r="U19" s="337">
        <f>COUNTIFS('②-1職員名簿'!AM$7:AM$106,"●",'②-1職員名簿'!$W$7:$W$106,$T$5,'②-2勤務時間数入力'!P$7:P$106,"常")</f>
        <v>0</v>
      </c>
      <c r="V19" s="337">
        <f>SUMIFS('②-2勤務時間数入力'!AB$7:AB$106,'②-1職員名簿'!AM$7:AM$106,"●",'②-1職員名簿'!$W$7:$W$106,$T$5)</f>
        <v>0</v>
      </c>
      <c r="W19" s="337">
        <f>COUNTIFS('②-1職員名簿'!AM$7:AM$106,"●",'②-1職員名簿'!$W$7:$W$106,$W$5,'②-2勤務時間数入力'!P$7:P$106,"正")</f>
        <v>0</v>
      </c>
      <c r="X19" s="337">
        <f>COUNTIFS('②-1職員名簿'!AM$7:AM$106,"●",'②-1職員名簿'!$W$7:$W$106,$W$5,'②-2勤務時間数入力'!AB$7:AB$106,"常")</f>
        <v>0</v>
      </c>
      <c r="Y19" s="337">
        <f>SUMIFS('②-2勤務時間数入力'!AB$7:AB$106,'②-1職員名簿'!AM$7:AM$106,"●",'②-1職員名簿'!$W$7:$W$106,$W$5)</f>
        <v>0</v>
      </c>
      <c r="Z19" s="337">
        <f>COUNTIFS('②-1職員名簿'!AM$7:AM$106,"●",'②-1職員名簿'!$W$7:$W$106,$Z$5,'②-2勤務時間数入力'!P$7:P$106,"正")</f>
        <v>0</v>
      </c>
      <c r="AA19" s="337">
        <f>COUNTIFS('②-1職員名簿'!AM$7:AM$106,"●",'②-1職員名簿'!$W$7:$W$106,$Z$5,'②-2勤務時間数入力'!AB$7:AB$106,"常")</f>
        <v>0</v>
      </c>
      <c r="AB19" s="337">
        <f>SUMIFS('②-2勤務時間数入力'!AB$7:AB$106,'②-1職員名簿'!AM$7:AM$106,"●",'②-1職員名簿'!$W$7:$W$106,$Z$5)</f>
        <v>0</v>
      </c>
      <c r="AC19" s="176">
        <f t="shared" si="0"/>
        <v>0</v>
      </c>
      <c r="AD19" s="176">
        <f t="shared" si="1"/>
        <v>0</v>
      </c>
      <c r="AE19" s="186" t="e">
        <f t="shared" si="2"/>
        <v>#DIV/0!</v>
      </c>
      <c r="AF19" s="186" t="e">
        <f t="shared" si="3"/>
        <v>#DIV/0!</v>
      </c>
      <c r="AG19" s="185" t="e">
        <f>IF(①基本情報!$F$9&gt;90,MIN(AF19,3,MIN(AF19,AI19,3)+MIN(AF19,AJ19,1)),MIN(AF19,4,MIN(AF19,AI19,4)+MIN(AF19,AJ19,2)))</f>
        <v>#N/A</v>
      </c>
      <c r="AI19" s="35" t="e">
        <f t="shared" si="4"/>
        <v>#DIV/0!</v>
      </c>
      <c r="AJ19" s="35" t="e">
        <f t="shared" si="5"/>
        <v>#DIV/0!</v>
      </c>
    </row>
    <row r="20" spans="1:39" s="35" customFormat="1" ht="36" customHeight="1">
      <c r="A20" s="280">
        <v>3</v>
      </c>
      <c r="B20" s="337">
        <f>COUNTIFS('②-1職員名簿'!BA$7:BA$106,"B",'②-1職員名簿'!$BE$7:$BE$106,"正規職員",'②-1職員名簿'!$BF$7:$BF$106,"○")</f>
        <v>0</v>
      </c>
      <c r="C20" s="337">
        <f>COUNTIFS('②-1職員名簿'!AN$7:AN$106,"●",'②-2勤務時間数入力'!$C$7:$C$106,"常勤的非常勤",'②-1職員名簿'!$BF$7:$BF$106,"○",'②-2勤務時間数入力'!AC$7:AC$106,"常")</f>
        <v>0</v>
      </c>
      <c r="D20" s="337">
        <f>SUMIFS('②-2勤務時間数入力'!AC$7:AC$106,'②-1職員名簿'!AN$7:AN$106,"●",'②-1職員名簿'!$BF$7:$BF$106,"○",'②-1職員名簿'!$C$7:$C$106,"パート")</f>
        <v>0</v>
      </c>
      <c r="E20" s="337">
        <f>COUNTIFS('②-1職員名簿'!AN$7:AN$106,"●",'②-2勤務時間数入力'!$C$7:$C$106,"嘱託常勤",'②-1職員名簿'!$BF$7:$BF$106,"○",'②-2勤務時間数入力'!AC$7:AC$106,"常")</f>
        <v>0</v>
      </c>
      <c r="F20" s="337">
        <f>SUMIFS('②-2勤務時間数入力'!AC$7:AC$106,'②-1職員名簿'!AN$7:AN$106,"●",'②-1職員名簿'!$BF$7:$BF$106,"○",'②-1職員名簿'!$C$7:$C$106,"嘱託等")</f>
        <v>0</v>
      </c>
      <c r="G20" s="337">
        <f>COUNTIFS('②-1職員名簿'!AN$7:AN$106,"●",'②-1職員名簿'!$BE$7:$BE$106,"正規職員",'②-1職員名簿'!$BG$7:$BG$106,"○")</f>
        <v>0</v>
      </c>
      <c r="H20" s="337">
        <f>COUNTIFS('②-1職員名簿'!AN$7:AN$106,"●",'②-2勤務時間数入力'!$C$7:$C$106,"常勤的非常勤",'②-1職員名簿'!$BG$7:$BG$106,"○",'②-2勤務時間数入力'!AC$7:AC$106,"常")</f>
        <v>0</v>
      </c>
      <c r="I20" s="337">
        <f>SUMIFS('②-2勤務時間数入力'!AC$7:AC$106,'②-1職員名簿'!AN$7:AN$106,"●",'②-1職員名簿'!$BG$7:$BG$106,"○",'②-1職員名簿'!$C$7:$C$106,"パート")</f>
        <v>0</v>
      </c>
      <c r="J20" s="337">
        <f>COUNTIFS('②-1職員名簿'!AN$7:AN$106,"●",'②-2勤務時間数入力'!$C$7:$C$106,"嘱託常勤",'②-1職員名簿'!$BG$7:$BG$106,"○",'②-2勤務時間数入力'!AC$7:AC$106,"常")</f>
        <v>0</v>
      </c>
      <c r="K20" s="337">
        <f>SUMIFS('②-2勤務時間数入力'!AC$7:AC$106,'②-1職員名簿'!AN$7:AN$106,"●",'②-1職員名簿'!$BG$7:$BG$106,"○",'②-1職員名簿'!$C$7:$C$106,"嘱託等")</f>
        <v>0</v>
      </c>
      <c r="L20" s="338">
        <f>'②-2勤務時間数入力'!AH18</f>
        <v>0</v>
      </c>
      <c r="M20" s="338">
        <f>COUNTIFS('②-1職員名簿'!W7:W106,"園長",'②-1職員名簿'!AN$7:AN$106,"●")</f>
        <v>0</v>
      </c>
      <c r="N20" s="337">
        <f>COUNTIFS('②-1職員名簿'!AN$7:AN$106,"●",'②-1職員名簿'!$W$7:$W$106,$N$5,'②-2勤務時間数入力'!Q$7:Q$106,"正")</f>
        <v>0</v>
      </c>
      <c r="O20" s="337">
        <f>COUNTIFS('②-1職員名簿'!AN$7:AN$106,"●",'②-1職員名簿'!$W$7:$W$106,$N$5,'②-2勤務時間数入力'!AC$7:AC$106,"常")</f>
        <v>0</v>
      </c>
      <c r="P20" s="337">
        <f>SUMIFS('②-2勤務時間数入力'!AC$7:AC$106,'②-1職員名簿'!AN$7:AN$106,"●",'②-1職員名簿'!$W$7:$W$106,$N$5)</f>
        <v>0</v>
      </c>
      <c r="Q20" s="337">
        <f>COUNTIFS('②-1職員名簿'!AN$7:AN$106,"●",'②-1職員名簿'!$W$7:$W$106,$Q$5,'②-2勤務時間数入力'!Q$7:Q$106,"正")</f>
        <v>0</v>
      </c>
      <c r="R20" s="337">
        <f>COUNTIFS('②-1職員名簿'!AN$7:AN$106,"●",'②-1職員名簿'!$W$7:$W$106,$Q$5,'②-2勤務時間数入力'!AC$7:AC$106,"常")</f>
        <v>0</v>
      </c>
      <c r="S20" s="337">
        <f>SUMIFS('②-2勤務時間数入力'!AC$7:AC$106,'②-1職員名簿'!AN$7:AN$106,"●",'②-1職員名簿'!$W$7:$W$106,$Q$5)</f>
        <v>0</v>
      </c>
      <c r="T20" s="337">
        <f>COUNTIFS('②-1職員名簿'!AN$7:AN$106,"●",'②-1職員名簿'!$W$7:$W$106,$T$5,'②-2勤務時間数入力'!Q$7:Q$106,"正")</f>
        <v>0</v>
      </c>
      <c r="U20" s="337">
        <f>COUNTIFS('②-1職員名簿'!AN$7:AN$106,"●",'②-1職員名簿'!$W$7:$W$106,$T$5,'②-2勤務時間数入力'!Q$7:Q$106,"常")</f>
        <v>0</v>
      </c>
      <c r="V20" s="337">
        <f>SUMIFS('②-2勤務時間数入力'!AC$7:AC$106,'②-1職員名簿'!AN$7:AN$106,"●",'②-1職員名簿'!$W$7:$W$106,$T$5)</f>
        <v>0</v>
      </c>
      <c r="W20" s="337">
        <f>COUNTIFS('②-1職員名簿'!AN$7:AN$106,"●",'②-1職員名簿'!$W$7:$W$106,$W$5,'②-2勤務時間数入力'!Q$7:Q$106,"正")</f>
        <v>0</v>
      </c>
      <c r="X20" s="337">
        <f>COUNTIFS('②-1職員名簿'!AN$7:AN$106,"●",'②-1職員名簿'!$W$7:$W$106,$W$5,'②-2勤務時間数入力'!AC$7:AC$106,"常")</f>
        <v>0</v>
      </c>
      <c r="Y20" s="337">
        <f>SUMIFS('②-2勤務時間数入力'!AC$7:AC$106,'②-1職員名簿'!AN$7:AN$106,"●",'②-1職員名簿'!$W$7:$W$106,$W$5)</f>
        <v>0</v>
      </c>
      <c r="Z20" s="337">
        <f>COUNTIFS('②-1職員名簿'!AN$7:AN$106,"●",'②-1職員名簿'!$W$7:$W$106,$Z$5,'②-2勤務時間数入力'!Q$7:Q$106,"正")</f>
        <v>0</v>
      </c>
      <c r="AA20" s="337">
        <f>COUNTIFS('②-1職員名簿'!AN$7:AN$106,"●",'②-1職員名簿'!$W$7:$W$106,$Z$5,'②-2勤務時間数入力'!AC$7:AC$106,"常")</f>
        <v>0</v>
      </c>
      <c r="AB20" s="337">
        <f>SUMIFS('②-2勤務時間数入力'!AC$7:AC$106,'②-1職員名簿'!AN$7:AN$106,"●",'②-1職員名簿'!$W$7:$W$106,$Z$5)</f>
        <v>0</v>
      </c>
      <c r="AC20" s="176">
        <f t="shared" si="0"/>
        <v>0</v>
      </c>
      <c r="AD20" s="176">
        <f t="shared" si="1"/>
        <v>0</v>
      </c>
      <c r="AE20" s="186" t="e">
        <f t="shared" si="2"/>
        <v>#DIV/0!</v>
      </c>
      <c r="AF20" s="186" t="e">
        <f t="shared" si="3"/>
        <v>#DIV/0!</v>
      </c>
      <c r="AG20" s="185" t="e">
        <f>IF(①基本情報!$F$9&gt;90,MIN(AF20,3,MIN(AF20,AI20,3)+MIN(AF20,AJ20,1)),MIN(AF20,4,MIN(AF20,AI20,4)+MIN(AF20,AJ20,2)))</f>
        <v>#N/A</v>
      </c>
      <c r="AI20" s="35" t="e">
        <f t="shared" si="4"/>
        <v>#DIV/0!</v>
      </c>
      <c r="AJ20" s="35" t="e">
        <f t="shared" si="5"/>
        <v>#DIV/0!</v>
      </c>
    </row>
    <row r="21" spans="1:39" s="35" customFormat="1" ht="18.75" customHeight="1">
      <c r="A21" s="36"/>
      <c r="B21" s="38"/>
      <c r="C21" s="44"/>
      <c r="D21" s="44"/>
      <c r="E21" s="44"/>
      <c r="F21" s="44"/>
      <c r="G21" s="38"/>
      <c r="H21" s="44"/>
      <c r="I21" s="44"/>
      <c r="J21" s="44"/>
      <c r="K21" s="44"/>
      <c r="L21" s="38"/>
      <c r="M21" s="38"/>
      <c r="N21" s="40"/>
      <c r="O21" s="44"/>
      <c r="P21" s="44"/>
      <c r="Q21" s="40"/>
      <c r="R21" s="44"/>
      <c r="S21" s="44"/>
      <c r="T21" s="40"/>
      <c r="U21" s="44"/>
      <c r="V21" s="44"/>
      <c r="W21" s="40"/>
      <c r="X21" s="44"/>
      <c r="Y21" s="44"/>
      <c r="Z21" s="40"/>
      <c r="AA21" s="44"/>
      <c r="AB21" s="47"/>
      <c r="AC21" s="41"/>
      <c r="AD21" s="47"/>
      <c r="AE21" s="47"/>
      <c r="AF21"/>
      <c r="AG21"/>
      <c r="AH21" s="40"/>
      <c r="AI21" s="40"/>
      <c r="AJ21" s="40"/>
      <c r="AK21" s="40"/>
      <c r="AL21" s="42"/>
      <c r="AM21" s="41"/>
    </row>
    <row r="22" spans="1:39" s="35" customFormat="1" ht="18.75" customHeight="1">
      <c r="A22" s="43"/>
      <c r="B22" s="44"/>
      <c r="C22" s="48"/>
      <c r="D22" s="48"/>
      <c r="E22" s="48"/>
      <c r="F22" s="48"/>
      <c r="G22" s="44"/>
      <c r="H22" s="48"/>
      <c r="I22" s="48"/>
      <c r="J22" s="48"/>
      <c r="K22" s="48"/>
      <c r="L22" s="44"/>
      <c r="M22" s="44"/>
      <c r="N22" s="44"/>
      <c r="O22" s="48"/>
      <c r="P22" s="48"/>
      <c r="Q22" s="44"/>
      <c r="R22" s="48"/>
      <c r="S22" s="48"/>
      <c r="T22" s="44"/>
      <c r="U22" s="48"/>
      <c r="V22" s="48"/>
      <c r="W22" s="44"/>
      <c r="X22" s="48"/>
      <c r="Y22" s="48"/>
      <c r="Z22" s="44"/>
      <c r="AA22" s="48"/>
      <c r="AB22" s="48"/>
      <c r="AC22" s="47"/>
      <c r="AD22" s="48"/>
      <c r="AE22" s="48"/>
      <c r="AF22" s="48"/>
      <c r="AG22" s="48"/>
      <c r="AH22" s="48"/>
      <c r="AI22" s="48"/>
      <c r="AJ22" s="48"/>
      <c r="AK22" s="42"/>
      <c r="AL22" s="41"/>
    </row>
    <row r="23" spans="1:39" s="35" customFormat="1" ht="18.75" customHeight="1">
      <c r="A23" s="43"/>
      <c r="B23" s="48"/>
      <c r="C23" s="45"/>
      <c r="D23" s="45"/>
      <c r="E23" s="45"/>
      <c r="F23" s="45"/>
      <c r="G23" s="48"/>
      <c r="H23" s="45"/>
      <c r="I23" s="45"/>
      <c r="J23" s="45"/>
      <c r="K23" s="45"/>
      <c r="L23" s="48"/>
      <c r="M23" s="48"/>
      <c r="N23" s="48"/>
      <c r="O23" s="45"/>
      <c r="P23" s="45"/>
      <c r="Q23" s="48"/>
      <c r="R23" s="45"/>
      <c r="S23" s="45"/>
      <c r="T23" s="48"/>
      <c r="U23" s="45"/>
      <c r="V23" s="45"/>
      <c r="W23" s="48"/>
      <c r="X23" s="45"/>
      <c r="Y23" s="45"/>
      <c r="Z23" s="48"/>
      <c r="AA23" s="45"/>
      <c r="AB23" s="45"/>
      <c r="AC23" s="48"/>
      <c r="AD23" s="45"/>
      <c r="AE23" s="45"/>
      <c r="AF23" s="45"/>
      <c r="AG23" s="45"/>
      <c r="AH23" s="40"/>
      <c r="AI23" s="40"/>
      <c r="AJ23" s="40"/>
      <c r="AK23" s="48"/>
      <c r="AL23" s="48"/>
    </row>
    <row r="24" spans="1:39" s="35" customFormat="1" ht="18.75" customHeight="1">
      <c r="A24" s="43"/>
      <c r="B24" s="45"/>
      <c r="C24" s="44"/>
      <c r="D24" s="44"/>
      <c r="E24" s="44"/>
      <c r="F24" s="44"/>
      <c r="G24" s="45"/>
      <c r="H24" s="44"/>
      <c r="I24" s="44"/>
      <c r="J24" s="44"/>
      <c r="K24" s="44"/>
      <c r="L24" s="45"/>
      <c r="M24" s="45"/>
      <c r="N24" s="45"/>
      <c r="O24" s="46"/>
      <c r="P24" s="46"/>
      <c r="Q24" s="45"/>
      <c r="R24" s="46"/>
      <c r="S24" s="46"/>
      <c r="T24" s="45"/>
      <c r="U24" s="46"/>
      <c r="V24" s="46"/>
      <c r="W24" s="45"/>
      <c r="X24" s="46"/>
      <c r="Y24" s="46"/>
      <c r="Z24" s="45"/>
      <c r="AA24" s="46"/>
      <c r="AB24" s="47"/>
      <c r="AC24" s="45"/>
      <c r="AD24" s="47"/>
      <c r="AE24" s="47"/>
      <c r="AF24"/>
      <c r="AG24"/>
      <c r="AH24" s="40"/>
      <c r="AI24" s="40"/>
      <c r="AJ24" s="40"/>
      <c r="AK24" s="42"/>
      <c r="AL24" s="41"/>
    </row>
    <row r="25" spans="1:39" ht="18.75" customHeight="1">
      <c r="B25" s="44"/>
      <c r="C25" s="44"/>
      <c r="D25" s="44"/>
      <c r="E25" s="44"/>
      <c r="F25" s="44"/>
      <c r="G25" s="44"/>
      <c r="H25" s="44"/>
      <c r="I25" s="44"/>
      <c r="J25" s="44"/>
      <c r="K25" s="44"/>
      <c r="L25" s="44"/>
      <c r="M25" s="44"/>
      <c r="N25" s="46"/>
      <c r="O25" s="46"/>
      <c r="P25" s="46"/>
      <c r="Q25" s="46"/>
      <c r="R25" s="46"/>
      <c r="S25" s="46"/>
      <c r="T25" s="46"/>
      <c r="U25" s="46"/>
      <c r="V25" s="46"/>
      <c r="W25" s="46"/>
      <c r="X25" s="46"/>
      <c r="Y25" s="46"/>
      <c r="Z25" s="46"/>
      <c r="AA25" s="46"/>
      <c r="AB25" s="47"/>
      <c r="AC25" s="47"/>
      <c r="AD25" s="47"/>
      <c r="AE25" s="47"/>
      <c r="AF25"/>
      <c r="AG25"/>
      <c r="AH25" s="40"/>
      <c r="AI25" s="40"/>
      <c r="AJ25" s="40"/>
      <c r="AK25" s="42"/>
      <c r="AL25" s="41"/>
    </row>
    <row r="26" spans="1:39" ht="18.75" customHeight="1">
      <c r="A26" s="43"/>
      <c r="B26" s="44"/>
      <c r="G26" s="44"/>
      <c r="L26" s="44"/>
      <c r="M26" s="44"/>
      <c r="N26" s="46"/>
      <c r="O26" s="40"/>
      <c r="P26" s="40"/>
      <c r="Q26" s="46"/>
      <c r="R26" s="40"/>
      <c r="S26" s="40"/>
      <c r="T26" s="46"/>
      <c r="U26" s="40"/>
      <c r="V26" s="40"/>
      <c r="W26" s="46"/>
      <c r="X26" s="40"/>
      <c r="Y26" s="40"/>
      <c r="Z26" s="46"/>
      <c r="AA26" s="40"/>
      <c r="AB26" s="40"/>
      <c r="AC26" s="47"/>
      <c r="AD26" s="41"/>
      <c r="AE26" s="41"/>
      <c r="AF26" s="41"/>
      <c r="AG26" s="41"/>
      <c r="AH26" s="40"/>
      <c r="AI26" s="40"/>
      <c r="AJ26" s="40"/>
      <c r="AK26" s="42"/>
      <c r="AL26" s="41"/>
    </row>
    <row r="27" spans="1:39" ht="18.75" customHeight="1">
      <c r="A27" s="37"/>
      <c r="C27" s="36"/>
      <c r="D27" s="36"/>
      <c r="E27" s="36"/>
      <c r="F27" s="36"/>
      <c r="H27" s="36"/>
      <c r="I27" s="36"/>
      <c r="J27" s="36"/>
      <c r="K27" s="36"/>
      <c r="N27" s="40"/>
      <c r="O27" s="36"/>
      <c r="P27" s="36"/>
      <c r="Q27" s="40"/>
      <c r="R27" s="36"/>
      <c r="S27" s="36"/>
      <c r="T27" s="40"/>
      <c r="U27" s="36"/>
      <c r="V27" s="36"/>
      <c r="W27" s="40"/>
      <c r="X27" s="36"/>
      <c r="Y27" s="36"/>
      <c r="Z27" s="40"/>
      <c r="AA27" s="36"/>
      <c r="AB27" s="36"/>
      <c r="AC27" s="41"/>
      <c r="AD27" s="36"/>
      <c r="AE27" s="36"/>
      <c r="AF27" s="36"/>
      <c r="AG27" s="36"/>
      <c r="AH27" s="36"/>
      <c r="AI27" s="36"/>
      <c r="AJ27" s="36"/>
      <c r="AK27" s="40"/>
      <c r="AL27" s="42"/>
      <c r="AM27" s="41"/>
    </row>
    <row r="28" spans="1:39" s="36" customFormat="1" ht="18.75" customHeight="1"/>
    <row r="29" spans="1:39" s="36" customFormat="1" ht="25" customHeight="1">
      <c r="AK29" s="56"/>
    </row>
    <row r="30" spans="1:39" s="36" customFormat="1" ht="25" customHeight="1">
      <c r="AK30" s="56"/>
    </row>
    <row r="31" spans="1:39" s="36" customFormat="1" ht="25" customHeight="1">
      <c r="AK31" s="56"/>
    </row>
    <row r="32" spans="1:39" s="36" customFormat="1" ht="25" customHeight="1">
      <c r="AK32" s="56"/>
    </row>
    <row r="33" s="36" customFormat="1" ht="25" customHeight="1"/>
    <row r="34" s="36" customFormat="1" ht="25" customHeight="1"/>
    <row r="35" s="36" customFormat="1" ht="25" customHeight="1"/>
    <row r="36" s="36" customFormat="1" ht="25" customHeight="1"/>
    <row r="37" s="36" customFormat="1" ht="25" customHeight="1"/>
    <row r="38" s="36" customFormat="1" ht="25" customHeight="1"/>
    <row r="39" s="36" customFormat="1" ht="25" customHeight="1"/>
    <row r="40" s="36" customFormat="1" ht="25" customHeight="1"/>
    <row r="41" s="36" customFormat="1" ht="25" customHeight="1"/>
    <row r="42" s="36" customFormat="1" ht="25" customHeight="1"/>
    <row r="43" s="36" customFormat="1" ht="25" customHeight="1"/>
    <row r="44" s="36" customFormat="1" ht="25" customHeight="1"/>
    <row r="45" s="36" customFormat="1" ht="25" customHeight="1"/>
    <row r="46" s="36" customFormat="1" ht="25" customHeight="1"/>
    <row r="47" s="36" customFormat="1" ht="25" customHeight="1"/>
    <row r="48" s="36" customFormat="1" ht="25" customHeight="1"/>
    <row r="49" spans="3:38" s="36" customFormat="1" ht="25" customHeight="1"/>
    <row r="50" spans="3:38" s="36" customFormat="1" ht="25" customHeight="1"/>
    <row r="51" spans="3:38" s="36" customFormat="1" ht="25" customHeight="1">
      <c r="C51" s="38"/>
      <c r="D51" s="38"/>
      <c r="E51" s="38"/>
      <c r="F51" s="38"/>
      <c r="H51" s="38"/>
      <c r="I51" s="38"/>
      <c r="J51" s="38"/>
      <c r="K51" s="38"/>
      <c r="O51" s="38"/>
      <c r="P51" s="38"/>
      <c r="R51" s="38"/>
      <c r="S51" s="38"/>
      <c r="U51" s="38"/>
      <c r="V51" s="38"/>
      <c r="X51" s="38"/>
      <c r="Y51" s="38"/>
      <c r="AA51" s="38"/>
      <c r="AB51" s="38"/>
      <c r="AD51" s="38"/>
      <c r="AE51" s="38"/>
      <c r="AF51" s="38"/>
      <c r="AG51" s="38"/>
      <c r="AH51" s="38"/>
      <c r="AI51" s="38"/>
      <c r="AJ51" s="38"/>
    </row>
    <row r="52" spans="3:38" ht="25" customHeight="1">
      <c r="AL52" s="38"/>
    </row>
    <row r="53" spans="3:38" ht="25" customHeight="1">
      <c r="AL53" s="38"/>
    </row>
    <row r="54" spans="3:38" ht="25" customHeight="1">
      <c r="AL54" s="38"/>
    </row>
    <row r="55" spans="3:38" ht="25" customHeight="1">
      <c r="AL55" s="38"/>
    </row>
    <row r="56" spans="3:38" ht="25" customHeight="1">
      <c r="Y56" s="50"/>
      <c r="AL56" s="38"/>
    </row>
    <row r="57" spans="3:38" ht="25" customHeight="1">
      <c r="Z57" s="50"/>
      <c r="AI57" s="50"/>
      <c r="AL57" s="38"/>
    </row>
    <row r="58" spans="3:38" ht="25" customHeight="1">
      <c r="Y58" s="50"/>
      <c r="AI58" s="50"/>
      <c r="AL58" s="38"/>
    </row>
    <row r="59" spans="3:38" ht="25" customHeight="1">
      <c r="Z59" s="50"/>
      <c r="AI59" s="50"/>
      <c r="AL59" s="38"/>
    </row>
    <row r="60" spans="3:38" ht="25" customHeight="1">
      <c r="AI60" s="50"/>
      <c r="AL60" s="38"/>
    </row>
    <row r="61" spans="3:38" ht="25" customHeight="1">
      <c r="AI61" s="50"/>
      <c r="AL61" s="38"/>
    </row>
    <row r="62" spans="3:38" ht="25" customHeight="1">
      <c r="AI62" s="50"/>
      <c r="AL62" s="38"/>
    </row>
    <row r="63" spans="3:38" ht="25" customHeight="1">
      <c r="AI63" s="50"/>
      <c r="AL63" s="38"/>
    </row>
    <row r="64" spans="3:38" ht="25" customHeight="1">
      <c r="AE64" s="50"/>
      <c r="AI64" s="50"/>
      <c r="AL64" s="38"/>
    </row>
    <row r="65" spans="35:38" ht="25" customHeight="1">
      <c r="AI65" s="50"/>
      <c r="AL65" s="38"/>
    </row>
    <row r="66" spans="35:38" ht="25" customHeight="1">
      <c r="AI66" s="50"/>
      <c r="AL66" s="38"/>
    </row>
    <row r="67" spans="35:38" ht="25" customHeight="1">
      <c r="AI67" s="50"/>
      <c r="AL67" s="38"/>
    </row>
    <row r="68" spans="35:38" ht="25" customHeight="1">
      <c r="AL68" s="38"/>
    </row>
    <row r="71" spans="35:38" ht="25" customHeight="1">
      <c r="AI71" s="50"/>
    </row>
  </sheetData>
  <sheetProtection algorithmName="SHA-512" hashValue="voqldV/B8p0jDVW/gul0B56aZkNl+k2Jj79aPu9mdOrHGsuXO/0CsAYlrjdna0cLjVn7yEkJQw4ZSZA8rIe3Mg==" saltValue="TzpZFCo3ogtYYe5rPCNLuw==" spinCount="100000" sheet="1" selectLockedCells="1"/>
  <mergeCells count="40">
    <mergeCell ref="AA6:AA7"/>
    <mergeCell ref="AB6:AB7"/>
    <mergeCell ref="AC6:AC7"/>
    <mergeCell ref="V6:V7"/>
    <mergeCell ref="W6:W7"/>
    <mergeCell ref="X6:X7"/>
    <mergeCell ref="Y6:Y7"/>
    <mergeCell ref="Z6:Z7"/>
    <mergeCell ref="AE6:AE7"/>
    <mergeCell ref="AG4:AG5"/>
    <mergeCell ref="B5:F5"/>
    <mergeCell ref="G5:K5"/>
    <mergeCell ref="N5:P5"/>
    <mergeCell ref="Q5:S5"/>
    <mergeCell ref="T5:V5"/>
    <mergeCell ref="W5:Y5"/>
    <mergeCell ref="Z5:AB5"/>
    <mergeCell ref="AC5:AE5"/>
    <mergeCell ref="M4:AF4"/>
    <mergeCell ref="M5:M7"/>
    <mergeCell ref="N6:N7"/>
    <mergeCell ref="O6:O7"/>
    <mergeCell ref="P6:P7"/>
    <mergeCell ref="AG7:AG8"/>
    <mergeCell ref="V2:W2"/>
    <mergeCell ref="X2:AF2"/>
    <mergeCell ref="A4:A8"/>
    <mergeCell ref="B4:K4"/>
    <mergeCell ref="L4:L7"/>
    <mergeCell ref="AF5:AF8"/>
    <mergeCell ref="B6:D6"/>
    <mergeCell ref="E6:F6"/>
    <mergeCell ref="G6:I6"/>
    <mergeCell ref="Q6:Q7"/>
    <mergeCell ref="R6:R7"/>
    <mergeCell ref="S6:S7"/>
    <mergeCell ref="T6:T7"/>
    <mergeCell ref="U6:U7"/>
    <mergeCell ref="J6:K6"/>
    <mergeCell ref="AD6:AD7"/>
  </mergeCells>
  <phoneticPr fontId="1"/>
  <dataValidations count="4">
    <dataValidation allowBlank="1" showInputMessage="1" showErrorMessage="1" promptTitle="その他（支援センター、加算等）" prompt="支援センター業務にあたる保育士、チーム保育推進加算、入所児童特別加算対象者の人数及び時間数を入力して下さい。_x000a__x000a_準保育士→１日６時間以上かつ月２０日以上勤務する非正規職員保育士（雇用形態は正規でなければパート等の時給でもOK）_x000a__x000a_短時間保育士→1日６時間未満または月２０日未満の勤務の保育士" sqref="V65546:V65557 V983050:V983061 V917514:V917525 V851978:V851989 V786442:V786453 V720906:V720917 V655370:V655381 V589834:V589845 V524298:V524309 V458762:V458773 V393226:V393237 V327690:V327701 V262154:V262165 V196618:V196629 V131082:V131093 T65555:U65566 T983059:U983070 T917523:U917534 T851987:U851998 T786451:U786462 T720915:U720926 T655379:U655390 T589843:U589854 T524307:U524318 T458771:U458782 T393235:U393246 T327699:U327710 T262163:U262174 T196627:U196638 T131091:U131102 Z65556:Z65567 Y65554:Y65565 AA65554:AB65565 Z983060:Z983071 Y983058:Y983069 AA983058:AB983069 Z917524:Z917535 Y917522:Y917533 AA917522:AB917533 Z851988:Z851999 Y851986:Y851997 AA851986:AB851997 Z786452:Z786463 Y786450:Y786461 AA786450:AB786461 Z720916:Z720927 Y720914:Y720925 AA720914:AB720925 Z655380:Z655391 Y655378:Y655389 AA655378:AB655389 Z589844:Z589855 Y589842:Y589853 AA589842:AB589853 Z524308:Z524319 Y524306:Y524317 AA524306:AB524317 Z458772:Z458783 Y458770:Y458781 AA458770:AB458781 Z393236:Z393247 Y393234:Y393245 AA393234:AB393245 Z327700:Z327711 Y327698:Y327709 AA327698:AB327709 Z262164:Z262175 Y262162:Y262173 AA262162:AB262173 Z196628:Z196639 Y196626:Y196637 AA196626:AB196637 Z131092:Z131103 Y131090:Y131101 AA131090:AB131101 R65544:S65555 Q65545:Q65556 R983048:S983059 Q983049:Q983060 R917512:S917523 Q917513:Q917524 R851976:S851987 Q851977:Q851988 R786440:S786451 Q786441:Q786452 R720904:S720915 Q720905:Q720916 R655368:S655379 Q655369:Q655380 R589832:S589843 Q589833:Q589844 R524296:S524307 Q524297:Q524308 R458760:S458771 Q458761:Q458772 R393224:S393235 Q393225:Q393236 R327688:S327699 Q327689:Q327700 R262152:S262163 Q262153:Q262164 R196616:S196627 Q196617:Q196628 R131080:S131091 Q131081:Q131092 X65544:X65555 W65545:W65556 X983048:X983059 W983049:W983060 X917512:X917523 W917513:W917524 X851976:X851987 W851977:W851988 X786440:X786451 W786441:W786452 X720904:X720915 W720905:W720916 X655368:X655379 W655369:W655380 X589832:X589843 W589833:W589844 X524296:X524307 W524297:W524308 X458760:X458771 W458761:W458772 X393224:X393235 W393225:W393236 X327688:X327699 W327689:W327700 X262152:X262163 W262153:W262164 X196616:X196627 W196617:W196628 X131080:X131091 W131081:W131092" xr:uid="{B204433C-A4A7-4DA5-AAE7-C73D613F9648}"/>
    <dataValidation allowBlank="1" showInputMessage="1" showErrorMessage="1" promptTitle="実際の人数（保育士）" prompt="名簿と照らし合わせて、施設長以外で、保育を行う職員を入力してください_x000a_（主任保育士、一時預かり、障害児保育、支援センター保育士を含みます！）_x000a_延長保育を行う保育士は除きます！_x000a__x000a_乳児が４人以上で保健師・看護師を保育士とみなす場合は。右のq、r、s欄に入力！" sqref="B65545:B65556 C131080:F131091 B131081:B131092 C196616:F196627 B196617:B196628 C262152:F262163 B262153:B262164 C327688:F327699 B327689:B327700 C393224:F393235 B393225:B393236 C458760:F458771 B458761:B458772 C524296:F524307 B524297:B524308 C589832:F589843 B589833:B589844 C655368:F655379 B655369:B655380 C720904:F720915 B720905:B720916 C786440:F786451 B786441:B786452 C851976:F851987 B851977:B851988 C917512:F917523 B917513:B917524 C983048:F983059 B983049:B983060 C65544:F65555 H983048:K983059 G983049:G983060 L983049:M983060 H917512:K917523 G917513:G917524 L917513:M917524 H851976:K851987 G851977:G851988 L851977:M851988 H786440:K786451 G786441:G786452 L786441:M786452 H720904:K720915 G720905:G720916 L720905:M720916 H655368:K655379 G655369:G655380 L655369:M655380 H589832:K589843 G589833:G589844 L589833:M589844 H524296:K524307 G524297:G524308 L524297:M524308 H458760:K458771 G458761:G458772 L458761:M458772 H393224:K393235 G393225:G393236 L393225:M393236 H327688:K327699 G327689:G327700 L327689:M327700 H262152:K262163 G262153:G262164 L262153:M262164 H196616:K196627 G196617:G196628 L196617:M196628 H131080:K131091 G131081:G131092 L131081:M131092 H65544:K65555 G65545:G65556 L65545:M65556" xr:uid="{E04A45B4-D6E6-4C9D-BC82-43D7C76693FB}"/>
    <dataValidation allowBlank="1" showInputMessage="1" showErrorMessage="1" promptTitle="一時預かり" prompt="一時預かりにあたる保育士の人数及び時間数を入力して下さい。_x000a__x000a_準保育士→１日６時間以上かつ月２０日以上勤務する非正規職員保育士（雇用形態は正規でなければパート等の時給でもOK）_x000a__x000a_短時間保育士→1日６時間未満または月２０日未満の勤務の保育士" sqref="N65545:N65556 O983048:P983059 N983049:N983060 O917512:P917523 N917513:N917524 O851976:P851987 N851977:N851988 O786440:P786451 N786441:N786452 O720904:P720915 N720905:N720916 O655368:P655379 N655369:N655380 O589832:P589843 N589833:N589844 O524296:P524307 N524297:N524308 O458760:P458771 N458761:N458772 O393224:P393235 N393225:N393236 O327688:P327699 N327689:N327700 O262152:P262163 N262153:N262164 O196616:P196627 N196617:N196628 O131080:P131091 N131081:N131092 O65544:P65555" xr:uid="{812063C9-8405-4982-91CF-53D3C265EF33}"/>
    <dataValidation allowBlank="1" showErrorMessage="1" sqref="AC9:AC26 C9:F25 H9:K25 G9:G26 O9:P25 L9:N26 R9:S25 Q9:Q26 U9:V25 T9:T26 X9:Y25 W9:W26 AA9:AB25 Z9:Z26 AD9:AG25 B9:B26" xr:uid="{145EEC54-5F09-4E6F-91EA-AB3488532F6F}"/>
  </dataValidations>
  <printOptions horizontalCentered="1"/>
  <pageMargins left="0.51181102362204722" right="0.39370078740157483" top="0.51181102362204722" bottom="0.51181102362204722" header="0.51181102362204722" footer="0.51181102362204722"/>
  <pageSetup paperSize="9" scale="66"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4CC04-77A2-45B5-8290-ED07ADDE7BE3}">
  <sheetPr codeName="Sheet111">
    <tabColor rgb="FF00B050"/>
  </sheetPr>
  <dimension ref="A1:AZ101"/>
  <sheetViews>
    <sheetView view="pageBreakPreview" zoomScale="85" zoomScaleNormal="85" zoomScaleSheetLayoutView="85" workbookViewId="0">
      <selection activeCell="AN5" sqref="AN5:AO5"/>
    </sheetView>
  </sheetViews>
  <sheetFormatPr defaultColWidth="9" defaultRowHeight="25" customHeight="1"/>
  <cols>
    <col min="1" max="1" width="5.33203125" style="38" customWidth="1"/>
    <col min="2" max="24" width="4.58203125" style="38" customWidth="1"/>
    <col min="25" max="25" width="1.25" style="38" customWidth="1"/>
    <col min="26" max="26" width="5.58203125" style="38" customWidth="1"/>
    <col min="27" max="44" width="4.58203125" style="38" customWidth="1"/>
    <col min="45" max="45" width="4.5" style="38" customWidth="1"/>
    <col min="46" max="46" width="4.58203125" style="38" customWidth="1"/>
    <col min="47" max="47" width="9" style="38"/>
    <col min="48" max="49" width="9" style="38" customWidth="1"/>
    <col min="50" max="16384" width="9" style="38"/>
  </cols>
  <sheetData>
    <row r="1" spans="1:52" s="22" customFormat="1" ht="25" customHeight="1">
      <c r="A1" s="21" t="s">
        <v>112</v>
      </c>
      <c r="B1" s="21"/>
      <c r="Y1" s="21"/>
      <c r="Z1" s="21"/>
    </row>
    <row r="2" spans="1:52" s="21" customFormat="1" ht="25" customHeight="1">
      <c r="A2" s="21" t="s">
        <v>1265</v>
      </c>
      <c r="Z2" s="21" t="s">
        <v>1266</v>
      </c>
      <c r="AJ2" s="787" t="s">
        <v>147</v>
      </c>
      <c r="AK2" s="787"/>
      <c r="AL2" s="805">
        <f>①基本情報!D5</f>
        <v>0</v>
      </c>
      <c r="AM2" s="805"/>
      <c r="AN2" s="805"/>
      <c r="AO2" s="805"/>
      <c r="AP2" s="805"/>
      <c r="AQ2" s="805"/>
      <c r="AR2" s="805"/>
      <c r="AS2" s="805"/>
      <c r="AT2" s="805"/>
      <c r="AU2" s="21" t="s">
        <v>148</v>
      </c>
    </row>
    <row r="3" spans="1:52" s="21" customFormat="1" ht="11.25" customHeight="1"/>
    <row r="4" spans="1:52" s="26" customFormat="1" ht="25" customHeight="1">
      <c r="A4" s="784" t="s">
        <v>149</v>
      </c>
      <c r="B4" s="794" t="s">
        <v>152</v>
      </c>
      <c r="C4" s="784" t="s">
        <v>246</v>
      </c>
      <c r="D4" s="784"/>
      <c r="E4" s="784"/>
      <c r="F4" s="784"/>
      <c r="G4" s="784"/>
      <c r="H4" s="784" t="s">
        <v>247</v>
      </c>
      <c r="I4" s="784"/>
      <c r="J4" s="784"/>
      <c r="K4" s="784"/>
      <c r="L4" s="784"/>
      <c r="M4" s="784" t="s">
        <v>248</v>
      </c>
      <c r="N4" s="784"/>
      <c r="O4" s="784"/>
      <c r="P4" s="784"/>
      <c r="Q4" s="784"/>
      <c r="R4" s="784" t="s">
        <v>219</v>
      </c>
      <c r="S4" s="784"/>
      <c r="T4" s="784"/>
      <c r="U4" s="784"/>
      <c r="V4" s="784"/>
      <c r="W4" s="806" t="s">
        <v>249</v>
      </c>
      <c r="X4" s="807"/>
      <c r="Z4" s="810" t="s">
        <v>250</v>
      </c>
      <c r="AA4" s="784" t="s">
        <v>251</v>
      </c>
      <c r="AB4" s="784"/>
      <c r="AC4" s="784"/>
      <c r="AD4" s="784"/>
      <c r="AE4" s="784"/>
      <c r="AF4" s="784" t="s">
        <v>252</v>
      </c>
      <c r="AG4" s="784"/>
      <c r="AH4" s="784"/>
      <c r="AI4" s="784"/>
      <c r="AJ4" s="784"/>
      <c r="AK4" s="784" t="s">
        <v>253</v>
      </c>
      <c r="AL4" s="784"/>
      <c r="AM4" s="784"/>
      <c r="AN4" s="784"/>
      <c r="AO4" s="784"/>
      <c r="AP4" s="27" t="s">
        <v>71</v>
      </c>
      <c r="AQ4" s="783" t="s">
        <v>254</v>
      </c>
      <c r="AR4" s="783"/>
      <c r="AS4" s="783"/>
      <c r="AT4" s="783"/>
      <c r="AU4" s="808" t="s">
        <v>1286</v>
      </c>
      <c r="AV4" s="819"/>
      <c r="AW4" s="819" t="s">
        <v>1287</v>
      </c>
      <c r="AX4" s="819"/>
      <c r="AY4" s="819" t="s">
        <v>1288</v>
      </c>
      <c r="AZ4" s="819"/>
    </row>
    <row r="5" spans="1:52" s="25" customFormat="1" ht="27" customHeight="1">
      <c r="A5" s="784"/>
      <c r="B5" s="794"/>
      <c r="C5" s="784" t="s">
        <v>158</v>
      </c>
      <c r="D5" s="784"/>
      <c r="E5" s="784"/>
      <c r="F5" s="784" t="s">
        <v>1241</v>
      </c>
      <c r="G5" s="784"/>
      <c r="H5" s="784" t="s">
        <v>158</v>
      </c>
      <c r="I5" s="784"/>
      <c r="J5" s="784"/>
      <c r="K5" s="784" t="s">
        <v>1241</v>
      </c>
      <c r="L5" s="784"/>
      <c r="M5" s="784" t="s">
        <v>158</v>
      </c>
      <c r="N5" s="784"/>
      <c r="O5" s="784"/>
      <c r="P5" s="784" t="s">
        <v>1241</v>
      </c>
      <c r="Q5" s="784"/>
      <c r="R5" s="27" t="s">
        <v>71</v>
      </c>
      <c r="S5" s="784" t="s">
        <v>164</v>
      </c>
      <c r="T5" s="784"/>
      <c r="U5" s="784"/>
      <c r="V5" s="784" t="s">
        <v>178</v>
      </c>
      <c r="W5" s="808"/>
      <c r="X5" s="809"/>
      <c r="Z5" s="811"/>
      <c r="AA5" s="784" t="s">
        <v>158</v>
      </c>
      <c r="AB5" s="784"/>
      <c r="AC5" s="784"/>
      <c r="AD5" s="784" t="s">
        <v>1241</v>
      </c>
      <c r="AE5" s="784"/>
      <c r="AF5" s="784" t="s">
        <v>158</v>
      </c>
      <c r="AG5" s="784"/>
      <c r="AH5" s="784"/>
      <c r="AI5" s="784" t="s">
        <v>1241</v>
      </c>
      <c r="AJ5" s="784"/>
      <c r="AK5" s="784" t="s">
        <v>158</v>
      </c>
      <c r="AL5" s="784"/>
      <c r="AM5" s="784"/>
      <c r="AN5" s="784" t="s">
        <v>1241</v>
      </c>
      <c r="AO5" s="784"/>
      <c r="AP5" s="812" t="s">
        <v>173</v>
      </c>
      <c r="AQ5" s="783"/>
      <c r="AR5" s="783"/>
      <c r="AS5" s="783"/>
      <c r="AT5" s="783"/>
      <c r="AU5" s="808"/>
      <c r="AV5" s="819"/>
      <c r="AW5" s="819"/>
      <c r="AX5" s="819"/>
      <c r="AY5" s="819"/>
      <c r="AZ5" s="819"/>
    </row>
    <row r="6" spans="1:52" s="25" customFormat="1" ht="68.25" customHeight="1">
      <c r="A6" s="784"/>
      <c r="B6" s="794"/>
      <c r="C6" s="785" t="s">
        <v>168</v>
      </c>
      <c r="D6" s="785" t="s">
        <v>169</v>
      </c>
      <c r="E6" s="785" t="s">
        <v>176</v>
      </c>
      <c r="F6" s="791" t="s">
        <v>171</v>
      </c>
      <c r="G6" s="791" t="s">
        <v>172</v>
      </c>
      <c r="H6" s="785" t="s">
        <v>168</v>
      </c>
      <c r="I6" s="785" t="s">
        <v>169</v>
      </c>
      <c r="J6" s="785" t="s">
        <v>176</v>
      </c>
      <c r="K6" s="791" t="s">
        <v>171</v>
      </c>
      <c r="L6" s="791" t="s">
        <v>172</v>
      </c>
      <c r="M6" s="785" t="s">
        <v>168</v>
      </c>
      <c r="N6" s="785" t="s">
        <v>169</v>
      </c>
      <c r="O6" s="785" t="s">
        <v>176</v>
      </c>
      <c r="P6" s="791" t="s">
        <v>171</v>
      </c>
      <c r="Q6" s="791" t="s">
        <v>172</v>
      </c>
      <c r="R6" s="793" t="s">
        <v>173</v>
      </c>
      <c r="S6" s="785" t="s">
        <v>168</v>
      </c>
      <c r="T6" s="785" t="s">
        <v>175</v>
      </c>
      <c r="U6" s="791" t="s">
        <v>255</v>
      </c>
      <c r="V6" s="784"/>
      <c r="W6" s="815" t="s">
        <v>256</v>
      </c>
      <c r="X6" s="816"/>
      <c r="Z6" s="811"/>
      <c r="AA6" s="785" t="s">
        <v>168</v>
      </c>
      <c r="AB6" s="785" t="s">
        <v>169</v>
      </c>
      <c r="AC6" s="785" t="s">
        <v>257</v>
      </c>
      <c r="AD6" s="791" t="s">
        <v>171</v>
      </c>
      <c r="AE6" s="791" t="s">
        <v>172</v>
      </c>
      <c r="AF6" s="785" t="s">
        <v>168</v>
      </c>
      <c r="AG6" s="785" t="s">
        <v>169</v>
      </c>
      <c r="AH6" s="785" t="s">
        <v>257</v>
      </c>
      <c r="AI6" s="791" t="s">
        <v>171</v>
      </c>
      <c r="AJ6" s="791" t="s">
        <v>172</v>
      </c>
      <c r="AK6" s="785" t="s">
        <v>168</v>
      </c>
      <c r="AL6" s="785" t="s">
        <v>169</v>
      </c>
      <c r="AM6" s="785" t="s">
        <v>257</v>
      </c>
      <c r="AN6" s="791" t="s">
        <v>171</v>
      </c>
      <c r="AO6" s="791" t="s">
        <v>172</v>
      </c>
      <c r="AP6" s="813"/>
      <c r="AQ6" s="791" t="s">
        <v>168</v>
      </c>
      <c r="AR6" s="791" t="s">
        <v>169</v>
      </c>
      <c r="AS6" s="791" t="s">
        <v>255</v>
      </c>
      <c r="AT6" s="784" t="s">
        <v>258</v>
      </c>
      <c r="AU6" s="25" t="s">
        <v>1284</v>
      </c>
      <c r="AV6" s="25" t="s">
        <v>1285</v>
      </c>
      <c r="AW6" s="25" t="s">
        <v>1284</v>
      </c>
      <c r="AX6" s="25" t="s">
        <v>1285</v>
      </c>
      <c r="AY6" s="25" t="s">
        <v>1284</v>
      </c>
      <c r="AZ6" s="25" t="s">
        <v>1285</v>
      </c>
    </row>
    <row r="7" spans="1:52" s="25" customFormat="1" ht="60" customHeight="1">
      <c r="A7" s="784"/>
      <c r="B7" s="794"/>
      <c r="C7" s="785"/>
      <c r="D7" s="785"/>
      <c r="E7" s="785"/>
      <c r="F7" s="791"/>
      <c r="G7" s="791"/>
      <c r="H7" s="785"/>
      <c r="I7" s="785"/>
      <c r="J7" s="785"/>
      <c r="K7" s="791"/>
      <c r="L7" s="791"/>
      <c r="M7" s="785"/>
      <c r="N7" s="785"/>
      <c r="O7" s="785"/>
      <c r="P7" s="791"/>
      <c r="Q7" s="791"/>
      <c r="R7" s="793"/>
      <c r="S7" s="785"/>
      <c r="T7" s="785"/>
      <c r="U7" s="792"/>
      <c r="V7" s="795"/>
      <c r="W7" s="785" t="s">
        <v>183</v>
      </c>
      <c r="X7" s="817" t="s">
        <v>184</v>
      </c>
      <c r="Z7" s="31"/>
      <c r="AA7" s="785"/>
      <c r="AB7" s="785"/>
      <c r="AC7" s="785"/>
      <c r="AD7" s="792"/>
      <c r="AE7" s="792"/>
      <c r="AF7" s="785"/>
      <c r="AG7" s="785"/>
      <c r="AH7" s="785"/>
      <c r="AI7" s="791"/>
      <c r="AJ7" s="791"/>
      <c r="AK7" s="785"/>
      <c r="AL7" s="785"/>
      <c r="AM7" s="785"/>
      <c r="AN7" s="791"/>
      <c r="AO7" s="791"/>
      <c r="AP7" s="814"/>
      <c r="AQ7" s="792"/>
      <c r="AR7" s="792"/>
      <c r="AS7" s="792"/>
      <c r="AT7" s="784"/>
    </row>
    <row r="8" spans="1:52" s="25" customFormat="1" ht="38.25" customHeight="1">
      <c r="A8" s="784"/>
      <c r="B8" s="33" t="s">
        <v>190</v>
      </c>
      <c r="C8" s="168" t="s">
        <v>259</v>
      </c>
      <c r="D8" s="168" t="s">
        <v>260</v>
      </c>
      <c r="E8" s="168" t="s">
        <v>261</v>
      </c>
      <c r="F8" s="168" t="s">
        <v>98</v>
      </c>
      <c r="G8" s="168" t="s">
        <v>100</v>
      </c>
      <c r="H8" s="168" t="s">
        <v>101</v>
      </c>
      <c r="I8" s="168" t="s">
        <v>102</v>
      </c>
      <c r="J8" s="168" t="s">
        <v>103</v>
      </c>
      <c r="K8" s="168" t="s">
        <v>262</v>
      </c>
      <c r="L8" s="168" t="s">
        <v>228</v>
      </c>
      <c r="M8" s="168" t="s">
        <v>263</v>
      </c>
      <c r="N8" s="168" t="s">
        <v>264</v>
      </c>
      <c r="O8" s="168" t="s">
        <v>265</v>
      </c>
      <c r="P8" s="168" t="s">
        <v>266</v>
      </c>
      <c r="Q8" s="168" t="s">
        <v>267</v>
      </c>
      <c r="R8" s="168" t="s">
        <v>268</v>
      </c>
      <c r="S8" s="168" t="s">
        <v>269</v>
      </c>
      <c r="T8" s="168" t="s">
        <v>270</v>
      </c>
      <c r="U8" s="168" t="s">
        <v>271</v>
      </c>
      <c r="V8" s="795"/>
      <c r="W8" s="785"/>
      <c r="X8" s="818"/>
      <c r="Z8" s="57" t="e">
        <f>①基本情報!F9</f>
        <v>#N/A</v>
      </c>
      <c r="AA8" s="168" t="s">
        <v>238</v>
      </c>
      <c r="AB8" s="168" t="s">
        <v>239</v>
      </c>
      <c r="AC8" s="168" t="s">
        <v>240</v>
      </c>
      <c r="AD8" s="168" t="s">
        <v>241</v>
      </c>
      <c r="AE8" s="168" t="s">
        <v>242</v>
      </c>
      <c r="AF8" s="168" t="s">
        <v>421</v>
      </c>
      <c r="AG8" s="168" t="s">
        <v>422</v>
      </c>
      <c r="AH8" s="168" t="s">
        <v>423</v>
      </c>
      <c r="AI8" s="168" t="s">
        <v>424</v>
      </c>
      <c r="AJ8" s="168" t="s">
        <v>425</v>
      </c>
      <c r="AK8" s="168" t="s">
        <v>426</v>
      </c>
      <c r="AL8" s="168" t="s">
        <v>427</v>
      </c>
      <c r="AM8" s="168" t="s">
        <v>428</v>
      </c>
      <c r="AN8" s="168" t="s">
        <v>429</v>
      </c>
      <c r="AO8" s="168" t="s">
        <v>430</v>
      </c>
      <c r="AP8" s="168" t="s">
        <v>431</v>
      </c>
      <c r="AQ8" s="168" t="s">
        <v>432</v>
      </c>
      <c r="AR8" s="168" t="s">
        <v>433</v>
      </c>
      <c r="AS8" s="25" t="s">
        <v>434</v>
      </c>
      <c r="AT8" s="784"/>
    </row>
    <row r="9" spans="1:52" s="35" customFormat="1" ht="37.5" customHeight="1">
      <c r="A9" s="173">
        <v>4</v>
      </c>
      <c r="B9" s="338">
        <f>'②-2勤務時間数入力'!AH7</f>
        <v>0</v>
      </c>
      <c r="C9" s="337">
        <f>COUNTIFS('②-1職員名簿'!$L$7:$L$106,"有",'②-1職員名簿'!AP$7:AP$106,"C",'②-2勤務時間数入力'!F$7:F$106,"正")</f>
        <v>0</v>
      </c>
      <c r="D9" s="337">
        <f>COUNTIFS('②-1職員名簿'!$L$7:$L$106,"有",'②-1職員名簿'!AP$7:AP$106,"C",'②-2勤務時間数入力'!$C$7:$C$106,"常勤的非常勤",'②-2勤務時間数入力'!R$7:R$106,"常")</f>
        <v>0</v>
      </c>
      <c r="E9" s="337">
        <f>SUMIFS('②-2勤務時間数入力'!R$7:R$106,'②-1職員名簿'!$L$7:$L$106,"有",'②-1職員名簿'!AP$7:AP$106,"C",'②-1職員名簿'!$C$7:$C$106,"パート")</f>
        <v>0</v>
      </c>
      <c r="F9" s="337">
        <f>COUNTIFS('②-1職員名簿'!$L$7:$L$106,"有",'②-1職員名簿'!AP$7:AP$106,"C",'②-2勤務時間数入力'!$C$7:$C$106,"嘱託常勤",'②-2勤務時間数入力'!R$7:R$106,"常")</f>
        <v>0</v>
      </c>
      <c r="G9" s="337">
        <f>SUMIFS('②-2勤務時間数入力'!R$7:R$106,'②-1職員名簿'!$L$7:$L$106,"有",'②-1職員名簿'!AP$7:AP$106,"C",'②-1職員名簿'!$C$7:$C$106,"嘱託等")</f>
        <v>0</v>
      </c>
      <c r="H9" s="337">
        <f>COUNTIFS('②-1職員名簿'!$M$7:$M$106,"有",'②-1職員名簿'!AP$7:AP$106,"C",'②-2勤務時間数入力'!F$7:F$106,"正",'②-1職員名簿'!$L$7:$L$106,"")</f>
        <v>0</v>
      </c>
      <c r="I9" s="337">
        <f>COUNTIFS('②-1職員名簿'!$M$7:$M$106,"有",'②-1職員名簿'!AP$7:AP$106,"C",'②-2勤務時間数入力'!$C$7:$C$106,"常勤的非常勤",'②-2勤務時間数入力'!R$7:R$106,"常",'②-1職員名簿'!$L$7:$L$106,"")</f>
        <v>0</v>
      </c>
      <c r="J9" s="337">
        <f>SUMIFS('②-2勤務時間数入力'!R$7:R$106,'②-1職員名簿'!$M$7:$M$106,"有",'②-1職員名簿'!AP$7:AP$106,"C",'②-1職員名簿'!$C$7:$C$106,"パート",'②-1職員名簿'!$L$7:$L$106,"")</f>
        <v>0</v>
      </c>
      <c r="K9" s="337">
        <f>COUNTIFS('②-1職員名簿'!$M$7:$M$106,"有",'②-1職員名簿'!AP$7:AP$106,"C",'②-2勤務時間数入力'!$C$7:$C$106,"嘱託常勤",'②-2勤務時間数入力'!R$7:R$106,"常",'②-1職員名簿'!$L$7:$L$106,"")</f>
        <v>0</v>
      </c>
      <c r="L9" s="337">
        <f>SUMIFS('②-2勤務時間数入力'!R$7:R$106,'②-1職員名簿'!$M$7:$M$106,"有",'②-1職員名簿'!AP$7:AP$106,"C",'②-1職員名簿'!$C$7:$C$106,"嘱託等",'②-1職員名簿'!$L$7:$L$106,"")</f>
        <v>0</v>
      </c>
      <c r="M9" s="337">
        <f>COUNTIFS('②-1職員名簿'!$N$7:$N$106,"有",'②-1職員名簿'!AP$7:AP$106,"C",'②-2勤務時間数入力'!F$7:F$106,"正",'②-1職員名簿'!$L$7:$L$106,"",'②-1職員名簿'!$M$7:$M$106,"")</f>
        <v>0</v>
      </c>
      <c r="N9" s="337">
        <f>COUNTIFS('②-1職員名簿'!$N$7:$N$106,"有",'②-1職員名簿'!AP$7:AP$106,"C",'②-2勤務時間数入力'!$C$7:$C$106,"常勤的非常勤",'②-2勤務時間数入力'!R$7:R$106,"常",'②-1職員名簿'!$L$7:$L$106,"",'②-1職員名簿'!$M$7:$M$106,"")</f>
        <v>0</v>
      </c>
      <c r="O9" s="337">
        <f>SUMIFS('②-2勤務時間数入力'!R$7:R$106,'②-1職員名簿'!$N$7:$N$106,"有",'②-1職員名簿'!AP$7:AP$106,"C",'②-1職員名簿'!$C$7:$C$106,"パート",'②-1職員名簿'!$L$7:$L$106,"",'②-1職員名簿'!$M$7:$M$106,"")</f>
        <v>0</v>
      </c>
      <c r="P9" s="337">
        <f>COUNTIFS('②-1職員名簿'!$N$7:$N$106,"有",'②-1職員名簿'!AP$7:AP$106,"C",'②-2勤務時間数入力'!$C$7:$C$106,"嘱託常勤",'②-2勤務時間数入力'!R$7:R$106,"常",'②-1職員名簿'!$L$7:$L$106,"",'②-1職員名簿'!$M$7:$M$106,"")</f>
        <v>0</v>
      </c>
      <c r="Q9" s="337">
        <f>SUMIFS('②-2勤務時間数入力'!R$7:R$106,'②-1職員名簿'!$N$7:$N$106,"有",'②-1職員名簿'!AP$7:AP$106,"C",'②-1職員名簿'!$C$7:$C$106,"嘱託等",'②-1職員名簿'!$L$7:$L$106,"",'②-1職員名簿'!$M$7:$M$106,"")</f>
        <v>0</v>
      </c>
      <c r="R9" s="340">
        <f>COUNTIFS('②-1職員名簿'!$W$7:$W$106,"園長",'②-1職員名簿'!AP$7:AP$106,"C")</f>
        <v>0</v>
      </c>
      <c r="S9" s="341">
        <f t="shared" ref="S9" si="0">C9+H9+M9-R9</f>
        <v>0</v>
      </c>
      <c r="T9" s="336">
        <f t="shared" ref="T9" si="1">D9+F9+I9+K9+N9+P9</f>
        <v>0</v>
      </c>
      <c r="U9" s="342" t="e">
        <f t="shared" ref="U9" si="2">ROUNDDOWN((E9+G9+J9+L9+O9+Q9)/B9,3)</f>
        <v>#DIV/0!</v>
      </c>
      <c r="V9" s="342" t="e">
        <f t="shared" ref="V9" si="3">+S9+T9+U9</f>
        <v>#DIV/0!</v>
      </c>
      <c r="W9" s="542" t="e">
        <f>MIN(V9,1)</f>
        <v>#DIV/0!</v>
      </c>
      <c r="X9" s="342" t="e">
        <f>MIN(1,V9-W9)</f>
        <v>#DIV/0!</v>
      </c>
      <c r="Y9" s="343"/>
      <c r="Z9" s="339" t="e">
        <f t="shared" ref="Z9:Z20" si="4">IF($Z$8&gt;=151,3,IF($Z$8&gt;=41,2,1))</f>
        <v>#N/A</v>
      </c>
      <c r="AA9" s="340">
        <f>COUNTIFS('②-1職員名簿'!AP$7:AP$106,"D",'②-2勤務時間数入力'!F$7:F$106,"正")</f>
        <v>0</v>
      </c>
      <c r="AB9" s="337">
        <f>COUNTIFS('②-1職員名簿'!AP$7:AP$106,"D",'②-2勤務時間数入力'!$C$7:$C$106,"常勤的非常勤",'②-2勤務時間数入力'!R$7:R$106,"常")</f>
        <v>0</v>
      </c>
      <c r="AC9" s="337">
        <f>SUMIFS('②-2勤務時間数入力'!R$7:R$106,'②-1職員名簿'!AP$7:AP$106,"D",'②-1職員名簿'!$C$7:$C$106,"パート")</f>
        <v>0</v>
      </c>
      <c r="AD9" s="337">
        <f>COUNTIFS('②-1職員名簿'!AP$7:AP$106,"D",'②-2勤務時間数入力'!$C$7:$C$106,"嘱託常勤",'②-2勤務時間数入力'!R$7:R$106,"常")</f>
        <v>0</v>
      </c>
      <c r="AE9" s="337">
        <f>SUMIFS('②-2勤務時間数入力'!R$7:R$106,'②-1職員名簿'!AP$7:AP$106,"D",'②-1職員名簿'!$C$7:$C$106,"嘱託等")</f>
        <v>0</v>
      </c>
      <c r="AF9" s="340">
        <f>COUNTIFS('②-1職員名簿'!$P$7:$P$106,"有",'②-1職員名簿'!AP$7:AP$106,"E",'②-2勤務時間数入力'!F$7:F$106,"正",'②-1職員名簿'!$O$7:$O$106,"")</f>
        <v>0</v>
      </c>
      <c r="AG9" s="337">
        <f>COUNTIFS('②-1職員名簿'!$P$7:$P$106,"有",'②-1職員名簿'!AP$7:AP$106,"E",'②-2勤務時間数入力'!$C$7:$C$106,"常勤的非常勤",'②-2勤務時間数入力'!R$7:R$106,"常",'②-1職員名簿'!$O$7:$O$106,"")</f>
        <v>0</v>
      </c>
      <c r="AH9" s="337">
        <f>SUMIFS('②-2勤務時間数入力'!R$7:R$106,'②-1職員名簿'!AP$7:AP$106,"E",'②-1職員名簿'!$P$7:$P$106,"有",'②-1職員名簿'!$C$7:$C$106,"パート",'②-1職員名簿'!$O$7:$O$106,"")</f>
        <v>0</v>
      </c>
      <c r="AI9" s="337">
        <f>COUNTIFS('②-1職員名簿'!$P$7:$P$106,"有",'②-1職員名簿'!AP$7:AP$106,"E",'②-2勤務時間数入力'!$C$7:$C$106,"嘱託常勤",'②-2勤務時間数入力'!R$7:R$106,"常",'②-1職員名簿'!$O$7:$O$106,"")</f>
        <v>0</v>
      </c>
      <c r="AJ9" s="337">
        <f>SUMIFS('②-2勤務時間数入力'!R$7:R$106,'②-1職員名簿'!AP$7:AP$106,"E",'②-1職員名簿'!$P$7:$P$106,"有",'②-1職員名簿'!$C$7:$C$106,"嘱託等",'②-1職員名簿'!$O$7:$O$106,"")</f>
        <v>0</v>
      </c>
      <c r="AK9" s="344">
        <f>COUNTIFS('②-1職員名簿'!AP$7:AP$106,"E",'②-2勤務時間数入力'!F$7:F$106,"正",'②-1職員名簿'!$P$7:$P$106,"")</f>
        <v>0</v>
      </c>
      <c r="AL9" s="345">
        <f>COUNTIFS('②-1職員名簿'!AP$7:AP$106,"E",'②-2勤務時間数入力'!$C$7:$C$106,"常勤的非常勤",'②-2勤務時間数入力'!R$7:R$106,"常",'②-1職員名簿'!$P$7:$P$106,"")</f>
        <v>0</v>
      </c>
      <c r="AM9" s="345">
        <f>SUMIFS('②-2勤務時間数入力'!R$7:R$106,'②-1職員名簿'!AP$7:AP$106,"E",'②-1職員名簿'!$C$7:$C$106,"パート",'②-1職員名簿'!$P$7:$P$106,"")</f>
        <v>0</v>
      </c>
      <c r="AN9" s="345">
        <f>COUNTIFS('②-1職員名簿'!AP$7:AP$106,"E",'②-2勤務時間数入力'!$C$7:$C$106,"嘱託常勤",'②-2勤務時間数入力'!R$7:R$106,"常",'②-1職員名簿'!$P$7:$P$106,"")</f>
        <v>0</v>
      </c>
      <c r="AO9" s="345">
        <f>SUMIFS('②-2勤務時間数入力'!R$7:R$106,'②-1職員名簿'!AP$7:AP$106,"E",'②-1職員名簿'!$C$7:$C$106,"嘱託等",'②-1職員名簿'!$P$7:$P$106,"")</f>
        <v>0</v>
      </c>
      <c r="AP9" s="260">
        <f>AU9+AV9</f>
        <v>0</v>
      </c>
      <c r="AQ9" s="260">
        <f>AA9+AF9+AK9-AP9</f>
        <v>0</v>
      </c>
      <c r="AR9" s="260">
        <f t="shared" ref="AR9:AR20" si="5">+AB9+AD9+AG9+AI9+AL9+AN9</f>
        <v>0</v>
      </c>
      <c r="AS9" s="261" t="e">
        <f t="shared" ref="AS9:AS20" si="6">ROUNDDOWN((AC9+AE9+AH9+AJ9+AM9+AO9)/B9,3)</f>
        <v>#DIV/0!</v>
      </c>
      <c r="AT9" s="262" t="e">
        <f>+AQ9+AR9+AS9</f>
        <v>#DIV/0!</v>
      </c>
      <c r="AU9" s="329">
        <f>COUNTIFS('②-1職員名簿'!$W$7:$W$106,"園長",'②-1職員名簿'!AP$7:AP$106,"D")</f>
        <v>0</v>
      </c>
      <c r="AV9" s="329">
        <f>COUNTIFS('②-1職員名簿'!$W$7:$W$106,"園長",'②-1職員名簿'!$P$7:$P$106,"有",'②-1職員名簿'!AP$7:AP$106,"E")</f>
        <v>0</v>
      </c>
      <c r="AW9" s="263" t="e">
        <f t="shared" ref="AW9" si="7">SUM(AA9:AB9,AD9,ROUNDDOWN((AC9+AE9)/B9,3))-AU9</f>
        <v>#DIV/0!</v>
      </c>
      <c r="AX9" s="263" t="e">
        <f t="shared" ref="AX9" si="8">SUM(AF9:AG9,AK9:AL9,AI9,AN9,ROUNDDOWN(SUM(AH9,AJ9,AM9,AO9)/B9,3))-AV9</f>
        <v>#DIV/0!</v>
      </c>
      <c r="AY9" s="263" t="e">
        <f t="shared" ref="AY9" si="9">IF(AND($Z9&gt;0,$AT9&gt;$Z9),MAX(AW9-Z9,0),0)</f>
        <v>#N/A</v>
      </c>
      <c r="AZ9" s="264" t="e">
        <f>IF(AND($Z9&gt;0,$AT9&gt;$Z9),AT9-Z9-AY9,0)</f>
        <v>#N/A</v>
      </c>
    </row>
    <row r="10" spans="1:52" s="35" customFormat="1" ht="36" customHeight="1">
      <c r="A10" s="280">
        <v>5</v>
      </c>
      <c r="B10" s="338">
        <f>'②-2勤務時間数入力'!AH8</f>
        <v>0</v>
      </c>
      <c r="C10" s="337">
        <f>COUNTIFS('②-1職員名簿'!$L$7:$L$106,"有",'②-1職員名簿'!AD$7:AD$106,"○",'②-2勤務時間数入力'!G$7:G$106,"正")</f>
        <v>0</v>
      </c>
      <c r="D10" s="337">
        <f>COUNTIFS('②-1職員名簿'!$L$7:$L$106,"有",'②-2勤務時間数入力'!$C$7:$C$106,"常勤的非常勤",'②-2勤務時間数入力'!S$7:S$106,"常")</f>
        <v>0</v>
      </c>
      <c r="E10" s="337">
        <f>SUMIFS('②-2勤務時間数入力'!S$7:S$106,'②-1職員名簿'!$L$7:$L$106,"有",'②-1職員名簿'!$C$7:$C$106,"パート")</f>
        <v>0</v>
      </c>
      <c r="F10" s="337">
        <f>COUNTIFS('②-1職員名簿'!$L$7:$L$106,"有",'②-2勤務時間数入力'!$C$7:$C$106,"嘱託常勤",'②-2勤務時間数入力'!S$7:S$106,"常")</f>
        <v>0</v>
      </c>
      <c r="G10" s="337">
        <f>SUMIFS('②-2勤務時間数入力'!S$7:S$106,'②-1職員名簿'!$L$7:$L$106,"有",'②-1職員名簿'!$C$7:$C$106,"嘱託等")</f>
        <v>0</v>
      </c>
      <c r="H10" s="346">
        <f>COUNTIFS('②-1職員名簿'!$M$7:$M$106,"有",'②-1職員名簿'!AQ$7:AQ$106,"C",'②-2勤務時間数入力'!G$7:G$106,"正",'②-1職員名簿'!$L$7:$L$106,"")</f>
        <v>0</v>
      </c>
      <c r="I10" s="346">
        <f>COUNTIFS('②-1職員名簿'!$M$7:$M$106,"有",'②-1職員名簿'!AQ$7:AQ$106,"C",'②-2勤務時間数入力'!$C$7:$C$106,"常勤的非常勤",'②-2勤務時間数入力'!S$7:S$106,"常",'②-1職員名簿'!$L$7:$L$106,"")</f>
        <v>0</v>
      </c>
      <c r="J10" s="346">
        <f>SUMIFS('②-2勤務時間数入力'!S$7:S$106,'②-1職員名簿'!$M$7:$M$106,"有",'②-1職員名簿'!AQ$7:AQ$106,"C",'②-1職員名簿'!$C$7:$C$106,"パート",'②-1職員名簿'!$L$7:$L$106,"")</f>
        <v>0</v>
      </c>
      <c r="K10" s="346">
        <f>COUNTIFS('②-1職員名簿'!$M$7:$M$106,"有",'②-1職員名簿'!AQ$7:AQ$106,"C",'②-2勤務時間数入力'!$C$7:$C$106,"嘱託常勤",'②-2勤務時間数入力'!S$7:S$106,"常",'②-1職員名簿'!$L$7:$L$106,"")</f>
        <v>0</v>
      </c>
      <c r="L10" s="346">
        <f>SUMIFS('②-2勤務時間数入力'!S$7:S$106,'②-1職員名簿'!$M$7:$M$106,"有",'②-1職員名簿'!AQ$7:AQ$106,"C",'②-1職員名簿'!$C$7:$C$106,"嘱託等",'②-1職員名簿'!$L$7:$L$106,"")</f>
        <v>0</v>
      </c>
      <c r="M10" s="346">
        <f>COUNTIFS('②-1職員名簿'!$N$7:$N$106,"有",'②-1職員名簿'!AQ$7:AQ$106,"C",'②-2勤務時間数入力'!G$7:G$106,"正",'②-1職員名簿'!$L$7:$L$106,"",'②-1職員名簿'!$M$7:$M$106,"")</f>
        <v>0</v>
      </c>
      <c r="N10" s="346">
        <f>COUNTIFS('②-1職員名簿'!$N$7:$N$106,"有",'②-1職員名簿'!AQ$7:AQ$106,"C",'②-2勤務時間数入力'!$C$7:$C$106,"常勤的非常勤",'②-2勤務時間数入力'!S$7:S$106,"常",'②-1職員名簿'!$L$7:$L$106,"",'②-1職員名簿'!$M$7:$M$106,"")</f>
        <v>0</v>
      </c>
      <c r="O10" s="346">
        <f>SUMIFS('②-2勤務時間数入力'!S$7:S$106,'②-1職員名簿'!$N$7:$N$106,"有",'②-1職員名簿'!AQ$7:AQ$106,"C",'②-1職員名簿'!$C$7:$C$106,"パート",'②-1職員名簿'!$L$7:$L$106,"",'②-1職員名簿'!$M$7:$M$106,"")</f>
        <v>0</v>
      </c>
      <c r="P10" s="346">
        <f>COUNTIFS('②-1職員名簿'!$N$7:$N$106,"有",'②-1職員名簿'!AQ$7:AQ$106,"C",'②-2勤務時間数入力'!$C$7:$C$106,"嘱託常勤",'②-2勤務時間数入力'!S$7:S$106,"常",'②-1職員名簿'!$L$7:$L$106,"",'②-1職員名簿'!$M$7:$M$106,"")</f>
        <v>0</v>
      </c>
      <c r="Q10" s="346">
        <f>SUMIFS('②-2勤務時間数入力'!S$7:S$106,'②-1職員名簿'!$N$7:$N$106,"有",'②-1職員名簿'!AQ$7:AQ$106,"C",'②-1職員名簿'!$C$7:$C$106,"嘱託等",'②-1職員名簿'!$L$7:$L$106,"",'②-1職員名簿'!$M$7:$M$106,"")</f>
        <v>0</v>
      </c>
      <c r="R10" s="346">
        <f>COUNTIFS('②-1職員名簿'!$W$7:$W$106,"園長",'②-1職員名簿'!AQ$7:AQ$106,"C")</f>
        <v>0</v>
      </c>
      <c r="S10" s="341">
        <f t="shared" ref="S10:S20" si="10">C10+H10+M10-R10</f>
        <v>0</v>
      </c>
      <c r="T10" s="336">
        <f t="shared" ref="T10:T20" si="11">D10+F10+I10+K10+N10+P10</f>
        <v>0</v>
      </c>
      <c r="U10" s="342" t="e">
        <f t="shared" ref="U10:U20" si="12">ROUNDDOWN((E10+G10+J10+L10+O10+Q10)/B10,3)</f>
        <v>#DIV/0!</v>
      </c>
      <c r="V10" s="342" t="e">
        <f t="shared" ref="V10:V20" si="13">+S10+T10+U10</f>
        <v>#DIV/0!</v>
      </c>
      <c r="W10" s="542" t="e">
        <f>MIN(V10,1)</f>
        <v>#DIV/0!</v>
      </c>
      <c r="X10" s="342" t="e">
        <f t="shared" ref="X10:X20" si="14">MIN(1,V10-W10)</f>
        <v>#DIV/0!</v>
      </c>
      <c r="Y10" s="343"/>
      <c r="Z10" s="339" t="e">
        <f t="shared" si="4"/>
        <v>#N/A</v>
      </c>
      <c r="AA10" s="340">
        <f>COUNTIFS('②-1職員名簿'!AQ$7:AQ$106,"D",'②-2勤務時間数入力'!G$7:G$106,"正")</f>
        <v>0</v>
      </c>
      <c r="AB10" s="337">
        <f>COUNTIFS('②-1職員名簿'!AQ$7:AQ$106,"D",'②-2勤務時間数入力'!$C$7:$C$106,"常勤的非常勤",'②-2勤務時間数入力'!S$7:S$106,"常")</f>
        <v>0</v>
      </c>
      <c r="AC10" s="337">
        <f>SUMIFS('②-2勤務時間数入力'!S$7:S$106,'②-1職員名簿'!AQ$7:AQ$106,"D",'②-1職員名簿'!$C$7:$C$106,"パート")</f>
        <v>0</v>
      </c>
      <c r="AD10" s="337">
        <f>COUNTIFS('②-1職員名簿'!AQ$7:AQ$106,"D",'②-2勤務時間数入力'!$C$7:$C$106,"嘱託常勤",'②-2勤務時間数入力'!S$7:S$106,"常")</f>
        <v>0</v>
      </c>
      <c r="AE10" s="337">
        <f>SUMIFS('②-2勤務時間数入力'!S$7:S$106,'②-1職員名簿'!AQ$7:AQ$106,"D",'②-1職員名簿'!$C$7:$C$106,"嘱託等")</f>
        <v>0</v>
      </c>
      <c r="AF10" s="340">
        <f>COUNTIFS('②-1職員名簿'!$P$7:$P$106,"有",'②-1職員名簿'!AQ$7:AQ$106,"E",'②-2勤務時間数入力'!G$7:G$106,"正",'②-1職員名簿'!$O$7:$O$106,"")</f>
        <v>0</v>
      </c>
      <c r="AG10" s="337">
        <f>COUNTIFS('②-1職員名簿'!$P$7:$P$106,"有",'②-1職員名簿'!AQ$7:AQ$106,"E",'②-2勤務時間数入力'!$C$7:$C$106,"常勤的非常勤",'②-2勤務時間数入力'!S$7:S$106,"常",'②-1職員名簿'!$O$7:$O$106,"")</f>
        <v>0</v>
      </c>
      <c r="AH10" s="337">
        <f>SUMIFS('②-2勤務時間数入力'!S$7:S$106,'②-1職員名簿'!AQ$7:AQ$106,"E",'②-1職員名簿'!$P$7:$P$106,"有",'②-1職員名簿'!$C$7:$C$106,"パート",'②-1職員名簿'!$O$7:$O$106,"")</f>
        <v>0</v>
      </c>
      <c r="AI10" s="337">
        <f>COUNTIFS('②-1職員名簿'!$P$7:$P$106,"有",'②-1職員名簿'!AQ$7:AQ$106,"E",'②-2勤務時間数入力'!$C$7:$C$106,"嘱託常勤",'②-2勤務時間数入力'!S$7:S$106,"常",'②-1職員名簿'!$O$7:$O$106,"")</f>
        <v>0</v>
      </c>
      <c r="AJ10" s="337">
        <f>SUMIFS('②-2勤務時間数入力'!S$7:S$106,'②-1職員名簿'!AQ$7:AQ$106,"E",'②-1職員名簿'!$P$7:$P$106,"有",'②-1職員名簿'!$C$7:$C$106,"嘱託等",'②-1職員名簿'!$O$7:$O$106,"")</f>
        <v>0</v>
      </c>
      <c r="AK10" s="344">
        <f>COUNTIFS('②-1職員名簿'!AQ$7:AQ$106,"E",'②-2勤務時間数入力'!G$7:G$106,"正",'②-1職員名簿'!$P$7:$P$106,"")</f>
        <v>0</v>
      </c>
      <c r="AL10" s="345">
        <f>COUNTIFS('②-1職員名簿'!AQ$7:AQ$106,"E",'②-2勤務時間数入力'!$C$7:$C$106,"常勤的非常勤",'②-2勤務時間数入力'!S$7:S$106,"常",'②-1職員名簿'!$P$7:$P$106,"")</f>
        <v>0</v>
      </c>
      <c r="AM10" s="345">
        <f>SUMIFS('②-2勤務時間数入力'!S$7:S$106,'②-1職員名簿'!AQ$7:AQ$106,"E",'②-1職員名簿'!$C$7:$C$106,"パート",'②-1職員名簿'!$P$7:$P$106,"")</f>
        <v>0</v>
      </c>
      <c r="AN10" s="345">
        <f>COUNTIFS('②-1職員名簿'!AQ$7:AQ$106,"E",'②-2勤務時間数入力'!$C$7:$C$106,"嘱託常勤",'②-2勤務時間数入力'!S$7:S$106,"常",'②-1職員名簿'!$P$7:$P$106,"")</f>
        <v>0</v>
      </c>
      <c r="AO10" s="345">
        <f>SUMIFS('②-2勤務時間数入力'!S$7:S$106,'②-1職員名簿'!AQ$7:AQ$106,"E",'②-1職員名簿'!$C$7:$C$106,"嘱託等",'②-1職員名簿'!$P$7:$P$106,"")</f>
        <v>0</v>
      </c>
      <c r="AP10" s="260">
        <f t="shared" ref="AP10:AP20" si="15">AU10+AV10</f>
        <v>0</v>
      </c>
      <c r="AQ10" s="260">
        <f>AA10+AF10+AK10-AP10</f>
        <v>0</v>
      </c>
      <c r="AR10" s="260">
        <f t="shared" si="5"/>
        <v>0</v>
      </c>
      <c r="AS10" s="261" t="e">
        <f t="shared" si="6"/>
        <v>#DIV/0!</v>
      </c>
      <c r="AT10" s="262" t="e">
        <f t="shared" ref="AT10:AT20" si="16">+AQ10+AR10+AS10</f>
        <v>#DIV/0!</v>
      </c>
      <c r="AU10" s="330">
        <f>COUNTIFS('②-1職員名簿'!$W$7:$W$106,"園長",'②-1職員名簿'!AQ$7:AQ$106,"D")</f>
        <v>0</v>
      </c>
      <c r="AV10" s="331">
        <f>COUNTIFS('②-1職員名簿'!$W$7:$W$106,"園長",'②-1職員名簿'!$P$7:$P$106,"有",'②-1職員名簿'!AQ$7:AQ$106,"E")</f>
        <v>0</v>
      </c>
      <c r="AW10" s="263" t="e">
        <f t="shared" ref="AW10:AW20" si="17">SUM(AA10:AB10,AD10,ROUNDDOWN((AC10+AE10)/B10,3))-AU10</f>
        <v>#DIV/0!</v>
      </c>
      <c r="AX10" s="263" t="e">
        <f t="shared" ref="AX10:AX20" si="18">SUM(AF10:AG10,AK10:AL10,AI10,AN10,ROUNDDOWN(SUM(AH10,AJ10,AM10,AO10)/B10,3))-AV10</f>
        <v>#DIV/0!</v>
      </c>
      <c r="AY10" s="263" t="e">
        <f t="shared" ref="AY10:AY20" si="19">IF(AND($Z10&gt;0,$AT10&gt;$Z10),MAX(AW10-Z10,0),0)</f>
        <v>#N/A</v>
      </c>
      <c r="AZ10" s="264" t="e">
        <f t="shared" ref="AZ10:AZ20" si="20">IF(AND($Z10&gt;0,$AT10&gt;$Z10),AT10-Z10-AY10,0)</f>
        <v>#N/A</v>
      </c>
    </row>
    <row r="11" spans="1:52" s="35" customFormat="1" ht="36" customHeight="1">
      <c r="A11" s="280">
        <v>6</v>
      </c>
      <c r="B11" s="338">
        <f>'②-2勤務時間数入力'!AH9</f>
        <v>0</v>
      </c>
      <c r="C11" s="337">
        <f>COUNTIFS('②-1職員名簿'!$L$7:$L$106,"有",'②-1職員名簿'!AE$7:AE$106,"○",'②-2勤務時間数入力'!H$7:H$106,"正")</f>
        <v>0</v>
      </c>
      <c r="D11" s="337">
        <f>COUNTIFS('②-1職員名簿'!$L$7:$L$106,"有",'②-2勤務時間数入力'!$C$7:$C$106,"常勤的非常勤",'②-2勤務時間数入力'!T$7:T$106,"常")</f>
        <v>0</v>
      </c>
      <c r="E11" s="337">
        <f>SUMIFS('②-2勤務時間数入力'!T$7:T$106,'②-1職員名簿'!$L$7:$L$106,"有",'②-1職員名簿'!$C$7:$C$106,"パート")</f>
        <v>0</v>
      </c>
      <c r="F11" s="337">
        <f>COUNTIFS('②-1職員名簿'!$L$7:$L$106,"有",'②-2勤務時間数入力'!$C$7:$C$106,"嘱託常勤",'②-2勤務時間数入力'!T$7:T$106,"常")</f>
        <v>0</v>
      </c>
      <c r="G11" s="337">
        <f>SUMIFS('②-2勤務時間数入力'!T$7:T$106,'②-1職員名簿'!$L$7:$L$106,"有",'②-1職員名簿'!$C$7:$C$106,"嘱託等")</f>
        <v>0</v>
      </c>
      <c r="H11" s="346">
        <f>COUNTIFS('②-1職員名簿'!$M$7:$M$106,"有",'②-1職員名簿'!AR$7:AR$106,"C",'②-2勤務時間数入力'!H$7:H$106,"正",'②-1職員名簿'!$L$7:$L$106,"")</f>
        <v>0</v>
      </c>
      <c r="I11" s="346">
        <f>COUNTIFS('②-1職員名簿'!$M$7:$M$106,"有",'②-1職員名簿'!AR$7:AR$106,"C",'②-2勤務時間数入力'!$C$7:$C$106,"常勤的非常勤",'②-2勤務時間数入力'!T$7:T$106,"常",'②-1職員名簿'!$L$7:$L$106,"")</f>
        <v>0</v>
      </c>
      <c r="J11" s="346">
        <f>SUMIFS('②-2勤務時間数入力'!T$7:T$106,'②-1職員名簿'!$M$7:$M$106,"有",'②-1職員名簿'!AR$7:AR$106,"C",'②-1職員名簿'!$C$7:$C$106,"パート",'②-1職員名簿'!$L$7:$L$106,"")</f>
        <v>0</v>
      </c>
      <c r="K11" s="346">
        <f>COUNTIFS('②-1職員名簿'!$M$7:$M$106,"有",'②-1職員名簿'!AR$7:AR$106,"C",'②-2勤務時間数入力'!$C$7:$C$106,"嘱託常勤",'②-2勤務時間数入力'!T$7:T$106,"常",'②-1職員名簿'!$L$7:$L$106,"")</f>
        <v>0</v>
      </c>
      <c r="L11" s="346">
        <f>SUMIFS('②-2勤務時間数入力'!T$7:T$106,'②-1職員名簿'!$M$7:$M$106,"有",'②-1職員名簿'!AR$7:AR$106,"C",'②-1職員名簿'!$C$7:$C$106,"嘱託等",'②-1職員名簿'!$L$7:$L$106,"")</f>
        <v>0</v>
      </c>
      <c r="M11" s="346">
        <f>COUNTIFS('②-1職員名簿'!$N$7:$N$106,"有",'②-1職員名簿'!AR$7:AR$106,"C",'②-2勤務時間数入力'!H$7:H$106,"正",'②-1職員名簿'!$L$7:$L$106,"",'②-1職員名簿'!$M$7:$M$106,"")</f>
        <v>0</v>
      </c>
      <c r="N11" s="346">
        <f>COUNTIFS('②-1職員名簿'!$N$7:$N$106,"有",'②-1職員名簿'!AR$7:AR$106,"C",'②-2勤務時間数入力'!$C$7:$C$106,"常勤的非常勤",'②-2勤務時間数入力'!T$7:T$106,"常",'②-1職員名簿'!$L$7:$L$106,"",'②-1職員名簿'!$M$7:$M$106,"")</f>
        <v>0</v>
      </c>
      <c r="O11" s="346">
        <f>SUMIFS('②-2勤務時間数入力'!T$7:T$106,'②-1職員名簿'!$N$7:$N$106,"有",'②-1職員名簿'!AR$7:AR$106,"C",'②-1職員名簿'!$C$7:$C$106,"パート",'②-1職員名簿'!$L$7:$L$106,"",'②-1職員名簿'!$M$7:$M$106,"")</f>
        <v>0</v>
      </c>
      <c r="P11" s="346">
        <f>COUNTIFS('②-1職員名簿'!$N$7:$N$106,"有",'②-1職員名簿'!AR$7:AR$106,"C",'②-2勤務時間数入力'!$C$7:$C$106,"嘱託常勤",'②-2勤務時間数入力'!T$7:T$106,"常",'②-1職員名簿'!$L$7:$L$106,"",'②-1職員名簿'!$M$7:$M$106,"")</f>
        <v>0</v>
      </c>
      <c r="Q11" s="346">
        <f>SUMIFS('②-2勤務時間数入力'!T$7:T$106,'②-1職員名簿'!$N$7:$N$106,"有",'②-1職員名簿'!AR$7:AR$106,"C",'②-1職員名簿'!$C$7:$C$106,"嘱託等",'②-1職員名簿'!$L$7:$L$106,"",'②-1職員名簿'!$M$7:$M$106,"")</f>
        <v>0</v>
      </c>
      <c r="R11" s="346">
        <f>COUNTIFS('②-1職員名簿'!$W$7:$W$106,"園長",'②-1職員名簿'!AR$7:AR$106,"C")</f>
        <v>0</v>
      </c>
      <c r="S11" s="341">
        <f t="shared" si="10"/>
        <v>0</v>
      </c>
      <c r="T11" s="336">
        <f t="shared" si="11"/>
        <v>0</v>
      </c>
      <c r="U11" s="342" t="e">
        <f t="shared" si="12"/>
        <v>#DIV/0!</v>
      </c>
      <c r="V11" s="342" t="e">
        <f t="shared" si="13"/>
        <v>#DIV/0!</v>
      </c>
      <c r="W11" s="542" t="e">
        <f t="shared" ref="W11:W20" si="21">MIN(V11,1)</f>
        <v>#DIV/0!</v>
      </c>
      <c r="X11" s="342" t="e">
        <f t="shared" si="14"/>
        <v>#DIV/0!</v>
      </c>
      <c r="Y11" s="343"/>
      <c r="Z11" s="339" t="e">
        <f t="shared" si="4"/>
        <v>#N/A</v>
      </c>
      <c r="AA11" s="340">
        <f>COUNTIFS('②-1職員名簿'!AR$7:AR$106,"D",'②-2勤務時間数入力'!H$7:H$106,"正")</f>
        <v>0</v>
      </c>
      <c r="AB11" s="337">
        <f>COUNTIFS('②-1職員名簿'!AR$7:AR$106,"D",'②-2勤務時間数入力'!$C$7:$C$106,"常勤的非常勤",'②-2勤務時間数入力'!T$7:T$106,"常")</f>
        <v>0</v>
      </c>
      <c r="AC11" s="337">
        <f>SUMIFS('②-2勤務時間数入力'!T$7:T$106,'②-1職員名簿'!AR$7:AR$106,"D",'②-1職員名簿'!$C$7:$C$106,"パート")</f>
        <v>0</v>
      </c>
      <c r="AD11" s="337">
        <f>COUNTIFS('②-1職員名簿'!AR$7:AR$106,"D",'②-2勤務時間数入力'!$C$7:$C$106,"嘱託常勤",'②-2勤務時間数入力'!T$7:T$106,"常")</f>
        <v>0</v>
      </c>
      <c r="AE11" s="337">
        <f>SUMIFS('②-2勤務時間数入力'!T$7:T$106,'②-1職員名簿'!AR$7:AR$106,"D",'②-1職員名簿'!$C$7:$C$106,"嘱託等")</f>
        <v>0</v>
      </c>
      <c r="AF11" s="340">
        <f>COUNTIFS('②-1職員名簿'!$P$7:$P$106,"有",'②-1職員名簿'!AR$7:AR$106,"E",'②-2勤務時間数入力'!H$7:H$106,"正",'②-1職員名簿'!$O$7:$O$106,"")</f>
        <v>0</v>
      </c>
      <c r="AG11" s="337">
        <f>COUNTIFS('②-1職員名簿'!$P$7:$P$106,"有",'②-1職員名簿'!AR$7:AR$106,"E",'②-2勤務時間数入力'!$C$7:$C$106,"常勤的非常勤",'②-2勤務時間数入力'!T$7:T$106,"常",'②-1職員名簿'!$O$7:$O$106,"")</f>
        <v>0</v>
      </c>
      <c r="AH11" s="337">
        <f>SUMIFS('②-2勤務時間数入力'!T$7:T$106,'②-1職員名簿'!AR$7:AR$106,"E",'②-1職員名簿'!$P$7:$P$106,"有",'②-1職員名簿'!$C$7:$C$106,"パート",'②-1職員名簿'!$O$7:$O$106,"")</f>
        <v>0</v>
      </c>
      <c r="AI11" s="337">
        <f>COUNTIFS('②-1職員名簿'!$P$7:$P$106,"有",'②-1職員名簿'!AR$7:AR$106,"E",'②-2勤務時間数入力'!$C$7:$C$106,"嘱託常勤",'②-2勤務時間数入力'!T$7:T$106,"常",'②-1職員名簿'!$O$7:$O$106,"")</f>
        <v>0</v>
      </c>
      <c r="AJ11" s="337">
        <f>SUMIFS('②-2勤務時間数入力'!T$7:T$106,'②-1職員名簿'!AR$7:AR$106,"E",'②-1職員名簿'!$P$7:$P$106,"有",'②-1職員名簿'!$C$7:$C$106,"嘱託等",'②-1職員名簿'!$O$7:$O$106,"")</f>
        <v>0</v>
      </c>
      <c r="AK11" s="344">
        <f>COUNTIFS('②-1職員名簿'!AR$7:AR$106,"E",'②-2勤務時間数入力'!H$7:H$106,"正",'②-1職員名簿'!$P$7:$P$106,"")</f>
        <v>0</v>
      </c>
      <c r="AL11" s="345">
        <f>COUNTIFS('②-1職員名簿'!AR$7:AR$106,"E",'②-2勤務時間数入力'!$C$7:$C$106,"常勤的非常勤",'②-2勤務時間数入力'!T$7:T$106,"常",'②-1職員名簿'!$P$7:$P$106,"")</f>
        <v>0</v>
      </c>
      <c r="AM11" s="345">
        <f>SUMIFS('②-2勤務時間数入力'!T$7:T$106,'②-1職員名簿'!AR$7:AR$106,"E",'②-1職員名簿'!$C$7:$C$106,"パート",'②-1職員名簿'!$P$7:$P$106,"")</f>
        <v>0</v>
      </c>
      <c r="AN11" s="345">
        <f>COUNTIFS('②-1職員名簿'!AR$7:AR$106,"E",'②-2勤務時間数入力'!$C$7:$C$106,"嘱託常勤",'②-2勤務時間数入力'!T$7:T$106,"常",'②-1職員名簿'!$P$7:$P$106,"")</f>
        <v>0</v>
      </c>
      <c r="AO11" s="345">
        <f>SUMIFS('②-2勤務時間数入力'!T$7:T$106,'②-1職員名簿'!AR$7:AR$106,"E",'②-1職員名簿'!$C$7:$C$106,"嘱託等",'②-1職員名簿'!$P$7:$P$106,"")</f>
        <v>0</v>
      </c>
      <c r="AP11" s="260">
        <f t="shared" si="15"/>
        <v>0</v>
      </c>
      <c r="AQ11" s="260">
        <f>AA11+AF11+AK11-AP11</f>
        <v>0</v>
      </c>
      <c r="AR11" s="260">
        <f t="shared" si="5"/>
        <v>0</v>
      </c>
      <c r="AS11" s="261" t="e">
        <f t="shared" si="6"/>
        <v>#DIV/0!</v>
      </c>
      <c r="AT11" s="262" t="e">
        <f t="shared" si="16"/>
        <v>#DIV/0!</v>
      </c>
      <c r="AU11" s="330">
        <f>COUNTIFS('②-1職員名簿'!$W$7:$W$106,"園長",'②-1職員名簿'!AR$7:AR$106,"D")</f>
        <v>0</v>
      </c>
      <c r="AV11" s="331">
        <f>COUNTIFS('②-1職員名簿'!$W$7:$W$106,"園長",'②-1職員名簿'!$P$7:$P$106,"有",'②-1職員名簿'!AR$7:AR$106,"E")</f>
        <v>0</v>
      </c>
      <c r="AW11" s="263" t="e">
        <f t="shared" si="17"/>
        <v>#DIV/0!</v>
      </c>
      <c r="AX11" s="263" t="e">
        <f t="shared" si="18"/>
        <v>#DIV/0!</v>
      </c>
      <c r="AY11" s="263" t="e">
        <f t="shared" si="19"/>
        <v>#N/A</v>
      </c>
      <c r="AZ11" s="264" t="e">
        <f t="shared" si="20"/>
        <v>#N/A</v>
      </c>
    </row>
    <row r="12" spans="1:52" s="35" customFormat="1" ht="36" customHeight="1">
      <c r="A12" s="280">
        <v>7</v>
      </c>
      <c r="B12" s="338">
        <f>'②-2勤務時間数入力'!AH10</f>
        <v>0</v>
      </c>
      <c r="C12" s="337">
        <f>COUNTIFS('②-1職員名簿'!$L$7:$L$106,"有",'②-1職員名簿'!AF$7:AF$106,"○",'②-2勤務時間数入力'!I$7:I$106,"正")</f>
        <v>0</v>
      </c>
      <c r="D12" s="337">
        <f>COUNTIFS('②-1職員名簿'!$L$7:$L$106,"有",'②-2勤務時間数入力'!$C$7:$C$106,"常勤的非常勤",'②-2勤務時間数入力'!U$7:U$106,"常")</f>
        <v>0</v>
      </c>
      <c r="E12" s="337">
        <f>SUMIFS('②-2勤務時間数入力'!U$7:U$106,'②-1職員名簿'!$L$7:$L$106,"有",'②-1職員名簿'!$C$7:$C$106,"パート")</f>
        <v>0</v>
      </c>
      <c r="F12" s="337">
        <f>COUNTIFS('②-1職員名簿'!$L$7:$L$106,"有",'②-2勤務時間数入力'!$C$7:$C$106,"嘱託常勤",'②-2勤務時間数入力'!U$7:U$106,"常")</f>
        <v>0</v>
      </c>
      <c r="G12" s="337">
        <f>SUMIFS('②-2勤務時間数入力'!U$7:U$106,'②-1職員名簿'!$L$7:$L$106,"有",'②-1職員名簿'!$C$7:$C$106,"嘱託等")</f>
        <v>0</v>
      </c>
      <c r="H12" s="346">
        <f>COUNTIFS('②-1職員名簿'!$M$7:$M$106,"有",'②-1職員名簿'!AS$7:AS$106,"C",'②-2勤務時間数入力'!I$7:I$106,"正",'②-1職員名簿'!$L$7:$L$106,"")</f>
        <v>0</v>
      </c>
      <c r="I12" s="346">
        <f>COUNTIFS('②-1職員名簿'!$M$7:$M$106,"有",'②-1職員名簿'!AS$7:AS$106,"C",'②-2勤務時間数入力'!$C$7:$C$106,"常勤的非常勤",'②-2勤務時間数入力'!U$7:U$106,"常",'②-1職員名簿'!$L$7:$L$106,"")</f>
        <v>0</v>
      </c>
      <c r="J12" s="346">
        <f>SUMIFS('②-2勤務時間数入力'!U$7:U$106,'②-1職員名簿'!$M$7:$M$106,"有",'②-1職員名簿'!AS$7:AS$106,"C",'②-1職員名簿'!$C$7:$C$106,"パート",'②-1職員名簿'!$L$7:$L$106,"")</f>
        <v>0</v>
      </c>
      <c r="K12" s="346">
        <f>COUNTIFS('②-1職員名簿'!$M$7:$M$106,"有",'②-1職員名簿'!AS$7:AS$106,"C",'②-2勤務時間数入力'!$C$7:$C$106,"嘱託常勤",'②-2勤務時間数入力'!U$7:U$106,"常",'②-1職員名簿'!$L$7:$L$106,"")</f>
        <v>0</v>
      </c>
      <c r="L12" s="346">
        <f>SUMIFS('②-2勤務時間数入力'!U$7:U$106,'②-1職員名簿'!$M$7:$M$106,"有",'②-1職員名簿'!AS$7:AS$106,"C",'②-1職員名簿'!$C$7:$C$106,"嘱託等",'②-1職員名簿'!$L$7:$L$106,"")</f>
        <v>0</v>
      </c>
      <c r="M12" s="346">
        <f>COUNTIFS('②-1職員名簿'!$N$7:$N$106,"有",'②-1職員名簿'!AS$7:AS$106,"C",'②-2勤務時間数入力'!I$7:I$106,"正",'②-1職員名簿'!$L$7:$L$106,"",'②-1職員名簿'!$M$7:$M$106,"")</f>
        <v>0</v>
      </c>
      <c r="N12" s="346">
        <f>COUNTIFS('②-1職員名簿'!$N$7:$N$106,"有",'②-1職員名簿'!AS$7:AS$106,"C",'②-2勤務時間数入力'!$C$7:$C$106,"常勤的非常勤",'②-2勤務時間数入力'!U$7:U$106,"常",'②-1職員名簿'!$L$7:$L$106,"",'②-1職員名簿'!$M$7:$M$106,"")</f>
        <v>0</v>
      </c>
      <c r="O12" s="346">
        <f>SUMIFS('②-2勤務時間数入力'!U$7:U$106,'②-1職員名簿'!$N$7:$N$106,"有",'②-1職員名簿'!AS$7:AS$106,"C",'②-1職員名簿'!$C$7:$C$106,"パート",'②-1職員名簿'!$L$7:$L$106,"",'②-1職員名簿'!$M$7:$M$106,"")</f>
        <v>0</v>
      </c>
      <c r="P12" s="346">
        <f>COUNTIFS('②-1職員名簿'!$N$7:$N$106,"有",'②-1職員名簿'!AS$7:AS$106,"C",'②-2勤務時間数入力'!$C$7:$C$106,"嘱託常勤",'②-2勤務時間数入力'!U$7:U$106,"常",'②-1職員名簿'!$L$7:$L$106,"",'②-1職員名簿'!$M$7:$M$106,"")</f>
        <v>0</v>
      </c>
      <c r="Q12" s="346">
        <f>SUMIFS('②-2勤務時間数入力'!U$7:U$106,'②-1職員名簿'!$N$7:$N$106,"有",'②-1職員名簿'!AS$7:AS$106,"C",'②-1職員名簿'!$C$7:$C$106,"嘱託等",'②-1職員名簿'!$L$7:$L$106,"",'②-1職員名簿'!$M$7:$M$106,"")</f>
        <v>0</v>
      </c>
      <c r="R12" s="346">
        <f>COUNTIFS('②-1職員名簿'!$W$7:$W$106,"園長",'②-1職員名簿'!AS$7:AS$106,"C")</f>
        <v>0</v>
      </c>
      <c r="S12" s="341">
        <f t="shared" si="10"/>
        <v>0</v>
      </c>
      <c r="T12" s="336">
        <f t="shared" si="11"/>
        <v>0</v>
      </c>
      <c r="U12" s="342" t="e">
        <f t="shared" si="12"/>
        <v>#DIV/0!</v>
      </c>
      <c r="V12" s="342" t="e">
        <f t="shared" si="13"/>
        <v>#DIV/0!</v>
      </c>
      <c r="W12" s="542" t="e">
        <f t="shared" si="21"/>
        <v>#DIV/0!</v>
      </c>
      <c r="X12" s="342" t="e">
        <f t="shared" si="14"/>
        <v>#DIV/0!</v>
      </c>
      <c r="Y12" s="343"/>
      <c r="Z12" s="339" t="e">
        <f t="shared" si="4"/>
        <v>#N/A</v>
      </c>
      <c r="AA12" s="340">
        <f>COUNTIFS('②-1職員名簿'!AS$7:AS$106,"D",'②-2勤務時間数入力'!I$7:I$106,"正")</f>
        <v>0</v>
      </c>
      <c r="AB12" s="337">
        <f>COUNTIFS('②-1職員名簿'!AS$7:AS$106,"D",'②-2勤務時間数入力'!$C$7:$C$106,"常勤的非常勤",'②-2勤務時間数入力'!U$7:U$106,"常")</f>
        <v>0</v>
      </c>
      <c r="AC12" s="337">
        <f>SUMIFS('②-2勤務時間数入力'!U$7:U$106,'②-1職員名簿'!AS$7:AS$106,"D",'②-1職員名簿'!$C$7:$C$106,"パート")</f>
        <v>0</v>
      </c>
      <c r="AD12" s="337">
        <f>COUNTIFS('②-1職員名簿'!AS$7:AS$106,"D",'②-2勤務時間数入力'!$C$7:$C$106,"嘱託常勤",'②-2勤務時間数入力'!U$7:U$106,"常")</f>
        <v>0</v>
      </c>
      <c r="AE12" s="337">
        <f>SUMIFS('②-2勤務時間数入力'!U$7:U$106,'②-1職員名簿'!AS$7:AS$106,"D",'②-1職員名簿'!$C$7:$C$106,"嘱託等")</f>
        <v>0</v>
      </c>
      <c r="AF12" s="340">
        <f>COUNTIFS('②-1職員名簿'!$P$7:$P$106,"有",'②-1職員名簿'!AS$7:AS$106,"E",'②-2勤務時間数入力'!I$7:I$106,"正",'②-1職員名簿'!$O$7:$O$106,"")</f>
        <v>0</v>
      </c>
      <c r="AG12" s="337">
        <f>COUNTIFS('②-1職員名簿'!$P$7:$P$106,"有",'②-1職員名簿'!AS$7:AS$106,"E",'②-2勤務時間数入力'!$C$7:$C$106,"常勤的非常勤",'②-2勤務時間数入力'!U$7:U$106,"常",'②-1職員名簿'!$O$7:$O$106,"")</f>
        <v>0</v>
      </c>
      <c r="AH12" s="337">
        <f>SUMIFS('②-2勤務時間数入力'!U$7:U$106,'②-1職員名簿'!AS$7:AS$106,"E",'②-1職員名簿'!$P$7:$P$106,"有",'②-1職員名簿'!$C$7:$C$106,"パート",'②-1職員名簿'!$O$7:$O$106,"")</f>
        <v>0</v>
      </c>
      <c r="AI12" s="337">
        <f>COUNTIFS('②-1職員名簿'!$P$7:$P$106,"有",'②-1職員名簿'!AS$7:AS$106,"E",'②-2勤務時間数入力'!$C$7:$C$106,"嘱託常勤",'②-2勤務時間数入力'!U$7:U$106,"常",'②-1職員名簿'!$O$7:$O$106,"")</f>
        <v>0</v>
      </c>
      <c r="AJ12" s="337">
        <f>SUMIFS('②-2勤務時間数入力'!U$7:U$106,'②-1職員名簿'!AS$7:AS$106,"E",'②-1職員名簿'!$P$7:$P$106,"有",'②-1職員名簿'!$C$7:$C$106,"嘱託等",'②-1職員名簿'!$O$7:$O$106,"")</f>
        <v>0</v>
      </c>
      <c r="AK12" s="344">
        <f>COUNTIFS('②-1職員名簿'!AS$7:AS$106,"E",'②-2勤務時間数入力'!I$7:I$106,"正",'②-1職員名簿'!$P$7:$P$106,"")</f>
        <v>0</v>
      </c>
      <c r="AL12" s="345">
        <f>COUNTIFS('②-1職員名簿'!AS$7:AS$106,"E",'②-2勤務時間数入力'!$C$7:$C$106,"常勤的非常勤",'②-2勤務時間数入力'!U$7:U$106,"常",'②-1職員名簿'!$P$7:$P$106,"")</f>
        <v>0</v>
      </c>
      <c r="AM12" s="345">
        <f>SUMIFS('②-2勤務時間数入力'!U$7:U$106,'②-1職員名簿'!AS$7:AS$106,"E",'②-1職員名簿'!$C$7:$C$106,"パート",'②-1職員名簿'!$P$7:$P$106,"")</f>
        <v>0</v>
      </c>
      <c r="AN12" s="345">
        <f>COUNTIFS('②-1職員名簿'!AS$7:AS$106,"E",'②-2勤務時間数入力'!$C$7:$C$106,"嘱託常勤",'②-2勤務時間数入力'!U$7:U$106,"常",'②-1職員名簿'!$P$7:$P$106,"")</f>
        <v>0</v>
      </c>
      <c r="AO12" s="345">
        <f>SUMIFS('②-2勤務時間数入力'!U$7:U$106,'②-1職員名簿'!AS$7:AS$106,"E",'②-1職員名簿'!$C$7:$C$106,"嘱託等",'②-1職員名簿'!$P$7:$P$106,"")</f>
        <v>0</v>
      </c>
      <c r="AP12" s="260">
        <f t="shared" si="15"/>
        <v>0</v>
      </c>
      <c r="AQ12" s="260">
        <f t="shared" ref="AQ12" si="22">AA12+AF12+AK12-AP12</f>
        <v>0</v>
      </c>
      <c r="AR12" s="260">
        <f t="shared" si="5"/>
        <v>0</v>
      </c>
      <c r="AS12" s="261" t="e">
        <f t="shared" si="6"/>
        <v>#DIV/0!</v>
      </c>
      <c r="AT12" s="262" t="e">
        <f t="shared" si="16"/>
        <v>#DIV/0!</v>
      </c>
      <c r="AU12" s="330">
        <f>COUNTIFS('②-1職員名簿'!$W$7:$W$106,"園長",'②-1職員名簿'!AS$7:AS$106,"D")</f>
        <v>0</v>
      </c>
      <c r="AV12" s="331">
        <f>COUNTIFS('②-1職員名簿'!$W$7:$W$106,"園長",'②-1職員名簿'!$P$7:$P$106,"有",'②-1職員名簿'!AS$7:AS$106,"E")</f>
        <v>0</v>
      </c>
      <c r="AW12" s="263" t="e">
        <f t="shared" si="17"/>
        <v>#DIV/0!</v>
      </c>
      <c r="AX12" s="263" t="e">
        <f t="shared" si="18"/>
        <v>#DIV/0!</v>
      </c>
      <c r="AY12" s="263" t="e">
        <f t="shared" si="19"/>
        <v>#N/A</v>
      </c>
      <c r="AZ12" s="264" t="e">
        <f t="shared" si="20"/>
        <v>#N/A</v>
      </c>
    </row>
    <row r="13" spans="1:52" s="35" customFormat="1" ht="36" customHeight="1">
      <c r="A13" s="280">
        <v>8</v>
      </c>
      <c r="B13" s="338">
        <f>'②-2勤務時間数入力'!AH11</f>
        <v>0</v>
      </c>
      <c r="C13" s="337">
        <f>COUNTIFS('②-1職員名簿'!$L$7:$L$106,"有",'②-1職員名簿'!AG$7:AG$106,"○",'②-2勤務時間数入力'!J$7:J$106,"正")</f>
        <v>0</v>
      </c>
      <c r="D13" s="337">
        <f>COUNTIFS('②-1職員名簿'!$L$7:$L$106,"有",'②-2勤務時間数入力'!$C$7:$C$106,"常勤的非常勤",'②-2勤務時間数入力'!V$7:V$106,"常")</f>
        <v>0</v>
      </c>
      <c r="E13" s="337">
        <f>SUMIFS('②-2勤務時間数入力'!V$7:V$106,'②-1職員名簿'!$L$7:$L$106,"有",'②-1職員名簿'!$C$7:$C$106,"パート")</f>
        <v>0</v>
      </c>
      <c r="F13" s="337">
        <f>COUNTIFS('②-1職員名簿'!$L$7:$L$106,"有",'②-2勤務時間数入力'!$C$7:$C$106,"嘱託常勤",'②-2勤務時間数入力'!V$7:V$106,"常")</f>
        <v>0</v>
      </c>
      <c r="G13" s="337">
        <f>SUMIFS('②-2勤務時間数入力'!V$7:V$106,'②-1職員名簿'!$L$7:$L$106,"有",'②-1職員名簿'!$C$7:$C$106,"嘱託等")</f>
        <v>0</v>
      </c>
      <c r="H13" s="346">
        <f>COUNTIFS('②-1職員名簿'!$M$7:$M$106,"有",'②-1職員名簿'!AT$7:AT$106,"C",'②-2勤務時間数入力'!J$7:J$106,"正",'②-1職員名簿'!$L$7:$L$106,"")</f>
        <v>0</v>
      </c>
      <c r="I13" s="346">
        <f>COUNTIFS('②-1職員名簿'!$M$7:$M$106,"有",'②-1職員名簿'!AT$7:AT$106,"C",'②-2勤務時間数入力'!$C$7:$C$106,"常勤的非常勤",'②-2勤務時間数入力'!V$7:V$106,"常",'②-1職員名簿'!$L$7:$L$106,"")</f>
        <v>0</v>
      </c>
      <c r="J13" s="346">
        <f>SUMIFS('②-2勤務時間数入力'!V$7:V$106,'②-1職員名簿'!$M$7:$M$106,"有",'②-1職員名簿'!AT$7:AT$106,"C",'②-1職員名簿'!$C$7:$C$106,"パート",'②-1職員名簿'!$L$7:$L$106,"")</f>
        <v>0</v>
      </c>
      <c r="K13" s="346">
        <f>COUNTIFS('②-1職員名簿'!$M$7:$M$106,"有",'②-1職員名簿'!AT$7:AT$106,"C",'②-2勤務時間数入力'!$C$7:$C$106,"嘱託常勤",'②-2勤務時間数入力'!V$7:V$106,"常",'②-1職員名簿'!$L$7:$L$106,"")</f>
        <v>0</v>
      </c>
      <c r="L13" s="346">
        <f>SUMIFS('②-2勤務時間数入力'!V$7:V$106,'②-1職員名簿'!$M$7:$M$106,"有",'②-1職員名簿'!AT$7:AT$106,"C",'②-1職員名簿'!$C$7:$C$106,"嘱託等",'②-1職員名簿'!$L$7:$L$106,"")</f>
        <v>0</v>
      </c>
      <c r="M13" s="346">
        <f>COUNTIFS('②-1職員名簿'!$N$7:$N$106,"有",'②-1職員名簿'!AT$7:AT$106,"C",'②-2勤務時間数入力'!J$7:J$106,"正",'②-1職員名簿'!$L$7:$L$106,"",'②-1職員名簿'!$M$7:$M$106,"")</f>
        <v>0</v>
      </c>
      <c r="N13" s="346">
        <f>COUNTIFS('②-1職員名簿'!$N$7:$N$106,"有",'②-1職員名簿'!AT$7:AT$106,"C",'②-2勤務時間数入力'!$C$7:$C$106,"常勤的非常勤",'②-2勤務時間数入力'!V$7:V$106,"常",'②-1職員名簿'!$L$7:$L$106,"",'②-1職員名簿'!$M$7:$M$106,"")</f>
        <v>0</v>
      </c>
      <c r="O13" s="346">
        <f>SUMIFS('②-2勤務時間数入力'!V$7:V$106,'②-1職員名簿'!$N$7:$N$106,"有",'②-1職員名簿'!AT$7:AT$106,"C",'②-1職員名簿'!$C$7:$C$106,"パート",'②-1職員名簿'!$L$7:$L$106,"",'②-1職員名簿'!$M$7:$M$106,"")</f>
        <v>0</v>
      </c>
      <c r="P13" s="346">
        <f>COUNTIFS('②-1職員名簿'!$N$7:$N$106,"有",'②-1職員名簿'!AT$7:AT$106,"C",'②-2勤務時間数入力'!$C$7:$C$106,"嘱託常勤",'②-2勤務時間数入力'!V$7:V$106,"常",'②-1職員名簿'!$L$7:$L$106,"",'②-1職員名簿'!$M$7:$M$106,"")</f>
        <v>0</v>
      </c>
      <c r="Q13" s="346">
        <f>SUMIFS('②-2勤務時間数入力'!V$7:V$106,'②-1職員名簿'!$N$7:$N$106,"有",'②-1職員名簿'!AT$7:AT$106,"C",'②-1職員名簿'!$C$7:$C$106,"嘱託等",'②-1職員名簿'!$L$7:$L$106,"",'②-1職員名簿'!$M$7:$M$106,"")</f>
        <v>0</v>
      </c>
      <c r="R13" s="346">
        <f>COUNTIFS('②-1職員名簿'!$W$7:$W$106,"園長",'②-1職員名簿'!AT$7:AT$106,"C")</f>
        <v>0</v>
      </c>
      <c r="S13" s="341">
        <f t="shared" si="10"/>
        <v>0</v>
      </c>
      <c r="T13" s="336">
        <f t="shared" si="11"/>
        <v>0</v>
      </c>
      <c r="U13" s="342" t="e">
        <f t="shared" si="12"/>
        <v>#DIV/0!</v>
      </c>
      <c r="V13" s="342" t="e">
        <f t="shared" si="13"/>
        <v>#DIV/0!</v>
      </c>
      <c r="W13" s="542" t="e">
        <f t="shared" si="21"/>
        <v>#DIV/0!</v>
      </c>
      <c r="X13" s="342" t="e">
        <f t="shared" si="14"/>
        <v>#DIV/0!</v>
      </c>
      <c r="Y13" s="343"/>
      <c r="Z13" s="339" t="e">
        <f t="shared" si="4"/>
        <v>#N/A</v>
      </c>
      <c r="AA13" s="340">
        <f>COUNTIFS('②-1職員名簿'!AT$7:AT$106,"D",'②-2勤務時間数入力'!J$7:J$106,"正")</f>
        <v>0</v>
      </c>
      <c r="AB13" s="337">
        <f>COUNTIFS('②-1職員名簿'!AT$7:AT$106,"D",'②-2勤務時間数入力'!$C$7:$C$106,"常勤的非常勤",'②-2勤務時間数入力'!V$7:V$106,"常")</f>
        <v>0</v>
      </c>
      <c r="AC13" s="337">
        <f>SUMIFS('②-2勤務時間数入力'!V$7:V$106,'②-1職員名簿'!AT$7:AT$106,"D",'②-1職員名簿'!$C$7:$C$106,"パート")</f>
        <v>0</v>
      </c>
      <c r="AD13" s="337">
        <f>COUNTIFS('②-1職員名簿'!AT$7:AT$106,"D",'②-2勤務時間数入力'!$C$7:$C$106,"嘱託常勤",'②-2勤務時間数入力'!V$7:V$106,"常")</f>
        <v>0</v>
      </c>
      <c r="AE13" s="337">
        <f>SUMIFS('②-2勤務時間数入力'!V$7:V$106,'②-1職員名簿'!AT$7:AT$106,"D",'②-1職員名簿'!$C$7:$C$106,"嘱託等")</f>
        <v>0</v>
      </c>
      <c r="AF13" s="340">
        <f>COUNTIFS('②-1職員名簿'!$P$7:$P$106,"有",'②-1職員名簿'!AT$7:AT$106,"E",'②-2勤務時間数入力'!J$7:J$106,"正",'②-1職員名簿'!$O$7:$O$106,"")</f>
        <v>0</v>
      </c>
      <c r="AG13" s="337">
        <f>COUNTIFS('②-1職員名簿'!$P$7:$P$106,"有",'②-1職員名簿'!AT$7:AT$106,"E",'②-2勤務時間数入力'!$C$7:$C$106,"常勤的非常勤",'②-2勤務時間数入力'!V$7:V$106,"常",'②-1職員名簿'!$O$7:$O$106,"")</f>
        <v>0</v>
      </c>
      <c r="AH13" s="337">
        <f>SUMIFS('②-2勤務時間数入力'!V$7:V$106,'②-1職員名簿'!AT$7:AT$106,"E",'②-1職員名簿'!$P$7:$P$106,"有",'②-1職員名簿'!$C$7:$C$106,"パート",'②-1職員名簿'!$O$7:$O$106,"")</f>
        <v>0</v>
      </c>
      <c r="AI13" s="337">
        <f>COUNTIFS('②-1職員名簿'!$P$7:$P$106,"有",'②-1職員名簿'!AT$7:AT$106,"E",'②-2勤務時間数入力'!$C$7:$C$106,"嘱託常勤",'②-2勤務時間数入力'!V$7:V$106,"常",'②-1職員名簿'!$O$7:$O$106,"")</f>
        <v>0</v>
      </c>
      <c r="AJ13" s="337">
        <f>SUMIFS('②-2勤務時間数入力'!V$7:V$106,'②-1職員名簿'!AT$7:AT$106,"E",'②-1職員名簿'!$P$7:$P$106,"有",'②-1職員名簿'!$C$7:$C$106,"嘱託等",'②-1職員名簿'!$O$7:$O$106,"")</f>
        <v>0</v>
      </c>
      <c r="AK13" s="344">
        <f>COUNTIFS('②-1職員名簿'!AT$7:AT$106,"E",'②-2勤務時間数入力'!J$7:J$106,"正",'②-1職員名簿'!$P$7:$P$106,"")</f>
        <v>0</v>
      </c>
      <c r="AL13" s="345">
        <f>COUNTIFS('②-1職員名簿'!AT$7:AT$106,"E",'②-2勤務時間数入力'!$C$7:$C$106,"常勤的非常勤",'②-2勤務時間数入力'!V$7:V$106,"常",'②-1職員名簿'!$P$7:$P$106,"")</f>
        <v>0</v>
      </c>
      <c r="AM13" s="345">
        <f>SUMIFS('②-2勤務時間数入力'!V$7:V$106,'②-1職員名簿'!AT$7:AT$106,"E",'②-1職員名簿'!$C$7:$C$106,"パート",'②-1職員名簿'!$P$7:$P$106,"")</f>
        <v>0</v>
      </c>
      <c r="AN13" s="345">
        <f>COUNTIFS('②-1職員名簿'!AT$7:AT$106,"E",'②-2勤務時間数入力'!$C$7:$C$106,"嘱託常勤",'②-2勤務時間数入力'!V$7:V$106,"常",'②-1職員名簿'!$P$7:$P$106,"")</f>
        <v>0</v>
      </c>
      <c r="AO13" s="345">
        <f>SUMIFS('②-2勤務時間数入力'!V$7:V$106,'②-1職員名簿'!AT$7:AT$106,"E",'②-1職員名簿'!$C$7:$C$106,"嘱託等",'②-1職員名簿'!$P$7:$P$106,"")</f>
        <v>0</v>
      </c>
      <c r="AP13" s="260">
        <f t="shared" si="15"/>
        <v>0</v>
      </c>
      <c r="AQ13" s="260">
        <f t="shared" ref="AQ13" si="23">AA13+AF13+AK13-AP13</f>
        <v>0</v>
      </c>
      <c r="AR13" s="260">
        <f t="shared" si="5"/>
        <v>0</v>
      </c>
      <c r="AS13" s="261" t="e">
        <f t="shared" si="6"/>
        <v>#DIV/0!</v>
      </c>
      <c r="AT13" s="262" t="e">
        <f t="shared" si="16"/>
        <v>#DIV/0!</v>
      </c>
      <c r="AU13" s="330">
        <f>COUNTIFS('②-1職員名簿'!$W$7:$W$106,"園長",'②-1職員名簿'!AT$7:AT$106,"D")</f>
        <v>0</v>
      </c>
      <c r="AV13" s="331">
        <f>COUNTIFS('②-1職員名簿'!$W$7:$W$106,"園長",'②-1職員名簿'!$P$7:$P$106,"有",'②-1職員名簿'!AT$7:AT$106,"E")</f>
        <v>0</v>
      </c>
      <c r="AW13" s="263" t="e">
        <f t="shared" si="17"/>
        <v>#DIV/0!</v>
      </c>
      <c r="AX13" s="263" t="e">
        <f t="shared" si="18"/>
        <v>#DIV/0!</v>
      </c>
      <c r="AY13" s="263" t="e">
        <f t="shared" si="19"/>
        <v>#N/A</v>
      </c>
      <c r="AZ13" s="264" t="e">
        <f t="shared" si="20"/>
        <v>#N/A</v>
      </c>
    </row>
    <row r="14" spans="1:52" s="35" customFormat="1" ht="36" customHeight="1">
      <c r="A14" s="280">
        <v>9</v>
      </c>
      <c r="B14" s="338">
        <f>'②-2勤務時間数入力'!AH12</f>
        <v>0</v>
      </c>
      <c r="C14" s="337">
        <f>COUNTIFS('②-1職員名簿'!$L$7:$L$106,"有",'②-1職員名簿'!AH$7:AH$106,"○",'②-2勤務時間数入力'!K$7:K$106,"正")</f>
        <v>0</v>
      </c>
      <c r="D14" s="337">
        <f>COUNTIFS('②-1職員名簿'!$L$7:$L$106,"有",'②-2勤務時間数入力'!$C$7:$C$106,"常勤的非常勤",'②-2勤務時間数入力'!W$7:W$106,"常")</f>
        <v>0</v>
      </c>
      <c r="E14" s="337">
        <f>SUMIFS('②-2勤務時間数入力'!W$7:W$106,'②-1職員名簿'!$L$7:$L$106,"有",'②-1職員名簿'!$C$7:$C$106,"パート")</f>
        <v>0</v>
      </c>
      <c r="F14" s="337">
        <f>COUNTIFS('②-1職員名簿'!$L$7:$L$106,"有",'②-2勤務時間数入力'!$C$7:$C$106,"嘱託常勤",'②-2勤務時間数入力'!W$7:W$106,"常")</f>
        <v>0</v>
      </c>
      <c r="G14" s="337">
        <f>SUMIFS('②-2勤務時間数入力'!W$7:W$106,'②-1職員名簿'!$L$7:$L$106,"有",'②-1職員名簿'!$C$7:$C$106,"嘱託等")</f>
        <v>0</v>
      </c>
      <c r="H14" s="346">
        <f>COUNTIFS('②-1職員名簿'!$M$7:$M$106,"有",'②-1職員名簿'!AU$7:AU$106,"C",'②-2勤務時間数入力'!K$7:K$106,"正",'②-1職員名簿'!$L$7:$L$106,"")</f>
        <v>0</v>
      </c>
      <c r="I14" s="346">
        <f>COUNTIFS('②-1職員名簿'!$M$7:$M$106,"有",'②-1職員名簿'!AU$7:AU$106,"C",'②-2勤務時間数入力'!$C$7:$C$106,"常勤的非常勤",'②-2勤務時間数入力'!W$7:W$106,"常",'②-1職員名簿'!$L$7:$L$106,"")</f>
        <v>0</v>
      </c>
      <c r="J14" s="346">
        <f>SUMIFS('②-2勤務時間数入力'!W$7:W$106,'②-1職員名簿'!$M$7:$M$106,"有",'②-1職員名簿'!AU$7:AU$106,"C",'②-1職員名簿'!$C$7:$C$106,"パート",'②-1職員名簿'!$L$7:$L$106,"")</f>
        <v>0</v>
      </c>
      <c r="K14" s="346">
        <f>COUNTIFS('②-1職員名簿'!$M$7:$M$106,"有",'②-1職員名簿'!AU$7:AU$106,"C",'②-2勤務時間数入力'!$C$7:$C$106,"嘱託常勤",'②-2勤務時間数入力'!W$7:W$106,"常",'②-1職員名簿'!$L$7:$L$106,"")</f>
        <v>0</v>
      </c>
      <c r="L14" s="346">
        <f>SUMIFS('②-2勤務時間数入力'!W$7:W$106,'②-1職員名簿'!$M$7:$M$106,"有",'②-1職員名簿'!AU$7:AU$106,"C",'②-1職員名簿'!$C$7:$C$106,"嘱託等",'②-1職員名簿'!$L$7:$L$106,"")</f>
        <v>0</v>
      </c>
      <c r="M14" s="346">
        <f>COUNTIFS('②-1職員名簿'!$N$7:$N$106,"有",'②-1職員名簿'!AU$7:AU$106,"C",'②-2勤務時間数入力'!K$7:K$106,"正",'②-1職員名簿'!$L$7:$L$106,"",'②-1職員名簿'!$M$7:$M$106,"")</f>
        <v>0</v>
      </c>
      <c r="N14" s="346">
        <f>COUNTIFS('②-1職員名簿'!$N$7:$N$106,"有",'②-1職員名簿'!AU$7:AU$106,"C",'②-2勤務時間数入力'!$C$7:$C$106,"常勤的非常勤",'②-2勤務時間数入力'!W$7:W$106,"常",'②-1職員名簿'!$L$7:$L$106,"",'②-1職員名簿'!$M$7:$M$106,"")</f>
        <v>0</v>
      </c>
      <c r="O14" s="346">
        <f>SUMIFS('②-2勤務時間数入力'!W$7:W$106,'②-1職員名簿'!$N$7:$N$106,"有",'②-1職員名簿'!AU$7:AU$106,"C",'②-1職員名簿'!$C$7:$C$106,"パート",'②-1職員名簿'!$L$7:$L$106,"",'②-1職員名簿'!$M$7:$M$106,"")</f>
        <v>0</v>
      </c>
      <c r="P14" s="346">
        <f>COUNTIFS('②-1職員名簿'!$N$7:$N$106,"有",'②-1職員名簿'!AU$7:AU$106,"C",'②-2勤務時間数入力'!$C$7:$C$106,"嘱託常勤",'②-2勤務時間数入力'!W$7:W$106,"常",'②-1職員名簿'!$L$7:$L$106,"",'②-1職員名簿'!$M$7:$M$106,"")</f>
        <v>0</v>
      </c>
      <c r="Q14" s="346">
        <f>SUMIFS('②-2勤務時間数入力'!W$7:W$106,'②-1職員名簿'!$N$7:$N$106,"有",'②-1職員名簿'!AU$7:AU$106,"C",'②-1職員名簿'!$C$7:$C$106,"嘱託等",'②-1職員名簿'!$L$7:$L$106,"",'②-1職員名簿'!$M$7:$M$106,"")</f>
        <v>0</v>
      </c>
      <c r="R14" s="346">
        <f>COUNTIFS('②-1職員名簿'!$W$7:$W$106,"園長",'②-1職員名簿'!AU$7:AU$106,"C")</f>
        <v>0</v>
      </c>
      <c r="S14" s="341">
        <f t="shared" si="10"/>
        <v>0</v>
      </c>
      <c r="T14" s="336">
        <f t="shared" si="11"/>
        <v>0</v>
      </c>
      <c r="U14" s="342" t="e">
        <f t="shared" si="12"/>
        <v>#DIV/0!</v>
      </c>
      <c r="V14" s="342" t="e">
        <f t="shared" si="13"/>
        <v>#DIV/0!</v>
      </c>
      <c r="W14" s="542" t="e">
        <f t="shared" si="21"/>
        <v>#DIV/0!</v>
      </c>
      <c r="X14" s="342" t="e">
        <f t="shared" si="14"/>
        <v>#DIV/0!</v>
      </c>
      <c r="Y14" s="343"/>
      <c r="Z14" s="339" t="e">
        <f t="shared" si="4"/>
        <v>#N/A</v>
      </c>
      <c r="AA14" s="340">
        <f>COUNTIFS('②-1職員名簿'!AU$7:AU$106,"D",'②-2勤務時間数入力'!K$7:K$106,"正")</f>
        <v>0</v>
      </c>
      <c r="AB14" s="337">
        <f>COUNTIFS('②-1職員名簿'!AU$7:AU$106,"D",'②-2勤務時間数入力'!$C$7:$C$106,"常勤的非常勤",'②-2勤務時間数入力'!W$7:W$106,"常")</f>
        <v>0</v>
      </c>
      <c r="AC14" s="337">
        <f>SUMIFS('②-2勤務時間数入力'!W$7:W$106,'②-1職員名簿'!AU$7:AU$106,"D",'②-1職員名簿'!$C$7:$C$106,"パート")</f>
        <v>0</v>
      </c>
      <c r="AD14" s="337">
        <f>COUNTIFS('②-1職員名簿'!AU$7:AU$106,"D",'②-2勤務時間数入力'!$C$7:$C$106,"嘱託常勤",'②-2勤務時間数入力'!W$7:W$106,"常")</f>
        <v>0</v>
      </c>
      <c r="AE14" s="337">
        <f>SUMIFS('②-2勤務時間数入力'!W$7:W$106,'②-1職員名簿'!AU$7:AU$106,"D",'②-1職員名簿'!$C$7:$C$106,"嘱託等")</f>
        <v>0</v>
      </c>
      <c r="AF14" s="340">
        <f>COUNTIFS('②-1職員名簿'!$P$7:$P$106,"有",'②-1職員名簿'!AU$7:AU$106,"E",'②-2勤務時間数入力'!K$7:K$106,"正",'②-1職員名簿'!$O$7:$O$106,"")</f>
        <v>0</v>
      </c>
      <c r="AG14" s="337">
        <f>COUNTIFS('②-1職員名簿'!$P$7:$P$106,"有",'②-1職員名簿'!AU$7:AU$106,"E",'②-2勤務時間数入力'!$C$7:$C$106,"常勤的非常勤",'②-2勤務時間数入力'!W$7:W$106,"常",'②-1職員名簿'!$O$7:$O$106,"")</f>
        <v>0</v>
      </c>
      <c r="AH14" s="337">
        <f>SUMIFS('②-2勤務時間数入力'!W$7:W$106,'②-1職員名簿'!AU$7:AU$106,"E",'②-1職員名簿'!$P$7:$P$106,"有",'②-1職員名簿'!$C$7:$C$106,"パート",'②-1職員名簿'!$O$7:$O$106,"")</f>
        <v>0</v>
      </c>
      <c r="AI14" s="337">
        <f>COUNTIFS('②-1職員名簿'!$P$7:$P$106,"有",'②-1職員名簿'!AU$7:AU$106,"E",'②-2勤務時間数入力'!$C$7:$C$106,"嘱託常勤",'②-2勤務時間数入力'!W$7:W$106,"常",'②-1職員名簿'!$O$7:$O$106,"")</f>
        <v>0</v>
      </c>
      <c r="AJ14" s="337">
        <f>SUMIFS('②-2勤務時間数入力'!W$7:W$106,'②-1職員名簿'!AU$7:AU$106,"E",'②-1職員名簿'!$P$7:$P$106,"有",'②-1職員名簿'!$C$7:$C$106,"嘱託等",'②-1職員名簿'!$O$7:$O$106,"")</f>
        <v>0</v>
      </c>
      <c r="AK14" s="344">
        <f>COUNTIFS('②-1職員名簿'!AU$7:AU$106,"E",'②-2勤務時間数入力'!K$7:K$106,"正",'②-1職員名簿'!$P$7:$P$106,"")</f>
        <v>0</v>
      </c>
      <c r="AL14" s="345">
        <f>COUNTIFS('②-1職員名簿'!AU$7:AU$106,"E",'②-2勤務時間数入力'!$C$7:$C$106,"常勤的非常勤",'②-2勤務時間数入力'!W$7:W$106,"常",'②-1職員名簿'!$P$7:$P$106,"")</f>
        <v>0</v>
      </c>
      <c r="AM14" s="345">
        <f>SUMIFS('②-2勤務時間数入力'!W$7:W$106,'②-1職員名簿'!AU$7:AU$106,"E",'②-1職員名簿'!$C$7:$C$106,"パート",'②-1職員名簿'!$P$7:$P$106,"")</f>
        <v>0</v>
      </c>
      <c r="AN14" s="345">
        <f>COUNTIFS('②-1職員名簿'!AU$7:AU$106,"E",'②-2勤務時間数入力'!$C$7:$C$106,"嘱託常勤",'②-2勤務時間数入力'!W$7:W$106,"常",'②-1職員名簿'!$P$7:$P$106,"")</f>
        <v>0</v>
      </c>
      <c r="AO14" s="345">
        <f>SUMIFS('②-2勤務時間数入力'!W$7:W$106,'②-1職員名簿'!AU$7:AU$106,"E",'②-1職員名簿'!$C$7:$C$106,"嘱託等",'②-1職員名簿'!$P$7:$P$106,"")</f>
        <v>0</v>
      </c>
      <c r="AP14" s="260">
        <f t="shared" si="15"/>
        <v>0</v>
      </c>
      <c r="AQ14" s="260">
        <f t="shared" ref="AQ14" si="24">AA14+AF14+AK14-AP14</f>
        <v>0</v>
      </c>
      <c r="AR14" s="260">
        <f t="shared" si="5"/>
        <v>0</v>
      </c>
      <c r="AS14" s="261" t="e">
        <f t="shared" si="6"/>
        <v>#DIV/0!</v>
      </c>
      <c r="AT14" s="262" t="e">
        <f t="shared" si="16"/>
        <v>#DIV/0!</v>
      </c>
      <c r="AU14" s="330">
        <f>COUNTIFS('②-1職員名簿'!$W$7:$W$106,"園長",'②-1職員名簿'!AU$7:AU$106,"D")</f>
        <v>0</v>
      </c>
      <c r="AV14" s="331">
        <f>COUNTIFS('②-1職員名簿'!$W$7:$W$106,"園長",'②-1職員名簿'!$P$7:$P$106,"有",'②-1職員名簿'!AU$7:AU$106,"E")</f>
        <v>0</v>
      </c>
      <c r="AW14" s="263" t="e">
        <f t="shared" si="17"/>
        <v>#DIV/0!</v>
      </c>
      <c r="AX14" s="263" t="e">
        <f t="shared" si="18"/>
        <v>#DIV/0!</v>
      </c>
      <c r="AY14" s="263" t="e">
        <f t="shared" si="19"/>
        <v>#N/A</v>
      </c>
      <c r="AZ14" s="264" t="e">
        <f t="shared" si="20"/>
        <v>#N/A</v>
      </c>
    </row>
    <row r="15" spans="1:52" s="35" customFormat="1" ht="36" customHeight="1">
      <c r="A15" s="280">
        <v>10</v>
      </c>
      <c r="B15" s="338">
        <f>'②-2勤務時間数入力'!AH13</f>
        <v>0</v>
      </c>
      <c r="C15" s="337">
        <f>COUNTIFS('②-1職員名簿'!$L$7:$L$106,"有",'②-1職員名簿'!AI$7:AI$106,"○",'②-2勤務時間数入力'!L$7:L$106,"正")</f>
        <v>0</v>
      </c>
      <c r="D15" s="337">
        <f>COUNTIFS('②-1職員名簿'!$L$7:$L$106,"有",'②-2勤務時間数入力'!$C$7:$C$106,"常勤的非常勤",'②-2勤務時間数入力'!X$7:X$106,"常")</f>
        <v>0</v>
      </c>
      <c r="E15" s="337">
        <f>SUMIFS('②-2勤務時間数入力'!X$7:X$106,'②-1職員名簿'!$L$7:$L$106,"有",'②-1職員名簿'!$C$7:$C$106,"パート")</f>
        <v>0</v>
      </c>
      <c r="F15" s="337">
        <f>COUNTIFS('②-1職員名簿'!$L$7:$L$106,"有",'②-2勤務時間数入力'!$C$7:$C$106,"嘱託常勤",'②-2勤務時間数入力'!X$7:X$106,"常")</f>
        <v>0</v>
      </c>
      <c r="G15" s="337">
        <f>SUMIFS('②-2勤務時間数入力'!X$7:X$106,'②-1職員名簿'!$L$7:$L$106,"有",'②-1職員名簿'!$C$7:$C$106,"嘱託等")</f>
        <v>0</v>
      </c>
      <c r="H15" s="346">
        <f>COUNTIFS('②-1職員名簿'!$M$7:$M$106,"有",'②-1職員名簿'!AV$7:AV$106,"C",'②-2勤務時間数入力'!L$7:L$106,"正",'②-1職員名簿'!$L$7:$L$106,"")</f>
        <v>0</v>
      </c>
      <c r="I15" s="346">
        <f>COUNTIFS('②-1職員名簿'!$M$7:$M$106,"有",'②-1職員名簿'!AV$7:AV$106,"C",'②-2勤務時間数入力'!$C$7:$C$106,"常勤的非常勤",'②-2勤務時間数入力'!X$7:X$106,"常",'②-1職員名簿'!$L$7:$L$106,"")</f>
        <v>0</v>
      </c>
      <c r="J15" s="346">
        <f>SUMIFS('②-2勤務時間数入力'!X$7:X$106,'②-1職員名簿'!$M$7:$M$106,"有",'②-1職員名簿'!AV$7:AV$106,"C",'②-1職員名簿'!$C$7:$C$106,"パート",'②-1職員名簿'!$L$7:$L$106,"")</f>
        <v>0</v>
      </c>
      <c r="K15" s="346">
        <f>COUNTIFS('②-1職員名簿'!$M$7:$M$106,"有",'②-1職員名簿'!AV$7:AV$106,"C",'②-2勤務時間数入力'!$C$7:$C$106,"嘱託常勤",'②-2勤務時間数入力'!X$7:X$106,"常",'②-1職員名簿'!$L$7:$L$106,"")</f>
        <v>0</v>
      </c>
      <c r="L15" s="346">
        <f>SUMIFS('②-2勤務時間数入力'!X$7:X$106,'②-1職員名簿'!$M$7:$M$106,"有",'②-1職員名簿'!AV$7:AV$106,"C",'②-1職員名簿'!$C$7:$C$106,"嘱託等",'②-1職員名簿'!$L$7:$L$106,"")</f>
        <v>0</v>
      </c>
      <c r="M15" s="346">
        <f>COUNTIFS('②-1職員名簿'!$N$7:$N$106,"有",'②-1職員名簿'!AV$7:AV$106,"C",'②-2勤務時間数入力'!L$7:L$106,"正",'②-1職員名簿'!$L$7:$L$106,"",'②-1職員名簿'!$M$7:$M$106,"")</f>
        <v>0</v>
      </c>
      <c r="N15" s="346">
        <f>COUNTIFS('②-1職員名簿'!$N$7:$N$106,"有",'②-1職員名簿'!AV$7:AV$106,"C",'②-2勤務時間数入力'!$C$7:$C$106,"常勤的非常勤",'②-2勤務時間数入力'!X$7:X$106,"常",'②-1職員名簿'!$L$7:$L$106,"",'②-1職員名簿'!$M$7:$M$106,"")</f>
        <v>0</v>
      </c>
      <c r="O15" s="346">
        <f>SUMIFS('②-2勤務時間数入力'!X$7:X$106,'②-1職員名簿'!$N$7:$N$106,"有",'②-1職員名簿'!AV$7:AV$106,"C",'②-1職員名簿'!$C$7:$C$106,"パート",'②-1職員名簿'!$L$7:$L$106,"",'②-1職員名簿'!$M$7:$M$106,"")</f>
        <v>0</v>
      </c>
      <c r="P15" s="346">
        <f>COUNTIFS('②-1職員名簿'!$N$7:$N$106,"有",'②-1職員名簿'!AV$7:AV$106,"C",'②-2勤務時間数入力'!$C$7:$C$106,"嘱託常勤",'②-2勤務時間数入力'!X$7:X$106,"常",'②-1職員名簿'!$L$7:$L$106,"",'②-1職員名簿'!$M$7:$M$106,"")</f>
        <v>0</v>
      </c>
      <c r="Q15" s="346">
        <f>SUMIFS('②-2勤務時間数入力'!X$7:X$106,'②-1職員名簿'!$N$7:$N$106,"有",'②-1職員名簿'!AV$7:AV$106,"C",'②-1職員名簿'!$C$7:$C$106,"嘱託等",'②-1職員名簿'!$L$7:$L$106,"",'②-1職員名簿'!$M$7:$M$106,"")</f>
        <v>0</v>
      </c>
      <c r="R15" s="346">
        <f>COUNTIFS('②-1職員名簿'!$W$7:$W$106,"園長",'②-1職員名簿'!AV$7:AV$106,"C")</f>
        <v>0</v>
      </c>
      <c r="S15" s="341">
        <f t="shared" si="10"/>
        <v>0</v>
      </c>
      <c r="T15" s="336">
        <f t="shared" si="11"/>
        <v>0</v>
      </c>
      <c r="U15" s="342" t="e">
        <f t="shared" si="12"/>
        <v>#DIV/0!</v>
      </c>
      <c r="V15" s="342" t="e">
        <f t="shared" si="13"/>
        <v>#DIV/0!</v>
      </c>
      <c r="W15" s="542" t="e">
        <f t="shared" si="21"/>
        <v>#DIV/0!</v>
      </c>
      <c r="X15" s="342" t="e">
        <f t="shared" si="14"/>
        <v>#DIV/0!</v>
      </c>
      <c r="Y15" s="343"/>
      <c r="Z15" s="339" t="e">
        <f t="shared" si="4"/>
        <v>#N/A</v>
      </c>
      <c r="AA15" s="340">
        <f>COUNTIFS('②-1職員名簿'!AV$7:AV$106,"D",'②-2勤務時間数入力'!L$7:L$106,"正")</f>
        <v>0</v>
      </c>
      <c r="AB15" s="337">
        <f>COUNTIFS('②-1職員名簿'!AV$7:AV$106,"D",'②-2勤務時間数入力'!$C$7:$C$106,"常勤的非常勤",'②-2勤務時間数入力'!X$7:X$106,"常")</f>
        <v>0</v>
      </c>
      <c r="AC15" s="337">
        <f>SUMIFS('②-2勤務時間数入力'!X$7:X$106,'②-1職員名簿'!AV$7:AV$106,"D",'②-1職員名簿'!$C$7:$C$106,"パート")</f>
        <v>0</v>
      </c>
      <c r="AD15" s="337">
        <f>COUNTIFS('②-1職員名簿'!AV$7:AV$106,"D",'②-2勤務時間数入力'!$C$7:$C$106,"嘱託常勤",'②-2勤務時間数入力'!X$7:X$106,"常")</f>
        <v>0</v>
      </c>
      <c r="AE15" s="337">
        <f>SUMIFS('②-2勤務時間数入力'!X$7:X$106,'②-1職員名簿'!AV$7:AV$106,"D",'②-1職員名簿'!$C$7:$C$106,"嘱託等")</f>
        <v>0</v>
      </c>
      <c r="AF15" s="340">
        <f>COUNTIFS('②-1職員名簿'!$P$7:$P$106,"有",'②-1職員名簿'!AV$7:AV$106,"E",'②-2勤務時間数入力'!L$7:L$106,"正",'②-1職員名簿'!$O$7:$O$106,"")</f>
        <v>0</v>
      </c>
      <c r="AG15" s="337">
        <f>COUNTIFS('②-1職員名簿'!$P$7:$P$106,"有",'②-1職員名簿'!AV$7:AV$106,"E",'②-2勤務時間数入力'!$C$7:$C$106,"常勤的非常勤",'②-2勤務時間数入力'!X$7:X$106,"常",'②-1職員名簿'!$O$7:$O$106,"")</f>
        <v>0</v>
      </c>
      <c r="AH15" s="337">
        <f>SUMIFS('②-2勤務時間数入力'!X$7:X$106,'②-1職員名簿'!AV$7:AV$106,"E",'②-1職員名簿'!$P$7:$P$106,"有",'②-1職員名簿'!$C$7:$C$106,"パート",'②-1職員名簿'!$O$7:$O$106,"")</f>
        <v>0</v>
      </c>
      <c r="AI15" s="337">
        <f>COUNTIFS('②-1職員名簿'!$P$7:$P$106,"有",'②-1職員名簿'!AV$7:AV$106,"E",'②-2勤務時間数入力'!$C$7:$C$106,"嘱託常勤",'②-2勤務時間数入力'!X$7:X$106,"常",'②-1職員名簿'!$O$7:$O$106,"")</f>
        <v>0</v>
      </c>
      <c r="AJ15" s="337">
        <f>SUMIFS('②-2勤務時間数入力'!X$7:X$106,'②-1職員名簿'!AV$7:AV$106,"E",'②-1職員名簿'!$P$7:$P$106,"有",'②-1職員名簿'!$C$7:$C$106,"嘱託等",'②-1職員名簿'!$O$7:$O$106,"")</f>
        <v>0</v>
      </c>
      <c r="AK15" s="344">
        <f>COUNTIFS('②-1職員名簿'!AV$7:AV$106,"E",'②-2勤務時間数入力'!L$7:L$106,"正",'②-1職員名簿'!$P$7:$P$106,"")</f>
        <v>0</v>
      </c>
      <c r="AL15" s="345">
        <f>COUNTIFS('②-1職員名簿'!AV$7:AV$106,"E",'②-2勤務時間数入力'!$C$7:$C$106,"常勤的非常勤",'②-2勤務時間数入力'!X$7:X$106,"常",'②-1職員名簿'!$P$7:$P$106,"")</f>
        <v>0</v>
      </c>
      <c r="AM15" s="345">
        <f>SUMIFS('②-2勤務時間数入力'!X$7:X$106,'②-1職員名簿'!AV$7:AV$106,"E",'②-1職員名簿'!$C$7:$C$106,"パート",'②-1職員名簿'!$P$7:$P$106,"")</f>
        <v>0</v>
      </c>
      <c r="AN15" s="345">
        <f>COUNTIFS('②-1職員名簿'!AV$7:AV$106,"E",'②-2勤務時間数入力'!$C$7:$C$106,"嘱託常勤",'②-2勤務時間数入力'!X$7:X$106,"常",'②-1職員名簿'!$P$7:$P$106,"")</f>
        <v>0</v>
      </c>
      <c r="AO15" s="345">
        <f>SUMIFS('②-2勤務時間数入力'!X$7:X$106,'②-1職員名簿'!AV$7:AV$106,"E",'②-1職員名簿'!$C$7:$C$106,"嘱託等",'②-1職員名簿'!$P$7:$P$106,"")</f>
        <v>0</v>
      </c>
      <c r="AP15" s="260">
        <f t="shared" si="15"/>
        <v>0</v>
      </c>
      <c r="AQ15" s="260">
        <f t="shared" ref="AQ15:AQ19" si="25">AA15+AF15+AK15-AP15</f>
        <v>0</v>
      </c>
      <c r="AR15" s="260">
        <f t="shared" si="5"/>
        <v>0</v>
      </c>
      <c r="AS15" s="261" t="e">
        <f t="shared" si="6"/>
        <v>#DIV/0!</v>
      </c>
      <c r="AT15" s="262" t="e">
        <f t="shared" si="16"/>
        <v>#DIV/0!</v>
      </c>
      <c r="AU15" s="330">
        <f>COUNTIFS('②-1職員名簿'!$W$7:$W$106,"園長",'②-1職員名簿'!AV$7:AV$106,"D")</f>
        <v>0</v>
      </c>
      <c r="AV15" s="331">
        <f>COUNTIFS('②-1職員名簿'!$W$7:$W$106,"園長",'②-1職員名簿'!$P$7:$P$106,"有",'②-1職員名簿'!AV$7:AV$106,"E")</f>
        <v>0</v>
      </c>
      <c r="AW15" s="263" t="e">
        <f t="shared" si="17"/>
        <v>#DIV/0!</v>
      </c>
      <c r="AX15" s="263" t="e">
        <f t="shared" si="18"/>
        <v>#DIV/0!</v>
      </c>
      <c r="AY15" s="263" t="e">
        <f t="shared" si="19"/>
        <v>#N/A</v>
      </c>
      <c r="AZ15" s="264" t="e">
        <f t="shared" si="20"/>
        <v>#N/A</v>
      </c>
    </row>
    <row r="16" spans="1:52" s="35" customFormat="1" ht="36" customHeight="1">
      <c r="A16" s="280">
        <v>11</v>
      </c>
      <c r="B16" s="338">
        <f>'②-2勤務時間数入力'!AH14</f>
        <v>0</v>
      </c>
      <c r="C16" s="337">
        <f>COUNTIFS('②-1職員名簿'!$L$7:$L$106,"有",'②-1職員名簿'!AJ$7:AJ$106,"○",'②-2勤務時間数入力'!M$7:M$106,"正")</f>
        <v>0</v>
      </c>
      <c r="D16" s="337">
        <f>COUNTIFS('②-1職員名簿'!$L$7:$L$106,"有",'②-2勤務時間数入力'!$C$7:$C$106,"常勤的非常勤",'②-2勤務時間数入力'!Y$7:Y$106,"常")</f>
        <v>0</v>
      </c>
      <c r="E16" s="337">
        <f>SUMIFS('②-2勤務時間数入力'!Y$7:Y$106,'②-1職員名簿'!$L$7:$L$106,"有",'②-1職員名簿'!$C$7:$C$106,"パート")</f>
        <v>0</v>
      </c>
      <c r="F16" s="337">
        <f>COUNTIFS('②-1職員名簿'!$L$7:$L$106,"有",'②-2勤務時間数入力'!$C$7:$C$106,"嘱託常勤",'②-2勤務時間数入力'!Y$7:Y$106,"常")</f>
        <v>0</v>
      </c>
      <c r="G16" s="337">
        <f>SUMIFS('②-2勤務時間数入力'!Y$7:Y$106,'②-1職員名簿'!$L$7:$L$106,"有",'②-1職員名簿'!$C$7:$C$106,"嘱託等")</f>
        <v>0</v>
      </c>
      <c r="H16" s="346">
        <f>COUNTIFS('②-1職員名簿'!$M$7:$M$106,"有",'②-1職員名簿'!AW$7:AW$106,"C",'②-2勤務時間数入力'!M$7:M$106,"正",'②-1職員名簿'!$L$7:$L$106,"")</f>
        <v>0</v>
      </c>
      <c r="I16" s="346">
        <f>COUNTIFS('②-1職員名簿'!$M$7:$M$106,"有",'②-1職員名簿'!AW$7:AW$106,"C",'②-2勤務時間数入力'!$C$7:$C$106,"常勤的非常勤",'②-2勤務時間数入力'!Y$7:Y$106,"常",'②-1職員名簿'!$L$7:$L$106,"")</f>
        <v>0</v>
      </c>
      <c r="J16" s="346">
        <f>SUMIFS('②-2勤務時間数入力'!Y$7:Y$106,'②-1職員名簿'!$M$7:$M$106,"有",'②-1職員名簿'!AW$7:AW$106,"C",'②-1職員名簿'!$C$7:$C$106,"パート",'②-1職員名簿'!$L$7:$L$106,"")</f>
        <v>0</v>
      </c>
      <c r="K16" s="346">
        <f>COUNTIFS('②-1職員名簿'!$M$7:$M$106,"有",'②-1職員名簿'!AW$7:AW$106,"C",'②-2勤務時間数入力'!$C$7:$C$106,"嘱託常勤",'②-2勤務時間数入力'!Y$7:Y$106,"常",'②-1職員名簿'!$L$7:$L$106,"")</f>
        <v>0</v>
      </c>
      <c r="L16" s="346">
        <f>SUMIFS('②-2勤務時間数入力'!Y$7:Y$106,'②-1職員名簿'!$M$7:$M$106,"有",'②-1職員名簿'!AW$7:AW$106,"C",'②-1職員名簿'!$C$7:$C$106,"嘱託等",'②-1職員名簿'!$L$7:$L$106,"")</f>
        <v>0</v>
      </c>
      <c r="M16" s="346">
        <f>COUNTIFS('②-1職員名簿'!$N$7:$N$106,"有",'②-1職員名簿'!AW$7:AW$106,"C",'②-2勤務時間数入力'!M$7:M$106,"正",'②-1職員名簿'!$L$7:$L$106,"",'②-1職員名簿'!$M$7:$M$106,"")</f>
        <v>0</v>
      </c>
      <c r="N16" s="346">
        <f>COUNTIFS('②-1職員名簿'!$N$7:$N$106,"有",'②-1職員名簿'!AW$7:AW$106,"C",'②-2勤務時間数入力'!$C$7:$C$106,"常勤的非常勤",'②-2勤務時間数入力'!Y$7:Y$106,"常",'②-1職員名簿'!$L$7:$L$106,"",'②-1職員名簿'!$M$7:$M$106,"")</f>
        <v>0</v>
      </c>
      <c r="O16" s="346">
        <f>SUMIFS('②-2勤務時間数入力'!Y$7:Y$106,'②-1職員名簿'!$N$7:$N$106,"有",'②-1職員名簿'!AW$7:AW$106,"C",'②-1職員名簿'!$C$7:$C$106,"パート",'②-1職員名簿'!$L$7:$L$106,"",'②-1職員名簿'!$M$7:$M$106,"")</f>
        <v>0</v>
      </c>
      <c r="P16" s="346">
        <f>COUNTIFS('②-1職員名簿'!$N$7:$N$106,"有",'②-1職員名簿'!AW$7:AW$106,"C",'②-2勤務時間数入力'!$C$7:$C$106,"嘱託常勤",'②-2勤務時間数入力'!Y$7:Y$106,"常",'②-1職員名簿'!$L$7:$L$106,"",'②-1職員名簿'!$M$7:$M$106,"")</f>
        <v>0</v>
      </c>
      <c r="Q16" s="346">
        <f>SUMIFS('②-2勤務時間数入力'!Y$7:Y$106,'②-1職員名簿'!$N$7:$N$106,"有",'②-1職員名簿'!AW$7:AW$106,"C",'②-1職員名簿'!$C$7:$C$106,"嘱託等",'②-1職員名簿'!$L$7:$L$106,"",'②-1職員名簿'!$M$7:$M$106,"")</f>
        <v>0</v>
      </c>
      <c r="R16" s="346">
        <f>COUNTIFS('②-1職員名簿'!$W$7:$W$106,"園長",'②-1職員名簿'!AW$7:AW$106,"C")</f>
        <v>0</v>
      </c>
      <c r="S16" s="341">
        <f t="shared" si="10"/>
        <v>0</v>
      </c>
      <c r="T16" s="336">
        <f t="shared" si="11"/>
        <v>0</v>
      </c>
      <c r="U16" s="342" t="e">
        <f t="shared" si="12"/>
        <v>#DIV/0!</v>
      </c>
      <c r="V16" s="342" t="e">
        <f t="shared" si="13"/>
        <v>#DIV/0!</v>
      </c>
      <c r="W16" s="542" t="e">
        <f t="shared" si="21"/>
        <v>#DIV/0!</v>
      </c>
      <c r="X16" s="342" t="e">
        <f t="shared" si="14"/>
        <v>#DIV/0!</v>
      </c>
      <c r="Y16" s="343"/>
      <c r="Z16" s="339" t="e">
        <f t="shared" si="4"/>
        <v>#N/A</v>
      </c>
      <c r="AA16" s="340">
        <f>COUNTIFS('②-1職員名簿'!AW$7:AW$106,"D",'②-2勤務時間数入力'!M$7:M$106,"正")</f>
        <v>0</v>
      </c>
      <c r="AB16" s="337">
        <f>COUNTIFS('②-1職員名簿'!AW$7:AW$106,"D",'②-2勤務時間数入力'!$C$7:$C$106,"常勤的非常勤",'②-2勤務時間数入力'!Y$7:Y$106,"常")</f>
        <v>0</v>
      </c>
      <c r="AC16" s="337">
        <f>SUMIFS('②-2勤務時間数入力'!Y$7:Y$106,'②-1職員名簿'!AW$7:AW$106,"D",'②-1職員名簿'!$C$7:$C$106,"パート")</f>
        <v>0</v>
      </c>
      <c r="AD16" s="337">
        <f>COUNTIFS('②-1職員名簿'!AW$7:AW$106,"D",'②-2勤務時間数入力'!$C$7:$C$106,"嘱託常勤",'②-2勤務時間数入力'!Y$7:Y$106,"常")</f>
        <v>0</v>
      </c>
      <c r="AE16" s="337">
        <f>SUMIFS('②-2勤務時間数入力'!Y$7:Y$106,'②-1職員名簿'!AW$7:AW$106,"D",'②-1職員名簿'!$C$7:$C$106,"嘱託等")</f>
        <v>0</v>
      </c>
      <c r="AF16" s="340">
        <f>COUNTIFS('②-1職員名簿'!$P$7:$P$106,"有",'②-1職員名簿'!AW$7:AW$106,"E",'②-2勤務時間数入力'!M$7:M$106,"正",'②-1職員名簿'!$O$7:$O$106,"")</f>
        <v>0</v>
      </c>
      <c r="AG16" s="337">
        <f>COUNTIFS('②-1職員名簿'!$P$7:$P$106,"有",'②-1職員名簿'!AW$7:AW$106,"E",'②-2勤務時間数入力'!$C$7:$C$106,"常勤的非常勤",'②-2勤務時間数入力'!Y$7:Y$106,"常",'②-1職員名簿'!$O$7:$O$106,"")</f>
        <v>0</v>
      </c>
      <c r="AH16" s="337">
        <f>SUMIFS('②-2勤務時間数入力'!Y$7:Y$106,'②-1職員名簿'!AW$7:AW$106,"E",'②-1職員名簿'!$P$7:$P$106,"有",'②-1職員名簿'!$C$7:$C$106,"パート",'②-1職員名簿'!$O$7:$O$106,"")</f>
        <v>0</v>
      </c>
      <c r="AI16" s="337">
        <f>COUNTIFS('②-1職員名簿'!$P$7:$P$106,"有",'②-1職員名簿'!AW$7:AW$106,"E",'②-2勤務時間数入力'!$C$7:$C$106,"嘱託常勤",'②-2勤務時間数入力'!Y$7:Y$106,"常",'②-1職員名簿'!$O$7:$O$106,"")</f>
        <v>0</v>
      </c>
      <c r="AJ16" s="337">
        <f>SUMIFS('②-2勤務時間数入力'!Y$7:Y$106,'②-1職員名簿'!AW$7:AW$106,"E",'②-1職員名簿'!$P$7:$P$106,"有",'②-1職員名簿'!$C$7:$C$106,"嘱託等",'②-1職員名簿'!$O$7:$O$106,"")</f>
        <v>0</v>
      </c>
      <c r="AK16" s="344">
        <f>COUNTIFS('②-1職員名簿'!AW$7:AW$106,"E",'②-2勤務時間数入力'!M$7:M$106,"正",'②-1職員名簿'!$P$7:$P$106,"")</f>
        <v>0</v>
      </c>
      <c r="AL16" s="345">
        <f>COUNTIFS('②-1職員名簿'!AW$7:AW$106,"E",'②-2勤務時間数入力'!$C$7:$C$106,"常勤的非常勤",'②-2勤務時間数入力'!Y$7:Y$106,"常",'②-1職員名簿'!$P$7:$P$106,"")</f>
        <v>0</v>
      </c>
      <c r="AM16" s="345">
        <f>SUMIFS('②-2勤務時間数入力'!Y$7:Y$106,'②-1職員名簿'!AW$7:AW$106,"E",'②-1職員名簿'!$C$7:$C$106,"パート",'②-1職員名簿'!$P$7:$P$106,"")</f>
        <v>0</v>
      </c>
      <c r="AN16" s="345">
        <f>COUNTIFS('②-1職員名簿'!AW$7:AW$106,"E",'②-2勤務時間数入力'!$C$7:$C$106,"嘱託常勤",'②-2勤務時間数入力'!Y$7:Y$106,"常",'②-1職員名簿'!$P$7:$P$106,"")</f>
        <v>0</v>
      </c>
      <c r="AO16" s="345">
        <f>SUMIFS('②-2勤務時間数入力'!Y$7:Y$106,'②-1職員名簿'!AW$7:AW$106,"E",'②-1職員名簿'!$C$7:$C$106,"嘱託等",'②-1職員名簿'!$P$7:$P$106,"")</f>
        <v>0</v>
      </c>
      <c r="AP16" s="260">
        <f t="shared" si="15"/>
        <v>0</v>
      </c>
      <c r="AQ16" s="260">
        <f>AA16+AF16+AK16-AP16</f>
        <v>0</v>
      </c>
      <c r="AR16" s="260">
        <f t="shared" si="5"/>
        <v>0</v>
      </c>
      <c r="AS16" s="261" t="e">
        <f t="shared" si="6"/>
        <v>#DIV/0!</v>
      </c>
      <c r="AT16" s="262" t="e">
        <f t="shared" si="16"/>
        <v>#DIV/0!</v>
      </c>
      <c r="AU16" s="330">
        <f>COUNTIFS('②-1職員名簿'!$W$7:$W$106,"園長",'②-1職員名簿'!AW$7:AW$106,"D")</f>
        <v>0</v>
      </c>
      <c r="AV16" s="331">
        <f>COUNTIFS('②-1職員名簿'!$W$7:$W$106,"園長",'②-1職員名簿'!$P$7:$P$106,"有",'②-1職員名簿'!AW$7:AW$106,"E")</f>
        <v>0</v>
      </c>
      <c r="AW16" s="263" t="e">
        <f t="shared" si="17"/>
        <v>#DIV/0!</v>
      </c>
      <c r="AX16" s="263" t="e">
        <f t="shared" si="18"/>
        <v>#DIV/0!</v>
      </c>
      <c r="AY16" s="263" t="e">
        <f t="shared" si="19"/>
        <v>#N/A</v>
      </c>
      <c r="AZ16" s="264" t="e">
        <f t="shared" si="20"/>
        <v>#N/A</v>
      </c>
    </row>
    <row r="17" spans="1:52" s="35" customFormat="1" ht="36" customHeight="1">
      <c r="A17" s="280">
        <v>12</v>
      </c>
      <c r="B17" s="338">
        <f>'②-2勤務時間数入力'!AH15</f>
        <v>0</v>
      </c>
      <c r="C17" s="337">
        <f>COUNTIFS('②-1職員名簿'!$L$7:$L$106,"有",'②-1職員名簿'!AK$7:AK$106,"○",'②-2勤務時間数入力'!N$7:N$106,"正")</f>
        <v>0</v>
      </c>
      <c r="D17" s="337">
        <f>COUNTIFS('②-1職員名簿'!$L$7:$L$106,"有",'②-2勤務時間数入力'!$C$7:$C$106,"常勤的非常勤",'②-2勤務時間数入力'!Z$7:Z$106,"常")</f>
        <v>0</v>
      </c>
      <c r="E17" s="337">
        <f>SUMIFS('②-2勤務時間数入力'!Z$7:Z$106,'②-1職員名簿'!$L$7:$L$106,"有",'②-1職員名簿'!$C$7:$C$106,"パート")</f>
        <v>0</v>
      </c>
      <c r="F17" s="337">
        <f>COUNTIFS('②-1職員名簿'!$L$7:$L$106,"有",'②-2勤務時間数入力'!$C$7:$C$106,"嘱託常勤",'②-2勤務時間数入力'!Z$7:Z$106,"常")</f>
        <v>0</v>
      </c>
      <c r="G17" s="337">
        <f>SUMIFS('②-2勤務時間数入力'!Z$7:Z$106,'②-1職員名簿'!$L$7:$L$106,"有",'②-1職員名簿'!$C$7:$C$106,"嘱託等")</f>
        <v>0</v>
      </c>
      <c r="H17" s="346">
        <f>COUNTIFS('②-1職員名簿'!$M$7:$M$106,"有",'②-1職員名簿'!AX$7:AX$106,"C",'②-2勤務時間数入力'!N$7:N$106,"正",'②-1職員名簿'!$L$7:$L$106,"")</f>
        <v>0</v>
      </c>
      <c r="I17" s="346">
        <f>COUNTIFS('②-1職員名簿'!$M$7:$M$106,"有",'②-1職員名簿'!AX$7:AX$106,"C",'②-2勤務時間数入力'!$C$7:$C$106,"常勤的非常勤",'②-2勤務時間数入力'!Z$7:Z$106,"常",'②-1職員名簿'!$L$7:$L$106,"")</f>
        <v>0</v>
      </c>
      <c r="J17" s="346">
        <f>SUMIFS('②-2勤務時間数入力'!Z$7:Z$106,'②-1職員名簿'!$M$7:$M$106,"有",'②-1職員名簿'!AX$7:AX$106,"C",'②-1職員名簿'!$C$7:$C$106,"パート",'②-1職員名簿'!$L$7:$L$106,"")</f>
        <v>0</v>
      </c>
      <c r="K17" s="346">
        <f>COUNTIFS('②-1職員名簿'!$M$7:$M$106,"有",'②-1職員名簿'!AX$7:AX$106,"C",'②-2勤務時間数入力'!$C$7:$C$106,"嘱託常勤",'②-2勤務時間数入力'!Z$7:Z$106,"常",'②-1職員名簿'!$L$7:$L$106,"")</f>
        <v>0</v>
      </c>
      <c r="L17" s="346">
        <f>SUMIFS('②-2勤務時間数入力'!Z$7:Z$106,'②-1職員名簿'!$M$7:$M$106,"有",'②-1職員名簿'!AX$7:AX$106,"C",'②-1職員名簿'!$C$7:$C$106,"嘱託等",'②-1職員名簿'!$L$7:$L$106,"")</f>
        <v>0</v>
      </c>
      <c r="M17" s="346">
        <f>COUNTIFS('②-1職員名簿'!$N$7:$N$106,"有",'②-1職員名簿'!AX$7:AX$106,"C",'②-2勤務時間数入力'!N$7:N$106,"正",'②-1職員名簿'!$L$7:$L$106,"",'②-1職員名簿'!$M$7:$M$106,"")</f>
        <v>0</v>
      </c>
      <c r="N17" s="346">
        <f>COUNTIFS('②-1職員名簿'!$N$7:$N$106,"有",'②-1職員名簿'!AX$7:AX$106,"C",'②-2勤務時間数入力'!$C$7:$C$106,"常勤的非常勤",'②-2勤務時間数入力'!Z$7:Z$106,"常",'②-1職員名簿'!$L$7:$L$106,"",'②-1職員名簿'!$M$7:$M$106,"")</f>
        <v>0</v>
      </c>
      <c r="O17" s="346">
        <f>SUMIFS('②-2勤務時間数入力'!Z$7:Z$106,'②-1職員名簿'!$N$7:$N$106,"有",'②-1職員名簿'!AX$7:AX$106,"C",'②-1職員名簿'!$C$7:$C$106,"パート",'②-1職員名簿'!$L$7:$L$106,"",'②-1職員名簿'!$M$7:$M$106,"")</f>
        <v>0</v>
      </c>
      <c r="P17" s="346">
        <f>COUNTIFS('②-1職員名簿'!$N$7:$N$106,"有",'②-1職員名簿'!AX$7:AX$106,"C",'②-2勤務時間数入力'!$C$7:$C$106,"嘱託常勤",'②-2勤務時間数入力'!Z$7:Z$106,"常",'②-1職員名簿'!$L$7:$L$106,"",'②-1職員名簿'!$M$7:$M$106,"")</f>
        <v>0</v>
      </c>
      <c r="Q17" s="346">
        <f>SUMIFS('②-2勤務時間数入力'!Z$7:Z$106,'②-1職員名簿'!$N$7:$N$106,"有",'②-1職員名簿'!AX$7:AX$106,"C",'②-1職員名簿'!$C$7:$C$106,"嘱託等",'②-1職員名簿'!$L$7:$L$106,"",'②-1職員名簿'!$M$7:$M$106,"")</f>
        <v>0</v>
      </c>
      <c r="R17" s="346">
        <f>COUNTIFS('②-1職員名簿'!$W$7:$W$106,"園長",'②-1職員名簿'!AX$7:AX$106,"C")</f>
        <v>0</v>
      </c>
      <c r="S17" s="341">
        <f t="shared" si="10"/>
        <v>0</v>
      </c>
      <c r="T17" s="336">
        <f t="shared" si="11"/>
        <v>0</v>
      </c>
      <c r="U17" s="342" t="e">
        <f t="shared" si="12"/>
        <v>#DIV/0!</v>
      </c>
      <c r="V17" s="342" t="e">
        <f t="shared" si="13"/>
        <v>#DIV/0!</v>
      </c>
      <c r="W17" s="542" t="e">
        <f t="shared" si="21"/>
        <v>#DIV/0!</v>
      </c>
      <c r="X17" s="342" t="e">
        <f t="shared" si="14"/>
        <v>#DIV/0!</v>
      </c>
      <c r="Y17" s="343"/>
      <c r="Z17" s="339" t="e">
        <f t="shared" si="4"/>
        <v>#N/A</v>
      </c>
      <c r="AA17" s="340">
        <f>COUNTIFS('②-1職員名簿'!AX$7:AX$106,"D",'②-2勤務時間数入力'!N$7:N$106,"正")</f>
        <v>0</v>
      </c>
      <c r="AB17" s="337">
        <f>COUNTIFS('②-1職員名簿'!AX$7:AX$106,"D",'②-2勤務時間数入力'!$C$7:$C$106,"常勤的非常勤",'②-2勤務時間数入力'!Z$7:Z$106,"常")</f>
        <v>0</v>
      </c>
      <c r="AC17" s="337">
        <f>SUMIFS('②-2勤務時間数入力'!Z$7:Z$106,'②-1職員名簿'!AX$7:AX$106,"D",'②-1職員名簿'!$C$7:$C$106,"パート")</f>
        <v>0</v>
      </c>
      <c r="AD17" s="337">
        <f>COUNTIFS('②-1職員名簿'!AX$7:AX$106,"D",'②-2勤務時間数入力'!$C$7:$C$106,"嘱託常勤",'②-2勤務時間数入力'!Z$7:Z$106,"常")</f>
        <v>0</v>
      </c>
      <c r="AE17" s="337">
        <f>SUMIFS('②-2勤務時間数入力'!Z$7:Z$106,'②-1職員名簿'!AX$7:AX$106,"D",'②-1職員名簿'!$C$7:$C$106,"嘱託等")</f>
        <v>0</v>
      </c>
      <c r="AF17" s="453">
        <f>COUNTIFS('②-1職員名簿'!$P$7:$P$106,"有",'②-1職員名簿'!AX$7:AX$106,"E",'②-2勤務時間数入力'!N$7:N$106,"正",'②-1職員名簿'!$O$7:$O$106,"")</f>
        <v>0</v>
      </c>
      <c r="AG17" s="337">
        <f>COUNTIFS('②-1職員名簿'!$P$7:$P$106,"有",'②-1職員名簿'!AX$7:AX$106,"E",'②-2勤務時間数入力'!$C$7:$C$106,"常勤的非常勤",'②-2勤務時間数入力'!Z$7:Z$106,"常",'②-1職員名簿'!$O$7:$O$106,"")</f>
        <v>0</v>
      </c>
      <c r="AH17" s="337">
        <f>SUMIFS('②-2勤務時間数入力'!Z$7:Z$106,'②-1職員名簿'!AX$7:AX$106,"E",'②-1職員名簿'!$P$7:$P$106,"有",'②-1職員名簿'!$C$7:$C$106,"パート",'②-1職員名簿'!$O$7:$O$106,"")</f>
        <v>0</v>
      </c>
      <c r="AI17" s="337">
        <f>COUNTIFS('②-1職員名簿'!$P$7:$P$106,"有",'②-1職員名簿'!AX$7:AX$106,"E",'②-2勤務時間数入力'!$C$7:$C$106,"嘱託常勤",'②-2勤務時間数入力'!Z$7:Z$106,"常",'②-1職員名簿'!$O$7:$O$106,"")</f>
        <v>0</v>
      </c>
      <c r="AJ17" s="337">
        <f>SUMIFS('②-2勤務時間数入力'!Z$7:Z$106,'②-1職員名簿'!AX$7:AX$106,"E",'②-1職員名簿'!$P$7:$P$106,"有",'②-1職員名簿'!$C$7:$C$106,"嘱託等",'②-1職員名簿'!$O$7:$O$106,"")</f>
        <v>0</v>
      </c>
      <c r="AK17" s="344">
        <f>COUNTIFS('②-1職員名簿'!AX$7:AX$106,"E",'②-2勤務時間数入力'!N$7:N$106,"正",'②-1職員名簿'!$P$7:$P$106,"")</f>
        <v>0</v>
      </c>
      <c r="AL17" s="345">
        <f>COUNTIFS('②-1職員名簿'!AX$7:AX$106,"E",'②-2勤務時間数入力'!$C$7:$C$106,"常勤的非常勤",'②-2勤務時間数入力'!Z$7:Z$106,"常",'②-1職員名簿'!$P$7:$P$106,"")</f>
        <v>0</v>
      </c>
      <c r="AM17" s="345">
        <f>SUMIFS('②-2勤務時間数入力'!Z$7:Z$106,'②-1職員名簿'!AX$7:AX$106,"E",'②-1職員名簿'!$C$7:$C$106,"パート",'②-1職員名簿'!$P$7:$P$106,"")</f>
        <v>0</v>
      </c>
      <c r="AN17" s="345">
        <f>COUNTIFS('②-1職員名簿'!AX$7:AX$106,"E",'②-2勤務時間数入力'!$C$7:$C$106,"嘱託常勤",'②-2勤務時間数入力'!Z$7:Z$106,"常",'②-1職員名簿'!$P$7:$P$106,"")</f>
        <v>0</v>
      </c>
      <c r="AO17" s="345">
        <f>SUMIFS('②-2勤務時間数入力'!Z$7:Z$106,'②-1職員名簿'!AX$7:AX$106,"E",'②-1職員名簿'!$C$7:$C$106,"嘱託等",'②-1職員名簿'!$P$7:$P$106,"")</f>
        <v>0</v>
      </c>
      <c r="AP17" s="260">
        <f t="shared" si="15"/>
        <v>0</v>
      </c>
      <c r="AQ17" s="260">
        <f t="shared" si="25"/>
        <v>0</v>
      </c>
      <c r="AR17" s="177">
        <f t="shared" si="5"/>
        <v>0</v>
      </c>
      <c r="AS17" s="261" t="e">
        <f t="shared" si="6"/>
        <v>#DIV/0!</v>
      </c>
      <c r="AT17" s="262" t="e">
        <f t="shared" si="16"/>
        <v>#DIV/0!</v>
      </c>
      <c r="AU17" s="330">
        <f>COUNTIFS('②-1職員名簿'!$W$7:$W$106,"園長",'②-1職員名簿'!AX$7:AX$106,"D")</f>
        <v>0</v>
      </c>
      <c r="AV17" s="331">
        <f>COUNTIFS('②-1職員名簿'!$W$7:$W$106,"園長",'②-1職員名簿'!$P$7:$P$106,"有",'②-1職員名簿'!AX$7:AX$106,"E")</f>
        <v>0</v>
      </c>
      <c r="AW17" s="263" t="e">
        <f t="shared" si="17"/>
        <v>#DIV/0!</v>
      </c>
      <c r="AX17" s="263" t="e">
        <f t="shared" si="18"/>
        <v>#DIV/0!</v>
      </c>
      <c r="AY17" s="263" t="e">
        <f t="shared" si="19"/>
        <v>#N/A</v>
      </c>
      <c r="AZ17" s="264" t="e">
        <f t="shared" si="20"/>
        <v>#N/A</v>
      </c>
    </row>
    <row r="18" spans="1:52" s="35" customFormat="1" ht="36" customHeight="1">
      <c r="A18" s="280">
        <v>1</v>
      </c>
      <c r="B18" s="338">
        <f>'②-2勤務時間数入力'!AH16</f>
        <v>0</v>
      </c>
      <c r="C18" s="337">
        <f>COUNTIFS('②-1職員名簿'!$L$7:$L$106,"有",'②-1職員名簿'!AL$7:AL$106,"○",'②-2勤務時間数入力'!O$7:O$106,"正")</f>
        <v>0</v>
      </c>
      <c r="D18" s="337">
        <f>COUNTIFS('②-1職員名簿'!$L$7:$L$106,"有",'②-2勤務時間数入力'!$C$7:$C$106,"常勤的非常勤",'②-2勤務時間数入力'!AA$7:AA$106,"常")</f>
        <v>0</v>
      </c>
      <c r="E18" s="337">
        <f>SUMIFS('②-2勤務時間数入力'!AA$7:AA$106,'②-1職員名簿'!$L$7:$L$106,"有",'②-1職員名簿'!$C$7:$C$106,"パート")</f>
        <v>0</v>
      </c>
      <c r="F18" s="337">
        <f>COUNTIFS('②-1職員名簿'!$L$7:$L$106,"有",'②-2勤務時間数入力'!$C$7:$C$106,"嘱託常勤",'②-2勤務時間数入力'!AA$7:AA$106,"常")</f>
        <v>0</v>
      </c>
      <c r="G18" s="337">
        <f>SUMIFS('②-2勤務時間数入力'!AA$7:AA$106,'②-1職員名簿'!$L$7:$L$106,"有",'②-1職員名簿'!$C$7:$C$106,"嘱託等")</f>
        <v>0</v>
      </c>
      <c r="H18" s="346">
        <f>COUNTIFS('②-1職員名簿'!$M$7:$M$106,"有",'②-1職員名簿'!AY$7:AY$106,"C",'②-2勤務時間数入力'!O$7:O$106,"正",'②-1職員名簿'!$L$7:$L$106,"")</f>
        <v>0</v>
      </c>
      <c r="I18" s="346">
        <f>COUNTIFS('②-1職員名簿'!$M$7:$M$106,"有",'②-1職員名簿'!AY$7:AY$106,"C",'②-2勤務時間数入力'!$C$7:$C$106,"常勤的非常勤",'②-2勤務時間数入力'!AA$7:AA$106,"常",'②-1職員名簿'!$L$7:$L$106,"")</f>
        <v>0</v>
      </c>
      <c r="J18" s="346">
        <f>SUMIFS('②-2勤務時間数入力'!AA$7:AA$106,'②-1職員名簿'!$M$7:$M$106,"有",'②-1職員名簿'!AY$7:AY$106,"C",'②-1職員名簿'!$C$7:$C$106,"パート",'②-1職員名簿'!$L$7:$L$106,"")</f>
        <v>0</v>
      </c>
      <c r="K18" s="346">
        <f>COUNTIFS('②-1職員名簿'!$M$7:$M$106,"有",'②-1職員名簿'!AY$7:AY$106,"C",'②-2勤務時間数入力'!$C$7:$C$106,"嘱託常勤",'②-2勤務時間数入力'!AA$7:AA$106,"常",'②-1職員名簿'!$L$7:$L$106,"")</f>
        <v>0</v>
      </c>
      <c r="L18" s="346">
        <f>SUMIFS('②-2勤務時間数入力'!AA$7:AA$106,'②-1職員名簿'!$M$7:$M$106,"有",'②-1職員名簿'!AY$7:AY$106,"C",'②-1職員名簿'!$C$7:$C$106,"嘱託等",'②-1職員名簿'!$L$7:$L$106,"")</f>
        <v>0</v>
      </c>
      <c r="M18" s="346">
        <f>COUNTIFS('②-1職員名簿'!$N$7:$N$106,"有",'②-1職員名簿'!AY$7:AY$106,"C",'②-2勤務時間数入力'!O$7:O$106,"正",'②-1職員名簿'!$L$7:$L$106,"",'②-1職員名簿'!$M$7:$M$106,"")</f>
        <v>0</v>
      </c>
      <c r="N18" s="346">
        <f>COUNTIFS('②-1職員名簿'!$N$7:$N$106,"有",'②-1職員名簿'!AY$7:AY$106,"C",'②-2勤務時間数入力'!$C$7:$C$106,"常勤的非常勤",'②-2勤務時間数入力'!AA$7:AA$106,"常",'②-1職員名簿'!$L$7:$L$106,"",'②-1職員名簿'!$M$7:$M$106,"")</f>
        <v>0</v>
      </c>
      <c r="O18" s="346">
        <f>SUMIFS('②-2勤務時間数入力'!AA$7:AA$106,'②-1職員名簿'!$N$7:$N$106,"有",'②-1職員名簿'!AY$7:AY$106,"C",'②-1職員名簿'!$C$7:$C$106,"パート",'②-1職員名簿'!$L$7:$L$106,"",'②-1職員名簿'!$M$7:$M$106,"")</f>
        <v>0</v>
      </c>
      <c r="P18" s="346">
        <f>COUNTIFS('②-1職員名簿'!$N$7:$N$106,"有",'②-1職員名簿'!AY$7:AY$106,"C",'②-2勤務時間数入力'!$C$7:$C$106,"嘱託常勤",'②-2勤務時間数入力'!AA$7:AA$106,"常",'②-1職員名簿'!$L$7:$L$106,"",'②-1職員名簿'!$M$7:$M$106,"")</f>
        <v>0</v>
      </c>
      <c r="Q18" s="346">
        <f>SUMIFS('②-2勤務時間数入力'!AA$7:AA$106,'②-1職員名簿'!$N$7:$N$106,"有",'②-1職員名簿'!AY$7:AY$106,"C",'②-1職員名簿'!$C$7:$C$106,"嘱託等",'②-1職員名簿'!$L$7:$L$106,"",'②-1職員名簿'!$M$7:$M$106,"")</f>
        <v>0</v>
      </c>
      <c r="R18" s="346">
        <f>COUNTIFS('②-1職員名簿'!$W$7:$W$106,"園長",'②-1職員名簿'!AY$7:AY$106,"C")</f>
        <v>0</v>
      </c>
      <c r="S18" s="341">
        <f t="shared" si="10"/>
        <v>0</v>
      </c>
      <c r="T18" s="336">
        <f t="shared" si="11"/>
        <v>0</v>
      </c>
      <c r="U18" s="342" t="e">
        <f t="shared" si="12"/>
        <v>#DIV/0!</v>
      </c>
      <c r="V18" s="342" t="e">
        <f t="shared" si="13"/>
        <v>#DIV/0!</v>
      </c>
      <c r="W18" s="542" t="e">
        <f t="shared" si="21"/>
        <v>#DIV/0!</v>
      </c>
      <c r="X18" s="342" t="e">
        <f t="shared" si="14"/>
        <v>#DIV/0!</v>
      </c>
      <c r="Y18" s="343"/>
      <c r="Z18" s="339" t="e">
        <f t="shared" si="4"/>
        <v>#N/A</v>
      </c>
      <c r="AA18" s="340">
        <f>COUNTIFS('②-1職員名簿'!AY$7:AY$106,"D",'②-2勤務時間数入力'!O$7:O$106,"正")</f>
        <v>0</v>
      </c>
      <c r="AB18" s="337">
        <f>COUNTIFS('②-1職員名簿'!AY$7:AY$106,"D",'②-2勤務時間数入力'!$C$7:$C$106,"常勤的非常勤",'②-2勤務時間数入力'!AA$7:AA$106,"常")</f>
        <v>0</v>
      </c>
      <c r="AC18" s="337">
        <f>SUMIFS('②-2勤務時間数入力'!AA$7:AA$106,'②-1職員名簿'!AY$7:AY$106,"D",'②-1職員名簿'!$C$7:$C$106,"パート")</f>
        <v>0</v>
      </c>
      <c r="AD18" s="337">
        <f>COUNTIFS('②-1職員名簿'!AY$7:AY$106,"D",'②-2勤務時間数入力'!$C$7:$C$106,"嘱託常勤",'②-2勤務時間数入力'!AA$7:AA$106,"常")</f>
        <v>0</v>
      </c>
      <c r="AE18" s="337">
        <f>SUMIFS('②-2勤務時間数入力'!AA$7:AA$106,'②-1職員名簿'!AY$7:AY$106,"D",'②-1職員名簿'!$C$7:$C$106,"嘱託等")</f>
        <v>0</v>
      </c>
      <c r="AF18" s="453">
        <f>COUNTIFS('②-1職員名簿'!$P$7:$P$106,"有",'②-1職員名簿'!AY$7:AY$106,"E",'②-2勤務時間数入力'!O$7:O$106,"正",'②-1職員名簿'!$O$7:$O$106,"")</f>
        <v>0</v>
      </c>
      <c r="AG18" s="337">
        <f>COUNTIFS('②-1職員名簿'!$P$7:$P$106,"有",'②-1職員名簿'!AY$7:AY$106,"E",'②-2勤務時間数入力'!$C$7:$C$106,"常勤的非常勤",'②-2勤務時間数入力'!AA$7:AA$106,"常",'②-1職員名簿'!$O$7:$O$106,"")</f>
        <v>0</v>
      </c>
      <c r="AH18" s="337">
        <f>SUMIFS('②-2勤務時間数入力'!AA$7:AA$106,'②-1職員名簿'!AY$7:AY$106,"E",'②-1職員名簿'!$P$7:$P$106,"有",'②-1職員名簿'!$C$7:$C$106,"パート",'②-1職員名簿'!$O$7:$O$106,"")</f>
        <v>0</v>
      </c>
      <c r="AI18" s="337">
        <f>COUNTIFS('②-1職員名簿'!$P$7:$P$106,"有",'②-1職員名簿'!AY$7:AY$106,"E",'②-2勤務時間数入力'!$C$7:$C$106,"嘱託常勤",'②-2勤務時間数入力'!AA$7:AA$106,"常",'②-1職員名簿'!$O$7:$O$106,"")</f>
        <v>0</v>
      </c>
      <c r="AJ18" s="337">
        <f>SUMIFS('②-2勤務時間数入力'!AA$7:AA$106,'②-1職員名簿'!AY$7:AY$106,"E",'②-1職員名簿'!$P$7:$P$106,"有",'②-1職員名簿'!$C$7:$C$106,"嘱託等",'②-1職員名簿'!$O$7:$O$106,"")</f>
        <v>0</v>
      </c>
      <c r="AK18" s="344">
        <f>COUNTIFS('②-1職員名簿'!AY$7:AY$106,"E",'②-2勤務時間数入力'!O$7:O$106,"正",'②-1職員名簿'!$P$7:$P$106,"")</f>
        <v>0</v>
      </c>
      <c r="AL18" s="345">
        <f>COUNTIFS('②-1職員名簿'!AY$7:AY$106,"E",'②-2勤務時間数入力'!$C$7:$C$106,"常勤的非常勤",'②-2勤務時間数入力'!AA$7:AA$106,"常",'②-1職員名簿'!$P$7:$P$106,"")</f>
        <v>0</v>
      </c>
      <c r="AM18" s="345">
        <f>SUMIFS('②-2勤務時間数入力'!AA$7:AA$106,'②-1職員名簿'!AY$7:AY$106,"E",'②-1職員名簿'!$C$7:$C$106,"パート",'②-1職員名簿'!$P$7:$P$106,"")</f>
        <v>0</v>
      </c>
      <c r="AN18" s="345">
        <f>COUNTIFS('②-1職員名簿'!AY$7:AY$106,"E",'②-2勤務時間数入力'!$C$7:$C$106,"嘱託常勤",'②-2勤務時間数入力'!AA$7:AA$106,"常",'②-1職員名簿'!$P$7:$P$106,"")</f>
        <v>0</v>
      </c>
      <c r="AO18" s="345">
        <f>SUMIFS('②-2勤務時間数入力'!AA$7:AA$106,'②-1職員名簿'!AY$7:AY$106,"E",'②-1職員名簿'!$C$7:$C$106,"嘱託等",'②-1職員名簿'!$P$7:$P$106,"")</f>
        <v>0</v>
      </c>
      <c r="AP18" s="260">
        <f t="shared" si="15"/>
        <v>0</v>
      </c>
      <c r="AQ18" s="260">
        <f t="shared" ref="AQ18:AQ20" si="26">AA18+AF18+AK18-AP18</f>
        <v>0</v>
      </c>
      <c r="AR18" s="177">
        <f t="shared" si="5"/>
        <v>0</v>
      </c>
      <c r="AS18" s="261" t="e">
        <f t="shared" si="6"/>
        <v>#DIV/0!</v>
      </c>
      <c r="AT18" s="262" t="e">
        <f t="shared" si="16"/>
        <v>#DIV/0!</v>
      </c>
      <c r="AU18" s="330">
        <f>COUNTIFS('②-1職員名簿'!$W$7:$W$106,"園長",'②-1職員名簿'!AY$7:AY$106,"D")</f>
        <v>0</v>
      </c>
      <c r="AV18" s="331">
        <f>COUNTIFS('②-1職員名簿'!$W$7:$W$106,"園長",'②-1職員名簿'!$P$7:$P$106,"有",'②-1職員名簿'!AY$7:AY$106,"E")</f>
        <v>0</v>
      </c>
      <c r="AW18" s="263" t="e">
        <f t="shared" si="17"/>
        <v>#DIV/0!</v>
      </c>
      <c r="AX18" s="263" t="e">
        <f t="shared" si="18"/>
        <v>#DIV/0!</v>
      </c>
      <c r="AY18" s="263" t="e">
        <f t="shared" si="19"/>
        <v>#N/A</v>
      </c>
      <c r="AZ18" s="264" t="e">
        <f t="shared" si="20"/>
        <v>#N/A</v>
      </c>
    </row>
    <row r="19" spans="1:52" s="35" customFormat="1" ht="36" customHeight="1">
      <c r="A19" s="280">
        <v>2</v>
      </c>
      <c r="B19" s="338">
        <f>'②-2勤務時間数入力'!AH17</f>
        <v>0</v>
      </c>
      <c r="C19" s="337">
        <f>COUNTIFS('②-1職員名簿'!$L$7:$L$106,"有",'②-1職員名簿'!AM$7:AM$106,"○",'②-2勤務時間数入力'!P$7:P$106,"正")</f>
        <v>0</v>
      </c>
      <c r="D19" s="337">
        <f>COUNTIFS('②-1職員名簿'!$L$7:$L$106,"有",'②-2勤務時間数入力'!$C$7:$C$106,"常勤的非常勤",'②-2勤務時間数入力'!AB$7:AB$106,"常")</f>
        <v>0</v>
      </c>
      <c r="E19" s="337">
        <f>SUMIFS('②-2勤務時間数入力'!AB$7:AB$106,'②-1職員名簿'!$L$7:$L$106,"有",'②-1職員名簿'!$C$7:$C$106,"パート")</f>
        <v>0</v>
      </c>
      <c r="F19" s="337">
        <f>COUNTIFS('②-1職員名簿'!$L$7:$L$106,"有",'②-2勤務時間数入力'!$C$7:$C$106,"嘱託常勤",'②-2勤務時間数入力'!AB$7:AB$106,"常")</f>
        <v>0</v>
      </c>
      <c r="G19" s="337">
        <f>SUMIFS('②-2勤務時間数入力'!AB$7:AB$106,'②-1職員名簿'!$L$7:$L$106,"有",'②-1職員名簿'!$C$7:$C$106,"嘱託等")</f>
        <v>0</v>
      </c>
      <c r="H19" s="346">
        <f>COUNTIFS('②-1職員名簿'!$M$7:$M$106,"有",'②-1職員名簿'!AZ$7:AZ$106,"C",'②-2勤務時間数入力'!P$7:P$106,"正",'②-1職員名簿'!$L$7:$L$106,"")</f>
        <v>0</v>
      </c>
      <c r="I19" s="346">
        <f>COUNTIFS('②-1職員名簿'!$M$7:$M$106,"有",'②-1職員名簿'!AZ$7:AZ$106,"C",'②-2勤務時間数入力'!$C$7:$C$106,"常勤的非常勤",'②-2勤務時間数入力'!AB$7:AB$106,"常",'②-1職員名簿'!$L$7:$L$106,"")</f>
        <v>0</v>
      </c>
      <c r="J19" s="346">
        <f>SUMIFS('②-2勤務時間数入力'!AB$7:AB$106,'②-1職員名簿'!$M$7:$M$106,"有",'②-1職員名簿'!AZ$7:AZ$106,"C",'②-1職員名簿'!$C$7:$C$106,"パート",'②-1職員名簿'!$L$7:$L$106,"")</f>
        <v>0</v>
      </c>
      <c r="K19" s="346">
        <f>COUNTIFS('②-1職員名簿'!$M$7:$M$106,"有",'②-1職員名簿'!AZ$7:AZ$106,"C",'②-2勤務時間数入力'!$C$7:$C$106,"嘱託常勤",'②-2勤務時間数入力'!AB$7:AB$106,"常",'②-1職員名簿'!$L$7:$L$106,"")</f>
        <v>0</v>
      </c>
      <c r="L19" s="346">
        <f>SUMIFS('②-2勤務時間数入力'!AB$7:AB$106,'②-1職員名簿'!$M$7:$M$106,"有",'②-1職員名簿'!AZ$7:AZ$106,"C",'②-1職員名簿'!$C$7:$C$106,"嘱託等",'②-1職員名簿'!$L$7:$L$106,"")</f>
        <v>0</v>
      </c>
      <c r="M19" s="346">
        <f>COUNTIFS('②-1職員名簿'!$N$7:$N$106,"有",'②-1職員名簿'!AZ$7:AZ$106,"C",'②-2勤務時間数入力'!P$7:P$106,"正",'②-1職員名簿'!$L$7:$L$106,"",'②-1職員名簿'!$M$7:$M$106,"")</f>
        <v>0</v>
      </c>
      <c r="N19" s="346">
        <f>COUNTIFS('②-1職員名簿'!$N$7:$N$106,"有",'②-1職員名簿'!AZ$7:AZ$106,"C",'②-2勤務時間数入力'!$C$7:$C$106,"常勤的非常勤",'②-2勤務時間数入力'!AB$7:AB$106,"常",'②-1職員名簿'!$L$7:$L$106,"",'②-1職員名簿'!$M$7:$M$106,"")</f>
        <v>0</v>
      </c>
      <c r="O19" s="346">
        <f>SUMIFS('②-2勤務時間数入力'!AB$7:AB$106,'②-1職員名簿'!$N$7:$N$106,"有",'②-1職員名簿'!AZ$7:AZ$106,"C",'②-1職員名簿'!$C$7:$C$106,"パート",'②-1職員名簿'!$L$7:$L$106,"",'②-1職員名簿'!$M$7:$M$106,"")</f>
        <v>0</v>
      </c>
      <c r="P19" s="346">
        <f>COUNTIFS('②-1職員名簿'!$N$7:$N$106,"有",'②-1職員名簿'!AZ$7:AZ$106,"C",'②-2勤務時間数入力'!$C$7:$C$106,"嘱託常勤",'②-2勤務時間数入力'!AB$7:AB$106,"常",'②-1職員名簿'!$L$7:$L$106,"",'②-1職員名簿'!$M$7:$M$106,"")</f>
        <v>0</v>
      </c>
      <c r="Q19" s="346">
        <f>SUMIFS('②-2勤務時間数入力'!AB$7:AB$106,'②-1職員名簿'!$N$7:$N$106,"有",'②-1職員名簿'!AZ$7:AZ$106,"C",'②-1職員名簿'!$C$7:$C$106,"嘱託等",'②-1職員名簿'!$L$7:$L$106,"",'②-1職員名簿'!$M$7:$M$106,"")</f>
        <v>0</v>
      </c>
      <c r="R19" s="346">
        <f>COUNTIFS('②-1職員名簿'!$W$7:$W$106,"園長",'②-1職員名簿'!AZ$7:AZ$106,"C")</f>
        <v>0</v>
      </c>
      <c r="S19" s="341">
        <f t="shared" si="10"/>
        <v>0</v>
      </c>
      <c r="T19" s="336">
        <f t="shared" si="11"/>
        <v>0</v>
      </c>
      <c r="U19" s="342" t="e">
        <f t="shared" si="12"/>
        <v>#DIV/0!</v>
      </c>
      <c r="V19" s="342" t="e">
        <f t="shared" si="13"/>
        <v>#DIV/0!</v>
      </c>
      <c r="W19" s="542" t="e">
        <f t="shared" si="21"/>
        <v>#DIV/0!</v>
      </c>
      <c r="X19" s="342" t="e">
        <f t="shared" si="14"/>
        <v>#DIV/0!</v>
      </c>
      <c r="Y19" s="343"/>
      <c r="Z19" s="339" t="e">
        <f t="shared" si="4"/>
        <v>#N/A</v>
      </c>
      <c r="AA19" s="340">
        <f>COUNTIFS('②-1職員名簿'!AZ$7:AZ$106,"D",'②-2勤務時間数入力'!P$7:P$106,"正")</f>
        <v>0</v>
      </c>
      <c r="AB19" s="337">
        <f>COUNTIFS('②-1職員名簿'!AZ$7:AZ$106,"D",'②-2勤務時間数入力'!$C$7:$C$106,"常勤的非常勤",'②-2勤務時間数入力'!AB$7:AB$106,"常")</f>
        <v>0</v>
      </c>
      <c r="AC19" s="337">
        <f>SUMIFS('②-2勤務時間数入力'!AB$7:AB$106,'②-1職員名簿'!AZ$7:AZ$106,"D",'②-1職員名簿'!$C$7:$C$106,"パート")</f>
        <v>0</v>
      </c>
      <c r="AD19" s="337">
        <f>COUNTIFS('②-1職員名簿'!AZ$7:AZ$106,"D",'②-2勤務時間数入力'!$C$7:$C$106,"嘱託常勤",'②-2勤務時間数入力'!AB$7:AB$106,"常")</f>
        <v>0</v>
      </c>
      <c r="AE19" s="337">
        <f>SUMIFS('②-2勤務時間数入力'!AB$7:AB$106,'②-1職員名簿'!AZ$7:AZ$106,"D",'②-1職員名簿'!$C$7:$C$106,"嘱託等")</f>
        <v>0</v>
      </c>
      <c r="AF19" s="453">
        <f>COUNTIFS('②-1職員名簿'!$P$7:$P$106,"有",'②-1職員名簿'!AZ$7:AZ$106,"E",'②-2勤務時間数入力'!P$7:P$106,"正",'②-1職員名簿'!$O$7:$O$106,"")</f>
        <v>0</v>
      </c>
      <c r="AG19" s="337">
        <f>COUNTIFS('②-1職員名簿'!$P$7:$P$106,"有",'②-1職員名簿'!AZ$7:AZ$106,"E",'②-2勤務時間数入力'!$C$7:$C$106,"常勤的非常勤",'②-2勤務時間数入力'!AB$7:AB$106,"常",'②-1職員名簿'!$O$7:$O$106,"")</f>
        <v>0</v>
      </c>
      <c r="AH19" s="337">
        <f>SUMIFS('②-2勤務時間数入力'!AB$7:AB$106,'②-1職員名簿'!AZ$7:AZ$106,"E",'②-1職員名簿'!$P$7:$P$106,"有",'②-1職員名簿'!$C$7:$C$106,"パート",'②-1職員名簿'!$O$7:$O$106,"")</f>
        <v>0</v>
      </c>
      <c r="AI19" s="337">
        <f>COUNTIFS('②-1職員名簿'!$P$7:$P$106,"有",'②-1職員名簿'!AZ$7:AZ$106,"E",'②-2勤務時間数入力'!$C$7:$C$106,"嘱託常勤",'②-2勤務時間数入力'!AB$7:AB$106,"常",'②-1職員名簿'!$O$7:$O$106,"")</f>
        <v>0</v>
      </c>
      <c r="AJ19" s="337">
        <f>SUMIFS('②-2勤務時間数入力'!AB$7:AB$106,'②-1職員名簿'!AZ$7:AZ$106,"E",'②-1職員名簿'!$P$7:$P$106,"有",'②-1職員名簿'!$C$7:$C$106,"嘱託等",'②-1職員名簿'!$O$7:$O$106,"")</f>
        <v>0</v>
      </c>
      <c r="AK19" s="344">
        <f>COUNTIFS('②-1職員名簿'!AZ$7:AZ$106,"E",'②-2勤務時間数入力'!P$7:P$106,"正",'②-1職員名簿'!$P$7:$P$106,"")</f>
        <v>0</v>
      </c>
      <c r="AL19" s="345">
        <f>COUNTIFS('②-1職員名簿'!AZ$7:AZ$106,"E",'②-2勤務時間数入力'!$C$7:$C$106,"常勤的非常勤",'②-2勤務時間数入力'!AB$7:AB$106,"常",'②-1職員名簿'!$P$7:$P$106,"")</f>
        <v>0</v>
      </c>
      <c r="AM19" s="345">
        <f>SUMIFS('②-2勤務時間数入力'!AB$7:AB$106,'②-1職員名簿'!AZ$7:AZ$106,"E",'②-1職員名簿'!$C$7:$C$106,"パート",'②-1職員名簿'!$P$7:$P$106,"")</f>
        <v>0</v>
      </c>
      <c r="AN19" s="345">
        <f>COUNTIFS('②-1職員名簿'!AZ$7:AZ$106,"E",'②-2勤務時間数入力'!$C$7:$C$106,"嘱託常勤",'②-2勤務時間数入力'!AB$7:AB$106,"常",'②-1職員名簿'!$P$7:$P$106,"")</f>
        <v>0</v>
      </c>
      <c r="AO19" s="345">
        <f>SUMIFS('②-2勤務時間数入力'!AB$7:AB$106,'②-1職員名簿'!AZ$7:AZ$106,"E",'②-1職員名簿'!$C$7:$C$106,"嘱託等",'②-1職員名簿'!$P$7:$P$106,"")</f>
        <v>0</v>
      </c>
      <c r="AP19" s="260">
        <f t="shared" si="15"/>
        <v>0</v>
      </c>
      <c r="AQ19" s="260">
        <f t="shared" si="25"/>
        <v>0</v>
      </c>
      <c r="AR19" s="177">
        <f t="shared" si="5"/>
        <v>0</v>
      </c>
      <c r="AS19" s="261" t="e">
        <f t="shared" si="6"/>
        <v>#DIV/0!</v>
      </c>
      <c r="AT19" s="262" t="e">
        <f t="shared" si="16"/>
        <v>#DIV/0!</v>
      </c>
      <c r="AU19" s="330">
        <f>COUNTIFS('②-1職員名簿'!$W$7:$W$106,"園長",'②-1職員名簿'!AZ$7:AZ$106,"D")</f>
        <v>0</v>
      </c>
      <c r="AV19" s="331">
        <f>COUNTIFS('②-1職員名簿'!$W$7:$W$106,"園長",'②-1職員名簿'!$P$7:$P$106,"有",'②-1職員名簿'!AZ$7:AZ$106,"E")</f>
        <v>0</v>
      </c>
      <c r="AW19" s="263" t="e">
        <f t="shared" si="17"/>
        <v>#DIV/0!</v>
      </c>
      <c r="AX19" s="263" t="e">
        <f t="shared" si="18"/>
        <v>#DIV/0!</v>
      </c>
      <c r="AY19" s="263" t="e">
        <f t="shared" si="19"/>
        <v>#N/A</v>
      </c>
      <c r="AZ19" s="264" t="e">
        <f t="shared" si="20"/>
        <v>#N/A</v>
      </c>
    </row>
    <row r="20" spans="1:52" s="35" customFormat="1" ht="36" customHeight="1">
      <c r="A20" s="280">
        <v>3</v>
      </c>
      <c r="B20" s="338">
        <f>'②-2勤務時間数入力'!AH18</f>
        <v>0</v>
      </c>
      <c r="C20" s="337">
        <f>COUNTIFS('②-1職員名簿'!$L$7:$L$106,"有",'②-1職員名簿'!AN$7:AN$106,"○",'②-2勤務時間数入力'!Q$7:Q$106,"正")</f>
        <v>0</v>
      </c>
      <c r="D20" s="337">
        <f>COUNTIFS('②-1職員名簿'!$L$7:$L$106,"有",'②-2勤務時間数入力'!$C$7:$C$106,"常勤的非常勤",'②-2勤務時間数入力'!AC$7:AC$106,"常")</f>
        <v>0</v>
      </c>
      <c r="E20" s="337">
        <f>SUMIFS('②-2勤務時間数入力'!AC$7:AC$106,'②-1職員名簿'!$L$7:$L$106,"有",'②-1職員名簿'!$C$7:$C$106,"パート")</f>
        <v>0</v>
      </c>
      <c r="F20" s="337">
        <f>COUNTIFS('②-1職員名簿'!$L$7:$L$106,"有",'②-2勤務時間数入力'!$C$7:$C$106,"嘱託常勤",'②-2勤務時間数入力'!AC$7:AC$106,"常")</f>
        <v>0</v>
      </c>
      <c r="G20" s="337">
        <f>SUMIFS('②-2勤務時間数入力'!AC$7:AC$106,'②-1職員名簿'!$L$7:$L$106,"有",'②-1職員名簿'!$C$7:$C$106,"嘱託等")</f>
        <v>0</v>
      </c>
      <c r="H20" s="346">
        <f>COUNTIFS('②-1職員名簿'!$M$7:$M$106,"有",'②-1職員名簿'!BA$7:BA$106,"C",'②-2勤務時間数入力'!Q$7:Q$106,"正",'②-1職員名簿'!$L$7:$L$106,"")</f>
        <v>0</v>
      </c>
      <c r="I20" s="346">
        <f>COUNTIFS('②-1職員名簿'!$M$7:$M$106,"有",'②-1職員名簿'!BA$7:BA$106,"C",'②-2勤務時間数入力'!$C$7:$C$106,"常勤的非常勤",'②-2勤務時間数入力'!AC$7:AC$106,"常",'②-1職員名簿'!$L$7:$L$106,"")</f>
        <v>0</v>
      </c>
      <c r="J20" s="346">
        <f>SUMIFS('②-2勤務時間数入力'!AC$7:AC$106,'②-1職員名簿'!$M$7:$M$106,"有",'②-1職員名簿'!BA$7:BA$106,"C",'②-1職員名簿'!$C$7:$C$106,"パート",'②-1職員名簿'!$L$7:$L$106,"")</f>
        <v>0</v>
      </c>
      <c r="K20" s="346">
        <f>COUNTIFS('②-1職員名簿'!$M$7:$M$106,"有",'②-1職員名簿'!BA$7:BA$106,"C",'②-2勤務時間数入力'!$C$7:$C$106,"嘱託常勤",'②-2勤務時間数入力'!AC$7:AC$106,"常",'②-1職員名簿'!$L$7:$L$106,"")</f>
        <v>0</v>
      </c>
      <c r="L20" s="346">
        <f>SUMIFS('②-2勤務時間数入力'!AC$7:AC$106,'②-1職員名簿'!$M$7:$M$106,"有",'②-1職員名簿'!BA$7:BA$106,"C",'②-1職員名簿'!$C$7:$C$106,"嘱託等",'②-1職員名簿'!$L$7:$L$106,"")</f>
        <v>0</v>
      </c>
      <c r="M20" s="346">
        <f>COUNTIFS('②-1職員名簿'!$N$7:$N$106,"有",'②-1職員名簿'!BA$7:BA$106,"C",'②-2勤務時間数入力'!Q$7:Q$106,"正",'②-1職員名簿'!$L$7:$L$106,"",'②-1職員名簿'!$M$7:$M$106,"")</f>
        <v>0</v>
      </c>
      <c r="N20" s="346">
        <f>COUNTIFS('②-1職員名簿'!$N$7:$N$106,"有",'②-1職員名簿'!BA$7:BA$106,"C",'②-2勤務時間数入力'!$C$7:$C$106,"常勤的非常勤",'②-2勤務時間数入力'!AC$7:AC$106,"常",'②-1職員名簿'!$L$7:$L$106,"",'②-1職員名簿'!$M$7:$M$106,"")</f>
        <v>0</v>
      </c>
      <c r="O20" s="346">
        <f>SUMIFS('②-2勤務時間数入力'!AC$7:AC$106,'②-1職員名簿'!$N$7:$N$106,"有",'②-1職員名簿'!BA$7:BA$106,"C",'②-1職員名簿'!$C$7:$C$106,"パート",'②-1職員名簿'!$L$7:$L$106,"",'②-1職員名簿'!$M$7:$M$106,"")</f>
        <v>0</v>
      </c>
      <c r="P20" s="346">
        <f>COUNTIFS('②-1職員名簿'!$N$7:$N$106,"有",'②-1職員名簿'!BA$7:BA$106,"C",'②-2勤務時間数入力'!$C$7:$C$106,"嘱託常勤",'②-2勤務時間数入力'!AC$7:AC$106,"常",'②-1職員名簿'!$L$7:$L$106,"",'②-1職員名簿'!$M$7:$M$106,"")</f>
        <v>0</v>
      </c>
      <c r="Q20" s="346">
        <f>SUMIFS('②-2勤務時間数入力'!AC$7:AC$106,'②-1職員名簿'!$N$7:$N$106,"有",'②-1職員名簿'!BA$7:BA$106,"C",'②-1職員名簿'!$C$7:$C$106,"嘱託等",'②-1職員名簿'!$L$7:$L$106,"",'②-1職員名簿'!$M$7:$M$106,"")</f>
        <v>0</v>
      </c>
      <c r="R20" s="346">
        <f>COUNTIFS('②-1職員名簿'!$W$7:$W$106,"園長",'②-1職員名簿'!BA$7:BA$106,"C")</f>
        <v>0</v>
      </c>
      <c r="S20" s="341">
        <f t="shared" si="10"/>
        <v>0</v>
      </c>
      <c r="T20" s="336">
        <f t="shared" si="11"/>
        <v>0</v>
      </c>
      <c r="U20" s="342" t="e">
        <f t="shared" si="12"/>
        <v>#DIV/0!</v>
      </c>
      <c r="V20" s="342" t="e">
        <f t="shared" si="13"/>
        <v>#DIV/0!</v>
      </c>
      <c r="W20" s="542" t="e">
        <f t="shared" si="21"/>
        <v>#DIV/0!</v>
      </c>
      <c r="X20" s="342" t="e">
        <f t="shared" si="14"/>
        <v>#DIV/0!</v>
      </c>
      <c r="Y20" s="343"/>
      <c r="Z20" s="339" t="e">
        <f t="shared" si="4"/>
        <v>#N/A</v>
      </c>
      <c r="AA20" s="340">
        <f>COUNTIFS('②-1職員名簿'!BA$7:BA$106,"D",'②-2勤務時間数入力'!Q$7:Q$106,"正")</f>
        <v>0</v>
      </c>
      <c r="AB20" s="337">
        <f>COUNTIFS('②-1職員名簿'!BA$7:BA$106,"D",'②-2勤務時間数入力'!$C$7:$C$106,"常勤的非常勤",'②-2勤務時間数入力'!AC$7:AC$106,"常")</f>
        <v>0</v>
      </c>
      <c r="AC20" s="337">
        <f>SUMIFS('②-2勤務時間数入力'!AC$7:AC$106,'②-1職員名簿'!BA$7:BA$106,"D",'②-1職員名簿'!$C$7:$C$106,"パート")</f>
        <v>0</v>
      </c>
      <c r="AD20" s="337">
        <f>COUNTIFS('②-1職員名簿'!BA$7:BA$106,"D",'②-2勤務時間数入力'!$C$7:$C$106,"嘱託常勤",'②-2勤務時間数入力'!AC$7:AC$106,"常")</f>
        <v>0</v>
      </c>
      <c r="AE20" s="337">
        <f>SUMIFS('②-2勤務時間数入力'!AC$7:AC$106,'②-1職員名簿'!BA$7:BA$106,"D",'②-1職員名簿'!$C$7:$C$106,"嘱託")</f>
        <v>0</v>
      </c>
      <c r="AF20" s="453">
        <f>COUNTIFS('②-1職員名簿'!$P$7:$P$106,"有",'②-1職員名簿'!BA$7:BA$106,"E",'②-2勤務時間数入力'!Q$7:Q$106,"正",'②-1職員名簿'!$O$7:$O$106,"")</f>
        <v>0</v>
      </c>
      <c r="AG20" s="337">
        <f>COUNTIFS('②-1職員名簿'!$P$7:$P$106,"有",'②-1職員名簿'!BA$7:BA$106,"E",'②-2勤務時間数入力'!$C$7:$C$106,"常勤的非常勤",'②-2勤務時間数入力'!AC$7:AC$106,"常",'②-1職員名簿'!$O$7:$O$106,"")</f>
        <v>0</v>
      </c>
      <c r="AH20" s="337">
        <f>SUMIFS('②-2勤務時間数入力'!AC$7:AC$106,'②-1職員名簿'!BA$7:BA$106,"E",'②-1職員名簿'!$P$7:$P$106,"有",'②-1職員名簿'!$C$7:$C$106,"パート",'②-1職員名簿'!$O$7:$O$106,"")</f>
        <v>0</v>
      </c>
      <c r="AI20" s="337">
        <f>COUNTIFS('②-1職員名簿'!$P$7:$P$106,"有",'②-1職員名簿'!BA$7:BA$106,"E",'②-2勤務時間数入力'!$C$7:$C$106,"嘱託常勤",'②-2勤務時間数入力'!AC$7:AC$106,"常",'②-1職員名簿'!$O$7:$O$106,"")</f>
        <v>0</v>
      </c>
      <c r="AJ20" s="337">
        <f>SUMIFS('②-2勤務時間数入力'!AC$7:AC$106,'②-1職員名簿'!BA$7:BA$106,"E",'②-1職員名簿'!$P$7:$P$106,"有",'②-1職員名簿'!$C$7:$C$106,"嘱託等",'②-1職員名簿'!$O$7:$O$106,"")</f>
        <v>0</v>
      </c>
      <c r="AK20" s="344">
        <f>COUNTIFS('②-1職員名簿'!BA$7:BA$106,"E",'②-2勤務時間数入力'!Q$7:Q$106,"正",'②-1職員名簿'!$P$7:$P$106,"")</f>
        <v>0</v>
      </c>
      <c r="AL20" s="345">
        <f>COUNTIFS('②-1職員名簿'!BA$7:BA$106,"E",'②-2勤務時間数入力'!$C$7:$C$106,"常勤的非常勤",'②-2勤務時間数入力'!AC$7:AC$106,"常",'②-1職員名簿'!$P$7:$P$106,"")</f>
        <v>0</v>
      </c>
      <c r="AM20" s="345">
        <f>SUMIFS('②-2勤務時間数入力'!AC$7:AC$106,'②-1職員名簿'!BA$7:BA$106,"E",'②-1職員名簿'!$C$7:$C$106,"パート",'②-1職員名簿'!$P$7:$P$106,"")</f>
        <v>0</v>
      </c>
      <c r="AN20" s="345">
        <f>COUNTIFS('②-1職員名簿'!BA$7:BA$106,"E",'②-2勤務時間数入力'!$C$7:$C$106,"嘱託常勤",'②-2勤務時間数入力'!AC$7:AC$106,"常",'②-1職員名簿'!$P$7:$P$106,"")</f>
        <v>0</v>
      </c>
      <c r="AO20" s="345">
        <f>SUMIFS('②-2勤務時間数入力'!AC$7:AC$106,'②-1職員名簿'!BA$7:BA$106,"E",'②-1職員名簿'!$C$7:$C$106,"嘱託等",'②-1職員名簿'!$P$7:$P$106,"")</f>
        <v>0</v>
      </c>
      <c r="AP20" s="260">
        <f t="shared" si="15"/>
        <v>0</v>
      </c>
      <c r="AQ20" s="260">
        <f t="shared" si="26"/>
        <v>0</v>
      </c>
      <c r="AR20" s="177">
        <f t="shared" si="5"/>
        <v>0</v>
      </c>
      <c r="AS20" s="261" t="e">
        <f t="shared" si="6"/>
        <v>#DIV/0!</v>
      </c>
      <c r="AT20" s="262" t="e">
        <f t="shared" si="16"/>
        <v>#DIV/0!</v>
      </c>
      <c r="AU20" s="330">
        <f>COUNTIFS('②-1職員名簿'!$W$7:$W$106,"園長",'②-1職員名簿'!BA$7:BA$106,"D")</f>
        <v>0</v>
      </c>
      <c r="AV20" s="331">
        <f>COUNTIFS('②-1職員名簿'!$W$7:$W$106,"園長",'②-1職員名簿'!$P$7:$P$106,"有",'②-1職員名簿'!BA$7:BA$106,"E")</f>
        <v>0</v>
      </c>
      <c r="AW20" s="263" t="e">
        <f t="shared" si="17"/>
        <v>#DIV/0!</v>
      </c>
      <c r="AX20" s="263" t="e">
        <f t="shared" si="18"/>
        <v>#DIV/0!</v>
      </c>
      <c r="AY20" s="263" t="e">
        <f t="shared" si="19"/>
        <v>#N/A</v>
      </c>
      <c r="AZ20" s="264" t="e">
        <f t="shared" si="20"/>
        <v>#N/A</v>
      </c>
    </row>
    <row r="21" spans="1:52" ht="18.75" customHeight="1">
      <c r="A21" s="36"/>
      <c r="C21" s="40"/>
      <c r="D21" s="48"/>
      <c r="E21" s="48"/>
      <c r="F21" s="48"/>
      <c r="G21" s="48"/>
      <c r="H21" s="40"/>
      <c r="I21" s="48"/>
      <c r="J21" s="48"/>
      <c r="K21" s="48"/>
      <c r="L21" s="48"/>
      <c r="M21" s="40"/>
      <c r="N21" s="48"/>
      <c r="O21" s="48"/>
      <c r="P21" s="48"/>
      <c r="Q21" s="48"/>
      <c r="R21" s="40"/>
      <c r="S21" s="40"/>
      <c r="T21" s="40"/>
      <c r="U21" s="40"/>
      <c r="V21" s="40"/>
      <c r="W21" s="40"/>
      <c r="X21" s="40"/>
      <c r="Y21" s="41"/>
      <c r="Z21" s="44"/>
      <c r="AA21" s="44"/>
      <c r="AB21" s="48"/>
      <c r="AC21" s="48"/>
      <c r="AD21" s="48"/>
      <c r="AE21" s="48"/>
      <c r="AF21" s="44"/>
      <c r="AG21" s="48"/>
      <c r="AH21" s="48"/>
      <c r="AI21" s="48"/>
      <c r="AJ21" s="48"/>
      <c r="AK21" s="44"/>
      <c r="AL21" s="48"/>
      <c r="AM21" s="48"/>
      <c r="AN21" s="48"/>
      <c r="AO21" s="48"/>
      <c r="AP21" s="44"/>
      <c r="AQ21" s="44"/>
      <c r="AR21" s="48"/>
      <c r="AS21" s="48"/>
      <c r="AT21" s="40"/>
    </row>
    <row r="22" spans="1:52" ht="18.75" customHeight="1">
      <c r="A22" s="43"/>
      <c r="B22" s="44"/>
      <c r="C22" s="40"/>
      <c r="D22" s="40"/>
      <c r="E22" s="40"/>
      <c r="F22" s="40"/>
      <c r="G22" s="40"/>
      <c r="H22" s="40"/>
      <c r="I22" s="40"/>
      <c r="J22" s="40"/>
      <c r="K22" s="40"/>
      <c r="L22" s="40"/>
      <c r="M22" s="40"/>
      <c r="N22" s="40"/>
      <c r="O22" s="40"/>
      <c r="P22" s="40"/>
      <c r="Q22" s="40"/>
      <c r="R22" s="48"/>
      <c r="S22" s="40"/>
      <c r="T22" s="44"/>
      <c r="U22" s="45"/>
      <c r="V22" s="45"/>
      <c r="W22" s="45"/>
      <c r="X22" s="45"/>
      <c r="Y22" s="47"/>
      <c r="Z22" s="48"/>
      <c r="AA22" s="48"/>
      <c r="AB22" s="45"/>
      <c r="AC22" s="45"/>
      <c r="AD22" s="45"/>
      <c r="AE22" s="45"/>
      <c r="AF22" s="48"/>
      <c r="AG22" s="45"/>
      <c r="AH22" s="45"/>
      <c r="AI22" s="45"/>
      <c r="AJ22" s="45"/>
      <c r="AK22" s="48"/>
      <c r="AL22" s="45"/>
      <c r="AM22" s="45"/>
      <c r="AN22" s="45"/>
      <c r="AO22" s="48"/>
      <c r="AP22" s="48"/>
      <c r="AQ22" s="48"/>
    </row>
    <row r="23" spans="1:52" ht="18.75" customHeight="1">
      <c r="A23" s="43"/>
      <c r="B23" s="48"/>
      <c r="C23" s="48"/>
      <c r="D23" s="40"/>
      <c r="E23" s="40"/>
      <c r="F23" s="40"/>
      <c r="G23" s="40"/>
      <c r="H23" s="48"/>
      <c r="I23" s="40"/>
      <c r="J23" s="40"/>
      <c r="K23" s="40"/>
      <c r="L23" s="40"/>
      <c r="M23" s="48"/>
      <c r="N23" s="40"/>
      <c r="O23" s="40"/>
      <c r="P23" s="40"/>
      <c r="Q23" s="40"/>
      <c r="R23" s="40"/>
      <c r="U23" s="44"/>
      <c r="V23" s="44"/>
      <c r="W23" s="44"/>
      <c r="X23" s="44"/>
      <c r="Y23" s="45"/>
      <c r="Z23" s="45"/>
      <c r="AA23" s="45"/>
      <c r="AB23" s="44"/>
      <c r="AC23" s="44"/>
      <c r="AD23" s="44"/>
      <c r="AE23" s="44"/>
      <c r="AF23" s="45"/>
      <c r="AG23" s="44"/>
      <c r="AH23" s="44"/>
      <c r="AI23" s="44"/>
      <c r="AJ23" s="44"/>
      <c r="AK23" s="45"/>
      <c r="AL23" s="44"/>
      <c r="AM23" s="44"/>
      <c r="AN23" s="44"/>
      <c r="AO23" s="40"/>
      <c r="AP23" s="48"/>
    </row>
    <row r="24" spans="1:52" ht="18.75" customHeight="1">
      <c r="A24" s="43"/>
      <c r="B24" s="45"/>
      <c r="C24" s="40"/>
      <c r="D24" s="40"/>
      <c r="E24" s="40"/>
      <c r="F24" s="40"/>
      <c r="G24" s="40"/>
      <c r="H24" s="40"/>
      <c r="I24" s="40"/>
      <c r="J24" s="40"/>
      <c r="K24" s="40"/>
      <c r="L24" s="40"/>
      <c r="M24" s="40"/>
      <c r="N24" s="40"/>
      <c r="O24" s="40"/>
      <c r="P24" s="40"/>
      <c r="Q24" s="40"/>
      <c r="R24" s="40"/>
      <c r="S24" s="45"/>
      <c r="T24" s="40"/>
      <c r="U24" s="40"/>
      <c r="V24" s="40"/>
      <c r="W24" s="40"/>
      <c r="X24" s="40"/>
      <c r="Y24" s="44"/>
      <c r="Z24" s="44"/>
      <c r="AA24" s="44"/>
      <c r="AB24" s="44"/>
      <c r="AC24" s="44"/>
      <c r="AD24" s="44"/>
      <c r="AE24" s="44"/>
      <c r="AF24" s="44"/>
      <c r="AG24" s="44"/>
      <c r="AH24" s="44"/>
      <c r="AI24" s="44"/>
      <c r="AJ24" s="44"/>
      <c r="AK24" s="44"/>
      <c r="AL24" s="44"/>
      <c r="AM24" s="44"/>
      <c r="AN24" s="44"/>
      <c r="AO24" s="44"/>
      <c r="AP24" s="40"/>
      <c r="AR24" s="44"/>
      <c r="AS24" s="44"/>
      <c r="AT24" s="40"/>
    </row>
    <row r="25" spans="1:52" ht="18.75" customHeight="1">
      <c r="B25" s="44"/>
      <c r="C25" s="40"/>
      <c r="D25" s="40"/>
      <c r="E25" s="40"/>
      <c r="F25" s="40"/>
      <c r="G25" s="40"/>
      <c r="H25" s="40"/>
      <c r="I25" s="40"/>
      <c r="J25" s="40"/>
      <c r="K25" s="40"/>
      <c r="L25" s="40"/>
      <c r="M25" s="40"/>
      <c r="N25" s="40"/>
      <c r="O25" s="40"/>
      <c r="P25" s="40"/>
      <c r="Q25" s="40"/>
      <c r="R25" s="40"/>
      <c r="S25" s="40"/>
      <c r="T25" s="40"/>
      <c r="U25" s="40"/>
      <c r="V25" s="40"/>
      <c r="W25" s="40"/>
      <c r="X25" s="40"/>
      <c r="Y25" s="47"/>
      <c r="Z25" s="44"/>
      <c r="AA25" s="44"/>
      <c r="AF25" s="44"/>
      <c r="AK25" s="44"/>
      <c r="AP25" s="44"/>
      <c r="AQ25" s="44"/>
      <c r="AT25" s="40"/>
    </row>
    <row r="26" spans="1:52" ht="18.75" customHeight="1">
      <c r="A26" s="43"/>
      <c r="B26" s="44"/>
      <c r="C26" s="40"/>
      <c r="H26" s="40"/>
      <c r="M26" s="40"/>
      <c r="R26" s="40"/>
      <c r="S26" s="40"/>
      <c r="T26" s="40"/>
      <c r="U26" s="40"/>
      <c r="V26" s="40"/>
      <c r="W26" s="40"/>
      <c r="X26" s="40"/>
      <c r="Y26" s="47"/>
      <c r="AT26" s="40"/>
    </row>
    <row r="27" spans="1:52" ht="18.75" customHeight="1">
      <c r="A27" s="37"/>
      <c r="C27" s="40"/>
      <c r="H27" s="40"/>
      <c r="M27" s="40"/>
      <c r="S27" s="40"/>
      <c r="Y27" s="41"/>
      <c r="AB27" s="58"/>
      <c r="AC27" s="58"/>
      <c r="AD27" s="58"/>
      <c r="AE27" s="58"/>
      <c r="AG27" s="58"/>
      <c r="AH27" s="58"/>
      <c r="AI27" s="58"/>
      <c r="AJ27" s="58"/>
      <c r="AL27" s="58"/>
      <c r="AM27" s="58"/>
    </row>
    <row r="28" spans="1:52" ht="18.75" customHeight="1">
      <c r="AC28" s="58"/>
      <c r="AE28" s="58"/>
      <c r="AF28" s="58"/>
      <c r="AG28" s="58"/>
      <c r="AI28" s="58"/>
      <c r="AK28" s="58"/>
      <c r="AL28" s="58"/>
    </row>
    <row r="30" spans="1:52" ht="25" customHeight="1">
      <c r="AM30" s="58"/>
    </row>
    <row r="31" spans="1:52" ht="25" customHeight="1">
      <c r="AS31" s="58"/>
    </row>
    <row r="32" spans="1:52" ht="25" customHeight="1">
      <c r="AM32" s="58"/>
    </row>
    <row r="33" spans="39:45" ht="25" customHeight="1">
      <c r="AS33" s="58"/>
    </row>
    <row r="34" spans="39:45" ht="25" customHeight="1">
      <c r="AS34" s="58"/>
    </row>
    <row r="35" spans="39:45" ht="25" customHeight="1">
      <c r="AS35" s="58"/>
    </row>
    <row r="36" spans="39:45" ht="25" customHeight="1">
      <c r="AS36" s="58"/>
    </row>
    <row r="37" spans="39:45" ht="25" customHeight="1">
      <c r="AS37" s="58"/>
    </row>
    <row r="38" spans="39:45" ht="25" customHeight="1">
      <c r="AS38" s="58"/>
    </row>
    <row r="39" spans="39:45" ht="25" customHeight="1">
      <c r="AS39" s="58"/>
    </row>
    <row r="40" spans="39:45" ht="25" customHeight="1">
      <c r="AS40" s="58"/>
    </row>
    <row r="41" spans="39:45" ht="25" customHeight="1">
      <c r="AS41" s="58"/>
    </row>
    <row r="42" spans="39:45" ht="25" customHeight="1">
      <c r="AS42" s="58"/>
    </row>
    <row r="43" spans="39:45" ht="25" customHeight="1">
      <c r="AS43" s="58"/>
    </row>
    <row r="44" spans="39:45" ht="25" customHeight="1">
      <c r="AS44" s="58"/>
    </row>
    <row r="45" spans="39:45" ht="25" customHeight="1">
      <c r="AS45" s="58"/>
    </row>
    <row r="46" spans="39:45" ht="25" customHeight="1">
      <c r="AQ46" s="58"/>
    </row>
    <row r="47" spans="39:45" ht="25" customHeight="1">
      <c r="AO47" s="58"/>
    </row>
    <row r="48" spans="39:45" ht="25" customHeight="1">
      <c r="AM48" s="58"/>
    </row>
    <row r="50" spans="23:45" ht="25" customHeight="1">
      <c r="W50" s="58"/>
    </row>
    <row r="61" spans="23:45" ht="25" customHeight="1">
      <c r="AM61" s="58"/>
    </row>
    <row r="62" spans="23:45" ht="25" customHeight="1">
      <c r="AS62" s="58"/>
    </row>
    <row r="63" spans="23:45" ht="25" customHeight="1">
      <c r="AM63" s="58"/>
    </row>
    <row r="64" spans="23:45" ht="25" customHeight="1">
      <c r="AS64" s="58"/>
    </row>
    <row r="65" spans="15:45" ht="25" customHeight="1">
      <c r="AM65" s="58"/>
    </row>
    <row r="66" spans="15:45" ht="25" customHeight="1">
      <c r="AS66" s="58"/>
    </row>
    <row r="72" spans="15:45" ht="25" customHeight="1">
      <c r="AB72" s="58"/>
    </row>
    <row r="78" spans="15:45" ht="25" customHeight="1">
      <c r="O78" s="58"/>
    </row>
    <row r="82" spans="21:27" ht="25" customHeight="1">
      <c r="AA82" s="58"/>
    </row>
    <row r="88" spans="21:27" ht="25" customHeight="1">
      <c r="U88" s="58"/>
      <c r="W88" s="58"/>
    </row>
    <row r="99" spans="18:25" ht="25" customHeight="1">
      <c r="U99" s="58"/>
      <c r="Y99" s="58"/>
    </row>
    <row r="100" spans="18:25" ht="25" customHeight="1">
      <c r="R100" s="58"/>
    </row>
    <row r="101" spans="18:25" ht="25" customHeight="1">
      <c r="W101" s="58"/>
    </row>
  </sheetData>
  <sheetProtection algorithmName="SHA-512" hashValue="6xzFFkaIcx/Kj2xrdUVXwawbFb9pz4nWFa5sjQm4+TubW8YuikmgQPn0uqkJdBLl3DMFdBjxIK0r8RI9OoDsjw==" saltValue="h6k4jFLL9pJxYZaTL3M7nw==" spinCount="100000" sheet="1" selectLockedCells="1"/>
  <mergeCells count="73">
    <mergeCell ref="AC6:AC7"/>
    <mergeCell ref="AD5:AE5"/>
    <mergeCell ref="AB6:AB7"/>
    <mergeCell ref="AD6:AD7"/>
    <mergeCell ref="AU4:AV5"/>
    <mergeCell ref="AF6:AF7"/>
    <mergeCell ref="AG6:AG7"/>
    <mergeCell ref="AE6:AE7"/>
    <mergeCell ref="AY4:AZ5"/>
    <mergeCell ref="AT6:AT8"/>
    <mergeCell ref="AH6:AH7"/>
    <mergeCell ref="AI6:AI7"/>
    <mergeCell ref="AJ6:AJ7"/>
    <mergeCell ref="AK6:AK7"/>
    <mergeCell ref="AL6:AL7"/>
    <mergeCell ref="AM6:AM7"/>
    <mergeCell ref="AN6:AN7"/>
    <mergeCell ref="AO6:AO7"/>
    <mergeCell ref="AQ6:AQ7"/>
    <mergeCell ref="AW4:AX5"/>
    <mergeCell ref="W6:X6"/>
    <mergeCell ref="AA6:AA7"/>
    <mergeCell ref="S6:S7"/>
    <mergeCell ref="T6:T7"/>
    <mergeCell ref="V5:V8"/>
    <mergeCell ref="S5:U5"/>
    <mergeCell ref="W7:W8"/>
    <mergeCell ref="X7:X8"/>
    <mergeCell ref="AJ2:AK2"/>
    <mergeCell ref="AL2:AT2"/>
    <mergeCell ref="W4:X5"/>
    <mergeCell ref="Z4:Z6"/>
    <mergeCell ref="AA4:AE4"/>
    <mergeCell ref="AF4:AJ4"/>
    <mergeCell ref="AK4:AO4"/>
    <mergeCell ref="AQ4:AT5"/>
    <mergeCell ref="AN5:AO5"/>
    <mergeCell ref="AI5:AJ5"/>
    <mergeCell ref="AK5:AM5"/>
    <mergeCell ref="AF5:AH5"/>
    <mergeCell ref="AR6:AR7"/>
    <mergeCell ref="AS6:AS7"/>
    <mergeCell ref="AP5:AP7"/>
    <mergeCell ref="AA5:AC5"/>
    <mergeCell ref="A4:A8"/>
    <mergeCell ref="B4:B7"/>
    <mergeCell ref="C4:G4"/>
    <mergeCell ref="H4:L4"/>
    <mergeCell ref="M4:Q4"/>
    <mergeCell ref="C5:E5"/>
    <mergeCell ref="F5:G5"/>
    <mergeCell ref="H5:J5"/>
    <mergeCell ref="C6:C7"/>
    <mergeCell ref="D6:D7"/>
    <mergeCell ref="P6:P7"/>
    <mergeCell ref="Q6:Q7"/>
    <mergeCell ref="E6:E7"/>
    <mergeCell ref="K5:L5"/>
    <mergeCell ref="M5:O5"/>
    <mergeCell ref="P5:Q5"/>
    <mergeCell ref="R4:V4"/>
    <mergeCell ref="R6:R7"/>
    <mergeCell ref="F6:F7"/>
    <mergeCell ref="H6:H7"/>
    <mergeCell ref="I6:I7"/>
    <mergeCell ref="U6:U7"/>
    <mergeCell ref="O6:O7"/>
    <mergeCell ref="G6:G7"/>
    <mergeCell ref="J6:J7"/>
    <mergeCell ref="K6:K7"/>
    <mergeCell ref="L6:L7"/>
    <mergeCell ref="M6:M7"/>
    <mergeCell ref="N6:N7"/>
  </mergeCells>
  <phoneticPr fontId="1"/>
  <dataValidations count="3">
    <dataValidation allowBlank="1" showErrorMessage="1" sqref="Y9:AA26 D9:G25 B9:C26 I9:L25 H9:H26 N9:Q25 M9:M26 R9:S26 AL9:AO25 AR9:AT25 AB9:AE25 AF9:AF26 AG9:AJ25 AK9:AK26 AP9:AQ26 T9:X25" xr:uid="{4C71D05B-CA18-43DF-A235-17BDBC54F4DE}"/>
    <dataValidation allowBlank="1" showInputMessage="1" showErrorMessage="1" promptTitle="実際の人数（保育士）" prompt="名簿と照らし合わせて、施設長以外で、保育を行う職員を入力してください_x000a_（主任保育士、一時預かり、障害児保育、支援センター保育士を含みます！）_x000a_延長保育を行う保育士は除きます！_x000a__x000a_乳児が４人以上で保健師・看護師を保育士とみなす場合は。右のq、r、s欄に入力！" sqref="B131118:B131129 B196654:B196665 B262190:B262201 B327726:B327737 B393262:B393273 B458798:B458809 B524334:B524345 B589870:B589881 B655406:B655417 B720942:B720953 B786478:B786489 B852014:B852025 B917550:B917561 B983086:B983097 B65582:B65593" xr:uid="{CC3C42A0-5AD4-4B7A-B8A0-B2DFE3CBDF51}"/>
    <dataValidation allowBlank="1" showInputMessage="1" showErrorMessage="1" promptTitle="実際の人数（保健師・看護師・准看護師）" prompt="乳児が４人以上いる場合で、保健師・看護師・准看護師を保育士とみなす場合はここに入力。_x000a_常勤的非常勤→準保育士と同義です。_x000a_準看護師は、平成27年6月28日以前に勤務していた分は算定できませんのでご注意ください。" sqref="AA65612:AA65623 AA131148:AA131159 AA196684:AA196695 AA262220:AA262231 AA327756:AA327767 AA393292:AA393303 AA458828:AA458839 AA524364:AA524375 AA589900:AA589911 AA655436:AA655447 AA720972:AA720983 AA786508:AA786519 AA852044:AA852055 AA917580:AA917591 AA983116:AA983127 AC983097:AC983108 AB983105:AB983116 AC917561:AC917572 AB917569:AB917580 AC852025:AC852036 AB852033:AB852044 AC786489:AC786500 AB786497:AB786508 AC720953:AC720964 AB720961:AB720972 AC655417:AC655428 AB655425:AB655436 AC589881:AC589892 AB589889:AB589900 AC524345:AC524356 AB524353:AB524364 AC458809:AC458820 AB458817:AB458828 AC393273:AC393284 AB393281:AB393292 AC327737:AC327748 AB327745:AB327756 AC262201:AC262212 AB262209:AB262220 AC196665:AC196676 AB196673:AB196684 AC131129:AC131140 AB131137:AB131148 AC65593:AC65604 AB65601:AB65612 AE65582:AE65593 AD65580:AD65591 AE131118:AE131129 AD131116:AD131127 AE196654:AE196665 AD196652:AD196663 AE262190:AE262201 AD262188:AD262199 AE327726:AE327737 AD327724:AD327735 AE393262:AE393273 AD393260:AD393271 AE458798:AE458809 AD458796:AD458807 AE524334:AE524345 AD524332:AD524343 AE589870:AE589881 AD589868:AD589879 AE655406:AE655417 AD655404:AD655415 AE720942:AE720953 AD720940:AD720951 AE786478:AE786489 AD786476:AD786487 AE852014:AE852025 AD852012:AD852023 AE917550:AE917561 AD917548:AD917559 AE983086:AE983097 AD983084:AD983095 AF983085:AL983096 AF917549:AL917560 AF852013:AL852024 AF786477:AL786488 AF720941:AL720952 AF655405:AL655416 AF589869:AL589880 AF524333:AL524344 AF458797:AL458808 AF393261:AL393272 AF327725:AL327736 AF262189:AL262200 AF196653:AL196664 AF131117:AL131128 AF65581:AL65592 AN65581:AN65592 AM65580:AM65591 AN131117:AN131128 AM131116:AM131127 AN196653:AN196664 AM196652:AM196663 AN262189:AN262200 AM262188:AM262199 AN327725:AN327736 AM327724:AM327735 AN393261:AN393272 AM393260:AM393271 AN458797:AN458808 AM458796:AM458807 AN524333:AN524344 AM524332:AM524343 AN589869:AN589880 AM589868:AM589879 AN655405:AN655416 AM655404:AM655415 AN720941:AN720952 AM720940:AM720951 AN786477:AN786488 AM786476:AM786487 AN852013:AN852024 AM852012:AM852023 AN917549:AN917560 AM917548:AM917559 AN983085:AN983096 AM983084:AM983095 AQ983086:AQ983097 AR983084:AR983095 AQ917550:AQ917561 AR917548:AR917559 AQ852014:AQ852025 AR852012:AR852023 AQ786478:AQ786489 AR786476:AR786487 AQ720942:AQ720953 AR720940:AR720951 AQ655406:AQ655417 AR655404:AR655415 AQ589870:AQ589881 AR589868:AR589879 AQ524334:AQ524345 AR524332:AR524343 AQ458798:AQ458809 AR458796:AR458807 AQ393262:AQ393273 AR393260:AR393271 AQ327726:AQ327737 AR327724:AR327735 AQ262190:AQ262201 AR262188:AR262199 AQ196654:AQ196665 AR196652:AR196663 AQ131118:AQ131129 AR131116:AR131127 AQ65582:AQ65593 AR65580:AR65591 AO65580:AO65591 AP65581:AP65592 AO131116:AO131127 AP131117:AP131128 AO196652:AO196663 AP196653:AP196664 AO262188:AO262199 AP262189:AP262200 AO327724:AO327735 AP327725:AP327736 AO393260:AO393271 AP393261:AP393272 AO458796:AO458807 AP458797:AP458808 AO524332:AO524343 AP524333:AP524344 AO589868:AO589879 AP589869:AP589880 AO655404:AO655415 AP655405:AP655416 AO720940:AO720951 AP720941:AP720952 AO786476:AO786487 AP786477:AP786488 AO852012:AO852023 AP852013:AP852024 AO917548:AO917559 AP917549:AP917560 AO983084:AO983095 AP983085:AP983096" xr:uid="{3DCE30D1-8CA6-41DD-AE16-43A9A5D5FCE6}"/>
  </dataValidations>
  <printOptions horizontalCentered="1"/>
  <pageMargins left="0.51181102362204722" right="0.39370078740157483" top="0.51181102362204722" bottom="0.51181102362204722" header="0.51181102362204722" footer="0.51181102362204722"/>
  <pageSetup paperSize="9" scale="56" orientation="landscape" r:id="rId1"/>
  <headerFooter alignWithMargins="0"/>
  <rowBreaks count="1" manualBreakCount="1">
    <brk id="20" max="48"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98794-8D0F-48E3-9727-30CC579A7335}">
  <sheetPr>
    <tabColor rgb="FF00B050"/>
  </sheetPr>
  <dimension ref="A1:W28"/>
  <sheetViews>
    <sheetView view="pageBreakPreview" zoomScale="85" zoomScaleNormal="85" zoomScaleSheetLayoutView="85" workbookViewId="0">
      <selection activeCell="Y18" sqref="Y18"/>
    </sheetView>
  </sheetViews>
  <sheetFormatPr defaultColWidth="9" defaultRowHeight="25" customHeight="1"/>
  <cols>
    <col min="1" max="1" width="5.33203125" style="38" customWidth="1"/>
    <col min="2" max="22" width="4.58203125" style="38" customWidth="1"/>
    <col min="23" max="23" width="9" style="38"/>
    <col min="24" max="25" width="9" style="38" customWidth="1"/>
    <col min="26" max="16384" width="9" style="38"/>
  </cols>
  <sheetData>
    <row r="1" spans="1:23" s="22" customFormat="1" ht="25" customHeight="1">
      <c r="A1" s="21" t="s">
        <v>112</v>
      </c>
      <c r="B1" s="21"/>
    </row>
    <row r="2" spans="1:23" s="21" customFormat="1" ht="25" customHeight="1">
      <c r="A2" s="21" t="s">
        <v>1375</v>
      </c>
      <c r="L2" s="787" t="s">
        <v>147</v>
      </c>
      <c r="M2" s="787"/>
      <c r="N2" s="805">
        <f>①基本情報!D5</f>
        <v>0</v>
      </c>
      <c r="O2" s="805"/>
      <c r="P2" s="805"/>
      <c r="Q2" s="805"/>
      <c r="R2" s="805"/>
      <c r="S2" s="805"/>
      <c r="T2" s="805"/>
      <c r="U2" s="805"/>
      <c r="V2" s="805"/>
      <c r="W2" s="21" t="s">
        <v>148</v>
      </c>
    </row>
    <row r="3" spans="1:23" s="21" customFormat="1" ht="11.25" customHeight="1"/>
    <row r="4" spans="1:23" s="26" customFormat="1" ht="25" customHeight="1">
      <c r="A4" s="784" t="s">
        <v>149</v>
      </c>
      <c r="B4" s="794" t="s">
        <v>152</v>
      </c>
      <c r="C4" s="784" t="s">
        <v>1267</v>
      </c>
      <c r="D4" s="784"/>
      <c r="E4" s="784"/>
      <c r="F4" s="784"/>
      <c r="G4" s="784"/>
      <c r="H4" s="784" t="s">
        <v>1269</v>
      </c>
      <c r="I4" s="784"/>
      <c r="J4" s="784"/>
      <c r="K4" s="784"/>
      <c r="L4" s="784"/>
      <c r="M4" s="784" t="s">
        <v>1270</v>
      </c>
      <c r="N4" s="784"/>
      <c r="O4" s="784"/>
      <c r="P4" s="784"/>
      <c r="Q4" s="784"/>
      <c r="R4" s="784" t="s">
        <v>219</v>
      </c>
      <c r="S4" s="784"/>
      <c r="T4" s="784"/>
      <c r="U4" s="784"/>
      <c r="V4" s="784"/>
    </row>
    <row r="5" spans="1:23" s="25" customFormat="1" ht="27" customHeight="1">
      <c r="A5" s="784"/>
      <c r="B5" s="794"/>
      <c r="C5" s="784" t="s">
        <v>158</v>
      </c>
      <c r="D5" s="784"/>
      <c r="E5" s="784"/>
      <c r="F5" s="784" t="s">
        <v>1241</v>
      </c>
      <c r="G5" s="784"/>
      <c r="H5" s="784" t="s">
        <v>158</v>
      </c>
      <c r="I5" s="784"/>
      <c r="J5" s="784"/>
      <c r="K5" s="784" t="s">
        <v>1241</v>
      </c>
      <c r="L5" s="784"/>
      <c r="M5" s="784" t="s">
        <v>158</v>
      </c>
      <c r="N5" s="784"/>
      <c r="O5" s="784"/>
      <c r="P5" s="784" t="s">
        <v>1241</v>
      </c>
      <c r="Q5" s="784"/>
      <c r="R5" s="27" t="s">
        <v>71</v>
      </c>
      <c r="S5" s="784" t="s">
        <v>164</v>
      </c>
      <c r="T5" s="784"/>
      <c r="U5" s="784"/>
      <c r="V5" s="784" t="s">
        <v>178</v>
      </c>
    </row>
    <row r="6" spans="1:23" s="25" customFormat="1" ht="68.25" customHeight="1">
      <c r="A6" s="784"/>
      <c r="B6" s="794"/>
      <c r="C6" s="785" t="s">
        <v>168</v>
      </c>
      <c r="D6" s="785" t="s">
        <v>169</v>
      </c>
      <c r="E6" s="785" t="s">
        <v>176</v>
      </c>
      <c r="F6" s="791" t="s">
        <v>171</v>
      </c>
      <c r="G6" s="791" t="s">
        <v>172</v>
      </c>
      <c r="H6" s="785" t="s">
        <v>168</v>
      </c>
      <c r="I6" s="785" t="s">
        <v>169</v>
      </c>
      <c r="J6" s="785" t="s">
        <v>176</v>
      </c>
      <c r="K6" s="791" t="s">
        <v>171</v>
      </c>
      <c r="L6" s="791" t="s">
        <v>172</v>
      </c>
      <c r="M6" s="785" t="s">
        <v>168</v>
      </c>
      <c r="N6" s="785" t="s">
        <v>169</v>
      </c>
      <c r="O6" s="785" t="s">
        <v>176</v>
      </c>
      <c r="P6" s="791" t="s">
        <v>171</v>
      </c>
      <c r="Q6" s="791" t="s">
        <v>172</v>
      </c>
      <c r="R6" s="793" t="s">
        <v>173</v>
      </c>
      <c r="S6" s="785" t="s">
        <v>168</v>
      </c>
      <c r="T6" s="785" t="s">
        <v>175</v>
      </c>
      <c r="U6" s="791" t="s">
        <v>255</v>
      </c>
      <c r="V6" s="784"/>
    </row>
    <row r="7" spans="1:23" s="25" customFormat="1" ht="60" customHeight="1">
      <c r="A7" s="784"/>
      <c r="B7" s="794"/>
      <c r="C7" s="785"/>
      <c r="D7" s="785"/>
      <c r="E7" s="785"/>
      <c r="F7" s="791"/>
      <c r="G7" s="791"/>
      <c r="H7" s="785"/>
      <c r="I7" s="785"/>
      <c r="J7" s="785"/>
      <c r="K7" s="791"/>
      <c r="L7" s="791"/>
      <c r="M7" s="785"/>
      <c r="N7" s="785"/>
      <c r="O7" s="785"/>
      <c r="P7" s="791"/>
      <c r="Q7" s="791"/>
      <c r="R7" s="793"/>
      <c r="S7" s="785"/>
      <c r="T7" s="785"/>
      <c r="U7" s="792"/>
      <c r="V7" s="795"/>
    </row>
    <row r="8" spans="1:23" s="25" customFormat="1" ht="38.25" customHeight="1">
      <c r="A8" s="784"/>
      <c r="B8" s="33" t="s">
        <v>190</v>
      </c>
      <c r="C8" s="168" t="s">
        <v>259</v>
      </c>
      <c r="D8" s="168" t="s">
        <v>260</v>
      </c>
      <c r="E8" s="168" t="s">
        <v>261</v>
      </c>
      <c r="F8" s="168" t="s">
        <v>98</v>
      </c>
      <c r="G8" s="168" t="s">
        <v>100</v>
      </c>
      <c r="H8" s="168" t="s">
        <v>101</v>
      </c>
      <c r="I8" s="168" t="s">
        <v>102</v>
      </c>
      <c r="J8" s="168" t="s">
        <v>103</v>
      </c>
      <c r="K8" s="168" t="s">
        <v>262</v>
      </c>
      <c r="L8" s="168" t="s">
        <v>228</v>
      </c>
      <c r="M8" s="168" t="s">
        <v>263</v>
      </c>
      <c r="N8" s="168" t="s">
        <v>264</v>
      </c>
      <c r="O8" s="168" t="s">
        <v>265</v>
      </c>
      <c r="P8" s="168" t="s">
        <v>266</v>
      </c>
      <c r="Q8" s="168" t="s">
        <v>267</v>
      </c>
      <c r="R8" s="168" t="s">
        <v>268</v>
      </c>
      <c r="S8" s="168" t="s">
        <v>269</v>
      </c>
      <c r="T8" s="168" t="s">
        <v>270</v>
      </c>
      <c r="U8" s="168" t="s">
        <v>271</v>
      </c>
      <c r="V8" s="795"/>
    </row>
    <row r="9" spans="1:23" s="35" customFormat="1" ht="37.5" customHeight="1">
      <c r="A9" s="173">
        <v>4</v>
      </c>
      <c r="B9" s="174">
        <f>'②-2勤務時間数入力'!AH7</f>
        <v>0</v>
      </c>
      <c r="C9" s="337">
        <f>COUNTIFS('②-1職員名簿'!AP$7:AP$106,"F",'②-2勤務時間数入力'!F$7:F$106,"正",'②-1職員名簿'!$W$7:$W$106,'②-1職員名簿'!$S$131)</f>
        <v>0</v>
      </c>
      <c r="D9" s="337">
        <f>COUNTIFS('②-1職員名簿'!AP$7:AP$106,"F",'②-2勤務時間数入力'!$C$7:$C$106,"常勤的非常勤",'②-2勤務時間数入力'!R$7:R$106,"常",'②-1職員名簿'!$W$7:$W$106,'②-1職員名簿'!$S$131)</f>
        <v>0</v>
      </c>
      <c r="E9" s="337">
        <f>SUMIFS('②-2勤務時間数入力'!R$7:R$106,'②-1職員名簿'!AP$7:AP$106,"F",'②-1職員名簿'!$C$7:$C$106,"パート",'②-1職員名簿'!$W$7:$W$106,'②-1職員名簿'!$S$131)</f>
        <v>0</v>
      </c>
      <c r="F9" s="337">
        <f>COUNTIFS('②-1職員名簿'!AP$7:AP$106,"F",'②-2勤務時間数入力'!$C$7:$C$106,"嘱託常勤",'②-2勤務時間数入力'!R$7:R$106,"常",'②-1職員名簿'!$W$7:$W$106,'②-1職員名簿'!$S$131)</f>
        <v>0</v>
      </c>
      <c r="G9" s="337">
        <f>SUMIFS('②-2勤務時間数入力'!R$7:R$106,'②-1職員名簿'!AP$7:AP$106,"F",'②-1職員名簿'!$C$7:$C$106,"嘱託等",'②-1職員名簿'!$W$7:$W$106,'②-1職員名簿'!$S$131)</f>
        <v>0</v>
      </c>
      <c r="H9" s="337">
        <f>COUNTIFS('②-1職員名簿'!AP$7:AP$106,"F",'②-2勤務時間数入力'!F$7:F$106,"正",'②-1職員名簿'!$W$7:$W$106,'②-1職員名簿'!$S$132)</f>
        <v>0</v>
      </c>
      <c r="I9" s="337">
        <f>COUNTIFS('②-1職員名簿'!AP$7:AP$106,"F",'②-2勤務時間数入力'!$C$7:$C$106,"常勤的非常勤",'②-2勤務時間数入力'!R$7:R$106,"常",'②-1職員名簿'!$W$7:$W$106,'②-1職員名簿'!$S$132)</f>
        <v>0</v>
      </c>
      <c r="J9" s="337">
        <f>SUMIFS('②-2勤務時間数入力'!R$7:R$106,'②-1職員名簿'!AP$7:AP$106,"F",'②-1職員名簿'!$C$7:$C$106,"パート",'②-1職員名簿'!$W$7:$W$106,'②-1職員名簿'!$S$132)</f>
        <v>0</v>
      </c>
      <c r="K9" s="337">
        <f>COUNTIFS('②-1職員名簿'!AP$7:AP$106,"F",'②-2勤務時間数入力'!$C$7:$C$106,"嘱託常勤",'②-2勤務時間数入力'!R$7:R$106,"常",'②-1職員名簿'!$W$7:$W$106,'②-1職員名簿'!$S$132)</f>
        <v>0</v>
      </c>
      <c r="L9" s="337">
        <f>SUMIFS('②-2勤務時間数入力'!R$7:R$106,'②-1職員名簿'!AP$7:AP$106,"F",'②-1職員名簿'!$C$7:$C$106,"嘱託等",'②-1職員名簿'!$W$7:$W$106,'②-1職員名簿'!$S$132)</f>
        <v>0</v>
      </c>
      <c r="M9" s="337">
        <f>COUNTIFS('②-1職員名簿'!AP$7:AP$106,"F",'②-2勤務時間数入力'!F$7:F$106,"正",'②-1職員名簿'!$W$7:$W$106,'②-1職員名簿'!$S$130)</f>
        <v>0</v>
      </c>
      <c r="N9" s="337">
        <f>COUNTIFS('②-1職員名簿'!AP$7:AP$106,"F",'②-2勤務時間数入力'!$C$7:$C$106,"常勤的非常勤",'②-2勤務時間数入力'!R$7:R$106,"常",'②-1職員名簿'!$W$7:$W$106,'②-1職員名簿'!$S$130)</f>
        <v>0</v>
      </c>
      <c r="O9" s="337">
        <f>SUMIFS('②-2勤務時間数入力'!R$7:R$106,'②-1職員名簿'!AP$7:AP$106,"F",'②-1職員名簿'!$C$7:$C$106,"パート",'②-1職員名簿'!$W$7:$W$106,'②-1職員名簿'!$S$130)</f>
        <v>0</v>
      </c>
      <c r="P9" s="337">
        <f>COUNTIFS('②-1職員名簿'!AP$7:AP$106,"F",'②-2勤務時間数入力'!$C$7:$C$106,"嘱託常勤",'②-2勤務時間数入力'!R$7:R$106,"常",'②-1職員名簿'!$W$7:$W$106,'②-1職員名簿'!$S$130)</f>
        <v>0</v>
      </c>
      <c r="Q9" s="337">
        <f>SUMIFS('②-2勤務時間数入力'!R$7:R$106,'②-1職員名簿'!AP$7:AP$106,"F",'②-1職員名簿'!$C$7:$C$106,"嘱託等",'②-1職員名簿'!$W$7:$W$106,'②-1職員名簿'!$S$130)</f>
        <v>0</v>
      </c>
      <c r="R9" s="340">
        <f>COUNTIFS('②-1職員名簿'!$W$7:$W$106,"園長",'②-1職員名簿'!AP$7:AP$106,"F")</f>
        <v>0</v>
      </c>
      <c r="S9" s="177">
        <f>C9+H9+M9-R9</f>
        <v>0</v>
      </c>
      <c r="T9" s="176">
        <f>D9+F9+I9+K9+N9+P9</f>
        <v>0</v>
      </c>
      <c r="U9" s="186" t="e">
        <f>ROUNDDOWN((E9+G9+J9+L9+O9+Q9)/B9,3)</f>
        <v>#DIV/0!</v>
      </c>
      <c r="V9" s="283" t="e">
        <f>+S9+T9+U9</f>
        <v>#DIV/0!</v>
      </c>
    </row>
    <row r="10" spans="1:23" s="35" customFormat="1" ht="36" customHeight="1">
      <c r="A10" s="280">
        <v>5</v>
      </c>
      <c r="B10" s="174">
        <f>'②-2勤務時間数入力'!AH8</f>
        <v>0</v>
      </c>
      <c r="C10" s="337">
        <f>COUNTIFS('②-1職員名簿'!AQ$7:AQ$106,"F",'②-2勤務時間数入力'!G$7:G$106,"正",'②-1職員名簿'!$W$7:$W$106,'②-1職員名簿'!$S$131)</f>
        <v>0</v>
      </c>
      <c r="D10" s="337">
        <f>COUNTIFS('②-1職員名簿'!AQ$7:AQ$106,"F",'②-2勤務時間数入力'!$C$7:$C$106,"常勤的非常勤",'②-2勤務時間数入力'!S$7:S$106,"常",'②-1職員名簿'!$W$7:$W$106,'②-1職員名簿'!$S$131)</f>
        <v>0</v>
      </c>
      <c r="E10" s="337">
        <f>SUMIFS('②-2勤務時間数入力'!S$7:S$106,'②-1職員名簿'!AQ$7:AQ$106,"F",'②-1職員名簿'!$C$7:$C$106,"パート",'②-1職員名簿'!$W$7:$W$106,'②-1職員名簿'!$S$131)</f>
        <v>0</v>
      </c>
      <c r="F10" s="337">
        <f>COUNTIFS('②-1職員名簿'!AQ$7:AQ$106,"F",'②-2勤務時間数入力'!$C$7:$C$106,"嘱託常勤",'②-2勤務時間数入力'!S$7:S$106,"常",'②-1職員名簿'!$W$7:$W$106,'②-1職員名簿'!$S$131)</f>
        <v>0</v>
      </c>
      <c r="G10" s="337">
        <f>SUMIFS('②-2勤務時間数入力'!S$7:S$106,'②-1職員名簿'!AQ$7:AQ$106,"F",'②-1職員名簿'!$C$7:$C$106,"嘱託等",'②-1職員名簿'!$W$7:$W$106,'②-1職員名簿'!$S$131)</f>
        <v>0</v>
      </c>
      <c r="H10" s="337">
        <f>COUNTIFS('②-1職員名簿'!AQ$7:AQ$106,"F",'②-2勤務時間数入力'!G$7:G$106,"正",'②-1職員名簿'!$W$7:$W$106,'②-1職員名簿'!$S$132)</f>
        <v>0</v>
      </c>
      <c r="I10" s="337">
        <f>COUNTIFS('②-1職員名簿'!AQ$7:AQ$106,"F",'②-2勤務時間数入力'!$C$7:$C$106,"常勤的非常勤",'②-2勤務時間数入力'!S$7:S$106,"常",'②-1職員名簿'!$W$7:$W$106,'②-1職員名簿'!$S$132)</f>
        <v>0</v>
      </c>
      <c r="J10" s="337">
        <f>SUMIFS('②-2勤務時間数入力'!S$7:S$106,'②-1職員名簿'!AQ$7:AQ$106,"F",'②-1職員名簿'!$C$7:$C$106,"パート",'②-1職員名簿'!$W$7:$W$106,'②-1職員名簿'!$S$132)</f>
        <v>0</v>
      </c>
      <c r="K10" s="337">
        <f>COUNTIFS('②-1職員名簿'!AQ$7:AQ$106,"F",'②-2勤務時間数入力'!$C$7:$C$106,"嘱託常勤",'②-2勤務時間数入力'!S$7:S$106,"常",'②-1職員名簿'!$W$7:$W$106,'②-1職員名簿'!$S$132)</f>
        <v>0</v>
      </c>
      <c r="L10" s="337">
        <f>SUMIFS('②-2勤務時間数入力'!S$7:S$106,'②-1職員名簿'!AQ$7:AQ$106,"F",'②-1職員名簿'!$C$7:$C$106,"嘱託等",'②-1職員名簿'!$W$7:$W$106,'②-1職員名簿'!$S$132)</f>
        <v>0</v>
      </c>
      <c r="M10" s="337">
        <f>COUNTIFS('②-1職員名簿'!AQ$7:AQ$106,"F",'②-2勤務時間数入力'!G$7:G$106,"正",'②-1職員名簿'!$W$7:$W$106,'②-1職員名簿'!$S$130)</f>
        <v>0</v>
      </c>
      <c r="N10" s="337">
        <f>COUNTIFS('②-1職員名簿'!AQ$7:AQ$106,"F",'②-2勤務時間数入力'!$C$7:$C$106,"常勤的非常勤",'②-2勤務時間数入力'!S$7:S$106,"常",'②-1職員名簿'!$W$7:$W$106,'②-1職員名簿'!$S$130)</f>
        <v>0</v>
      </c>
      <c r="O10" s="337">
        <f>SUMIFS('②-2勤務時間数入力'!S$7:S$106,'②-1職員名簿'!AQ$7:AQ$106,"F",'②-1職員名簿'!$C$7:$C$106,"パート",'②-1職員名簿'!$W$7:$W$106,'②-1職員名簿'!$S$130)</f>
        <v>0</v>
      </c>
      <c r="P10" s="337">
        <f>COUNTIFS('②-1職員名簿'!AQ$7:AQ$106,"F",'②-2勤務時間数入力'!$C$7:$C$106,"嘱託常勤",'②-2勤務時間数入力'!S$7:S$106,"常",'②-1職員名簿'!$W$7:$W$106,'②-1職員名簿'!$S$130)</f>
        <v>0</v>
      </c>
      <c r="Q10" s="337">
        <f>SUMIFS('②-2勤務時間数入力'!S$7:S$106,'②-1職員名簿'!AQ$7:AQ$106,"F",'②-1職員名簿'!$C$7:$C$106,"嘱託等",'②-1職員名簿'!$W$7:$W$106,'②-1職員名簿'!$S$130)</f>
        <v>0</v>
      </c>
      <c r="R10" s="340">
        <f>COUNTIFS('②-1職員名簿'!$W$7:$W$106,"園長",'②-1職員名簿'!AQ$7:AQ$106,"F")</f>
        <v>0</v>
      </c>
      <c r="S10" s="177">
        <f t="shared" ref="S10:S20" si="0">C10+H10+M10-R10</f>
        <v>0</v>
      </c>
      <c r="T10" s="176">
        <f t="shared" ref="T10:T20" si="1">D10+F10+I10+K10+N10+P10</f>
        <v>0</v>
      </c>
      <c r="U10" s="186" t="e">
        <f t="shared" ref="U10:U20" si="2">ROUNDDOWN((E10+G10+J10+L10+O10+Q10)/B10,3)</f>
        <v>#DIV/0!</v>
      </c>
      <c r="V10" s="283" t="e">
        <f t="shared" ref="V10:V20" si="3">+S10+T10+U10</f>
        <v>#DIV/0!</v>
      </c>
    </row>
    <row r="11" spans="1:23" s="35" customFormat="1" ht="36" customHeight="1">
      <c r="A11" s="280">
        <v>6</v>
      </c>
      <c r="B11" s="174">
        <f>'②-2勤務時間数入力'!AH9</f>
        <v>0</v>
      </c>
      <c r="C11" s="337">
        <f>COUNTIFS('②-1職員名簿'!AR$7:AR$106,"F",'②-2勤務時間数入力'!H$7:H$106,"正",'②-1職員名簿'!$W$7:$W$106,'②-1職員名簿'!$S$131)</f>
        <v>0</v>
      </c>
      <c r="D11" s="337">
        <f>COUNTIFS('②-1職員名簿'!AR$7:AR$106,"F",'②-2勤務時間数入力'!$C$7:$C$106,"常勤的非常勤",'②-2勤務時間数入力'!T$7:T$106,"常",'②-1職員名簿'!$W$7:$W$106,'②-1職員名簿'!$S$131)</f>
        <v>0</v>
      </c>
      <c r="E11" s="337">
        <f>SUMIFS('②-2勤務時間数入力'!T$7:T$106,'②-1職員名簿'!AR$7:AR$106,"F",'②-1職員名簿'!$C$7:$C$106,"パート",'②-1職員名簿'!$W$7:$W$106,'②-1職員名簿'!$S$131)</f>
        <v>0</v>
      </c>
      <c r="F11" s="337">
        <f>COUNTIFS('②-1職員名簿'!AR$7:AR$106,"F",'②-2勤務時間数入力'!$C$7:$C$106,"嘱託常勤",'②-2勤務時間数入力'!T$7:T$106,"常",'②-1職員名簿'!$W$7:$W$106,'②-1職員名簿'!$S$131)</f>
        <v>0</v>
      </c>
      <c r="G11" s="337">
        <f>SUMIFS('②-2勤務時間数入力'!T$7:T$106,'②-1職員名簿'!AR$7:AR$106,"F",'②-1職員名簿'!$C$7:$C$106,"嘱託等",'②-1職員名簿'!$W$7:$W$106,'②-1職員名簿'!$S$131)</f>
        <v>0</v>
      </c>
      <c r="H11" s="337">
        <f>COUNTIFS('②-1職員名簿'!AR$7:AR$106,"F",'②-2勤務時間数入力'!H$7:H$106,"正",'②-1職員名簿'!$W$7:$W$106,'②-1職員名簿'!$S$132)</f>
        <v>0</v>
      </c>
      <c r="I11" s="337">
        <f>COUNTIFS('②-1職員名簿'!AR$7:AR$106,"F",'②-2勤務時間数入力'!$C$7:$C$106,"常勤的非常勤",'②-2勤務時間数入力'!T$7:T$106,"常",'②-1職員名簿'!$W$7:$W$106,'②-1職員名簿'!$S$132)</f>
        <v>0</v>
      </c>
      <c r="J11" s="337">
        <f>SUMIFS('②-2勤務時間数入力'!T$7:T$106,'②-1職員名簿'!AR$7:AR$106,"F",'②-1職員名簿'!$C$7:$C$106,"パート",'②-1職員名簿'!$W$7:$W$106,'②-1職員名簿'!$S$132)</f>
        <v>0</v>
      </c>
      <c r="K11" s="337">
        <f>COUNTIFS('②-1職員名簿'!AR$7:AR$106,"F",'②-2勤務時間数入力'!$C$7:$C$106,"嘱託常勤",'②-2勤務時間数入力'!T$7:T$106,"常",'②-1職員名簿'!$W$7:$W$106,'②-1職員名簿'!$S$132)</f>
        <v>0</v>
      </c>
      <c r="L11" s="337">
        <f>SUMIFS('②-2勤務時間数入力'!T$7:T$106,'②-1職員名簿'!AR$7:AR$106,"F",'②-1職員名簿'!$C$7:$C$106,"嘱託等",'②-1職員名簿'!$W$7:$W$106,'②-1職員名簿'!$S$132)</f>
        <v>0</v>
      </c>
      <c r="M11" s="337">
        <f>COUNTIFS('②-1職員名簿'!AR$7:AR$106,"F",'②-2勤務時間数入力'!H$7:H$106,"正",'②-1職員名簿'!$W$7:$W$106,'②-1職員名簿'!$S$130)</f>
        <v>0</v>
      </c>
      <c r="N11" s="337">
        <f>COUNTIFS('②-1職員名簿'!AR$7:AR$106,"F",'②-2勤務時間数入力'!$C$7:$C$106,"常勤的非常勤",'②-2勤務時間数入力'!T$7:T$106,"常",'②-1職員名簿'!$W$7:$W$106,'②-1職員名簿'!$S$130)</f>
        <v>0</v>
      </c>
      <c r="O11" s="337">
        <f>SUMIFS('②-2勤務時間数入力'!T$7:T$106,'②-1職員名簿'!AR$7:AR$106,"F",'②-1職員名簿'!$C$7:$C$106,"パート",'②-1職員名簿'!$W$7:$W$106,'②-1職員名簿'!$S$130)</f>
        <v>0</v>
      </c>
      <c r="P11" s="337">
        <f>COUNTIFS('②-1職員名簿'!AR$7:AR$106,"F",'②-2勤務時間数入力'!$C$7:$C$106,"嘱託常勤",'②-2勤務時間数入力'!T$7:T$106,"常",'②-1職員名簿'!$W$7:$W$106,'②-1職員名簿'!$S$130)</f>
        <v>0</v>
      </c>
      <c r="Q11" s="337">
        <f>SUMIFS('②-2勤務時間数入力'!T$7:T$106,'②-1職員名簿'!AR$7:AR$106,"F",'②-1職員名簿'!$C$7:$C$106,"嘱託等",'②-1職員名簿'!$W$7:$W$106,'②-1職員名簿'!$S$130)</f>
        <v>0</v>
      </c>
      <c r="R11" s="340">
        <f>COUNTIFS('②-1職員名簿'!$W$7:$W$106,"園長",'②-1職員名簿'!AR$7:AR$106,"F")</f>
        <v>0</v>
      </c>
      <c r="S11" s="177">
        <f t="shared" si="0"/>
        <v>0</v>
      </c>
      <c r="T11" s="176">
        <f t="shared" si="1"/>
        <v>0</v>
      </c>
      <c r="U11" s="186" t="e">
        <f t="shared" si="2"/>
        <v>#DIV/0!</v>
      </c>
      <c r="V11" s="283" t="e">
        <f t="shared" si="3"/>
        <v>#DIV/0!</v>
      </c>
    </row>
    <row r="12" spans="1:23" s="35" customFormat="1" ht="36" customHeight="1">
      <c r="A12" s="280">
        <v>7</v>
      </c>
      <c r="B12" s="174">
        <f>'②-2勤務時間数入力'!AH10</f>
        <v>0</v>
      </c>
      <c r="C12" s="337">
        <f>COUNTIFS('②-1職員名簿'!AS$7:AS$106,"F",'②-2勤務時間数入力'!I$7:I$106,"正",'②-1職員名簿'!$W$7:$W$106,'②-1職員名簿'!$S$131)</f>
        <v>0</v>
      </c>
      <c r="D12" s="337">
        <f>COUNTIFS('②-1職員名簿'!AS$7:AS$106,"F",'②-2勤務時間数入力'!$C$7:$C$106,"常勤的非常勤",'②-2勤務時間数入力'!U$7:U$106,"常",'②-1職員名簿'!$W$7:$W$106,'②-1職員名簿'!$S$131)</f>
        <v>0</v>
      </c>
      <c r="E12" s="337">
        <f>SUMIFS('②-2勤務時間数入力'!U$7:U$106,'②-1職員名簿'!AS$7:AS$106,"F",'②-1職員名簿'!$C$7:$C$106,"パート",'②-1職員名簿'!$W$7:$W$106,'②-1職員名簿'!$S$131)</f>
        <v>0</v>
      </c>
      <c r="F12" s="337">
        <f>COUNTIFS('②-1職員名簿'!AS$7:AS$106,"F",'②-2勤務時間数入力'!$C$7:$C$106,"嘱託常勤",'②-2勤務時間数入力'!U$7:U$106,"常",'②-1職員名簿'!$W$7:$W$106,'②-1職員名簿'!$S$131)</f>
        <v>0</v>
      </c>
      <c r="G12" s="337">
        <f>SUMIFS('②-2勤務時間数入力'!U$7:U$106,'②-1職員名簿'!AS$7:AS$106,"F",'②-1職員名簿'!$C$7:$C$106,"嘱託等",'②-1職員名簿'!$W$7:$W$106,'②-1職員名簿'!$S$131)</f>
        <v>0</v>
      </c>
      <c r="H12" s="337">
        <f>COUNTIFS('②-1職員名簿'!AS$7:AS$106,"F",'②-2勤務時間数入力'!I$7:I$106,"正",'②-1職員名簿'!$W$7:$W$106,'②-1職員名簿'!$S$132)</f>
        <v>0</v>
      </c>
      <c r="I12" s="337">
        <f>COUNTIFS('②-1職員名簿'!AS$7:AS$106,"F",'②-2勤務時間数入力'!$C$7:$C$106,"常勤的非常勤",'②-2勤務時間数入力'!U$7:U$106,"常",'②-1職員名簿'!$W$7:$W$106,'②-1職員名簿'!$S$132)</f>
        <v>0</v>
      </c>
      <c r="J12" s="337">
        <f>SUMIFS('②-2勤務時間数入力'!U$7:U$106,'②-1職員名簿'!AS$7:AS$106,"F",'②-1職員名簿'!$C$7:$C$106,"パート",'②-1職員名簿'!$W$7:$W$106,'②-1職員名簿'!$S$132)</f>
        <v>0</v>
      </c>
      <c r="K12" s="337">
        <f>COUNTIFS('②-1職員名簿'!AS$7:AS$106,"F",'②-2勤務時間数入力'!$C$7:$C$106,"嘱託常勤",'②-2勤務時間数入力'!U$7:U$106,"常",'②-1職員名簿'!$W$7:$W$106,'②-1職員名簿'!$S$132)</f>
        <v>0</v>
      </c>
      <c r="L12" s="337">
        <f>SUMIFS('②-2勤務時間数入力'!U$7:U$106,'②-1職員名簿'!AS$7:AS$106,"F",'②-1職員名簿'!$C$7:$C$106,"嘱託等",'②-1職員名簿'!$W$7:$W$106,'②-1職員名簿'!$S$132)</f>
        <v>0</v>
      </c>
      <c r="M12" s="337">
        <f>COUNTIFS('②-1職員名簿'!AS$7:AS$106,"F",'②-2勤務時間数入力'!I$7:I$106,"正",'②-1職員名簿'!$W$7:$W$106,'②-1職員名簿'!$S$130)</f>
        <v>0</v>
      </c>
      <c r="N12" s="337">
        <f>COUNTIFS('②-1職員名簿'!AS$7:AS$106,"F",'②-2勤務時間数入力'!$C$7:$C$106,"常勤的非常勤",'②-2勤務時間数入力'!U$7:U$106,"常",'②-1職員名簿'!$W$7:$W$106,'②-1職員名簿'!$S$130)</f>
        <v>0</v>
      </c>
      <c r="O12" s="337">
        <f>SUMIFS('②-2勤務時間数入力'!U$7:U$106,'②-1職員名簿'!AS$7:AS$106,"F",'②-1職員名簿'!$C$7:$C$106,"パート",'②-1職員名簿'!$W$7:$W$106,'②-1職員名簿'!$S$130)</f>
        <v>0</v>
      </c>
      <c r="P12" s="337">
        <f>COUNTIFS('②-1職員名簿'!AS$7:AS$106,"F",'②-2勤務時間数入力'!$C$7:$C$106,"嘱託常勤",'②-2勤務時間数入力'!U$7:U$106,"常",'②-1職員名簿'!$W$7:$W$106,'②-1職員名簿'!$S$130)</f>
        <v>0</v>
      </c>
      <c r="Q12" s="337">
        <f>SUMIFS('②-2勤務時間数入力'!U$7:U$106,'②-1職員名簿'!AS$7:AS$106,"F",'②-1職員名簿'!$C$7:$C$106,"嘱託等",'②-1職員名簿'!$W$7:$W$106,'②-1職員名簿'!$S$130)</f>
        <v>0</v>
      </c>
      <c r="R12" s="340">
        <f>COUNTIFS('②-1職員名簿'!$W$7:$W$106,"園長",'②-1職員名簿'!AS$7:AS$106,"F")</f>
        <v>0</v>
      </c>
      <c r="S12" s="177">
        <f t="shared" si="0"/>
        <v>0</v>
      </c>
      <c r="T12" s="176">
        <f t="shared" si="1"/>
        <v>0</v>
      </c>
      <c r="U12" s="186" t="e">
        <f t="shared" si="2"/>
        <v>#DIV/0!</v>
      </c>
      <c r="V12" s="283" t="e">
        <f t="shared" si="3"/>
        <v>#DIV/0!</v>
      </c>
    </row>
    <row r="13" spans="1:23" s="35" customFormat="1" ht="36" customHeight="1">
      <c r="A13" s="280">
        <v>8</v>
      </c>
      <c r="B13" s="174">
        <f>'②-2勤務時間数入力'!AH11</f>
        <v>0</v>
      </c>
      <c r="C13" s="337">
        <f>COUNTIFS('②-1職員名簿'!AT$7:AT$106,"F",'②-2勤務時間数入力'!J$7:J$106,"正",'②-1職員名簿'!$W$7:$W$106,'②-1職員名簿'!$S$131)</f>
        <v>0</v>
      </c>
      <c r="D13" s="337">
        <f>COUNTIFS('②-1職員名簿'!AT$7:AT$106,"F",'②-2勤務時間数入力'!$C$7:$C$106,"常勤的非常勤",'②-2勤務時間数入力'!V$7:V$106,"常",'②-1職員名簿'!$W$7:$W$106,'②-1職員名簿'!$S$131)</f>
        <v>0</v>
      </c>
      <c r="E13" s="337">
        <f>SUMIFS('②-2勤務時間数入力'!V$7:V$106,'②-1職員名簿'!AT$7:AT$106,"F",'②-1職員名簿'!$C$7:$C$106,"パート",'②-1職員名簿'!$W$7:$W$106,'②-1職員名簿'!$S$131)</f>
        <v>0</v>
      </c>
      <c r="F13" s="337">
        <f>COUNTIFS('②-1職員名簿'!AT$7:AT$106,"F",'②-2勤務時間数入力'!$C$7:$C$106,"嘱託常勤",'②-2勤務時間数入力'!V$7:V$106,"常",'②-1職員名簿'!$W$7:$W$106,'②-1職員名簿'!$S$131)</f>
        <v>0</v>
      </c>
      <c r="G13" s="337">
        <f>SUMIFS('②-2勤務時間数入力'!V$7:V$106,'②-1職員名簿'!AT$7:AT$106,"F",'②-1職員名簿'!$C$7:$C$106,"嘱託等",'②-1職員名簿'!$W$7:$W$106,'②-1職員名簿'!$S$131)</f>
        <v>0</v>
      </c>
      <c r="H13" s="337">
        <f>COUNTIFS('②-1職員名簿'!AT$7:AT$106,"F",'②-2勤務時間数入力'!J$7:J$106,"正",'②-1職員名簿'!$W$7:$W$106,'②-1職員名簿'!$S$132)</f>
        <v>0</v>
      </c>
      <c r="I13" s="337">
        <f>COUNTIFS('②-1職員名簿'!AT$7:AT$106,"F",'②-2勤務時間数入力'!$C$7:$C$106,"常勤的非常勤",'②-2勤務時間数入力'!V$7:V$106,"常",'②-1職員名簿'!$W$7:$W$106,'②-1職員名簿'!$S$132)</f>
        <v>0</v>
      </c>
      <c r="J13" s="337">
        <f>SUMIFS('②-2勤務時間数入力'!V$7:V$106,'②-1職員名簿'!AT$7:AT$106,"F",'②-1職員名簿'!$C$7:$C$106,"パート",'②-1職員名簿'!$W$7:$W$106,'②-1職員名簿'!$S$132)</f>
        <v>0</v>
      </c>
      <c r="K13" s="337">
        <f>COUNTIFS('②-1職員名簿'!AT$7:AT$106,"F",'②-2勤務時間数入力'!$C$7:$C$106,"嘱託常勤",'②-2勤務時間数入力'!V$7:V$106,"常",'②-1職員名簿'!$W$7:$W$106,'②-1職員名簿'!$S$132)</f>
        <v>0</v>
      </c>
      <c r="L13" s="337">
        <f>SUMIFS('②-2勤務時間数入力'!V$7:V$106,'②-1職員名簿'!AT$7:AT$106,"F",'②-1職員名簿'!$C$7:$C$106,"嘱託等",'②-1職員名簿'!$W$7:$W$106,'②-1職員名簿'!$S$132)</f>
        <v>0</v>
      </c>
      <c r="M13" s="337">
        <f>COUNTIFS('②-1職員名簿'!AT$7:AT$106,"F",'②-2勤務時間数入力'!J$7:J$106,"正",'②-1職員名簿'!$W$7:$W$106,'②-1職員名簿'!$S$130)</f>
        <v>0</v>
      </c>
      <c r="N13" s="337">
        <f>COUNTIFS('②-1職員名簿'!AT$7:AT$106,"F",'②-2勤務時間数入力'!$C$7:$C$106,"常勤的非常勤",'②-2勤務時間数入力'!V$7:V$106,"常",'②-1職員名簿'!$W$7:$W$106,'②-1職員名簿'!$S$130)</f>
        <v>0</v>
      </c>
      <c r="O13" s="337">
        <f>SUMIFS('②-2勤務時間数入力'!V$7:V$106,'②-1職員名簿'!AT$7:AT$106,"F",'②-1職員名簿'!$C$7:$C$106,"パート",'②-1職員名簿'!$W$7:$W$106,'②-1職員名簿'!$S$130)</f>
        <v>0</v>
      </c>
      <c r="P13" s="337">
        <f>COUNTIFS('②-1職員名簿'!AT$7:AT$106,"F",'②-2勤務時間数入力'!$C$7:$C$106,"嘱託常勤",'②-2勤務時間数入力'!V$7:V$106,"常",'②-1職員名簿'!$W$7:$W$106,'②-1職員名簿'!$S$130)</f>
        <v>0</v>
      </c>
      <c r="Q13" s="337">
        <f>SUMIFS('②-2勤務時間数入力'!V$7:V$106,'②-1職員名簿'!AT$7:AT$106,"F",'②-1職員名簿'!$C$7:$C$106,"嘱託等",'②-1職員名簿'!$W$7:$W$106,'②-1職員名簿'!$S$130)</f>
        <v>0</v>
      </c>
      <c r="R13" s="340">
        <f>COUNTIFS('②-1職員名簿'!$W$7:$W$106,"園長",'②-1職員名簿'!AT$7:AT$106,"F")</f>
        <v>0</v>
      </c>
      <c r="S13" s="177">
        <f t="shared" si="0"/>
        <v>0</v>
      </c>
      <c r="T13" s="176">
        <f t="shared" si="1"/>
        <v>0</v>
      </c>
      <c r="U13" s="186" t="e">
        <f t="shared" si="2"/>
        <v>#DIV/0!</v>
      </c>
      <c r="V13" s="283" t="e">
        <f t="shared" si="3"/>
        <v>#DIV/0!</v>
      </c>
    </row>
    <row r="14" spans="1:23" s="35" customFormat="1" ht="36" customHeight="1">
      <c r="A14" s="280">
        <v>9</v>
      </c>
      <c r="B14" s="174">
        <f>'②-2勤務時間数入力'!AH12</f>
        <v>0</v>
      </c>
      <c r="C14" s="337">
        <f>COUNTIFS('②-1職員名簿'!AU$7:AU$106,"F",'②-2勤務時間数入力'!K$7:K$106,"正",'②-1職員名簿'!$W$7:$W$106,'②-1職員名簿'!$S$131)</f>
        <v>0</v>
      </c>
      <c r="D14" s="337">
        <f>COUNTIFS('②-1職員名簿'!AU$7:AU$106,"F",'②-2勤務時間数入力'!$C$7:$C$106,"常勤的非常勤",'②-2勤務時間数入力'!W$7:W$106,"常",'②-1職員名簿'!$W$7:$W$106,'②-1職員名簿'!$S$131)</f>
        <v>0</v>
      </c>
      <c r="E14" s="337">
        <f>SUMIFS('②-2勤務時間数入力'!W$7:W$106,'②-1職員名簿'!AU$7:AU$106,"F",'②-1職員名簿'!$C$7:$C$106,"パート",'②-1職員名簿'!$W$7:$W$106,'②-1職員名簿'!$S$131)</f>
        <v>0</v>
      </c>
      <c r="F14" s="337">
        <f>COUNTIFS('②-1職員名簿'!AU$7:AU$106,"F",'②-2勤務時間数入力'!$C$7:$C$106,"嘱託常勤",'②-2勤務時間数入力'!W$7:W$106,"常",'②-1職員名簿'!$W$7:$W$106,'②-1職員名簿'!$S$131)</f>
        <v>0</v>
      </c>
      <c r="G14" s="337">
        <f>SUMIFS('②-2勤務時間数入力'!W$7:W$106,'②-1職員名簿'!AU$7:AU$106,"F",'②-1職員名簿'!$C$7:$C$106,"嘱託等",'②-1職員名簿'!$W$7:$W$106,'②-1職員名簿'!$S$131)</f>
        <v>0</v>
      </c>
      <c r="H14" s="337">
        <f>COUNTIFS('②-1職員名簿'!AU$7:AU$106,"F",'②-2勤務時間数入力'!K$7:K$106,"正",'②-1職員名簿'!$W$7:$W$106,'②-1職員名簿'!$S$132)</f>
        <v>0</v>
      </c>
      <c r="I14" s="337">
        <f>COUNTIFS('②-1職員名簿'!AU$7:AU$106,"F",'②-2勤務時間数入力'!$C$7:$C$106,"常勤的非常勤",'②-2勤務時間数入力'!W$7:W$106,"常",'②-1職員名簿'!$W$7:$W$106,'②-1職員名簿'!$S$132)</f>
        <v>0</v>
      </c>
      <c r="J14" s="337">
        <f>SUMIFS('②-2勤務時間数入力'!W$7:W$106,'②-1職員名簿'!AU$7:AU$106,"F",'②-1職員名簿'!$C$7:$C$106,"パート",'②-1職員名簿'!$W$7:$W$106,'②-1職員名簿'!$S$132)</f>
        <v>0</v>
      </c>
      <c r="K14" s="337">
        <f>COUNTIFS('②-1職員名簿'!AU$7:AU$106,"F",'②-2勤務時間数入力'!$C$7:$C$106,"嘱託常勤",'②-2勤務時間数入力'!W$7:W$106,"常",'②-1職員名簿'!$W$7:$W$106,'②-1職員名簿'!$S$132)</f>
        <v>0</v>
      </c>
      <c r="L14" s="337">
        <f>SUMIFS('②-2勤務時間数入力'!W$7:W$106,'②-1職員名簿'!AU$7:AU$106,"F",'②-1職員名簿'!$C$7:$C$106,"嘱託等",'②-1職員名簿'!$W$7:$W$106,'②-1職員名簿'!$S$132)</f>
        <v>0</v>
      </c>
      <c r="M14" s="337">
        <f>COUNTIFS('②-1職員名簿'!AU$7:AU$106,"F",'②-2勤務時間数入力'!K$7:K$106,"正",'②-1職員名簿'!$W$7:$W$106,'②-1職員名簿'!$S$130)</f>
        <v>0</v>
      </c>
      <c r="N14" s="337">
        <f>COUNTIFS('②-1職員名簿'!AU$7:AU$106,"F",'②-2勤務時間数入力'!$C$7:$C$106,"常勤的非常勤",'②-2勤務時間数入力'!W$7:W$106,"常",'②-1職員名簿'!$W$7:$W$106,'②-1職員名簿'!$S$130)</f>
        <v>0</v>
      </c>
      <c r="O14" s="337">
        <f>SUMIFS('②-2勤務時間数入力'!W$7:W$106,'②-1職員名簿'!AU$7:AU$106,"F",'②-1職員名簿'!$C$7:$C$106,"パート",'②-1職員名簿'!$W$7:$W$106,'②-1職員名簿'!$S$130)</f>
        <v>0</v>
      </c>
      <c r="P14" s="337">
        <f>COUNTIFS('②-1職員名簿'!AU$7:AU$106,"F",'②-2勤務時間数入力'!$C$7:$C$106,"嘱託常勤",'②-2勤務時間数入力'!W$7:W$106,"常",'②-1職員名簿'!$W$7:$W$106,'②-1職員名簿'!$S$130)</f>
        <v>0</v>
      </c>
      <c r="Q14" s="337">
        <f>SUMIFS('②-2勤務時間数入力'!W$7:W$106,'②-1職員名簿'!AU$7:AU$106,"F",'②-1職員名簿'!$C$7:$C$106,"嘱託等",'②-1職員名簿'!$W$7:$W$106,'②-1職員名簿'!$S$130)</f>
        <v>0</v>
      </c>
      <c r="R14" s="340">
        <f>COUNTIFS('②-1職員名簿'!$W$7:$W$106,"園長",'②-1職員名簿'!AU$7:AU$106,"F")</f>
        <v>0</v>
      </c>
      <c r="S14" s="177">
        <f t="shared" si="0"/>
        <v>0</v>
      </c>
      <c r="T14" s="176">
        <f t="shared" si="1"/>
        <v>0</v>
      </c>
      <c r="U14" s="186" t="e">
        <f t="shared" si="2"/>
        <v>#DIV/0!</v>
      </c>
      <c r="V14" s="283" t="e">
        <f t="shared" si="3"/>
        <v>#DIV/0!</v>
      </c>
    </row>
    <row r="15" spans="1:23" s="35" customFormat="1" ht="36" customHeight="1">
      <c r="A15" s="280">
        <v>10</v>
      </c>
      <c r="B15" s="174">
        <f>'②-2勤務時間数入力'!AH13</f>
        <v>0</v>
      </c>
      <c r="C15" s="337">
        <f>COUNTIFS('②-1職員名簿'!AV$7:AV$106,"F",'②-2勤務時間数入力'!L$7:L$106,"正",'②-1職員名簿'!$W$7:$W$106,'②-1職員名簿'!$S$131)</f>
        <v>0</v>
      </c>
      <c r="D15" s="337">
        <f>COUNTIFS('②-1職員名簿'!AV$7:AV$106,"F",'②-2勤務時間数入力'!$C$7:$C$106,"常勤的非常勤",'②-2勤務時間数入力'!X$7:X$106,"常",'②-1職員名簿'!$W$7:$W$106,'②-1職員名簿'!$S$131)</f>
        <v>0</v>
      </c>
      <c r="E15" s="337">
        <f>SUMIFS('②-2勤務時間数入力'!X$7:X$106,'②-1職員名簿'!AV$7:AV$106,"F",'②-1職員名簿'!$C$7:$C$106,"パート",'②-1職員名簿'!$W$7:$W$106,'②-1職員名簿'!$S$131)</f>
        <v>0</v>
      </c>
      <c r="F15" s="337">
        <f>COUNTIFS('②-1職員名簿'!AV$7:AV$106,"F",'②-2勤務時間数入力'!$C$7:$C$106,"嘱託常勤",'②-2勤務時間数入力'!X$7:X$106,"常",'②-1職員名簿'!$W$7:$W$106,'②-1職員名簿'!$S$131)</f>
        <v>0</v>
      </c>
      <c r="G15" s="337">
        <f>SUMIFS('②-2勤務時間数入力'!X$7:X$106,'②-1職員名簿'!AV$7:AV$106,"F",'②-1職員名簿'!$C$7:$C$106,"嘱託等",'②-1職員名簿'!$W$7:$W$106,'②-1職員名簿'!$S$131)</f>
        <v>0</v>
      </c>
      <c r="H15" s="337">
        <f>COUNTIFS('②-1職員名簿'!AV$7:AV$106,"F",'②-2勤務時間数入力'!L$7:L$106,"正",'②-1職員名簿'!$W$7:$W$106,'②-1職員名簿'!$S$132)</f>
        <v>0</v>
      </c>
      <c r="I15" s="337">
        <f>COUNTIFS('②-1職員名簿'!AV$7:AV$106,"F",'②-2勤務時間数入力'!$C$7:$C$106,"常勤的非常勤",'②-2勤務時間数入力'!X$7:X$106,"常",'②-1職員名簿'!$W$7:$W$106,'②-1職員名簿'!$S$132)</f>
        <v>0</v>
      </c>
      <c r="J15" s="337">
        <f>SUMIFS('②-2勤務時間数入力'!X$7:X$106,'②-1職員名簿'!AV$7:AV$106,"F",'②-1職員名簿'!$C$7:$C$106,"パート",'②-1職員名簿'!$W$7:$W$106,'②-1職員名簿'!$S$132)</f>
        <v>0</v>
      </c>
      <c r="K15" s="337">
        <f>COUNTIFS('②-1職員名簿'!AV$7:AV$106,"F",'②-2勤務時間数入力'!$C$7:$C$106,"嘱託常勤",'②-2勤務時間数入力'!X$7:X$106,"常",'②-1職員名簿'!$W$7:$W$106,'②-1職員名簿'!$S$132)</f>
        <v>0</v>
      </c>
      <c r="L15" s="337">
        <f>SUMIFS('②-2勤務時間数入力'!X$7:X$106,'②-1職員名簿'!AV$7:AV$106,"F",'②-1職員名簿'!$C$7:$C$106,"嘱託等",'②-1職員名簿'!$W$7:$W$106,'②-1職員名簿'!$S$132)</f>
        <v>0</v>
      </c>
      <c r="M15" s="337">
        <f>COUNTIFS('②-1職員名簿'!AV$7:AV$106,"F",'②-2勤務時間数入力'!L$7:L$106,"正",'②-1職員名簿'!$W$7:$W$106,'②-1職員名簿'!$S$130)</f>
        <v>0</v>
      </c>
      <c r="N15" s="337">
        <f>COUNTIFS('②-1職員名簿'!AV$7:AV$106,"F",'②-2勤務時間数入力'!$C$7:$C$106,"常勤的非常勤",'②-2勤務時間数入力'!X$7:X$106,"常",'②-1職員名簿'!$W$7:$W$106,'②-1職員名簿'!$S$130)</f>
        <v>0</v>
      </c>
      <c r="O15" s="337">
        <f>SUMIFS('②-2勤務時間数入力'!X$7:X$106,'②-1職員名簿'!AV$7:AV$106,"F",'②-1職員名簿'!$C$7:$C$106,"パート",'②-1職員名簿'!$W$7:$W$106,'②-1職員名簿'!$S$130)</f>
        <v>0</v>
      </c>
      <c r="P15" s="337">
        <f>COUNTIFS('②-1職員名簿'!AV$7:AV$106,"F",'②-2勤務時間数入力'!$C$7:$C$106,"嘱託常勤",'②-2勤務時間数入力'!X$7:X$106,"常",'②-1職員名簿'!$W$7:$W$106,'②-1職員名簿'!$S$130)</f>
        <v>0</v>
      </c>
      <c r="Q15" s="337">
        <f>SUMIFS('②-2勤務時間数入力'!X$7:X$106,'②-1職員名簿'!AV$7:AV$106,"F",'②-1職員名簿'!$C$7:$C$106,"嘱託等",'②-1職員名簿'!$W$7:$W$106,'②-1職員名簿'!$S$130)</f>
        <v>0</v>
      </c>
      <c r="R15" s="340">
        <f>COUNTIFS('②-1職員名簿'!$W$7:$W$106,"園長",'②-1職員名簿'!AV$7:AV$106,"F")</f>
        <v>0</v>
      </c>
      <c r="S15" s="177">
        <f t="shared" si="0"/>
        <v>0</v>
      </c>
      <c r="T15" s="176">
        <f t="shared" si="1"/>
        <v>0</v>
      </c>
      <c r="U15" s="186" t="e">
        <f t="shared" si="2"/>
        <v>#DIV/0!</v>
      </c>
      <c r="V15" s="283" t="e">
        <f t="shared" si="3"/>
        <v>#DIV/0!</v>
      </c>
    </row>
    <row r="16" spans="1:23" s="35" customFormat="1" ht="36" customHeight="1">
      <c r="A16" s="280">
        <v>11</v>
      </c>
      <c r="B16" s="174">
        <f>'②-2勤務時間数入力'!AH14</f>
        <v>0</v>
      </c>
      <c r="C16" s="337">
        <f>COUNTIFS('②-1職員名簿'!AW$7:AW$106,"F",'②-2勤務時間数入力'!M$7:M$106,"正",'②-1職員名簿'!$W$7:$W$106,'②-1職員名簿'!$S$131)</f>
        <v>0</v>
      </c>
      <c r="D16" s="337">
        <f>COUNTIFS('②-1職員名簿'!AW$7:AW$106,"F",'②-2勤務時間数入力'!$C$7:$C$106,"常勤的非常勤",'②-2勤務時間数入力'!Y$7:Y$106,"常",'②-1職員名簿'!$W$7:$W$106,'②-1職員名簿'!$S$131)</f>
        <v>0</v>
      </c>
      <c r="E16" s="337">
        <f>SUMIFS('②-2勤務時間数入力'!Y$7:Y$106,'②-1職員名簿'!AW$7:AW$106,"F",'②-1職員名簿'!$C$7:$C$106,"パート",'②-1職員名簿'!$W$7:$W$106,'②-1職員名簿'!$S$131)</f>
        <v>0</v>
      </c>
      <c r="F16" s="337">
        <f>COUNTIFS('②-1職員名簿'!AW$7:AW$106,"F",'②-2勤務時間数入力'!$C$7:$C$106,"嘱託常勤",'②-2勤務時間数入力'!Y$7:Y$106,"常",'②-1職員名簿'!$W$7:$W$106,'②-1職員名簿'!$S$131)</f>
        <v>0</v>
      </c>
      <c r="G16" s="337">
        <f>SUMIFS('②-2勤務時間数入力'!Y$7:Y$106,'②-1職員名簿'!AW$7:AW$106,"F",'②-1職員名簿'!$C$7:$C$106,"嘱託等",'②-1職員名簿'!$W$7:$W$106,'②-1職員名簿'!$S$131)</f>
        <v>0</v>
      </c>
      <c r="H16" s="337">
        <f>COUNTIFS('②-1職員名簿'!AW$7:AW$106,"F",'②-2勤務時間数入力'!M$7:M$106,"正",'②-1職員名簿'!$W$7:$W$106,'②-1職員名簿'!$S$132)</f>
        <v>0</v>
      </c>
      <c r="I16" s="337">
        <f>COUNTIFS('②-1職員名簿'!AW$7:AW$106,"F",'②-2勤務時間数入力'!$C$7:$C$106,"常勤的非常勤",'②-2勤務時間数入力'!Y$7:Y$106,"常",'②-1職員名簿'!$W$7:$W$106,'②-1職員名簿'!$S$132)</f>
        <v>0</v>
      </c>
      <c r="J16" s="337">
        <f>SUMIFS('②-2勤務時間数入力'!Y$7:Y$106,'②-1職員名簿'!AW$7:AW$106,"F",'②-1職員名簿'!$C$7:$C$106,"パート",'②-1職員名簿'!$W$7:$W$106,'②-1職員名簿'!$S$132)</f>
        <v>0</v>
      </c>
      <c r="K16" s="337">
        <f>COUNTIFS('②-1職員名簿'!AW$7:AW$106,"F",'②-2勤務時間数入力'!$C$7:$C$106,"嘱託常勤",'②-2勤務時間数入力'!Y$7:Y$106,"常",'②-1職員名簿'!$W$7:$W$106,'②-1職員名簿'!$S$132)</f>
        <v>0</v>
      </c>
      <c r="L16" s="337">
        <f>SUMIFS('②-2勤務時間数入力'!Y$7:Y$106,'②-1職員名簿'!AW$7:AW$106,"F",'②-1職員名簿'!$C$7:$C$106,"嘱託等",'②-1職員名簿'!$W$7:$W$106,'②-1職員名簿'!$S$132)</f>
        <v>0</v>
      </c>
      <c r="M16" s="337">
        <f>COUNTIFS('②-1職員名簿'!AW$7:AW$106,"F",'②-2勤務時間数入力'!M$7:M$106,"正",'②-1職員名簿'!$W$7:$W$106,'②-1職員名簿'!$S$130)</f>
        <v>0</v>
      </c>
      <c r="N16" s="337">
        <f>COUNTIFS('②-1職員名簿'!AW$7:AW$106,"F",'②-2勤務時間数入力'!$C$7:$C$106,"常勤的非常勤",'②-2勤務時間数入力'!Y$7:Y$106,"常",'②-1職員名簿'!$W$7:$W$106,'②-1職員名簿'!$S$130)</f>
        <v>0</v>
      </c>
      <c r="O16" s="337">
        <f>SUMIFS('②-2勤務時間数入力'!Y$7:Y$106,'②-1職員名簿'!AW$7:AW$106,"F",'②-1職員名簿'!$C$7:$C$106,"パート",'②-1職員名簿'!$W$7:$W$106,'②-1職員名簿'!$S$130)</f>
        <v>0</v>
      </c>
      <c r="P16" s="337">
        <f>COUNTIFS('②-1職員名簿'!AW$7:AW$106,"F",'②-2勤務時間数入力'!$C$7:$C$106,"嘱託常勤",'②-2勤務時間数入力'!Y$7:Y$106,"常",'②-1職員名簿'!$W$7:$W$106,'②-1職員名簿'!$S$130)</f>
        <v>0</v>
      </c>
      <c r="Q16" s="337">
        <f>SUMIFS('②-2勤務時間数入力'!Y$7:Y$106,'②-1職員名簿'!AW$7:AW$106,"F",'②-1職員名簿'!$C$7:$C$106,"嘱託等",'②-1職員名簿'!$W$7:$W$106,'②-1職員名簿'!$S$130)</f>
        <v>0</v>
      </c>
      <c r="R16" s="340">
        <f>COUNTIFS('②-1職員名簿'!$W$7:$W$106,"園長",'②-1職員名簿'!AW$7:AW$106,"F")</f>
        <v>0</v>
      </c>
      <c r="S16" s="177">
        <f t="shared" si="0"/>
        <v>0</v>
      </c>
      <c r="T16" s="176">
        <f t="shared" si="1"/>
        <v>0</v>
      </c>
      <c r="U16" s="186" t="e">
        <f t="shared" si="2"/>
        <v>#DIV/0!</v>
      </c>
      <c r="V16" s="283" t="e">
        <f t="shared" si="3"/>
        <v>#DIV/0!</v>
      </c>
    </row>
    <row r="17" spans="1:22" s="35" customFormat="1" ht="36" customHeight="1">
      <c r="A17" s="280">
        <v>12</v>
      </c>
      <c r="B17" s="174">
        <f>'②-2勤務時間数入力'!AH15</f>
        <v>0</v>
      </c>
      <c r="C17" s="337">
        <f>COUNTIFS('②-1職員名簿'!AX$7:AX$106,"F",'②-2勤務時間数入力'!N$7:N$106,"正",'②-1職員名簿'!$W$7:$W$106,'②-1職員名簿'!$S$131)</f>
        <v>0</v>
      </c>
      <c r="D17" s="337">
        <f>COUNTIFS('②-1職員名簿'!AX$7:AX$106,"F",'②-2勤務時間数入力'!$C$7:$C$106,"常勤的非常勤",'②-2勤務時間数入力'!Z$7:Z$106,"常",'②-1職員名簿'!$W$7:$W$106,'②-1職員名簿'!$S$131)</f>
        <v>0</v>
      </c>
      <c r="E17" s="337">
        <f>SUMIFS('②-2勤務時間数入力'!Z$7:Z$106,'②-1職員名簿'!AX$7:AX$106,"F",'②-1職員名簿'!$C$7:$C$106,"パート",'②-1職員名簿'!$W$7:$W$106,'②-1職員名簿'!$S$131)</f>
        <v>0</v>
      </c>
      <c r="F17" s="337">
        <f>COUNTIFS('②-1職員名簿'!AX$7:AX$106,"F",'②-2勤務時間数入力'!$C$7:$C$106,"嘱託常勤",'②-2勤務時間数入力'!Z$7:Z$106,"常",'②-1職員名簿'!$W$7:$W$106,'②-1職員名簿'!$S$131)</f>
        <v>0</v>
      </c>
      <c r="G17" s="337">
        <f>SUMIFS('②-2勤務時間数入力'!Z$7:Z$106,'②-1職員名簿'!AX$7:AX$106,"F",'②-1職員名簿'!$C$7:$C$106,"嘱託等",'②-1職員名簿'!$W$7:$W$106,'②-1職員名簿'!$S$131)</f>
        <v>0</v>
      </c>
      <c r="H17" s="337">
        <f>COUNTIFS('②-1職員名簿'!AX$7:AX$106,"F",'②-2勤務時間数入力'!N$7:N$106,"正",'②-1職員名簿'!$W$7:$W$106,'②-1職員名簿'!$S$132)</f>
        <v>0</v>
      </c>
      <c r="I17" s="337">
        <f>COUNTIFS('②-1職員名簿'!AX$7:AX$106,"F",'②-2勤務時間数入力'!$C$7:$C$106,"常勤的非常勤",'②-2勤務時間数入力'!Z$7:Z$106,"常",'②-1職員名簿'!$W$7:$W$106,'②-1職員名簿'!$S$132)</f>
        <v>0</v>
      </c>
      <c r="J17" s="337">
        <f>SUMIFS('②-2勤務時間数入力'!Z$7:Z$106,'②-1職員名簿'!AX$7:AX$106,"F",'②-1職員名簿'!$C$7:$C$106,"パート",'②-1職員名簿'!$W$7:$W$106,'②-1職員名簿'!$S$132)</f>
        <v>0</v>
      </c>
      <c r="K17" s="337">
        <f>COUNTIFS('②-1職員名簿'!AX$7:AX$106,"F",'②-2勤務時間数入力'!$C$7:$C$106,"嘱託常勤",'②-2勤務時間数入力'!Z$7:Z$106,"常",'②-1職員名簿'!$W$7:$W$106,'②-1職員名簿'!$S$132)</f>
        <v>0</v>
      </c>
      <c r="L17" s="337">
        <f>SUMIFS('②-2勤務時間数入力'!Z$7:Z$106,'②-1職員名簿'!AX$7:AX$106,"F",'②-1職員名簿'!$C$7:$C$106,"嘱託等",'②-1職員名簿'!$W$7:$W$106,'②-1職員名簿'!$S$132)</f>
        <v>0</v>
      </c>
      <c r="M17" s="337">
        <f>COUNTIFS('②-1職員名簿'!AX$7:AX$106,"F",'②-2勤務時間数入力'!N$7:N$106,"正",'②-1職員名簿'!$W$7:$W$106,'②-1職員名簿'!$S$130)</f>
        <v>0</v>
      </c>
      <c r="N17" s="337">
        <f>COUNTIFS('②-1職員名簿'!AX$7:AX$106,"F",'②-2勤務時間数入力'!$C$7:$C$106,"常勤的非常勤",'②-2勤務時間数入力'!Z$7:Z$106,"常",'②-1職員名簿'!$W$7:$W$106,'②-1職員名簿'!$S$130)</f>
        <v>0</v>
      </c>
      <c r="O17" s="337">
        <f>SUMIFS('②-2勤務時間数入力'!Z$7:Z$106,'②-1職員名簿'!AX$7:AX$106,"F",'②-1職員名簿'!$C$7:$C$106,"パート",'②-1職員名簿'!$W$7:$W$106,'②-1職員名簿'!$S$130)</f>
        <v>0</v>
      </c>
      <c r="P17" s="337">
        <f>COUNTIFS('②-1職員名簿'!AX$7:AX$106,"F",'②-2勤務時間数入力'!$C$7:$C$106,"嘱託常勤",'②-2勤務時間数入力'!Z$7:Z$106,"常",'②-1職員名簿'!$W$7:$W$106,'②-1職員名簿'!$S$130)</f>
        <v>0</v>
      </c>
      <c r="Q17" s="337">
        <f>SUMIFS('②-2勤務時間数入力'!Z$7:Z$106,'②-1職員名簿'!AX$7:AX$106,"F",'②-1職員名簿'!$C$7:$C$106,"嘱託等",'②-1職員名簿'!$W$7:$W$106,'②-1職員名簿'!$S$130)</f>
        <v>0</v>
      </c>
      <c r="R17" s="340">
        <f>COUNTIFS('②-1職員名簿'!$W$7:$W$106,"園長",'②-1職員名簿'!AX$7:AX$106,"F")</f>
        <v>0</v>
      </c>
      <c r="S17" s="177">
        <f t="shared" si="0"/>
        <v>0</v>
      </c>
      <c r="T17" s="176">
        <f t="shared" si="1"/>
        <v>0</v>
      </c>
      <c r="U17" s="186" t="e">
        <f t="shared" si="2"/>
        <v>#DIV/0!</v>
      </c>
      <c r="V17" s="283" t="e">
        <f t="shared" si="3"/>
        <v>#DIV/0!</v>
      </c>
    </row>
    <row r="18" spans="1:22" s="35" customFormat="1" ht="36" customHeight="1">
      <c r="A18" s="280">
        <v>1</v>
      </c>
      <c r="B18" s="174">
        <f>'②-2勤務時間数入力'!AH16</f>
        <v>0</v>
      </c>
      <c r="C18" s="337">
        <f>COUNTIFS('②-1職員名簿'!AY$7:AY$106,"F",'②-2勤務時間数入力'!O$7:O$106,"正",'②-1職員名簿'!$W$7:$W$106,'②-1職員名簿'!$S$131)</f>
        <v>0</v>
      </c>
      <c r="D18" s="337">
        <f>COUNTIFS('②-1職員名簿'!AY$7:AY$106,"F",'②-2勤務時間数入力'!$C$7:$C$106,"常勤的非常勤",'②-2勤務時間数入力'!AA$7:AA$106,"常",'②-1職員名簿'!$W$7:$W$106,'②-1職員名簿'!$S$131)</f>
        <v>0</v>
      </c>
      <c r="E18" s="337">
        <f>SUMIFS('②-2勤務時間数入力'!AA$7:AA$106,'②-1職員名簿'!AY$7:AY$106,"F",'②-1職員名簿'!$C$7:$C$106,"パート",'②-1職員名簿'!$W$7:$W$106,'②-1職員名簿'!$S$131)</f>
        <v>0</v>
      </c>
      <c r="F18" s="337">
        <f>COUNTIFS('②-1職員名簿'!AY$7:AY$106,"F",'②-2勤務時間数入力'!$C$7:$C$106,"嘱託常勤",'②-2勤務時間数入力'!AA$7:AA$106,"常",'②-1職員名簿'!$W$7:$W$106,'②-1職員名簿'!$S$131)</f>
        <v>0</v>
      </c>
      <c r="G18" s="337">
        <f>SUMIFS('②-2勤務時間数入力'!AA$7:AA$106,'②-1職員名簿'!AY$7:AY$106,"F",'②-1職員名簿'!$C$7:$C$106,"嘱託等",'②-1職員名簿'!$W$7:$W$106,'②-1職員名簿'!$S$131)</f>
        <v>0</v>
      </c>
      <c r="H18" s="337">
        <f>COUNTIFS('②-1職員名簿'!AY$7:AY$106,"F",'②-2勤務時間数入力'!O$7:O$106,"正",'②-1職員名簿'!$W$7:$W$106,'②-1職員名簿'!$S$132)</f>
        <v>0</v>
      </c>
      <c r="I18" s="337">
        <f>COUNTIFS('②-1職員名簿'!AY$7:AY$106,"F",'②-2勤務時間数入力'!$C$7:$C$106,"常勤的非常勤",'②-2勤務時間数入力'!AA$7:AA$106,"常",'②-1職員名簿'!$W$7:$W$106,'②-1職員名簿'!$S$132)</f>
        <v>0</v>
      </c>
      <c r="J18" s="337">
        <f>SUMIFS('②-2勤務時間数入力'!AA$7:AA$106,'②-1職員名簿'!AY$7:AY$106,"F",'②-1職員名簿'!$C$7:$C$106,"パート",'②-1職員名簿'!$W$7:$W$106,'②-1職員名簿'!$S$132)</f>
        <v>0</v>
      </c>
      <c r="K18" s="337">
        <f>COUNTIFS('②-1職員名簿'!AY$7:AY$106,"F",'②-2勤務時間数入力'!$C$7:$C$106,"嘱託常勤",'②-2勤務時間数入力'!AA$7:AA$106,"常",'②-1職員名簿'!$W$7:$W$106,'②-1職員名簿'!$S$132)</f>
        <v>0</v>
      </c>
      <c r="L18" s="337">
        <f>SUMIFS('②-2勤務時間数入力'!AA$7:AA$106,'②-1職員名簿'!AY$7:AY$106,"F",'②-1職員名簿'!$C$7:$C$106,"嘱託等",'②-1職員名簿'!$W$7:$W$106,'②-1職員名簿'!$S$132)</f>
        <v>0</v>
      </c>
      <c r="M18" s="337">
        <f>COUNTIFS('②-1職員名簿'!AY$7:AY$106,"F",'②-2勤務時間数入力'!O$7:O$106,"正",'②-1職員名簿'!$W$7:$W$106,'②-1職員名簿'!$S$130)</f>
        <v>0</v>
      </c>
      <c r="N18" s="337">
        <f>COUNTIFS('②-1職員名簿'!AY$7:AY$106,"F",'②-2勤務時間数入力'!$C$7:$C$106,"常勤的非常勤",'②-2勤務時間数入力'!AA$7:AA$106,"常",'②-1職員名簿'!$W$7:$W$106,'②-1職員名簿'!$S$130)</f>
        <v>0</v>
      </c>
      <c r="O18" s="337">
        <f>SUMIFS('②-2勤務時間数入力'!AA$7:AA$106,'②-1職員名簿'!AY$7:AY$106,"F",'②-1職員名簿'!$C$7:$C$106,"パート",'②-1職員名簿'!$W$7:$W$106,'②-1職員名簿'!$S$130)</f>
        <v>0</v>
      </c>
      <c r="P18" s="337">
        <f>COUNTIFS('②-1職員名簿'!AY$7:AY$106,"F",'②-2勤務時間数入力'!$C$7:$C$106,"嘱託常勤",'②-2勤務時間数入力'!AA$7:AA$106,"常",'②-1職員名簿'!$W$7:$W$106,'②-1職員名簿'!$S$130)</f>
        <v>0</v>
      </c>
      <c r="Q18" s="337">
        <f>SUMIFS('②-2勤務時間数入力'!AA$7:AA$106,'②-1職員名簿'!AY$7:AY$106,"F",'②-1職員名簿'!$C$7:$C$106,"嘱託等",'②-1職員名簿'!$W$7:$W$106,'②-1職員名簿'!$S$130)</f>
        <v>0</v>
      </c>
      <c r="R18" s="340">
        <f>COUNTIFS('②-1職員名簿'!$W$7:$W$106,"園長",'②-1職員名簿'!AY$7:AY$106,"F")</f>
        <v>0</v>
      </c>
      <c r="S18" s="177">
        <f t="shared" si="0"/>
        <v>0</v>
      </c>
      <c r="T18" s="176">
        <f t="shared" si="1"/>
        <v>0</v>
      </c>
      <c r="U18" s="186" t="e">
        <f t="shared" si="2"/>
        <v>#DIV/0!</v>
      </c>
      <c r="V18" s="283" t="e">
        <f t="shared" si="3"/>
        <v>#DIV/0!</v>
      </c>
    </row>
    <row r="19" spans="1:22" s="35" customFormat="1" ht="36" customHeight="1">
      <c r="A19" s="280">
        <v>2</v>
      </c>
      <c r="B19" s="174">
        <f>'②-2勤務時間数入力'!AH17</f>
        <v>0</v>
      </c>
      <c r="C19" s="337">
        <f>COUNTIFS('②-1職員名簿'!AZ$7:AZ$106,"F",'②-2勤務時間数入力'!P$7:P$106,"正",'②-1職員名簿'!$W$7:$W$106,'②-1職員名簿'!$S$131)</f>
        <v>0</v>
      </c>
      <c r="D19" s="337">
        <f>COUNTIFS('②-1職員名簿'!AZ$7:AZ$106,"F",'②-2勤務時間数入力'!$C$7:$C$106,"常勤的非常勤",'②-2勤務時間数入力'!AB$7:AB$106,"常",'②-1職員名簿'!$W$7:$W$106,'②-1職員名簿'!$S$131)</f>
        <v>0</v>
      </c>
      <c r="E19" s="337">
        <f>SUMIFS('②-2勤務時間数入力'!AB$7:AB$106,'②-1職員名簿'!AZ$7:AZ$106,"F",'②-1職員名簿'!$C$7:$C$106,"パート",'②-1職員名簿'!$W$7:$W$106,'②-1職員名簿'!$S$131)</f>
        <v>0</v>
      </c>
      <c r="F19" s="337">
        <f>COUNTIFS('②-1職員名簿'!AZ$7:AZ$106,"F",'②-2勤務時間数入力'!$C$7:$C$106,"嘱託常勤",'②-2勤務時間数入力'!AB$7:AB$106,"常",'②-1職員名簿'!$W$7:$W$106,'②-1職員名簿'!$S$131)</f>
        <v>0</v>
      </c>
      <c r="G19" s="337">
        <f>SUMIFS('②-2勤務時間数入力'!AB$7:AB$106,'②-1職員名簿'!AZ$7:AZ$106,"F",'②-1職員名簿'!$C$7:$C$106,"嘱託等",'②-1職員名簿'!$W$7:$W$106,'②-1職員名簿'!$S$131)</f>
        <v>0</v>
      </c>
      <c r="H19" s="337">
        <f>COUNTIFS('②-1職員名簿'!AZ$7:AZ$106,"F",'②-2勤務時間数入力'!P$7:P$106,"正",'②-1職員名簿'!$W$7:$W$106,'②-1職員名簿'!$S$132)</f>
        <v>0</v>
      </c>
      <c r="I19" s="337">
        <f>COUNTIFS('②-1職員名簿'!AZ$7:AZ$106,"F",'②-2勤務時間数入力'!$C$7:$C$106,"常勤的非常勤",'②-2勤務時間数入力'!AB$7:AB$106,"常",'②-1職員名簿'!$W$7:$W$106,'②-1職員名簿'!$S$132)</f>
        <v>0</v>
      </c>
      <c r="J19" s="337">
        <f>SUMIFS('②-2勤務時間数入力'!AB$7:AB$106,'②-1職員名簿'!AZ$7:AZ$106,"F",'②-1職員名簿'!$C$7:$C$106,"パート",'②-1職員名簿'!$W$7:$W$106,'②-1職員名簿'!$S$132)</f>
        <v>0</v>
      </c>
      <c r="K19" s="337">
        <f>COUNTIFS('②-1職員名簿'!AZ$7:AZ$106,"F",'②-2勤務時間数入力'!$C$7:$C$106,"嘱託常勤",'②-2勤務時間数入力'!AB$7:AB$106,"常",'②-1職員名簿'!$W$7:$W$106,'②-1職員名簿'!$S$132)</f>
        <v>0</v>
      </c>
      <c r="L19" s="337">
        <f>SUMIFS('②-2勤務時間数入力'!AB$7:AB$106,'②-1職員名簿'!AZ$7:AZ$106,"F",'②-1職員名簿'!$C$7:$C$106,"嘱託等",'②-1職員名簿'!$W$7:$W$106,'②-1職員名簿'!$S$132)</f>
        <v>0</v>
      </c>
      <c r="M19" s="337">
        <f>COUNTIFS('②-1職員名簿'!AZ$7:AZ$106,"F",'②-2勤務時間数入力'!P$7:P$106,"正",'②-1職員名簿'!$W$7:$W$106,'②-1職員名簿'!$S$130)</f>
        <v>0</v>
      </c>
      <c r="N19" s="337">
        <f>COUNTIFS('②-1職員名簿'!AZ$7:AZ$106,"F",'②-2勤務時間数入力'!$C$7:$C$106,"常勤的非常勤",'②-2勤務時間数入力'!AB$7:AB$106,"常",'②-1職員名簿'!$W$7:$W$106,'②-1職員名簿'!$S$130)</f>
        <v>0</v>
      </c>
      <c r="O19" s="337">
        <f>SUMIFS('②-2勤務時間数入力'!AB$7:AB$106,'②-1職員名簿'!AZ$7:AZ$106,"F",'②-1職員名簿'!$C$7:$C$106,"パート",'②-1職員名簿'!$W$7:$W$106,'②-1職員名簿'!$S$130)</f>
        <v>0</v>
      </c>
      <c r="P19" s="337">
        <f>COUNTIFS('②-1職員名簿'!AZ$7:AZ$106,"F",'②-2勤務時間数入力'!$C$7:$C$106,"嘱託常勤",'②-2勤務時間数入力'!AB$7:AB$106,"常",'②-1職員名簿'!$W$7:$W$106,'②-1職員名簿'!$S$130)</f>
        <v>0</v>
      </c>
      <c r="Q19" s="337">
        <f>SUMIFS('②-2勤務時間数入力'!AB$7:AB$106,'②-1職員名簿'!AZ$7:AZ$106,"F",'②-1職員名簿'!$C$7:$C$106,"嘱託等",'②-1職員名簿'!$W$7:$W$106,'②-1職員名簿'!$S$130)</f>
        <v>0</v>
      </c>
      <c r="R19" s="340">
        <f>COUNTIFS('②-1職員名簿'!$W$7:$W$106,"園長",'②-1職員名簿'!AZ$7:AZ$106,"F")</f>
        <v>0</v>
      </c>
      <c r="S19" s="177">
        <f t="shared" si="0"/>
        <v>0</v>
      </c>
      <c r="T19" s="176">
        <f t="shared" si="1"/>
        <v>0</v>
      </c>
      <c r="U19" s="186" t="e">
        <f t="shared" si="2"/>
        <v>#DIV/0!</v>
      </c>
      <c r="V19" s="283" t="e">
        <f t="shared" si="3"/>
        <v>#DIV/0!</v>
      </c>
    </row>
    <row r="20" spans="1:22" s="35" customFormat="1" ht="36" customHeight="1">
      <c r="A20" s="280">
        <v>3</v>
      </c>
      <c r="B20" s="174">
        <f>'②-2勤務時間数入力'!AH18</f>
        <v>0</v>
      </c>
      <c r="C20" s="337">
        <f>COUNTIFS('②-1職員名簿'!BA$7:BA$106,"F",'②-2勤務時間数入力'!Q$7:Q$106,"正",'②-1職員名簿'!$W$7:$W$106,'②-1職員名簿'!$S$131)</f>
        <v>0</v>
      </c>
      <c r="D20" s="337">
        <f>COUNTIFS('②-1職員名簿'!BA$7:BA$106,"F",'②-2勤務時間数入力'!$C$7:$C$106,"常勤的非常勤",'②-2勤務時間数入力'!AC$7:AC$106,"常",'②-1職員名簿'!$W$7:$W$106,'②-1職員名簿'!$S$131)</f>
        <v>0</v>
      </c>
      <c r="E20" s="337">
        <f>SUMIFS('②-2勤務時間数入力'!AC$7:AC$106,'②-1職員名簿'!BA$7:BA$106,"F",'②-1職員名簿'!$C$7:$C$106,"パート",'②-1職員名簿'!$W$7:$W$106,'②-1職員名簿'!$S$131)</f>
        <v>0</v>
      </c>
      <c r="F20" s="337">
        <f>COUNTIFS('②-1職員名簿'!BA$7:BA$106,"F",'②-2勤務時間数入力'!$C$7:$C$106,"嘱託常勤",'②-2勤務時間数入力'!AC$7:AC$106,"常",'②-1職員名簿'!$W$7:$W$106,'②-1職員名簿'!$S$131)</f>
        <v>0</v>
      </c>
      <c r="G20" s="337">
        <f>SUMIFS('②-2勤務時間数入力'!AC$7:AC$106,'②-1職員名簿'!BA$7:BA$106,"F",'②-1職員名簿'!$C$7:$C$106,"嘱託等",'②-1職員名簿'!$W$7:$W$106,'②-1職員名簿'!$S$131)</f>
        <v>0</v>
      </c>
      <c r="H20" s="337">
        <f>COUNTIFS('②-1職員名簿'!BA$7:BA$106,"F",'②-2勤務時間数入力'!Q$7:Q$106,"正",'②-1職員名簿'!$W$7:$W$106,'②-1職員名簿'!$S$132)</f>
        <v>0</v>
      </c>
      <c r="I20" s="337">
        <f>COUNTIFS('②-1職員名簿'!BA$7:BA$106,"F",'②-2勤務時間数入力'!$C$7:$C$106,"常勤的非常勤",'②-2勤務時間数入力'!AC$7:AC$106,"常",'②-1職員名簿'!$W$7:$W$106,'②-1職員名簿'!$S$132)</f>
        <v>0</v>
      </c>
      <c r="J20" s="337">
        <f>SUMIFS('②-2勤務時間数入力'!AC$7:AC$106,'②-1職員名簿'!BA$7:BA$106,"F",'②-1職員名簿'!$C$7:$C$106,"パート",'②-1職員名簿'!$W$7:$W$106,'②-1職員名簿'!$S$132)</f>
        <v>0</v>
      </c>
      <c r="K20" s="337">
        <f>COUNTIFS('②-1職員名簿'!BA$7:BA$106,"F",'②-2勤務時間数入力'!$C$7:$C$106,"嘱託常勤",'②-2勤務時間数入力'!AC$7:AC$106,"常",'②-1職員名簿'!$W$7:$W$106,'②-1職員名簿'!$S$132)</f>
        <v>0</v>
      </c>
      <c r="L20" s="337">
        <f>SUMIFS('②-2勤務時間数入力'!AC$7:AC$106,'②-1職員名簿'!BA$7:BA$106,"F",'②-1職員名簿'!$C$7:$C$106,"嘱託等",'②-1職員名簿'!$W$7:$W$106,'②-1職員名簿'!$S$132)</f>
        <v>0</v>
      </c>
      <c r="M20" s="337">
        <f>COUNTIFS('②-1職員名簿'!BA$7:BA$106,"F",'②-2勤務時間数入力'!Q$7:Q$106,"正",'②-1職員名簿'!$W$7:$W$106,'②-1職員名簿'!$S$130)</f>
        <v>0</v>
      </c>
      <c r="N20" s="337">
        <f>COUNTIFS('②-1職員名簿'!BA$7:BA$106,"F",'②-2勤務時間数入力'!$C$7:$C$106,"常勤的非常勤",'②-2勤務時間数入力'!AC$7:AC$106,"常",'②-1職員名簿'!$W$7:$W$106,'②-1職員名簿'!$S$130)</f>
        <v>0</v>
      </c>
      <c r="O20" s="337">
        <f>SUMIFS('②-2勤務時間数入力'!AC$7:AC$106,'②-1職員名簿'!BA$7:BA$106,"F",'②-1職員名簿'!$C$7:$C$106,"パート",'②-1職員名簿'!$W$7:$W$106,'②-1職員名簿'!$S$130)</f>
        <v>0</v>
      </c>
      <c r="P20" s="337">
        <f>COUNTIFS('②-1職員名簿'!BA$7:BA$106,"F",'②-2勤務時間数入力'!$C$7:$C$106,"嘱託常勤",'②-2勤務時間数入力'!AC$7:AC$106,"常",'②-1職員名簿'!$W$7:$W$106,'②-1職員名簿'!$S$130)</f>
        <v>0</v>
      </c>
      <c r="Q20" s="337">
        <f>SUMIFS('②-2勤務時間数入力'!AC$7:AC$106,'②-1職員名簿'!BA$7:BA$106,"F",'②-1職員名簿'!$C$7:$C$106,"嘱託等",'②-1職員名簿'!$W$7:$W$106,'②-1職員名簿'!$S$130)</f>
        <v>0</v>
      </c>
      <c r="R20" s="340">
        <f>COUNTIFS('②-1職員名簿'!$W$7:$W$106,"園長",'②-1職員名簿'!BA$7:BA$106,"F")</f>
        <v>0</v>
      </c>
      <c r="S20" s="177">
        <f t="shared" si="0"/>
        <v>0</v>
      </c>
      <c r="T20" s="176">
        <f t="shared" si="1"/>
        <v>0</v>
      </c>
      <c r="U20" s="186" t="e">
        <f t="shared" si="2"/>
        <v>#DIV/0!</v>
      </c>
      <c r="V20" s="283" t="e">
        <f t="shared" si="3"/>
        <v>#DIV/0!</v>
      </c>
    </row>
    <row r="21" spans="1:22" ht="18.75" customHeight="1">
      <c r="A21" s="36"/>
      <c r="C21" s="40"/>
      <c r="D21" s="48"/>
      <c r="E21" s="48"/>
      <c r="F21" s="48"/>
      <c r="G21" s="48"/>
      <c r="H21" s="40"/>
      <c r="I21" s="48"/>
      <c r="J21" s="48"/>
      <c r="K21" s="48"/>
      <c r="L21" s="48"/>
      <c r="M21" s="40"/>
      <c r="N21" s="48"/>
      <c r="O21" s="48"/>
      <c r="P21" s="48"/>
      <c r="Q21" s="48"/>
      <c r="R21" s="40"/>
      <c r="S21" s="40"/>
      <c r="T21" s="40"/>
      <c r="U21" s="40"/>
      <c r="V21" s="40"/>
    </row>
    <row r="22" spans="1:22" ht="18.75" customHeight="1">
      <c r="A22" s="43"/>
      <c r="B22" s="44"/>
      <c r="C22" s="40"/>
      <c r="D22" s="40"/>
      <c r="E22" s="40"/>
      <c r="F22" s="40"/>
      <c r="G22" s="40"/>
      <c r="H22" s="40"/>
      <c r="I22" s="40"/>
      <c r="J22" s="40"/>
      <c r="K22" s="40"/>
      <c r="L22" s="40"/>
      <c r="M22" s="40"/>
      <c r="N22" s="40"/>
      <c r="O22" s="40"/>
      <c r="P22" s="40"/>
      <c r="Q22" s="40"/>
      <c r="R22" s="48"/>
      <c r="S22" s="40"/>
      <c r="T22" s="44"/>
      <c r="U22" s="45"/>
      <c r="V22" s="45"/>
    </row>
    <row r="23" spans="1:22" ht="18.75" customHeight="1">
      <c r="A23" s="43"/>
      <c r="B23" s="48"/>
      <c r="C23" s="48"/>
      <c r="D23" s="40"/>
      <c r="E23" s="40"/>
      <c r="F23" s="40"/>
      <c r="G23" s="40"/>
      <c r="H23" s="48"/>
      <c r="I23" s="40"/>
      <c r="J23" s="40"/>
      <c r="K23" s="40"/>
      <c r="L23" s="40"/>
      <c r="M23" s="48"/>
      <c r="N23" s="40"/>
      <c r="O23" s="40"/>
      <c r="P23" s="40"/>
      <c r="Q23" s="40"/>
      <c r="R23" s="40"/>
      <c r="U23" s="44"/>
      <c r="V23" s="44"/>
    </row>
    <row r="24" spans="1:22" ht="18.75" customHeight="1">
      <c r="A24" s="43"/>
      <c r="B24" s="45"/>
      <c r="C24" s="40"/>
      <c r="D24" s="40"/>
      <c r="E24" s="40"/>
      <c r="F24" s="40"/>
      <c r="G24" s="40"/>
      <c r="H24" s="40"/>
      <c r="I24" s="40"/>
      <c r="J24" s="40"/>
      <c r="K24" s="40"/>
      <c r="L24" s="40"/>
      <c r="M24" s="40"/>
      <c r="N24" s="40"/>
      <c r="O24" s="40"/>
      <c r="P24" s="40"/>
      <c r="Q24" s="40"/>
      <c r="R24" s="40"/>
      <c r="S24" s="45"/>
      <c r="T24" s="40"/>
      <c r="U24" s="40"/>
      <c r="V24" s="40"/>
    </row>
    <row r="25" spans="1:22" ht="18.75" customHeight="1">
      <c r="B25" s="44"/>
      <c r="C25" s="40"/>
      <c r="D25" s="40"/>
      <c r="E25" s="40"/>
      <c r="F25" s="40"/>
      <c r="G25" s="40"/>
      <c r="H25" s="40"/>
      <c r="I25" s="40"/>
      <c r="J25" s="40"/>
      <c r="K25" s="40"/>
      <c r="L25" s="40"/>
      <c r="M25" s="40"/>
      <c r="N25" s="40"/>
      <c r="O25" s="40"/>
      <c r="P25" s="40"/>
      <c r="Q25" s="40"/>
      <c r="R25" s="40"/>
      <c r="S25" s="40"/>
      <c r="T25" s="40"/>
      <c r="U25" s="40"/>
      <c r="V25" s="40"/>
    </row>
    <row r="26" spans="1:22" ht="18.75" customHeight="1">
      <c r="A26" s="43"/>
      <c r="B26" s="44"/>
      <c r="C26" s="40"/>
      <c r="H26" s="40"/>
      <c r="M26" s="40"/>
      <c r="R26" s="40"/>
      <c r="S26" s="40"/>
      <c r="T26" s="40"/>
      <c r="U26" s="40"/>
      <c r="V26" s="40"/>
    </row>
    <row r="27" spans="1:22" ht="18.75" customHeight="1">
      <c r="A27" s="37"/>
      <c r="C27" s="40"/>
      <c r="H27" s="40"/>
      <c r="M27" s="40"/>
      <c r="S27" s="40"/>
    </row>
    <row r="28" spans="1:22" ht="18.75" customHeight="1"/>
  </sheetData>
  <sheetProtection algorithmName="SHA-512" hashValue="QqxIVXUEWs+A1WgwVOUrkJUyWeVeQhlU1kuAYxt9/Do9tgkyO/TiIfey5KEbKyYr1pi4wpICcY8z6pcH/zv+Tw==" saltValue="xcn0ldWJRzJoTfoZ3Zo+hg==" spinCount="100000" sheet="1" selectLockedCells="1"/>
  <mergeCells count="35">
    <mergeCell ref="C6:C7"/>
    <mergeCell ref="D6:D7"/>
    <mergeCell ref="E6:E7"/>
    <mergeCell ref="F6:F7"/>
    <mergeCell ref="G6:G7"/>
    <mergeCell ref="S6:S7"/>
    <mergeCell ref="T6:T7"/>
    <mergeCell ref="U6:U7"/>
    <mergeCell ref="P5:Q5"/>
    <mergeCell ref="H6:H7"/>
    <mergeCell ref="I6:I7"/>
    <mergeCell ref="J6:J7"/>
    <mergeCell ref="K6:K7"/>
    <mergeCell ref="L6:L7"/>
    <mergeCell ref="O6:O7"/>
    <mergeCell ref="P6:P7"/>
    <mergeCell ref="Q6:Q7"/>
    <mergeCell ref="R6:R7"/>
    <mergeCell ref="N6:N7"/>
    <mergeCell ref="L2:M2"/>
    <mergeCell ref="N2:V2"/>
    <mergeCell ref="A4:A8"/>
    <mergeCell ref="B4:B7"/>
    <mergeCell ref="C4:G4"/>
    <mergeCell ref="H4:L4"/>
    <mergeCell ref="M4:Q4"/>
    <mergeCell ref="R4:V4"/>
    <mergeCell ref="C5:E5"/>
    <mergeCell ref="F5:G5"/>
    <mergeCell ref="H5:J5"/>
    <mergeCell ref="K5:L5"/>
    <mergeCell ref="M5:O5"/>
    <mergeCell ref="M6:M7"/>
    <mergeCell ref="S5:U5"/>
    <mergeCell ref="V5:V8"/>
  </mergeCells>
  <phoneticPr fontId="1"/>
  <dataValidations count="2">
    <dataValidation allowBlank="1" showInputMessage="1" showErrorMessage="1" promptTitle="実際の人数（保育士）" prompt="名簿と照らし合わせて、施設長以外で、保育を行う職員を入力してください_x000a_（主任保育士、一時預かり、障害児保育、支援センター保育士を含みます！）_x000a_延長保育を行う保育士は除きます！_x000a__x000a_乳児が４人以上で保健師・看護師を保育士とみなす場合は。右のq、r、s欄に入力！" sqref="B131103:B131114 B196639:B196650 B262175:B262186 B327711:B327722 B393247:B393258 B458783:B458794 B524319:B524330 B589855:B589866 B655391:B655402 B720927:B720938 B786463:B786474 B851999:B852010 B917535:B917546 B983071:B983082 B65567:B65578" xr:uid="{42FA3F01-C311-4958-9011-95B87A6FC67A}"/>
    <dataValidation allowBlank="1" showErrorMessage="1" sqref="B9:C26 D9:G25 I9:L25 H9:H26 N9:Q25 M9:M26 T9:V25 R9:S26" xr:uid="{EB90FEE9-B46D-4BCE-990A-D25AF3D03769}"/>
  </dataValidations>
  <printOptions horizontalCentered="1"/>
  <pageMargins left="0.51181102362204722" right="0.39370078740157483" top="0.51181102362204722" bottom="0.51181102362204722" header="0.51181102362204722" footer="0.51181102362204722"/>
  <pageSetup paperSize="9" scale="71" orientation="landscape" r:id="rId1"/>
  <headerFooter alignWithMargins="0"/>
  <rowBreaks count="1" manualBreakCount="1">
    <brk id="20" max="48"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F5B31-F21D-4AEA-ABE6-6C7649ABEAC3}">
  <sheetPr>
    <tabColor theme="1"/>
  </sheetPr>
  <dimension ref="A1:AZ23"/>
  <sheetViews>
    <sheetView workbookViewId="0">
      <selection activeCell="P13" sqref="P13"/>
    </sheetView>
  </sheetViews>
  <sheetFormatPr defaultColWidth="9" defaultRowHeight="18"/>
  <cols>
    <col min="1" max="1" width="9" style="444"/>
    <col min="2" max="7" width="9.08203125" style="444" bestFit="1" customWidth="1"/>
    <col min="8" max="8" width="9.33203125" style="444" bestFit="1" customWidth="1"/>
    <col min="9" max="10" width="9.08203125" style="444" bestFit="1" customWidth="1"/>
    <col min="11" max="11" width="9.33203125" style="444" bestFit="1" customWidth="1"/>
    <col min="12" max="15" width="9.08203125" style="444" bestFit="1" customWidth="1"/>
    <col min="16" max="16" width="9.33203125" style="444" bestFit="1" customWidth="1"/>
    <col min="17" max="17" width="9" style="444"/>
    <col min="18" max="21" width="9.08203125" style="444" bestFit="1" customWidth="1"/>
    <col min="22" max="22" width="9" style="444"/>
    <col min="23" max="28" width="9.33203125" style="444" bestFit="1" customWidth="1"/>
    <col min="29" max="29" width="9.08203125" style="444" bestFit="1" customWidth="1"/>
    <col min="30" max="30" width="9" style="444"/>
    <col min="31" max="43" width="9.33203125" style="444" bestFit="1" customWidth="1"/>
    <col min="44" max="45" width="9.08203125" style="444" bestFit="1" customWidth="1"/>
    <col min="46" max="48" width="9.33203125" style="444" bestFit="1" customWidth="1"/>
    <col min="49" max="49" width="9" style="444"/>
    <col min="50" max="50" width="9.33203125" style="444" bestFit="1" customWidth="1"/>
    <col min="51" max="52" width="9.08203125" style="444" bestFit="1" customWidth="1"/>
    <col min="53" max="16384" width="9" style="444"/>
  </cols>
  <sheetData>
    <row r="1" spans="1:52">
      <c r="B1" s="444" t="s">
        <v>1277</v>
      </c>
      <c r="H1" s="444" t="s">
        <v>1371</v>
      </c>
      <c r="O1" s="444" t="s">
        <v>1372</v>
      </c>
      <c r="W1" s="444">
        <v>1</v>
      </c>
      <c r="X1" s="444">
        <v>2</v>
      </c>
      <c r="Y1" s="444">
        <v>3</v>
      </c>
      <c r="AB1" s="444">
        <v>4</v>
      </c>
      <c r="AE1" s="444">
        <v>1</v>
      </c>
      <c r="AF1" s="444">
        <f>AE1+1</f>
        <v>2</v>
      </c>
      <c r="AG1" s="444">
        <f>AF1+1</f>
        <v>3</v>
      </c>
      <c r="AQ1" s="444">
        <f>AG1+1</f>
        <v>4</v>
      </c>
      <c r="AS1" s="444">
        <f>AU1+1</f>
        <v>7</v>
      </c>
      <c r="AT1" s="444">
        <f>AQ1+1</f>
        <v>5</v>
      </c>
      <c r="AU1" s="444">
        <f t="shared" ref="AU1" si="0">AT1+1</f>
        <v>6</v>
      </c>
    </row>
    <row r="2" spans="1:52">
      <c r="B2" s="444" t="s">
        <v>1242</v>
      </c>
      <c r="C2" s="444" t="s">
        <v>54</v>
      </c>
      <c r="D2" s="444" t="s">
        <v>1243</v>
      </c>
      <c r="E2" s="444" t="s">
        <v>1244</v>
      </c>
      <c r="G2" s="444" t="s">
        <v>1373</v>
      </c>
      <c r="H2" s="444" t="s">
        <v>1278</v>
      </c>
      <c r="I2" s="444" t="s">
        <v>1242</v>
      </c>
      <c r="J2" s="444" t="s">
        <v>54</v>
      </c>
      <c r="K2" s="444" t="s">
        <v>1243</v>
      </c>
      <c r="L2" s="444" t="s">
        <v>1244</v>
      </c>
      <c r="N2" s="444" t="s">
        <v>1374</v>
      </c>
      <c r="O2" s="444" t="s">
        <v>54</v>
      </c>
      <c r="P2" s="444" t="s">
        <v>1243</v>
      </c>
      <c r="R2" s="444" t="s">
        <v>1249</v>
      </c>
      <c r="S2" s="444" t="s">
        <v>1250</v>
      </c>
      <c r="T2" s="444" t="s">
        <v>1252</v>
      </c>
      <c r="U2" s="444" t="s">
        <v>1251</v>
      </c>
      <c r="W2" s="444" t="s">
        <v>1253</v>
      </c>
      <c r="X2" s="444" t="s">
        <v>1254</v>
      </c>
      <c r="Y2" s="444" t="s">
        <v>1255</v>
      </c>
      <c r="Z2" s="444" t="s">
        <v>1257</v>
      </c>
      <c r="AA2" s="444" t="s">
        <v>1258</v>
      </c>
      <c r="AB2" s="444" t="s">
        <v>1256</v>
      </c>
      <c r="AC2" s="444" t="s">
        <v>1259</v>
      </c>
      <c r="AE2" s="444" t="s">
        <v>1253</v>
      </c>
      <c r="AF2" s="444" t="s">
        <v>1254</v>
      </c>
      <c r="AG2" s="444" t="s">
        <v>1255</v>
      </c>
      <c r="AH2" s="444" t="s">
        <v>1256</v>
      </c>
      <c r="AR2" s="444" t="s">
        <v>1259</v>
      </c>
      <c r="AT2" s="444" t="s">
        <v>1253</v>
      </c>
      <c r="AU2" s="444" t="s">
        <v>1257</v>
      </c>
      <c r="AV2" s="444" t="s">
        <v>1258</v>
      </c>
      <c r="AX2" s="444" t="s">
        <v>1609</v>
      </c>
      <c r="AY2" s="444" t="s">
        <v>1611</v>
      </c>
      <c r="AZ2" s="444" t="s">
        <v>1612</v>
      </c>
    </row>
    <row r="3" spans="1:52">
      <c r="E3" s="444" t="s">
        <v>1281</v>
      </c>
      <c r="F3" s="444" t="s">
        <v>1282</v>
      </c>
      <c r="L3" s="444" t="s">
        <v>1281</v>
      </c>
      <c r="M3" s="444" t="s">
        <v>1282</v>
      </c>
      <c r="AB3" s="444" t="s">
        <v>1260</v>
      </c>
      <c r="AC3" s="444" t="s">
        <v>1261</v>
      </c>
    </row>
    <row r="4" spans="1:52">
      <c r="B4" s="444" t="s">
        <v>1245</v>
      </c>
      <c r="C4" s="444" t="s">
        <v>1246</v>
      </c>
      <c r="D4" s="444" t="s">
        <v>1247</v>
      </c>
      <c r="E4" s="444" t="s">
        <v>1248</v>
      </c>
      <c r="G4" s="444" t="s">
        <v>1268</v>
      </c>
      <c r="I4" s="444" t="s">
        <v>1245</v>
      </c>
      <c r="J4" s="444" t="s">
        <v>1246</v>
      </c>
      <c r="L4" s="444" t="s">
        <v>1248</v>
      </c>
      <c r="N4" s="444" t="s">
        <v>1268</v>
      </c>
      <c r="O4" s="444" t="s">
        <v>1246</v>
      </c>
      <c r="P4" s="444" t="s">
        <v>1247</v>
      </c>
    </row>
    <row r="5" spans="1:52">
      <c r="K5" s="444" t="s">
        <v>1376</v>
      </c>
    </row>
    <row r="8" spans="1:52">
      <c r="B8" s="445" t="s">
        <v>1272</v>
      </c>
      <c r="C8" s="445" t="s">
        <v>1273</v>
      </c>
      <c r="D8" s="445" t="s">
        <v>1274</v>
      </c>
      <c r="E8" s="445" t="s">
        <v>1275</v>
      </c>
      <c r="F8" s="445" t="s">
        <v>1279</v>
      </c>
      <c r="G8" s="445" t="s">
        <v>1280</v>
      </c>
      <c r="H8" s="445"/>
      <c r="I8" s="445" t="s">
        <v>1272</v>
      </c>
      <c r="J8" s="445" t="s">
        <v>1273</v>
      </c>
      <c r="K8" s="445" t="s">
        <v>1274</v>
      </c>
      <c r="L8" s="445" t="s">
        <v>1275</v>
      </c>
      <c r="M8" s="445" t="s">
        <v>1279</v>
      </c>
      <c r="N8" s="445" t="s">
        <v>1280</v>
      </c>
      <c r="O8" s="445" t="s">
        <v>1273</v>
      </c>
      <c r="P8" s="445" t="s">
        <v>1274</v>
      </c>
      <c r="R8" s="445"/>
      <c r="S8" s="445"/>
      <c r="T8" s="445"/>
      <c r="U8" s="445"/>
      <c r="V8" s="445"/>
      <c r="W8" s="445"/>
      <c r="X8" s="445"/>
      <c r="Y8" s="445"/>
      <c r="Z8" s="445"/>
      <c r="AA8" s="445"/>
      <c r="AB8" s="445"/>
      <c r="AC8" s="445"/>
      <c r="AD8" s="445"/>
      <c r="AE8" s="445"/>
      <c r="AF8" s="445"/>
      <c r="AG8" s="445"/>
      <c r="AH8" s="445">
        <v>1</v>
      </c>
      <c r="AI8" s="445">
        <f t="shared" ref="AI8:AS8" si="1">AH8+1</f>
        <v>2</v>
      </c>
      <c r="AJ8" s="445">
        <f t="shared" si="1"/>
        <v>3</v>
      </c>
      <c r="AK8" s="445">
        <f t="shared" si="1"/>
        <v>4</v>
      </c>
      <c r="AL8" s="445">
        <f t="shared" si="1"/>
        <v>5</v>
      </c>
      <c r="AM8" s="445">
        <f t="shared" ref="AM8" si="2">AL8+1</f>
        <v>6</v>
      </c>
      <c r="AN8" s="445">
        <f t="shared" ref="AN8" si="3">AM8+1</f>
        <v>7</v>
      </c>
      <c r="AO8" s="445">
        <f t="shared" ref="AO8" si="4">AN8+1</f>
        <v>8</v>
      </c>
      <c r="AP8" s="445">
        <f t="shared" ref="AP8" si="5">AO8+1</f>
        <v>9</v>
      </c>
      <c r="AQ8" s="445">
        <f t="shared" ref="AQ8" si="6">AP8+1</f>
        <v>10</v>
      </c>
      <c r="AR8" s="445">
        <v>1</v>
      </c>
      <c r="AS8" s="445">
        <f t="shared" si="1"/>
        <v>2</v>
      </c>
      <c r="AT8" s="445"/>
      <c r="AU8" s="445"/>
      <c r="AV8" s="445"/>
      <c r="AX8" s="445"/>
      <c r="AY8" s="445"/>
      <c r="AZ8" s="445"/>
    </row>
    <row r="9" spans="1:52">
      <c r="A9" s="444" t="s">
        <v>134</v>
      </c>
      <c r="B9" s="444" t="e">
        <f>'④-1月別配置内訳書(2)-(2)-(A)'!AC9</f>
        <v>#N/A</v>
      </c>
      <c r="C9" s="444" t="e">
        <f>'④-2月別配置内訳書(2)-(2)-(B)'!AF9</f>
        <v>#DIV/0!</v>
      </c>
      <c r="D9" s="444" t="e">
        <f>'④-3月別配置内訳書(2)-(2)-(C)・(D)'!V9</f>
        <v>#DIV/0!</v>
      </c>
      <c r="E9" s="444" t="e">
        <f>'④-3月別配置内訳書(2)-(2)-(C)・(D)'!AW9</f>
        <v>#DIV/0!</v>
      </c>
      <c r="F9" s="444" t="e">
        <f>'④-3月別配置内訳書(2)-(2)-(C)・(D)'!AX9</f>
        <v>#DIV/0!</v>
      </c>
      <c r="G9" s="444" t="e">
        <f>'④-４月別配置内訳書(2)-(2)-(E)'!V9</f>
        <v>#DIV/0!</v>
      </c>
      <c r="H9" s="444" t="e">
        <f>I9+J9+K9</f>
        <v>#N/A</v>
      </c>
      <c r="I9" s="444" t="e">
        <f>'④-1月別配置内訳書(2)-(2)-(A)'!AD9</f>
        <v>#N/A</v>
      </c>
      <c r="J9" s="444" t="e">
        <f>'④-2月別配置内訳書(2)-(2)-(B)'!AG9</f>
        <v>#N/A</v>
      </c>
      <c r="K9" s="444" t="e">
        <f>MIN($D9,1+IF($S9&gt;=$W$1,$R9,0))</f>
        <v>#N/A</v>
      </c>
      <c r="L9" s="444" t="e">
        <f>'④-3月別配置内訳書(2)-(2)-(C)・(D)'!AY9</f>
        <v>#N/A</v>
      </c>
      <c r="M9" s="444" t="e">
        <f>'④-3月別配置内訳書(2)-(2)-(C)・(D)'!AZ9</f>
        <v>#N/A</v>
      </c>
      <c r="N9" s="444" t="e">
        <f>G9</f>
        <v>#DIV/0!</v>
      </c>
      <c r="O9" s="444" t="e">
        <f>C9-J9</f>
        <v>#DIV/0!</v>
      </c>
      <c r="P9" s="444" t="e">
        <f>D9-K9</f>
        <v>#DIV/0!</v>
      </c>
      <c r="R9" s="444" t="e">
        <f>①基本情報!F29</f>
        <v>#N/A</v>
      </c>
      <c r="S9" s="444" t="e">
        <f>①基本情報!F31</f>
        <v>#N/A</v>
      </c>
      <c r="T9" s="444">
        <f>SUM('③児童数及び保育士定数 (2)-(1)'!C10:D10)</f>
        <v>0</v>
      </c>
      <c r="U9" s="444">
        <f>IF(T9&gt;=66,2,IF(T9&gt;=36,1,0))</f>
        <v>0</v>
      </c>
      <c r="W9" s="444" t="e">
        <f>IF(AND($H9=$W$1,$K9=0,R9&gt;=$W$1,SUM(L9:N9)=0),"NG",IF(SUM($H9,$L9:$O9)&gt;=$W$1,"OK","NG"))</f>
        <v>#N/A</v>
      </c>
      <c r="X9" s="444" t="e">
        <f>IF($H9&gt;=X$1,"OK","NG")</f>
        <v>#N/A</v>
      </c>
      <c r="Y9" s="444" t="e">
        <f>IF($H9&gt;=Y$1,"OK","NG")</f>
        <v>#N/A</v>
      </c>
      <c r="Z9" s="444" t="e">
        <f>IF($W9="OK",IF(SUM($L9:$N9)&gt;=1,"OK",IF(SUM($I9:$P9)-COUNTIF($W9:$Y9,"OK")-SUM($AB9,$AC9)&gt;=1,"OK","NG")),"NG")</f>
        <v>#N/A</v>
      </c>
      <c r="AA9" s="444" t="e">
        <f>IF($W9="OK",IF(COUNTIF($W9:$Z9,"OK")=4,"NG",IF(SUM($L9:$N9)&gt;=2,"OK",IF(SUM($I9:$P9)-COUNTIF($W9:$Z9,"OK")-SUM($AB9,$AC9)&gt;=1,"OK","NG"))),"NG")</f>
        <v>#N/A</v>
      </c>
      <c r="AB9" s="444" t="e">
        <f>IF(AND($H9=$W$1,$R9&gt;=$W$1),1,IF($S9&gt;=$W$1,IF(AND($H9&gt;=$AB$1,$R9&gt;=1),MIN(ROUNDDOWN(SUM($I9:$K9,$O9:$P9)-3,0),$R9),0),IF(AND($H9&gt;=$AB$1,$R9&gt;=1),MIN(ROUNDDOWN(SUM($I9:$K9,$O9)-3,0),$R9),0)))</f>
        <v>#N/A</v>
      </c>
      <c r="AC9" s="444">
        <f>IF(U9&gt;=1,MIN(ROUNDDOWN(SUM(I9:J9,O9)-COUNTIF($AF9:$AL9,$B$8)-COUNTIF($AF9:$AL9,$C$8),0),U9),0)</f>
        <v>0</v>
      </c>
      <c r="AE9" s="444" t="e">
        <f>IF(W9="OK",IF($I9&gt;=$AE$1,I$8,IF($J9&gt;=$AE$1,J$8,IF($K9&gt;=$AE$1,K$8,"NG"))),"NG")</f>
        <v>#N/A</v>
      </c>
      <c r="AF9" s="444" t="e">
        <f>IF(X9="OK",IF($J9&gt;=$AE$1+COUNTIF($AE9:AE9,$J$8),$J$8,IF($K9&gt;=$AE$1+COUNTIF($AE9:AE9,$K$8),$K$8,IF($I9&gt;=$AE$1+COUNTIF($AE9:AE9,$I$8),$I$8,"NG"))),"NG")</f>
        <v>#N/A</v>
      </c>
      <c r="AG9" s="444" t="e">
        <f>IF(Y9="OK",IF($J9&gt;=$AE$1+COUNTIF($AE9:AF9,$J$8),$J$8,IF($K9&gt;=$AE$1+COUNTIF($AE9:AF9,$K$8),$K$8,IF($I9&gt;=$AE$1+COUNTIF($AE9:AF9,$I$8),$I$8,"NG"))),"NG")</f>
        <v>#N/A</v>
      </c>
      <c r="AH9" s="444" t="e">
        <f>IF($AB9&gt;=AH$8,IF($S9&gt;=$AE$1,IF($J9&gt;=$AE$1+COUNTIF($AE9:AG9,$J$8),$J$8,IF($D9&gt;=$AE$1+COUNTIF($AE9:AG9,$D$8),$D$8,IF($I9&gt;=$AE$1+COUNTIF($AE9:AG9,$I$8),$I$8,"NG"))),IF($J9&gt;=$AE$1+COUNTIF($AE9:AG9,$J$8),$J$8,IF($I9&gt;=$AE$1+COUNTIF($AE9:AG9,$I$8),$I$8,"NG"))),"NG")</f>
        <v>#N/A</v>
      </c>
      <c r="AI9" s="444" t="e">
        <f>IF($AB9&gt;=AI$8,IF($S9&gt;=$AE$1,IF($J9&gt;=$AE$1+COUNTIF($AE9:AH9,$J$8),$J$8,IF($D9&gt;=$AE$1+COUNTIF($AE9:AH9,$D$8),$D$8,IF($I9&gt;=$AE$1+COUNTIF($AE9:AH9,$I$8),$I$8,"NG"))),IF($J9&gt;=$AE$1+COUNTIF($AE9:AH9,$J$8),$J$8,IF($I9&gt;=$AE$1+COUNTIF($AE9:AH9,$I$8),$I$8,"NG"))),"NG")</f>
        <v>#N/A</v>
      </c>
      <c r="AJ9" s="444" t="e">
        <f>IF($AB9&gt;=AJ$8,IF($S9&gt;=$AE$1,IF($J9&gt;=$AE$1+COUNTIF($AE9:AI9,$J$8),$J$8,IF($D9&gt;=$AE$1+COUNTIF($AE9:AI9,$D$8),$D$8,IF($I9&gt;=$AE$1+COUNTIF($AE9:AI9,$I$8),$I$8,"NG"))),IF($J9&gt;=$AE$1+COUNTIF($AE9:AI9,$J$8),$J$8,IF($I9&gt;=$AE$1+COUNTIF($AE9:AI9,$I$8),$I$8,"NG"))),"NG")</f>
        <v>#N/A</v>
      </c>
      <c r="AK9" s="444" t="e">
        <f>IF($AB9&gt;=AK$8,IF($S9&gt;=$AE$1,IF($J9&gt;=$AE$1+COUNTIF($AE9:AJ9,$J$8),$J$8,IF($D9&gt;=$AE$1+COUNTIF($AE9:AJ9,$D$8),$D$8,IF($I9&gt;=$AE$1+COUNTIF($AE9:AJ9,$I$8),$I$8,"NG"))),IF($J9&gt;=$AE$1+COUNTIF($AE9:AJ9,$J$8),$J$8,IF($I9&gt;=$AE$1+COUNTIF($AE9:AJ9,$I$8),$I$8,"NG"))),"NG")</f>
        <v>#N/A</v>
      </c>
      <c r="AL9" s="444" t="e">
        <f>IF($AB9&gt;=AL$8,IF($S9&gt;=$AE$1,IF($J9&gt;=$AE$1+COUNTIF($AE9:AK9,$J$8),$J$8,IF($D9&gt;=$AE$1+COUNTIF($AE9:AK9,$D$8),$D$8,IF($I9&gt;=$AE$1+COUNTIF($AE9:AK9,$I$8),$I$8,"NG"))),IF($J9&gt;=$AE$1+COUNTIF($AE9:AK9,$J$8),$J$8,IF($I9&gt;=$AE$1+COUNTIF($AE9:AK9,$I$8),$I$8,"NG"))),"NG")</f>
        <v>#N/A</v>
      </c>
      <c r="AM9" s="444" t="e">
        <f>IF($AB9&gt;=AM$8,IF($S9&gt;=$AE$1,IF($J9&gt;=$AE$1+COUNTIF($AE9:AL9,$J$8),$J$8,IF($D9&gt;=$AE$1+COUNTIF($AE9:AL9,$D$8),$D$8,IF($I9&gt;=$AE$1+COUNTIF($AE9:AL9,$I$8),$I$8,"NG"))),IF($J9&gt;=$AE$1+COUNTIF($AE9:AL9,$J$8),$J$8,IF($I9&gt;=$AE$1+COUNTIF($AE9:AL9,$I$8),$I$8,"NG"))),"NG")</f>
        <v>#N/A</v>
      </c>
      <c r="AN9" s="444" t="e">
        <f>IF($AB9&gt;=AN$8,IF($S9&gt;=$AE$1,IF($J9&gt;=$AE$1+COUNTIF($AE9:AM9,$J$8),$J$8,IF($D9&gt;=$AE$1+COUNTIF($AE9:AM9,$D$8),$D$8,IF($I9&gt;=$AE$1+COUNTIF($AE9:AM9,$I$8),$I$8,"NG"))),IF($J9&gt;=$AE$1+COUNTIF($AE9:AM9,$J$8),$J$8,IF($I9&gt;=$AE$1+COUNTIF($AE9:AM9,$I$8),$I$8,"NG"))),"NG")</f>
        <v>#N/A</v>
      </c>
      <c r="AO9" s="444" t="e">
        <f>IF($AB9&gt;=AO$8,IF($S9&gt;=$AE$1,IF($J9&gt;=$AE$1+COUNTIF($AE9:AN9,$J$8),$J$8,IF($D9&gt;=$AE$1+COUNTIF($AE9:AN9,$D$8),$D$8,IF($I9&gt;=$AE$1+COUNTIF($AE9:AN9,$I$8),$I$8,"NG"))),IF($J9&gt;=$AE$1+COUNTIF($AE9:AN9,$J$8),$J$8,IF($I9&gt;=$AE$1+COUNTIF($AE9:AN9,$I$8),$I$8,"NG"))),"NG")</f>
        <v>#N/A</v>
      </c>
      <c r="AP9" s="444" t="e">
        <f>IF($AB9&gt;=AP$8,IF($S9&gt;=$AE$1,IF($J9&gt;=$AE$1+COUNTIF($AE9:AO9,$J$8),$J$8,IF($D9&gt;=$AE$1+COUNTIF($AE9:AO9,$D$8),$D$8,IF($I9&gt;=$AE$1+COUNTIF($AE9:AO9,$I$8),$I$8,"NG"))),IF($J9&gt;=$AE$1+COUNTIF($AE9:AO9,$J$8),$J$8,IF($I9&gt;=$AE$1+COUNTIF($AE9:AO9,$I$8),$I$8,"NG"))),"NG")</f>
        <v>#N/A</v>
      </c>
      <c r="AQ9" s="444" t="e">
        <f>IF($AB9&gt;=AQ$8,IF($S9&gt;=$AE$1,IF($J9&gt;=$AE$1+COUNTIF($AE9:AP9,$J$8),$J$8,IF($D9&gt;=$AE$1+COUNTIF($AE9:AP9,$D$8),$D$8,IF($I9&gt;=$AE$1+COUNTIF($AE9:AP9,$I$8),$I$8,"NG"))),IF($J9&gt;=$AE$1+COUNTIF($AE9:AP9,$J$8),$J$8,IF($I9&gt;=$AE$1+COUNTIF($AE9:AP9,$I$8),$I$8,"NG"))),"NG")</f>
        <v>#N/A</v>
      </c>
      <c r="AR9" s="444" t="str">
        <f>IF($AC9&gt;=AR$8,IF($J9&gt;=$AE$1+COUNTIF($AE9:AQ9,$J$8),$J$8,IF($I9&gt;=$AE$1+COUNTIF($AE9:AQ9,$I$8),$I$8,"NG")),"NG")</f>
        <v>NG</v>
      </c>
      <c r="AS9" s="444" t="str">
        <f>IF($AC9&gt;=AS$8,IF($J9&gt;=$AE$1+COUNTIF($AE9:AR9,$J$8),$J$8,IF($I9&gt;=$AE$1+COUNTIF($AE9:AR9,$I$8),$I$8,"NG")),"NG")</f>
        <v>NG</v>
      </c>
      <c r="AT9" s="444" t="e">
        <f>IF(AND(W9="OK",AE9="NG"),IF($N9&gt;=$AE$1+COUNTIF($AE9:AS9,$N$8),$N$8,IF($M9&gt;=$AE$1+COUNTIF($AE9:AS9,$M$8),$M$8,IF($L9&gt;=$AE$1+COUNTIF($AE9:AS9,$L$8),$L$8,"NG"))),"NG")</f>
        <v>#N/A</v>
      </c>
      <c r="AU9" s="444" t="e">
        <f>IF(Z9="OK",IF($C9&gt;=$AE$1+COUNTIF($AE9:AT9,$C$8),$C$8,IF($D9&gt;=$AE$1+COUNTIF($AE9:AT9,$D$8),$D$8,IF($N9&gt;=$AE$1+COUNTIF($AE9:AT9,$N$8),$N$8,IF($I9&gt;=$AE$1+COUNTIF($AE9:AT9,$I$8),$I$8,IF($M9&gt;=$AE$1+COUNTIF($AE9:AT9,$M$8),$M$8,IF($L9&gt;=$AE$1+COUNTIF($AE9:AT9,$L$8),$L$8,"NG")))))),"NG")</f>
        <v>#N/A</v>
      </c>
      <c r="AV9" s="444" t="e">
        <f>IF(AA9="OK",IF(COUNTIF($AE9:AU9,$L$8)+COUNTIF($AE9:AU9,$M$8)+COUNTIF($AE9:AU9,$N$8)&gt;=2,"NG",IF($C9&gt;=$AE$1+COUNTIF($AE9:AU9,$C$8),$C$8,IF($D9&gt;=$AE$1+COUNTIF($AE9:AU9,$D$8),$D$8,IF($N9&gt;=$AE$1+COUNTIF($AE9:AU9,$N$8),$N$8,IF($M9&gt;=$AE$1+COUNTIF($AE9:AU9,$M$8),$M$8,IF($I9&gt;=$AE$1+COUNTIF($AE9:AU9,$I$8),$I$8,IF($L9&gt;=$AE$1+COUNTIF($AE9:AU9,$L$8),$L$8,"NG"))))))),"NG")</f>
        <v>#N/A</v>
      </c>
      <c r="AX9" s="444" t="e">
        <f>IF(AE9="NG",AT9,AE9)</f>
        <v>#N/A</v>
      </c>
      <c r="AY9" s="444">
        <f>COUNTIF($AH9:$AQ9,"A")+COUNTIF($AH9:$AQ9,"B")+COUNTIF($AH9:$AQ9,"C")</f>
        <v>0</v>
      </c>
      <c r="AZ9" s="444">
        <f>COUNTIF($AR9:$AS9,"A")+COUNTIF($AR9:$AS9,"B")</f>
        <v>0</v>
      </c>
    </row>
    <row r="10" spans="1:52">
      <c r="A10" s="444" t="s">
        <v>135</v>
      </c>
      <c r="B10" s="444" t="e">
        <f>'④-1月別配置内訳書(2)-(2)-(A)'!AC10</f>
        <v>#N/A</v>
      </c>
      <c r="C10" s="444" t="e">
        <f>'④-2月別配置内訳書(2)-(2)-(B)'!AF10</f>
        <v>#DIV/0!</v>
      </c>
      <c r="D10" s="444" t="e">
        <f>'④-3月別配置内訳書(2)-(2)-(C)・(D)'!V10</f>
        <v>#DIV/0!</v>
      </c>
      <c r="E10" s="444" t="e">
        <f>'④-3月別配置内訳書(2)-(2)-(C)・(D)'!AW10</f>
        <v>#DIV/0!</v>
      </c>
      <c r="F10" s="444" t="e">
        <f>'④-3月別配置内訳書(2)-(2)-(C)・(D)'!AX10</f>
        <v>#DIV/0!</v>
      </c>
      <c r="G10" s="444" t="e">
        <f>'④-４月別配置内訳書(2)-(2)-(E)'!V10</f>
        <v>#DIV/0!</v>
      </c>
      <c r="H10" s="444" t="e">
        <f t="shared" ref="H10:H14" si="7">I10+J10+K10</f>
        <v>#N/A</v>
      </c>
      <c r="I10" s="444" t="e">
        <f>'④-1月別配置内訳書(2)-(2)-(A)'!AD10</f>
        <v>#N/A</v>
      </c>
      <c r="J10" s="444" t="e">
        <f>'④-2月別配置内訳書(2)-(2)-(B)'!AG10</f>
        <v>#N/A</v>
      </c>
      <c r="K10" s="444" t="e">
        <f t="shared" ref="K10:K20" si="8">MIN($D10,1+IF($S10&gt;=$W$1,$R10,0))</f>
        <v>#N/A</v>
      </c>
      <c r="L10" s="444" t="e">
        <f>'④-3月別配置内訳書(2)-(2)-(C)・(D)'!AY10</f>
        <v>#N/A</v>
      </c>
      <c r="M10" s="444" t="e">
        <f>'④-3月別配置内訳書(2)-(2)-(C)・(D)'!AZ10</f>
        <v>#N/A</v>
      </c>
      <c r="N10" s="444" t="e">
        <f t="shared" ref="N10:N14" si="9">G10</f>
        <v>#DIV/0!</v>
      </c>
      <c r="O10" s="444" t="e">
        <f t="shared" ref="O10:O14" si="10">C10-J10</f>
        <v>#DIV/0!</v>
      </c>
      <c r="P10" s="444" t="e">
        <f t="shared" ref="P10:P14" si="11">D10-K10</f>
        <v>#DIV/0!</v>
      </c>
      <c r="R10" s="444" t="e">
        <f>①基本情報!G29</f>
        <v>#N/A</v>
      </c>
      <c r="S10" s="444" t="e">
        <f>①基本情報!G31</f>
        <v>#N/A</v>
      </c>
      <c r="T10" s="444">
        <f>SUM('③児童数及び保育士定数 (2)-(1)'!C11:D11)</f>
        <v>0</v>
      </c>
      <c r="U10" s="444">
        <f>IF(T10&gt;=66,2,IF(T10&gt;=36,1,0))</f>
        <v>0</v>
      </c>
      <c r="W10" s="444" t="e">
        <f t="shared" ref="W10:W20" si="12">IF(AND($H10=$W$1,$K10=0,R10&gt;=$W$1,SUM(L10:N10)=0),"NG",IF(SUM($H10,$L10:$O10)&gt;=$W$1,"OK","NG"))</f>
        <v>#N/A</v>
      </c>
      <c r="X10" s="444" t="e">
        <f>IF($H10&gt;=X$1,"OK","NG")</f>
        <v>#N/A</v>
      </c>
      <c r="Y10" s="444" t="e">
        <f>IF($H10&gt;=Y$1,"OK","NG")</f>
        <v>#N/A</v>
      </c>
      <c r="Z10" s="444" t="e">
        <f>IF($W10="OK",IF(SUM($L10:$N10)&gt;=1,"OK",IF(SUM($I10:$P10)-COUNTIF($W10:$Y10,"OK")-SUM($AB10,$AC10)&gt;=1,"OK","NG")),"NG")</f>
        <v>#N/A</v>
      </c>
      <c r="AA10" s="444" t="e">
        <f t="shared" ref="AA10:AA20" si="13">IF($W10="OK",IF(COUNTIF($W10:$Z10,"OK")=4,"NG",IF(SUM($L10:$N10)&gt;=2,"OK",IF(SUM($I10:$P10)-COUNTIF($W10:$Z10,"OK")-SUM($AB10,$AC10)&gt;=1,"OK","NG"))),"NG")</f>
        <v>#N/A</v>
      </c>
      <c r="AB10" s="444" t="e">
        <f>IF(AND($H10=$W$1,$R10&gt;=$W$1),1,IF($S10&gt;=$W$1,IF(AND($H10&gt;=$AB$1,$R10&gt;=1),MIN(ROUNDDOWN(SUM($I10:$K10,$O10:$P10)-3,0),$R10),0),IF(AND($H10&gt;=$AB$1,$R10&gt;=1),MIN(ROUNDDOWN(SUM($I10:$K10,$O10)-3,0),$R10),0)))</f>
        <v>#N/A</v>
      </c>
      <c r="AC10" s="444">
        <f>IF(U10&gt;=1,MIN(ROUNDDOWN(SUM(I10:J10,O10)-COUNTIF($AF10:$AL10,$B$8)-COUNTIF($AF10:$AL10,$C$8),0),U10),0)</f>
        <v>0</v>
      </c>
      <c r="AE10" s="444" t="e">
        <f>IF(W10="OK",IF($I10&gt;=$AE$1,I$8,IF($J10&gt;=$AE$1,J$8,IF($K10&gt;=$AE$1,K$8,"NG"))),"NG")</f>
        <v>#N/A</v>
      </c>
      <c r="AF10" s="444" t="e">
        <f>IF(X10="OK",IF($J10&gt;=$AE$1+COUNTIF($AE10:AE10,$J$8),$J$8,IF($K10&gt;=$AE$1+COUNTIF($AE10:AE10,$K$8),$K$8,IF($I10&gt;=$AE$1+COUNTIF($AE10:AE10,$I$8),$I$8,"NG"))),"NG")</f>
        <v>#N/A</v>
      </c>
      <c r="AG10" s="444" t="e">
        <f>IF(Y10="OK",IF($J10&gt;=$AE$1+COUNTIF($AE10:AF10,$J$8),$J$8,IF($K10&gt;=$AE$1+COUNTIF($AE10:AF10,$K$8),$K$8,IF($I10&gt;=$AE$1+COUNTIF($AE10:AF10,$I$8),$I$8,"NG"))),"NG")</f>
        <v>#N/A</v>
      </c>
      <c r="AH10" s="444" t="e">
        <f>IF($AB10&gt;=AH$8,IF($S10&gt;=$AE$1,IF($J10&gt;=$AE$1+COUNTIF($AE10:AG10,$J$8),$J$8,IF($D10&gt;=$AE$1+COUNTIF($AE10:AG10,$D$8),$D$8,IF($I10&gt;=$AE$1+COUNTIF($AE10:AG10,$I$8),$I$8,"NG"))),IF($J10&gt;=$AE$1+COUNTIF($AE10:AG10,$J$8),$J$8,IF($I10&gt;=$AE$1+COUNTIF($AE10:AG10,$I$8),$I$8,"NG"))),"NG")</f>
        <v>#N/A</v>
      </c>
      <c r="AI10" s="444" t="e">
        <f>IF($AB10&gt;=AI$8,IF($S10&gt;=$AE$1,IF($J10&gt;=$AE$1+COUNTIF($AE10:AH10,$J$8),$J$8,IF($D10&gt;=$AE$1+COUNTIF($AE10:AH10,$D$8),$D$8,IF($I10&gt;=$AE$1+COUNTIF($AE10:AH10,$I$8),$I$8,"NG"))),IF($J10&gt;=$AE$1+COUNTIF($AE10:AH10,$J$8),$J$8,IF($I10&gt;=$AE$1+COUNTIF($AE10:AH10,$I$8),$I$8,"NG"))),"NG")</f>
        <v>#N/A</v>
      </c>
      <c r="AJ10" s="444" t="e">
        <f>IF($AB10&gt;=AJ$8,IF($S10&gt;=$AE$1,IF($J10&gt;=$AE$1+COUNTIF($AE10:AI10,$J$8),$J$8,IF($D10&gt;=$AE$1+COUNTIF($AE10:AI10,$D$8),$D$8,IF($I10&gt;=$AE$1+COUNTIF($AE10:AI10,$I$8),$I$8,"NG"))),IF($J10&gt;=$AE$1+COUNTIF($AE10:AI10,$J$8),$J$8,IF($I10&gt;=$AE$1+COUNTIF($AE10:AI10,$I$8),$I$8,"NG"))),"NG")</f>
        <v>#N/A</v>
      </c>
      <c r="AK10" s="444" t="e">
        <f>IF($AB10&gt;=AK$8,IF($S10&gt;=$AE$1,IF($J10&gt;=$AE$1+COUNTIF($AE10:AJ10,$J$8),$J$8,IF($D10&gt;=$AE$1+COUNTIF($AE10:AJ10,$D$8),$D$8,IF($I10&gt;=$AE$1+COUNTIF($AE10:AJ10,$I$8),$I$8,"NG"))),IF($J10&gt;=$AE$1+COUNTIF($AE10:AJ10,$J$8),$J$8,IF($I10&gt;=$AE$1+COUNTIF($AE10:AJ10,$I$8),$I$8,"NG"))),"NG")</f>
        <v>#N/A</v>
      </c>
      <c r="AL10" s="444" t="e">
        <f>IF($AB10&gt;=AL$8,IF($S10&gt;=$AE$1,IF($J10&gt;=$AE$1+COUNTIF($AE10:AK10,$J$8),$J$8,IF($D10&gt;=$AE$1+COUNTIF($AE10:AK10,$D$8),$D$8,IF($I10&gt;=$AE$1+COUNTIF($AE10:AK10,$I$8),$I$8,"NG"))),IF($J10&gt;=$AE$1+COUNTIF($AE10:AK10,$J$8),$J$8,IF($I10&gt;=$AE$1+COUNTIF($AE10:AK10,$I$8),$I$8,"NG"))),"NG")</f>
        <v>#N/A</v>
      </c>
      <c r="AM10" s="444" t="e">
        <f>IF($AB10&gt;=AM$8,IF($S10&gt;=$AE$1,IF($J10&gt;=$AE$1+COUNTIF($AE10:AL10,$J$8),$J$8,IF($D10&gt;=$AE$1+COUNTIF($AE10:AL10,$D$8),$D$8,IF($I10&gt;=$AE$1+COUNTIF($AE10:AL10,$I$8),$I$8,"NG"))),IF($J10&gt;=$AE$1+COUNTIF($AE10:AL10,$J$8),$J$8,IF($I10&gt;=$AE$1+COUNTIF($AE10:AL10,$I$8),$I$8,"NG"))),"NG")</f>
        <v>#N/A</v>
      </c>
      <c r="AN10" s="444" t="e">
        <f>IF($AB10&gt;=AN$8,IF($S10&gt;=$AE$1,IF($J10&gt;=$AE$1+COUNTIF($AE10:AM10,$J$8),$J$8,IF($D10&gt;=$AE$1+COUNTIF($AE10:AM10,$D$8),$D$8,IF($I10&gt;=$AE$1+COUNTIF($AE10:AM10,$I$8),$I$8,"NG"))),IF($J10&gt;=$AE$1+COUNTIF($AE10:AM10,$J$8),$J$8,IF($I10&gt;=$AE$1+COUNTIF($AE10:AM10,$I$8),$I$8,"NG"))),"NG")</f>
        <v>#N/A</v>
      </c>
      <c r="AO10" s="444" t="e">
        <f>IF($AB10&gt;=AO$8,IF($S10&gt;=$AE$1,IF($J10&gt;=$AE$1+COUNTIF($AE10:AN10,$J$8),$J$8,IF($D10&gt;=$AE$1+COUNTIF($AE10:AN10,$D$8),$D$8,IF($I10&gt;=$AE$1+COUNTIF($AE10:AN10,$I$8),$I$8,"NG"))),IF($J10&gt;=$AE$1+COUNTIF($AE10:AN10,$J$8),$J$8,IF($I10&gt;=$AE$1+COUNTIF($AE10:AN10,$I$8),$I$8,"NG"))),"NG")</f>
        <v>#N/A</v>
      </c>
      <c r="AP10" s="444" t="e">
        <f>IF($AB10&gt;=AP$8,IF($S10&gt;=$AE$1,IF($J10&gt;=$AE$1+COUNTIF($AE10:AO10,$J$8),$J$8,IF($D10&gt;=$AE$1+COUNTIF($AE10:AO10,$D$8),$D$8,IF($I10&gt;=$AE$1+COUNTIF($AE10:AO10,$I$8),$I$8,"NG"))),IF($J10&gt;=$AE$1+COUNTIF($AE10:AO10,$J$8),$J$8,IF($I10&gt;=$AE$1+COUNTIF($AE10:AO10,$I$8),$I$8,"NG"))),"NG")</f>
        <v>#N/A</v>
      </c>
      <c r="AQ10" s="444" t="e">
        <f>IF($AB10&gt;=AQ$8,IF($S10&gt;=$AE$1,IF($J10&gt;=$AE$1+COUNTIF($AE10:AP10,$J$8),$J$8,IF($D10&gt;=$AE$1+COUNTIF($AE10:AP10,$D$8),$D$8,IF($I10&gt;=$AE$1+COUNTIF($AE10:AP10,$I$8),$I$8,"NG"))),IF($J10&gt;=$AE$1+COUNTIF($AE10:AP10,$J$8),$J$8,IF($I10&gt;=$AE$1+COUNTIF($AE10:AP10,$I$8),$I$8,"NG"))),"NG")</f>
        <v>#N/A</v>
      </c>
      <c r="AR10" s="444" t="str">
        <f>IF($AC10&gt;=AR$8,IF($J10&gt;=$AE$1+COUNTIF($AE10:AQ10,$J$8),$J$8,IF($I10&gt;=$AE$1+COUNTIF($AE10:AQ10,$I$8),$I$8,"NG")),"NG")</f>
        <v>NG</v>
      </c>
      <c r="AS10" s="444" t="str">
        <f>IF($AC10&gt;=AS$8,IF($J10&gt;=$AE$1+COUNTIF($AE10:AR10,$J$8),$J$8,IF($I10&gt;=$AE$1+COUNTIF($AE10:AR10,$I$8),$I$8,"NG")),"NG")</f>
        <v>NG</v>
      </c>
      <c r="AT10" s="444" t="e">
        <f>IF(AND(W10="OK",AE10="NG"),IF($N10&gt;=$AE$1+COUNTIF($AE10:AS10,$N$8),$N$8,IF($M10&gt;=$AE$1+COUNTIF($AE10:AS10,$M$8),$M$8,IF($L10&gt;=$AE$1+COUNTIF($AE10:AS10,$L$8),$L$8,"NG"))),"NG")</f>
        <v>#N/A</v>
      </c>
      <c r="AU10" s="444" t="e">
        <f>IF(Z10="OK",IF($C10&gt;=$AE$1+COUNTIF($AE10:AT10,$C$8),$C$8,IF($D10&gt;=$AE$1+COUNTIF($AE10:AT10,$D$8),$D$8,IF($N10&gt;=$AE$1+COUNTIF($AE10:AT10,$N$8),$N$8,IF($I10&gt;=$AE$1+COUNTIF($AE10:AT10,$I$8),$I$8,IF($M10&gt;=$AE$1+COUNTIF($AE10:AT10,$M$8),$M$8,IF($L10&gt;=$AE$1+COUNTIF($AE10:AT10,$L$8),$L$8,"NG")))))),"NG")</f>
        <v>#N/A</v>
      </c>
      <c r="AV10" s="444" t="e">
        <f>IF(AA10="OK",IF(COUNTIF($AE10:AU10,$L$8)+COUNTIF($AE10:AU10,$M$8)+COUNTIF($AE10:AU10,$N$8)&gt;=2,"NG",IF($C10&gt;=$AE$1+COUNTIF($AE10:AU10,$C$8),$C$8,IF($D10&gt;=$AE$1+COUNTIF($AE10:AU10,$D$8),$D$8,IF($N10&gt;=$AE$1+COUNTIF($AE10:AU10,$N$8),$N$8,IF($M10&gt;=$AE$1+COUNTIF($AE10:AU10,$M$8),$M$8,IF($I10&gt;=$AE$1+COUNTIF($AE10:AU10,$I$8),$I$8,IF($L10&gt;=$AE$1+COUNTIF($AE10:AU10,$L$8),$L$8,"NG"))))))),"NG")</f>
        <v>#N/A</v>
      </c>
      <c r="AX10" s="444" t="e">
        <f>IF(AE10="NG",AT10,AE10)</f>
        <v>#N/A</v>
      </c>
      <c r="AY10" s="444">
        <f>COUNTIF($AH10:$AQ10,"A")+COUNTIF($AH10:$AQ10,"B")+COUNTIF($AH10:$AQ10,"C")</f>
        <v>0</v>
      </c>
      <c r="AZ10" s="444">
        <f>COUNTIF($AR10:$AS10,"A")+COUNTIF($AR10:$AS10,"B")</f>
        <v>0</v>
      </c>
    </row>
    <row r="11" spans="1:52">
      <c r="A11" s="444" t="s">
        <v>136</v>
      </c>
      <c r="B11" s="444" t="e">
        <f>'④-1月別配置内訳書(2)-(2)-(A)'!AC11</f>
        <v>#N/A</v>
      </c>
      <c r="C11" s="444" t="e">
        <f>'④-2月別配置内訳書(2)-(2)-(B)'!AF11</f>
        <v>#DIV/0!</v>
      </c>
      <c r="D11" s="444" t="e">
        <f>'④-3月別配置内訳書(2)-(2)-(C)・(D)'!V11</f>
        <v>#DIV/0!</v>
      </c>
      <c r="E11" s="444" t="e">
        <f>'④-3月別配置内訳書(2)-(2)-(C)・(D)'!AW11</f>
        <v>#DIV/0!</v>
      </c>
      <c r="F11" s="444" t="e">
        <f>'④-3月別配置内訳書(2)-(2)-(C)・(D)'!AX11</f>
        <v>#DIV/0!</v>
      </c>
      <c r="G11" s="444" t="e">
        <f>'④-４月別配置内訳書(2)-(2)-(E)'!V11</f>
        <v>#DIV/0!</v>
      </c>
      <c r="H11" s="444" t="e">
        <f t="shared" si="7"/>
        <v>#N/A</v>
      </c>
      <c r="I11" s="444" t="e">
        <f>'④-1月別配置内訳書(2)-(2)-(A)'!AD11</f>
        <v>#N/A</v>
      </c>
      <c r="J11" s="444" t="e">
        <f>'④-2月別配置内訳書(2)-(2)-(B)'!AG11</f>
        <v>#N/A</v>
      </c>
      <c r="K11" s="444" t="e">
        <f t="shared" si="8"/>
        <v>#N/A</v>
      </c>
      <c r="L11" s="444" t="e">
        <f>'④-3月別配置内訳書(2)-(2)-(C)・(D)'!AY11</f>
        <v>#N/A</v>
      </c>
      <c r="M11" s="444" t="e">
        <f>'④-3月別配置内訳書(2)-(2)-(C)・(D)'!AZ11</f>
        <v>#N/A</v>
      </c>
      <c r="N11" s="444" t="e">
        <f t="shared" si="9"/>
        <v>#DIV/0!</v>
      </c>
      <c r="O11" s="444" t="e">
        <f t="shared" si="10"/>
        <v>#DIV/0!</v>
      </c>
      <c r="P11" s="444" t="e">
        <f t="shared" si="11"/>
        <v>#DIV/0!</v>
      </c>
      <c r="R11" s="444" t="e">
        <f>①基本情報!H29</f>
        <v>#N/A</v>
      </c>
      <c r="S11" s="444" t="e">
        <f>①基本情報!H31</f>
        <v>#N/A</v>
      </c>
      <c r="T11" s="444">
        <f>SUM('③児童数及び保育士定数 (2)-(1)'!C12:D12)</f>
        <v>0</v>
      </c>
      <c r="U11" s="444">
        <f t="shared" ref="U11:U14" si="14">IF(T11&gt;=66,2,IF(T11&gt;=36,1,0))</f>
        <v>0</v>
      </c>
      <c r="W11" s="444" t="e">
        <f t="shared" si="12"/>
        <v>#N/A</v>
      </c>
      <c r="X11" s="444" t="e">
        <f t="shared" ref="X11:X20" si="15">IF($H11&gt;=X$1,"OK","NG")</f>
        <v>#N/A</v>
      </c>
      <c r="Y11" s="444" t="e">
        <f t="shared" ref="Y11:Y20" si="16">IF($H11&gt;=Y$1,"OK","NG")</f>
        <v>#N/A</v>
      </c>
      <c r="Z11" s="444" t="e">
        <f t="shared" ref="Z11:Z20" si="17">IF($W11="OK",IF(SUM($L11:$N11)&gt;=1,"OK",IF(SUM($I11:$P11)-COUNTIF($W11:$Y11,"OK")-SUM($AB11,$AC11)&gt;=1,"OK","NG")),"NG")</f>
        <v>#N/A</v>
      </c>
      <c r="AA11" s="444" t="e">
        <f t="shared" si="13"/>
        <v>#N/A</v>
      </c>
      <c r="AB11" s="444" t="e">
        <f t="shared" ref="AB11:AB20" si="18">IF(AND($H11=$W$1,$R11&gt;=$W$1),1,IF($S11&gt;=$W$1,IF(AND($H11&gt;=$AB$1,$R11&gt;=1),MIN(ROUNDDOWN(SUM($I11:$K11,$O11:$P11)-3,0),$R11),0),IF(AND($H11&gt;=$AB$1,$R11&gt;=1),MIN(ROUNDDOWN(SUM($I11:$K11,$O11)-3,0),$R11),0)))</f>
        <v>#N/A</v>
      </c>
      <c r="AC11" s="444">
        <f t="shared" ref="AC11:AC14" si="19">IF(U11&gt;=1,MIN(ROUNDDOWN(SUM(I11:J11,O11)-COUNTIF($AF11:$AL11,$B$8)-COUNTIF($AF11:$AL11,$C$8),0),U11),0)</f>
        <v>0</v>
      </c>
      <c r="AE11" s="444" t="e">
        <f t="shared" ref="AE11:AE14" si="20">IF(W11="OK",IF($I11&gt;=$AE$1,I$8,IF($J11&gt;=$AE$1,J$8,IF($K11&gt;=$AE$1,K$8,"NG"))),"NG")</f>
        <v>#N/A</v>
      </c>
      <c r="AF11" s="444" t="e">
        <f>IF(X11="OK",IF($J11&gt;=$AE$1+COUNTIF($AE11:AE11,$J$8),$J$8,IF($K11&gt;=$AE$1+COUNTIF($AE11:AE11,$K$8),$K$8,IF($I11&gt;=$AE$1+COUNTIF($AE11:AE11,$I$8),$I$8,"NG"))),"NG")</f>
        <v>#N/A</v>
      </c>
      <c r="AG11" s="444" t="e">
        <f>IF(Y11="OK",IF($J11&gt;=$AE$1+COUNTIF($AE11:AF11,$J$8),$J$8,IF($K11&gt;=$AE$1+COUNTIF($AE11:AF11,$K$8),$K$8,IF($I11&gt;=$AE$1+COUNTIF($AE11:AF11,$I$8),$I$8,"NG"))),"NG")</f>
        <v>#N/A</v>
      </c>
      <c r="AH11" s="444" t="e">
        <f>IF($AB11&gt;=AH$8,IF($S11&gt;=$AE$1,IF($J11&gt;=$AE$1+COUNTIF($AE11:AG11,$J$8),$J$8,IF($D11&gt;=$AE$1+COUNTIF($AE11:AG11,$D$8),$D$8,IF($I11&gt;=$AE$1+COUNTIF($AE11:AG11,$I$8),$I$8,"NG"))),IF($J11&gt;=$AE$1+COUNTIF($AE11:AG11,$J$8),$J$8,IF($I11&gt;=$AE$1+COUNTIF($AE11:AG11,$I$8),$I$8,"NG"))),"NG")</f>
        <v>#N/A</v>
      </c>
      <c r="AI11" s="444" t="e">
        <f>IF($AB11&gt;=AI$8,IF($S11&gt;=$AE$1,IF($J11&gt;=$AE$1+COUNTIF($AE11:AH11,$J$8),$J$8,IF($D11&gt;=$AE$1+COUNTIF($AE11:AH11,$D$8),$D$8,IF($I11&gt;=$AE$1+COUNTIF($AE11:AH11,$I$8),$I$8,"NG"))),IF($J11&gt;=$AE$1+COUNTIF($AE11:AH11,$J$8),$J$8,IF($I11&gt;=$AE$1+COUNTIF($AE11:AH11,$I$8),$I$8,"NG"))),"NG")</f>
        <v>#N/A</v>
      </c>
      <c r="AJ11" s="444" t="e">
        <f>IF($AB11&gt;=AJ$8,IF($S11&gt;=$AE$1,IF($J11&gt;=$AE$1+COUNTIF($AE11:AI11,$J$8),$J$8,IF($D11&gt;=$AE$1+COUNTIF($AE11:AI11,$D$8),$D$8,IF($I11&gt;=$AE$1+COUNTIF($AE11:AI11,$I$8),$I$8,"NG"))),IF($J11&gt;=$AE$1+COUNTIF($AE11:AI11,$J$8),$J$8,IF($I11&gt;=$AE$1+COUNTIF($AE11:AI11,$I$8),$I$8,"NG"))),"NG")</f>
        <v>#N/A</v>
      </c>
      <c r="AK11" s="444" t="e">
        <f>IF($AB11&gt;=AK$8,IF($S11&gt;=$AE$1,IF($J11&gt;=$AE$1+COUNTIF($AE11:AJ11,$J$8),$J$8,IF($D11&gt;=$AE$1+COUNTIF($AE11:AJ11,$D$8),$D$8,IF($I11&gt;=$AE$1+COUNTIF($AE11:AJ11,$I$8),$I$8,"NG"))),IF($J11&gt;=$AE$1+COUNTIF($AE11:AJ11,$J$8),$J$8,IF($I11&gt;=$AE$1+COUNTIF($AE11:AJ11,$I$8),$I$8,"NG"))),"NG")</f>
        <v>#N/A</v>
      </c>
      <c r="AL11" s="444" t="e">
        <f>IF($AB11&gt;=AL$8,IF($S11&gt;=$AE$1,IF($J11&gt;=$AE$1+COUNTIF($AE11:AK11,$J$8),$J$8,IF($D11&gt;=$AE$1+COUNTIF($AE11:AK11,$D$8),$D$8,IF($I11&gt;=$AE$1+COUNTIF($AE11:AK11,$I$8),$I$8,"NG"))),IF($J11&gt;=$AE$1+COUNTIF($AE11:AK11,$J$8),$J$8,IF($I11&gt;=$AE$1+COUNTIF($AE11:AK11,$I$8),$I$8,"NG"))),"NG")</f>
        <v>#N/A</v>
      </c>
      <c r="AM11" s="444" t="e">
        <f>IF($AB11&gt;=AM$8,IF($S11&gt;=$AE$1,IF($J11&gt;=$AE$1+COUNTIF($AE11:AL11,$J$8),$J$8,IF($D11&gt;=$AE$1+COUNTIF($AE11:AL11,$D$8),$D$8,IF($I11&gt;=$AE$1+COUNTIF($AE11:AL11,$I$8),$I$8,"NG"))),IF($J11&gt;=$AE$1+COUNTIF($AE11:AL11,$J$8),$J$8,IF($I11&gt;=$AE$1+COUNTIF($AE11:AL11,$I$8),$I$8,"NG"))),"NG")</f>
        <v>#N/A</v>
      </c>
      <c r="AN11" s="444" t="e">
        <f>IF($AB11&gt;=AN$8,IF($S11&gt;=$AE$1,IF($J11&gt;=$AE$1+COUNTIF($AE11:AM11,$J$8),$J$8,IF($D11&gt;=$AE$1+COUNTIF($AE11:AM11,$D$8),$D$8,IF($I11&gt;=$AE$1+COUNTIF($AE11:AM11,$I$8),$I$8,"NG"))),IF($J11&gt;=$AE$1+COUNTIF($AE11:AM11,$J$8),$J$8,IF($I11&gt;=$AE$1+COUNTIF($AE11:AM11,$I$8),$I$8,"NG"))),"NG")</f>
        <v>#N/A</v>
      </c>
      <c r="AO11" s="444" t="e">
        <f>IF($AB11&gt;=AO$8,IF($S11&gt;=$AE$1,IF($J11&gt;=$AE$1+COUNTIF($AE11:AN11,$J$8),$J$8,IF($D11&gt;=$AE$1+COUNTIF($AE11:AN11,$D$8),$D$8,IF($I11&gt;=$AE$1+COUNTIF($AE11:AN11,$I$8),$I$8,"NG"))),IF($J11&gt;=$AE$1+COUNTIF($AE11:AN11,$J$8),$J$8,IF($I11&gt;=$AE$1+COUNTIF($AE11:AN11,$I$8),$I$8,"NG"))),"NG")</f>
        <v>#N/A</v>
      </c>
      <c r="AP11" s="444" t="e">
        <f>IF($AB11&gt;=AP$8,IF($S11&gt;=$AE$1,IF($J11&gt;=$AE$1+COUNTIF($AE11:AO11,$J$8),$J$8,IF($D11&gt;=$AE$1+COUNTIF($AE11:AO11,$D$8),$D$8,IF($I11&gt;=$AE$1+COUNTIF($AE11:AO11,$I$8),$I$8,"NG"))),IF($J11&gt;=$AE$1+COUNTIF($AE11:AO11,$J$8),$J$8,IF($I11&gt;=$AE$1+COUNTIF($AE11:AO11,$I$8),$I$8,"NG"))),"NG")</f>
        <v>#N/A</v>
      </c>
      <c r="AQ11" s="444" t="e">
        <f>IF($AB11&gt;=AQ$8,IF($S11&gt;=$AE$1,IF($J11&gt;=$AE$1+COUNTIF($AE11:AP11,$J$8),$J$8,IF($D11&gt;=$AE$1+COUNTIF($AE11:AP11,$D$8),$D$8,IF($I11&gt;=$AE$1+COUNTIF($AE11:AP11,$I$8),$I$8,"NG"))),IF($J11&gt;=$AE$1+COUNTIF($AE11:AP11,$J$8),$J$8,IF($I11&gt;=$AE$1+COUNTIF($AE11:AP11,$I$8),$I$8,"NG"))),"NG")</f>
        <v>#N/A</v>
      </c>
      <c r="AR11" s="444" t="str">
        <f>IF($AC11&gt;=AR$8,IF($J11&gt;=$AE$1+COUNTIF($AE11:AQ11,$J$8),$J$8,IF($I11&gt;=$AE$1+COUNTIF($AE11:AQ11,$I$8),$I$8,"NG")),"NG")</f>
        <v>NG</v>
      </c>
      <c r="AS11" s="444" t="str">
        <f>IF($AC11&gt;=AS$8,IF($J11&gt;=$AE$1+COUNTIF($AE11:AR11,$J$8),$J$8,IF($I11&gt;=$AE$1+COUNTIF($AE11:AR11,$I$8),$I$8,"NG")),"NG")</f>
        <v>NG</v>
      </c>
      <c r="AT11" s="444" t="e">
        <f>IF(AND(W11="OK",AE11="NG"),IF($N11&gt;=$AE$1+COUNTIF($AE11:AS11,$N$8),$N$8,IF($M11&gt;=$AE$1+COUNTIF($AE11:AS11,$M$8),$M$8,IF($L11&gt;=$AE$1+COUNTIF($AE11:AS11,$L$8),$L$8,"NG"))),"NG")</f>
        <v>#N/A</v>
      </c>
      <c r="AU11" s="444" t="e">
        <f>IF(Z11="OK",IF($C11&gt;=$AE$1+COUNTIF($AE11:AT11,$C$8),$C$8,IF($D11&gt;=$AE$1+COUNTIF($AE11:AT11,$D$8),$D$8,IF($N11&gt;=$AE$1+COUNTIF($AE11:AT11,$N$8),$N$8,IF($I11&gt;=$AE$1+COUNTIF($AE11:AT11,$I$8),$I$8,IF($M11&gt;=$AE$1+COUNTIF($AE11:AT11,$M$8),$M$8,IF($L11&gt;=$AE$1+COUNTIF($AE11:AT11,$L$8),$L$8,"NG")))))),"NG")</f>
        <v>#N/A</v>
      </c>
      <c r="AV11" s="444" t="e">
        <f>IF(AA11="OK",IF(COUNTIF($AE11:AU11,$L$8)+COUNTIF($AE11:AU11,$M$8)+COUNTIF($AE11:AU11,$N$8)&gt;=2,"NG",IF($C11&gt;=$AE$1+COUNTIF($AE11:AU11,$C$8),$C$8,IF($D11&gt;=$AE$1+COUNTIF($AE11:AU11,$D$8),$D$8,IF($N11&gt;=$AE$1+COUNTIF($AE11:AU11,$N$8),$N$8,IF($M11&gt;=$AE$1+COUNTIF($AE11:AU11,$M$8),$M$8,IF($I11&gt;=$AE$1+COUNTIF($AE11:AU11,$I$8),$I$8,IF($L11&gt;=$AE$1+COUNTIF($AE11:AU11,$L$8),$L$8,"NG"))))))),"NG")</f>
        <v>#N/A</v>
      </c>
      <c r="AX11" s="444" t="e">
        <f t="shared" ref="AX11:AX14" si="21">IF(AE11="NG",AT11,AE11)</f>
        <v>#N/A</v>
      </c>
      <c r="AY11" s="444">
        <f t="shared" ref="AY11:AY20" si="22">COUNTIF($AH11:$AQ11,"A")+COUNTIF($AH11:$AQ11,"B")+COUNTIF($AH11:$AQ11,"C")</f>
        <v>0</v>
      </c>
      <c r="AZ11" s="444">
        <f t="shared" ref="AZ11:AZ20" si="23">COUNTIF($AR11:$AS11,"A")+COUNTIF($AR11:$AS11,"B")</f>
        <v>0</v>
      </c>
    </row>
    <row r="12" spans="1:52">
      <c r="A12" s="444" t="s">
        <v>137</v>
      </c>
      <c r="B12" s="444" t="e">
        <f>'④-1月別配置内訳書(2)-(2)-(A)'!AC12</f>
        <v>#N/A</v>
      </c>
      <c r="C12" s="444" t="e">
        <f>'④-2月別配置内訳書(2)-(2)-(B)'!AF12</f>
        <v>#DIV/0!</v>
      </c>
      <c r="D12" s="444" t="e">
        <f>'④-3月別配置内訳書(2)-(2)-(C)・(D)'!V12</f>
        <v>#DIV/0!</v>
      </c>
      <c r="E12" s="444" t="e">
        <f>'④-3月別配置内訳書(2)-(2)-(C)・(D)'!AW12</f>
        <v>#DIV/0!</v>
      </c>
      <c r="F12" s="444" t="e">
        <f>'④-3月別配置内訳書(2)-(2)-(C)・(D)'!AX12</f>
        <v>#DIV/0!</v>
      </c>
      <c r="G12" s="444" t="e">
        <f>'④-４月別配置内訳書(2)-(2)-(E)'!V12</f>
        <v>#DIV/0!</v>
      </c>
      <c r="H12" s="444" t="e">
        <f t="shared" si="7"/>
        <v>#N/A</v>
      </c>
      <c r="I12" s="444" t="e">
        <f>'④-1月別配置内訳書(2)-(2)-(A)'!AD12</f>
        <v>#N/A</v>
      </c>
      <c r="J12" s="444" t="e">
        <f>'④-2月別配置内訳書(2)-(2)-(B)'!AG12</f>
        <v>#N/A</v>
      </c>
      <c r="K12" s="444" t="e">
        <f t="shared" si="8"/>
        <v>#N/A</v>
      </c>
      <c r="L12" s="444" t="e">
        <f>'④-3月別配置内訳書(2)-(2)-(C)・(D)'!AY12</f>
        <v>#N/A</v>
      </c>
      <c r="M12" s="444" t="e">
        <f>'④-3月別配置内訳書(2)-(2)-(C)・(D)'!AZ12</f>
        <v>#N/A</v>
      </c>
      <c r="N12" s="444" t="e">
        <f t="shared" si="9"/>
        <v>#DIV/0!</v>
      </c>
      <c r="O12" s="444" t="e">
        <f t="shared" si="10"/>
        <v>#DIV/0!</v>
      </c>
      <c r="P12" s="444" t="e">
        <f t="shared" si="11"/>
        <v>#DIV/0!</v>
      </c>
      <c r="R12" s="444" t="e">
        <f>①基本情報!I29</f>
        <v>#N/A</v>
      </c>
      <c r="S12" s="444" t="e">
        <f>①基本情報!I31</f>
        <v>#N/A</v>
      </c>
      <c r="T12" s="444">
        <f>SUM('③児童数及び保育士定数 (2)-(1)'!C13:D13)</f>
        <v>0</v>
      </c>
      <c r="U12" s="444">
        <f t="shared" si="14"/>
        <v>0</v>
      </c>
      <c r="W12" s="444" t="e">
        <f t="shared" si="12"/>
        <v>#N/A</v>
      </c>
      <c r="X12" s="444" t="e">
        <f t="shared" si="15"/>
        <v>#N/A</v>
      </c>
      <c r="Y12" s="444" t="e">
        <f t="shared" si="16"/>
        <v>#N/A</v>
      </c>
      <c r="Z12" s="444" t="e">
        <f t="shared" si="17"/>
        <v>#N/A</v>
      </c>
      <c r="AA12" s="444" t="e">
        <f t="shared" si="13"/>
        <v>#N/A</v>
      </c>
      <c r="AB12" s="444" t="e">
        <f t="shared" si="18"/>
        <v>#N/A</v>
      </c>
      <c r="AC12" s="444">
        <f t="shared" si="19"/>
        <v>0</v>
      </c>
      <c r="AE12" s="444" t="e">
        <f t="shared" si="20"/>
        <v>#N/A</v>
      </c>
      <c r="AF12" s="444" t="e">
        <f>IF(X12="OK",IF($J12&gt;=$AE$1+COUNTIF($AE12:AE12,$J$8),$J$8,IF($K12&gt;=$AE$1+COUNTIF($AE12:AE12,$K$8),$K$8,IF($I12&gt;=$AE$1+COUNTIF($AE12:AE12,$I$8),$I$8,"NG"))),"NG")</f>
        <v>#N/A</v>
      </c>
      <c r="AG12" s="444" t="e">
        <f>IF(Y12="OK",IF($J12&gt;=$AE$1+COUNTIF($AE12:AF12,$J$8),$J$8,IF($K12&gt;=$AE$1+COUNTIF($AE12:AF12,$K$8),$K$8,IF($I12&gt;=$AE$1+COUNTIF($AE12:AF12,$I$8),$I$8,"NG"))),"NG")</f>
        <v>#N/A</v>
      </c>
      <c r="AH12" s="444" t="e">
        <f>IF($AB12&gt;=AH$8,IF($S12&gt;=$AE$1,IF($J12&gt;=$AE$1+COUNTIF($AE12:AG12,$J$8),$J$8,IF($D12&gt;=$AE$1+COUNTIF($AE12:AG12,$D$8),$D$8,IF($I12&gt;=$AE$1+COUNTIF($AE12:AG12,$I$8),$I$8,"NG"))),IF($J12&gt;=$AE$1+COUNTIF($AE12:AG12,$J$8),$J$8,IF($I12&gt;=$AE$1+COUNTIF($AE12:AG12,$I$8),$I$8,"NG"))),"NG")</f>
        <v>#N/A</v>
      </c>
      <c r="AI12" s="444" t="e">
        <f>IF($AB12&gt;=AI$8,IF($S12&gt;=$AE$1,IF($J12&gt;=$AE$1+COUNTIF($AE12:AH12,$J$8),$J$8,IF($D12&gt;=$AE$1+COUNTIF($AE12:AH12,$D$8),$D$8,IF($I12&gt;=$AE$1+COUNTIF($AE12:AH12,$I$8),$I$8,"NG"))),IF($J12&gt;=$AE$1+COUNTIF($AE12:AH12,$J$8),$J$8,IF($I12&gt;=$AE$1+COUNTIF($AE12:AH12,$I$8),$I$8,"NG"))),"NG")</f>
        <v>#N/A</v>
      </c>
      <c r="AJ12" s="444" t="e">
        <f>IF($AB12&gt;=AJ$8,IF($S12&gt;=$AE$1,IF($J12&gt;=$AE$1+COUNTIF($AE12:AI12,$J$8),$J$8,IF($D12&gt;=$AE$1+COUNTIF($AE12:AI12,$D$8),$D$8,IF($I12&gt;=$AE$1+COUNTIF($AE12:AI12,$I$8),$I$8,"NG"))),IF($J12&gt;=$AE$1+COUNTIF($AE12:AI12,$J$8),$J$8,IF($I12&gt;=$AE$1+COUNTIF($AE12:AI12,$I$8),$I$8,"NG"))),"NG")</f>
        <v>#N/A</v>
      </c>
      <c r="AK12" s="444" t="e">
        <f>IF($AB12&gt;=AK$8,IF($S12&gt;=$AE$1,IF($J12&gt;=$AE$1+COUNTIF($AE12:AJ12,$J$8),$J$8,IF($D12&gt;=$AE$1+COUNTIF($AE12:AJ12,$D$8),$D$8,IF($I12&gt;=$AE$1+COUNTIF($AE12:AJ12,$I$8),$I$8,"NG"))),IF($J12&gt;=$AE$1+COUNTIF($AE12:AJ12,$J$8),$J$8,IF($I12&gt;=$AE$1+COUNTIF($AE12:AJ12,$I$8),$I$8,"NG"))),"NG")</f>
        <v>#N/A</v>
      </c>
      <c r="AL12" s="444" t="e">
        <f>IF($AB12&gt;=AL$8,IF($S12&gt;=$AE$1,IF($J12&gt;=$AE$1+COUNTIF($AE12:AK12,$J$8),$J$8,IF($D12&gt;=$AE$1+COUNTIF($AE12:AK12,$D$8),$D$8,IF($I12&gt;=$AE$1+COUNTIF($AE12:AK12,$I$8),$I$8,"NG"))),IF($J12&gt;=$AE$1+COUNTIF($AE12:AK12,$J$8),$J$8,IF($I12&gt;=$AE$1+COUNTIF($AE12:AK12,$I$8),$I$8,"NG"))),"NG")</f>
        <v>#N/A</v>
      </c>
      <c r="AM12" s="444" t="e">
        <f>IF($AB12&gt;=AM$8,IF($S12&gt;=$AE$1,IF($J12&gt;=$AE$1+COUNTIF($AE12:AL12,$J$8),$J$8,IF($D12&gt;=$AE$1+COUNTIF($AE12:AL12,$D$8),$D$8,IF($I12&gt;=$AE$1+COUNTIF($AE12:AL12,$I$8),$I$8,"NG"))),IF($J12&gt;=$AE$1+COUNTIF($AE12:AL12,$J$8),$J$8,IF($I12&gt;=$AE$1+COUNTIF($AE12:AL12,$I$8),$I$8,"NG"))),"NG")</f>
        <v>#N/A</v>
      </c>
      <c r="AN12" s="444" t="e">
        <f>IF($AB12&gt;=AN$8,IF($S12&gt;=$AE$1,IF($J12&gt;=$AE$1+COUNTIF($AE12:AM12,$J$8),$J$8,IF($D12&gt;=$AE$1+COUNTIF($AE12:AM12,$D$8),$D$8,IF($I12&gt;=$AE$1+COUNTIF($AE12:AM12,$I$8),$I$8,"NG"))),IF($J12&gt;=$AE$1+COUNTIF($AE12:AM12,$J$8),$J$8,IF($I12&gt;=$AE$1+COUNTIF($AE12:AM12,$I$8),$I$8,"NG"))),"NG")</f>
        <v>#N/A</v>
      </c>
      <c r="AO12" s="444" t="e">
        <f>IF($AB12&gt;=AO$8,IF($S12&gt;=$AE$1,IF($J12&gt;=$AE$1+COUNTIF($AE12:AN12,$J$8),$J$8,IF($D12&gt;=$AE$1+COUNTIF($AE12:AN12,$D$8),$D$8,IF($I12&gt;=$AE$1+COUNTIF($AE12:AN12,$I$8),$I$8,"NG"))),IF($J12&gt;=$AE$1+COUNTIF($AE12:AN12,$J$8),$J$8,IF($I12&gt;=$AE$1+COUNTIF($AE12:AN12,$I$8),$I$8,"NG"))),"NG")</f>
        <v>#N/A</v>
      </c>
      <c r="AP12" s="444" t="e">
        <f>IF($AB12&gt;=AP$8,IF($S12&gt;=$AE$1,IF($J12&gt;=$AE$1+COUNTIF($AE12:AO12,$J$8),$J$8,IF($D12&gt;=$AE$1+COUNTIF($AE12:AO12,$D$8),$D$8,IF($I12&gt;=$AE$1+COUNTIF($AE12:AO12,$I$8),$I$8,"NG"))),IF($J12&gt;=$AE$1+COUNTIF($AE12:AO12,$J$8),$J$8,IF($I12&gt;=$AE$1+COUNTIF($AE12:AO12,$I$8),$I$8,"NG"))),"NG")</f>
        <v>#N/A</v>
      </c>
      <c r="AQ12" s="444" t="e">
        <f>IF($AB12&gt;=AQ$8,IF($S12&gt;=$AE$1,IF($J12&gt;=$AE$1+COUNTIF($AE12:AP12,$J$8),$J$8,IF($D12&gt;=$AE$1+COUNTIF($AE12:AP12,$D$8),$D$8,IF($I12&gt;=$AE$1+COUNTIF($AE12:AP12,$I$8),$I$8,"NG"))),IF($J12&gt;=$AE$1+COUNTIF($AE12:AP12,$J$8),$J$8,IF($I12&gt;=$AE$1+COUNTIF($AE12:AP12,$I$8),$I$8,"NG"))),"NG")</f>
        <v>#N/A</v>
      </c>
      <c r="AR12" s="444" t="str">
        <f>IF($AC12&gt;=AR$8,IF($J12&gt;=$AE$1+COUNTIF($AE12:AQ12,$J$8),$J$8,IF($I12&gt;=$AE$1+COUNTIF($AE12:AQ12,$I$8),$I$8,"NG")),"NG")</f>
        <v>NG</v>
      </c>
      <c r="AS12" s="444" t="str">
        <f>IF($AC12&gt;=AS$8,IF($J12&gt;=$AE$1+COUNTIF($AE12:AR12,$J$8),$J$8,IF($I12&gt;=$AE$1+COUNTIF($AE12:AR12,$I$8),$I$8,"NG")),"NG")</f>
        <v>NG</v>
      </c>
      <c r="AT12" s="444" t="e">
        <f>IF(AND(W12="OK",AE12="NG"),IF($N12&gt;=$AE$1+COUNTIF($AE12:AS12,$N$8),$N$8,IF($M12&gt;=$AE$1+COUNTIF($AE12:AS12,$M$8),$M$8,IF($L12&gt;=$AE$1+COUNTIF($AE12:AS12,$L$8),$L$8,"NG"))),"NG")</f>
        <v>#N/A</v>
      </c>
      <c r="AU12" s="444" t="e">
        <f>IF(Z12="OK",IF($C12&gt;=$AE$1+COUNTIF($AE12:AT12,$C$8),$C$8,IF($D12&gt;=$AE$1+COUNTIF($AE12:AT12,$D$8),$D$8,IF($N12&gt;=$AE$1+COUNTIF($AE12:AT12,$N$8),$N$8,IF($I12&gt;=$AE$1+COUNTIF($AE12:AT12,$I$8),$I$8,IF($M12&gt;=$AE$1+COUNTIF($AE12:AT12,$M$8),$M$8,IF($L12&gt;=$AE$1+COUNTIF($AE12:AT12,$L$8),$L$8,"NG")))))),"NG")</f>
        <v>#N/A</v>
      </c>
      <c r="AV12" s="444" t="e">
        <f>IF(AA12="OK",IF(COUNTIF($AE12:AU12,$L$8)+COUNTIF($AE12:AU12,$M$8)+COUNTIF($AE12:AU12,$N$8)&gt;=2,"NG",IF($C12&gt;=$AE$1+COUNTIF($AE12:AU12,$C$8),$C$8,IF($D12&gt;=$AE$1+COUNTIF($AE12:AU12,$D$8),$D$8,IF($N12&gt;=$AE$1+COUNTIF($AE12:AU12,$N$8),$N$8,IF($M12&gt;=$AE$1+COUNTIF($AE12:AU12,$M$8),$M$8,IF($I12&gt;=$AE$1+COUNTIF($AE12:AU12,$I$8),$I$8,IF($L12&gt;=$AE$1+COUNTIF($AE12:AU12,$L$8),$L$8,"NG"))))))),"NG")</f>
        <v>#N/A</v>
      </c>
      <c r="AX12" s="444" t="e">
        <f t="shared" si="21"/>
        <v>#N/A</v>
      </c>
      <c r="AY12" s="444">
        <f t="shared" si="22"/>
        <v>0</v>
      </c>
      <c r="AZ12" s="444">
        <f t="shared" si="23"/>
        <v>0</v>
      </c>
    </row>
    <row r="13" spans="1:52">
      <c r="A13" s="444" t="s">
        <v>138</v>
      </c>
      <c r="B13" s="444" t="e">
        <f>'④-1月別配置内訳書(2)-(2)-(A)'!AC13</f>
        <v>#N/A</v>
      </c>
      <c r="C13" s="444" t="e">
        <f>'④-2月別配置内訳書(2)-(2)-(B)'!AF13</f>
        <v>#DIV/0!</v>
      </c>
      <c r="D13" s="444" t="e">
        <f>'④-3月別配置内訳書(2)-(2)-(C)・(D)'!V13</f>
        <v>#DIV/0!</v>
      </c>
      <c r="E13" s="444" t="e">
        <f>'④-3月別配置内訳書(2)-(2)-(C)・(D)'!AW13</f>
        <v>#DIV/0!</v>
      </c>
      <c r="F13" s="444" t="e">
        <f>'④-3月別配置内訳書(2)-(2)-(C)・(D)'!AX13</f>
        <v>#DIV/0!</v>
      </c>
      <c r="G13" s="444" t="e">
        <f>'④-４月別配置内訳書(2)-(2)-(E)'!V13</f>
        <v>#DIV/0!</v>
      </c>
      <c r="H13" s="444" t="e">
        <f t="shared" si="7"/>
        <v>#N/A</v>
      </c>
      <c r="I13" s="444" t="e">
        <f>'④-1月別配置内訳書(2)-(2)-(A)'!AD13</f>
        <v>#N/A</v>
      </c>
      <c r="J13" s="444" t="e">
        <f>'④-2月別配置内訳書(2)-(2)-(B)'!AG13</f>
        <v>#N/A</v>
      </c>
      <c r="K13" s="444" t="e">
        <f t="shared" si="8"/>
        <v>#N/A</v>
      </c>
      <c r="L13" s="444" t="e">
        <f>'④-3月別配置内訳書(2)-(2)-(C)・(D)'!AY13</f>
        <v>#N/A</v>
      </c>
      <c r="M13" s="444" t="e">
        <f>'④-3月別配置内訳書(2)-(2)-(C)・(D)'!AZ13</f>
        <v>#N/A</v>
      </c>
      <c r="N13" s="444" t="e">
        <f t="shared" si="9"/>
        <v>#DIV/0!</v>
      </c>
      <c r="O13" s="444" t="e">
        <f t="shared" si="10"/>
        <v>#DIV/0!</v>
      </c>
      <c r="P13" s="444" t="e">
        <f t="shared" si="11"/>
        <v>#DIV/0!</v>
      </c>
      <c r="R13" s="444" t="e">
        <f>①基本情報!J29</f>
        <v>#N/A</v>
      </c>
      <c r="S13" s="444" t="e">
        <f>①基本情報!J31</f>
        <v>#N/A</v>
      </c>
      <c r="T13" s="444">
        <f>SUM('③児童数及び保育士定数 (2)-(1)'!C14:D14)</f>
        <v>0</v>
      </c>
      <c r="U13" s="444">
        <f t="shared" si="14"/>
        <v>0</v>
      </c>
      <c r="W13" s="444" t="e">
        <f t="shared" si="12"/>
        <v>#N/A</v>
      </c>
      <c r="X13" s="444" t="e">
        <f t="shared" si="15"/>
        <v>#N/A</v>
      </c>
      <c r="Y13" s="444" t="e">
        <f t="shared" si="16"/>
        <v>#N/A</v>
      </c>
      <c r="Z13" s="444" t="e">
        <f t="shared" si="17"/>
        <v>#N/A</v>
      </c>
      <c r="AA13" s="444" t="e">
        <f t="shared" si="13"/>
        <v>#N/A</v>
      </c>
      <c r="AB13" s="444" t="e">
        <f t="shared" si="18"/>
        <v>#N/A</v>
      </c>
      <c r="AC13" s="444">
        <f t="shared" si="19"/>
        <v>0</v>
      </c>
      <c r="AE13" s="444" t="e">
        <f t="shared" si="20"/>
        <v>#N/A</v>
      </c>
      <c r="AF13" s="444" t="e">
        <f>IF(X13="OK",IF($J13&gt;=$AE$1+COUNTIF($AE13:AE13,$J$8),$J$8,IF($K13&gt;=$AE$1+COUNTIF($AE13:AE13,$K$8),$K$8,IF($I13&gt;=$AE$1+COUNTIF($AE13:AE13,$I$8),$I$8,"NG"))),"NG")</f>
        <v>#N/A</v>
      </c>
      <c r="AG13" s="444" t="e">
        <f>IF(Y13="OK",IF($J13&gt;=$AE$1+COUNTIF($AE13:AF13,$J$8),$J$8,IF($K13&gt;=$AE$1+COUNTIF($AE13:AF13,$K$8),$K$8,IF($I13&gt;=$AE$1+COUNTIF($AE13:AF13,$I$8),$I$8,"NG"))),"NG")</f>
        <v>#N/A</v>
      </c>
      <c r="AH13" s="444" t="e">
        <f>IF($AB13&gt;=AH$8,IF($S13&gt;=$AE$1,IF($J13&gt;=$AE$1+COUNTIF($AE13:AG13,$J$8),$J$8,IF($D13&gt;=$AE$1+COUNTIF($AE13:AG13,$D$8),$D$8,IF($I13&gt;=$AE$1+COUNTIF($AE13:AG13,$I$8),$I$8,"NG"))),IF($J13&gt;=$AE$1+COUNTIF($AE13:AG13,$J$8),$J$8,IF($I13&gt;=$AE$1+COUNTIF($AE13:AG13,$I$8),$I$8,"NG"))),"NG")</f>
        <v>#N/A</v>
      </c>
      <c r="AI13" s="444" t="e">
        <f>IF($AB13&gt;=AI$8,IF($S13&gt;=$AE$1,IF($J13&gt;=$AE$1+COUNTIF($AE13:AH13,$J$8),$J$8,IF($D13&gt;=$AE$1+COUNTIF($AE13:AH13,$D$8),$D$8,IF($I13&gt;=$AE$1+COUNTIF($AE13:AH13,$I$8),$I$8,"NG"))),IF($J13&gt;=$AE$1+COUNTIF($AE13:AH13,$J$8),$J$8,IF($I13&gt;=$AE$1+COUNTIF($AE13:AH13,$I$8),$I$8,"NG"))),"NG")</f>
        <v>#N/A</v>
      </c>
      <c r="AJ13" s="444" t="e">
        <f>IF($AB13&gt;=AJ$8,IF($S13&gt;=$AE$1,IF($J13&gt;=$AE$1+COUNTIF($AE13:AI13,$J$8),$J$8,IF($D13&gt;=$AE$1+COUNTIF($AE13:AI13,$D$8),$D$8,IF($I13&gt;=$AE$1+COUNTIF($AE13:AI13,$I$8),$I$8,"NG"))),IF($J13&gt;=$AE$1+COUNTIF($AE13:AI13,$J$8),$J$8,IF($I13&gt;=$AE$1+COUNTIF($AE13:AI13,$I$8),$I$8,"NG"))),"NG")</f>
        <v>#N/A</v>
      </c>
      <c r="AK13" s="444" t="e">
        <f>IF($AB13&gt;=AK$8,IF($S13&gt;=$AE$1,IF($J13&gt;=$AE$1+COUNTIF($AE13:AJ13,$J$8),$J$8,IF($D13&gt;=$AE$1+COUNTIF($AE13:AJ13,$D$8),$D$8,IF($I13&gt;=$AE$1+COUNTIF($AE13:AJ13,$I$8),$I$8,"NG"))),IF($J13&gt;=$AE$1+COUNTIF($AE13:AJ13,$J$8),$J$8,IF($I13&gt;=$AE$1+COUNTIF($AE13:AJ13,$I$8),$I$8,"NG"))),"NG")</f>
        <v>#N/A</v>
      </c>
      <c r="AL13" s="444" t="e">
        <f>IF($AB13&gt;=AL$8,IF($S13&gt;=$AE$1,IF($J13&gt;=$AE$1+COUNTIF($AE13:AK13,$J$8),$J$8,IF($D13&gt;=$AE$1+COUNTIF($AE13:AK13,$D$8),$D$8,IF($I13&gt;=$AE$1+COUNTIF($AE13:AK13,$I$8),$I$8,"NG"))),IF($J13&gt;=$AE$1+COUNTIF($AE13:AK13,$J$8),$J$8,IF($I13&gt;=$AE$1+COUNTIF($AE13:AK13,$I$8),$I$8,"NG"))),"NG")</f>
        <v>#N/A</v>
      </c>
      <c r="AM13" s="444" t="e">
        <f>IF($AB13&gt;=AM$8,IF($S13&gt;=$AE$1,IF($J13&gt;=$AE$1+COUNTIF($AE13:AL13,$J$8),$J$8,IF($D13&gt;=$AE$1+COUNTIF($AE13:AL13,$D$8),$D$8,IF($I13&gt;=$AE$1+COUNTIF($AE13:AL13,$I$8),$I$8,"NG"))),IF($J13&gt;=$AE$1+COUNTIF($AE13:AL13,$J$8),$J$8,IF($I13&gt;=$AE$1+COUNTIF($AE13:AL13,$I$8),$I$8,"NG"))),"NG")</f>
        <v>#N/A</v>
      </c>
      <c r="AN13" s="444" t="e">
        <f>IF($AB13&gt;=AN$8,IF($S13&gt;=$AE$1,IF($J13&gt;=$AE$1+COUNTIF($AE13:AM13,$J$8),$J$8,IF($D13&gt;=$AE$1+COUNTIF($AE13:AM13,$D$8),$D$8,IF($I13&gt;=$AE$1+COUNTIF($AE13:AM13,$I$8),$I$8,"NG"))),IF($J13&gt;=$AE$1+COUNTIF($AE13:AM13,$J$8),$J$8,IF($I13&gt;=$AE$1+COUNTIF($AE13:AM13,$I$8),$I$8,"NG"))),"NG")</f>
        <v>#N/A</v>
      </c>
      <c r="AO13" s="444" t="e">
        <f>IF($AB13&gt;=AO$8,IF($S13&gt;=$AE$1,IF($J13&gt;=$AE$1+COUNTIF($AE13:AN13,$J$8),$J$8,IF($D13&gt;=$AE$1+COUNTIF($AE13:AN13,$D$8),$D$8,IF($I13&gt;=$AE$1+COUNTIF($AE13:AN13,$I$8),$I$8,"NG"))),IF($J13&gt;=$AE$1+COUNTIF($AE13:AN13,$J$8),$J$8,IF($I13&gt;=$AE$1+COUNTIF($AE13:AN13,$I$8),$I$8,"NG"))),"NG")</f>
        <v>#N/A</v>
      </c>
      <c r="AP13" s="444" t="e">
        <f>IF($AB13&gt;=AP$8,IF($S13&gt;=$AE$1,IF($J13&gt;=$AE$1+COUNTIF($AE13:AO13,$J$8),$J$8,IF($D13&gt;=$AE$1+COUNTIF($AE13:AO13,$D$8),$D$8,IF($I13&gt;=$AE$1+COUNTIF($AE13:AO13,$I$8),$I$8,"NG"))),IF($J13&gt;=$AE$1+COUNTIF($AE13:AO13,$J$8),$J$8,IF($I13&gt;=$AE$1+COUNTIF($AE13:AO13,$I$8),$I$8,"NG"))),"NG")</f>
        <v>#N/A</v>
      </c>
      <c r="AQ13" s="444" t="e">
        <f>IF($AB13&gt;=AQ$8,IF($S13&gt;=$AE$1,IF($J13&gt;=$AE$1+COUNTIF($AE13:AP13,$J$8),$J$8,IF($D13&gt;=$AE$1+COUNTIF($AE13:AP13,$D$8),$D$8,IF($I13&gt;=$AE$1+COUNTIF($AE13:AP13,$I$8),$I$8,"NG"))),IF($J13&gt;=$AE$1+COUNTIF($AE13:AP13,$J$8),$J$8,IF($I13&gt;=$AE$1+COUNTIF($AE13:AP13,$I$8),$I$8,"NG"))),"NG")</f>
        <v>#N/A</v>
      </c>
      <c r="AR13" s="444" t="str">
        <f>IF($AC13&gt;=AR$8,IF($J13&gt;=$AE$1+COUNTIF($AE13:AQ13,$J$8),$J$8,IF($I13&gt;=$AE$1+COUNTIF($AE13:AQ13,$I$8),$I$8,"NG")),"NG")</f>
        <v>NG</v>
      </c>
      <c r="AS13" s="444" t="str">
        <f>IF($AC13&gt;=AS$8,IF($J13&gt;=$AE$1+COUNTIF($AE13:AR13,$J$8),$J$8,IF($I13&gt;=$AE$1+COUNTIF($AE13:AR13,$I$8),$I$8,"NG")),"NG")</f>
        <v>NG</v>
      </c>
      <c r="AT13" s="444" t="e">
        <f>IF(AND(W13="OK",AE13="NG"),IF($N13&gt;=$AE$1+COUNTIF($AE13:AS13,$N$8),$N$8,IF($M13&gt;=$AE$1+COUNTIF($AE13:AS13,$M$8),$M$8,IF($L13&gt;=$AE$1+COUNTIF($AE13:AS13,$L$8),$L$8,"NG"))),"NG")</f>
        <v>#N/A</v>
      </c>
      <c r="AU13" s="444" t="e">
        <f>IF(Z13="OK",IF($C13&gt;=$AE$1+COUNTIF($AE13:AT13,$C$8),$C$8,IF($D13&gt;=$AE$1+COUNTIF($AE13:AT13,$D$8),$D$8,IF($N13&gt;=$AE$1+COUNTIF($AE13:AT13,$N$8),$N$8,IF($I13&gt;=$AE$1+COUNTIF($AE13:AT13,$I$8),$I$8,IF($M13&gt;=$AE$1+COUNTIF($AE13:AT13,$M$8),$M$8,IF($L13&gt;=$AE$1+COUNTIF($AE13:AT13,$L$8),$L$8,"NG")))))),"NG")</f>
        <v>#N/A</v>
      </c>
      <c r="AV13" s="444" t="e">
        <f>IF(AA13="OK",IF(COUNTIF($AE13:AU13,$L$8)+COUNTIF($AE13:AU13,$M$8)+COUNTIF($AE13:AU13,$N$8)&gt;=2,"NG",IF($C13&gt;=$AE$1+COUNTIF($AE13:AU13,$C$8),$C$8,IF($D13&gt;=$AE$1+COUNTIF($AE13:AU13,$D$8),$D$8,IF($N13&gt;=$AE$1+COUNTIF($AE13:AU13,$N$8),$N$8,IF($M13&gt;=$AE$1+COUNTIF($AE13:AU13,$M$8),$M$8,IF($I13&gt;=$AE$1+COUNTIF($AE13:AU13,$I$8),$I$8,IF($L13&gt;=$AE$1+COUNTIF($AE13:AU13,$L$8),$L$8,"NG"))))))),"NG")</f>
        <v>#N/A</v>
      </c>
      <c r="AX13" s="444" t="e">
        <f t="shared" si="21"/>
        <v>#N/A</v>
      </c>
      <c r="AY13" s="444">
        <f t="shared" si="22"/>
        <v>0</v>
      </c>
      <c r="AZ13" s="444">
        <f t="shared" si="23"/>
        <v>0</v>
      </c>
    </row>
    <row r="14" spans="1:52">
      <c r="A14" s="444" t="s">
        <v>139</v>
      </c>
      <c r="B14" s="444" t="e">
        <f>'④-1月別配置内訳書(2)-(2)-(A)'!AC14</f>
        <v>#N/A</v>
      </c>
      <c r="C14" s="444" t="e">
        <f>'④-2月別配置内訳書(2)-(2)-(B)'!AF14</f>
        <v>#DIV/0!</v>
      </c>
      <c r="D14" s="444" t="e">
        <f>'④-3月別配置内訳書(2)-(2)-(C)・(D)'!V14</f>
        <v>#DIV/0!</v>
      </c>
      <c r="E14" s="444" t="e">
        <f>'④-3月別配置内訳書(2)-(2)-(C)・(D)'!AW14</f>
        <v>#DIV/0!</v>
      </c>
      <c r="F14" s="444" t="e">
        <f>'④-3月別配置内訳書(2)-(2)-(C)・(D)'!AX14</f>
        <v>#DIV/0!</v>
      </c>
      <c r="G14" s="444" t="e">
        <f>'④-４月別配置内訳書(2)-(2)-(E)'!V14</f>
        <v>#DIV/0!</v>
      </c>
      <c r="H14" s="444" t="e">
        <f t="shared" si="7"/>
        <v>#N/A</v>
      </c>
      <c r="I14" s="444" t="e">
        <f>'④-1月別配置内訳書(2)-(2)-(A)'!AD14</f>
        <v>#N/A</v>
      </c>
      <c r="J14" s="444" t="e">
        <f>'④-2月別配置内訳書(2)-(2)-(B)'!AG14</f>
        <v>#N/A</v>
      </c>
      <c r="K14" s="444" t="e">
        <f t="shared" si="8"/>
        <v>#N/A</v>
      </c>
      <c r="L14" s="444" t="e">
        <f>'④-3月別配置内訳書(2)-(2)-(C)・(D)'!AY14</f>
        <v>#N/A</v>
      </c>
      <c r="M14" s="444" t="e">
        <f>'④-3月別配置内訳書(2)-(2)-(C)・(D)'!AZ14</f>
        <v>#N/A</v>
      </c>
      <c r="N14" s="444" t="e">
        <f t="shared" si="9"/>
        <v>#DIV/0!</v>
      </c>
      <c r="O14" s="444" t="e">
        <f t="shared" si="10"/>
        <v>#DIV/0!</v>
      </c>
      <c r="P14" s="444" t="e">
        <f t="shared" si="11"/>
        <v>#DIV/0!</v>
      </c>
      <c r="R14" s="444" t="e">
        <f>①基本情報!K29</f>
        <v>#N/A</v>
      </c>
      <c r="S14" s="444" t="e">
        <f>①基本情報!K31</f>
        <v>#N/A</v>
      </c>
      <c r="T14" s="444">
        <f>SUM('③児童数及び保育士定数 (2)-(1)'!C15:D15)</f>
        <v>0</v>
      </c>
      <c r="U14" s="444">
        <f t="shared" si="14"/>
        <v>0</v>
      </c>
      <c r="W14" s="444" t="e">
        <f t="shared" si="12"/>
        <v>#N/A</v>
      </c>
      <c r="X14" s="444" t="e">
        <f t="shared" si="15"/>
        <v>#N/A</v>
      </c>
      <c r="Y14" s="444" t="e">
        <f t="shared" si="16"/>
        <v>#N/A</v>
      </c>
      <c r="Z14" s="444" t="e">
        <f t="shared" si="17"/>
        <v>#N/A</v>
      </c>
      <c r="AA14" s="444" t="e">
        <f t="shared" si="13"/>
        <v>#N/A</v>
      </c>
      <c r="AB14" s="444" t="e">
        <f t="shared" si="18"/>
        <v>#N/A</v>
      </c>
      <c r="AC14" s="444">
        <f t="shared" si="19"/>
        <v>0</v>
      </c>
      <c r="AE14" s="444" t="e">
        <f t="shared" si="20"/>
        <v>#N/A</v>
      </c>
      <c r="AF14" s="444" t="e">
        <f>IF(X14="OK",IF($J14&gt;=$AE$1+COUNTIF($AE14:AE14,$J$8),$J$8,IF($K14&gt;=$AE$1+COUNTIF($AE14:AE14,$K$8),$K$8,IF($I14&gt;=$AE$1+COUNTIF($AE14:AE14,$I$8),$I$8,"NG"))),"NG")</f>
        <v>#N/A</v>
      </c>
      <c r="AG14" s="444" t="e">
        <f>IF(Y14="OK",IF($J14&gt;=$AE$1+COUNTIF($AE14:AF14,$J$8),$J$8,IF($K14&gt;=$AE$1+COUNTIF($AE14:AF14,$K$8),$K$8,IF($I14&gt;=$AE$1+COUNTIF($AE14:AF14,$I$8),$I$8,"NG"))),"NG")</f>
        <v>#N/A</v>
      </c>
      <c r="AH14" s="444" t="e">
        <f>IF($AB14&gt;=AH$8,IF($S14&gt;=$AE$1,IF($J14&gt;=$AE$1+COUNTIF($AE14:AG14,$J$8),$J$8,IF($D14&gt;=$AE$1+COUNTIF($AE14:AG14,$D$8),$D$8,IF($I14&gt;=$AE$1+COUNTIF($AE14:AG14,$I$8),$I$8,"NG"))),IF($J14&gt;=$AE$1+COUNTIF($AE14:AG14,$J$8),$J$8,IF($I14&gt;=$AE$1+COUNTIF($AE14:AG14,$I$8),$I$8,"NG"))),"NG")</f>
        <v>#N/A</v>
      </c>
      <c r="AI14" s="444" t="e">
        <f>IF($AB14&gt;=AI$8,IF($S14&gt;=$AE$1,IF($J14&gt;=$AE$1+COUNTIF($AE14:AH14,$J$8),$J$8,IF($D14&gt;=$AE$1+COUNTIF($AE14:AH14,$D$8),$D$8,IF($I14&gt;=$AE$1+COUNTIF($AE14:AH14,$I$8),$I$8,"NG"))),IF($J14&gt;=$AE$1+COUNTIF($AE14:AH14,$J$8),$J$8,IF($I14&gt;=$AE$1+COUNTIF($AE14:AH14,$I$8),$I$8,"NG"))),"NG")</f>
        <v>#N/A</v>
      </c>
      <c r="AJ14" s="444" t="e">
        <f>IF($AB14&gt;=AJ$8,IF($S14&gt;=$AE$1,IF($J14&gt;=$AE$1+COUNTIF($AE14:AI14,$J$8),$J$8,IF($D14&gt;=$AE$1+COUNTIF($AE14:AI14,$D$8),$D$8,IF($I14&gt;=$AE$1+COUNTIF($AE14:AI14,$I$8),$I$8,"NG"))),IF($J14&gt;=$AE$1+COUNTIF($AE14:AI14,$J$8),$J$8,IF($I14&gt;=$AE$1+COUNTIF($AE14:AI14,$I$8),$I$8,"NG"))),"NG")</f>
        <v>#N/A</v>
      </c>
      <c r="AK14" s="444" t="e">
        <f>IF($AB14&gt;=AK$8,IF($S14&gt;=$AE$1,IF($J14&gt;=$AE$1+COUNTIF($AE14:AJ14,$J$8),$J$8,IF($D14&gt;=$AE$1+COUNTIF($AE14:AJ14,$D$8),$D$8,IF($I14&gt;=$AE$1+COUNTIF($AE14:AJ14,$I$8),$I$8,"NG"))),IF($J14&gt;=$AE$1+COUNTIF($AE14:AJ14,$J$8),$J$8,IF($I14&gt;=$AE$1+COUNTIF($AE14:AJ14,$I$8),$I$8,"NG"))),"NG")</f>
        <v>#N/A</v>
      </c>
      <c r="AL14" s="444" t="e">
        <f>IF($AB14&gt;=AL$8,IF($S14&gt;=$AE$1,IF($J14&gt;=$AE$1+COUNTIF($AE14:AK14,$J$8),$J$8,IF($D14&gt;=$AE$1+COUNTIF($AE14:AK14,$D$8),$D$8,IF($I14&gt;=$AE$1+COUNTIF($AE14:AK14,$I$8),$I$8,"NG"))),IF($J14&gt;=$AE$1+COUNTIF($AE14:AK14,$J$8),$J$8,IF($I14&gt;=$AE$1+COUNTIF($AE14:AK14,$I$8),$I$8,"NG"))),"NG")</f>
        <v>#N/A</v>
      </c>
      <c r="AM14" s="444" t="e">
        <f>IF($AB14&gt;=AM$8,IF($S14&gt;=$AE$1,IF($J14&gt;=$AE$1+COUNTIF($AE14:AL14,$J$8),$J$8,IF($D14&gt;=$AE$1+COUNTIF($AE14:AL14,$D$8),$D$8,IF($I14&gt;=$AE$1+COUNTIF($AE14:AL14,$I$8),$I$8,"NG"))),IF($J14&gt;=$AE$1+COUNTIF($AE14:AL14,$J$8),$J$8,IF($I14&gt;=$AE$1+COUNTIF($AE14:AL14,$I$8),$I$8,"NG"))),"NG")</f>
        <v>#N/A</v>
      </c>
      <c r="AN14" s="444" t="e">
        <f>IF($AB14&gt;=AN$8,IF($S14&gt;=$AE$1,IF($J14&gt;=$AE$1+COUNTIF($AE14:AM14,$J$8),$J$8,IF($D14&gt;=$AE$1+COUNTIF($AE14:AM14,$D$8),$D$8,IF($I14&gt;=$AE$1+COUNTIF($AE14:AM14,$I$8),$I$8,"NG"))),IF($J14&gt;=$AE$1+COUNTIF($AE14:AM14,$J$8),$J$8,IF($I14&gt;=$AE$1+COUNTIF($AE14:AM14,$I$8),$I$8,"NG"))),"NG")</f>
        <v>#N/A</v>
      </c>
      <c r="AO14" s="444" t="e">
        <f>IF($AB14&gt;=AO$8,IF($S14&gt;=$AE$1,IF($J14&gt;=$AE$1+COUNTIF($AE14:AN14,$J$8),$J$8,IF($D14&gt;=$AE$1+COUNTIF($AE14:AN14,$D$8),$D$8,IF($I14&gt;=$AE$1+COUNTIF($AE14:AN14,$I$8),$I$8,"NG"))),IF($J14&gt;=$AE$1+COUNTIF($AE14:AN14,$J$8),$J$8,IF($I14&gt;=$AE$1+COUNTIF($AE14:AN14,$I$8),$I$8,"NG"))),"NG")</f>
        <v>#N/A</v>
      </c>
      <c r="AP14" s="444" t="e">
        <f>IF($AB14&gt;=AP$8,IF($S14&gt;=$AE$1,IF($J14&gt;=$AE$1+COUNTIF($AE14:AO14,$J$8),$J$8,IF($D14&gt;=$AE$1+COUNTIF($AE14:AO14,$D$8),$D$8,IF($I14&gt;=$AE$1+COUNTIF($AE14:AO14,$I$8),$I$8,"NG"))),IF($J14&gt;=$AE$1+COUNTIF($AE14:AO14,$J$8),$J$8,IF($I14&gt;=$AE$1+COUNTIF($AE14:AO14,$I$8),$I$8,"NG"))),"NG")</f>
        <v>#N/A</v>
      </c>
      <c r="AQ14" s="444" t="e">
        <f>IF($AB14&gt;=AQ$8,IF($S14&gt;=$AE$1,IF($J14&gt;=$AE$1+COUNTIF($AE14:AP14,$J$8),$J$8,IF($D14&gt;=$AE$1+COUNTIF($AE14:AP14,$D$8),$D$8,IF($I14&gt;=$AE$1+COUNTIF($AE14:AP14,$I$8),$I$8,"NG"))),IF($J14&gt;=$AE$1+COUNTIF($AE14:AP14,$J$8),$J$8,IF($I14&gt;=$AE$1+COUNTIF($AE14:AP14,$I$8),$I$8,"NG"))),"NG")</f>
        <v>#N/A</v>
      </c>
      <c r="AR14" s="444" t="str">
        <f>IF($AC14&gt;=AR$8,IF($J14&gt;=$AE$1+COUNTIF($AE14:AQ14,$J$8),$J$8,IF($I14&gt;=$AE$1+COUNTIF($AE14:AQ14,$I$8),$I$8,"NG")),"NG")</f>
        <v>NG</v>
      </c>
      <c r="AS14" s="444" t="str">
        <f>IF($AC14&gt;=AS$8,IF($J14&gt;=$AE$1+COUNTIF($AE14:AR14,$J$8),$J$8,IF($I14&gt;=$AE$1+COUNTIF($AE14:AR14,$I$8),$I$8,"NG")),"NG")</f>
        <v>NG</v>
      </c>
      <c r="AT14" s="444" t="e">
        <f>IF(AND(W14="OK",AE14="NG"),IF($N14&gt;=$AE$1+COUNTIF($AE14:AS14,$N$8),$N$8,IF($M14&gt;=$AE$1+COUNTIF($AE14:AS14,$M$8),$M$8,IF($L14&gt;=$AE$1+COUNTIF($AE14:AS14,$L$8),$L$8,"NG"))),"NG")</f>
        <v>#N/A</v>
      </c>
      <c r="AU14" s="444" t="e">
        <f>IF(Z14="OK",IF($C14&gt;=$AE$1+COUNTIF($AE14:AT14,$C$8),$C$8,IF($D14&gt;=$AE$1+COUNTIF($AE14:AT14,$D$8),$D$8,IF($N14&gt;=$AE$1+COUNTIF($AE14:AT14,$N$8),$N$8,IF($I14&gt;=$AE$1+COUNTIF($AE14:AT14,$I$8),$I$8,IF($M14&gt;=$AE$1+COUNTIF($AE14:AT14,$M$8),$M$8,IF($L14&gt;=$AE$1+COUNTIF($AE14:AT14,$L$8),$L$8,"NG")))))),"NG")</f>
        <v>#N/A</v>
      </c>
      <c r="AV14" s="444" t="e">
        <f>IF(AA14="OK",IF(COUNTIF($AE14:AU14,$L$8)+COUNTIF($AE14:AU14,$M$8)+COUNTIF($AE14:AU14,$N$8)&gt;=2,"NG",IF($C14&gt;=$AE$1+COUNTIF($AE14:AU14,$C$8),$C$8,IF($D14&gt;=$AE$1+COUNTIF($AE14:AU14,$D$8),$D$8,IF($N14&gt;=$AE$1+COUNTIF($AE14:AU14,$N$8),$N$8,IF($M14&gt;=$AE$1+COUNTIF($AE14:AU14,$M$8),$M$8,IF($I14&gt;=$AE$1+COUNTIF($AE14:AU14,$I$8),$I$8,IF($L14&gt;=$AE$1+COUNTIF($AE14:AU14,$L$8),$L$8,"NG"))))))),"NG")</f>
        <v>#N/A</v>
      </c>
      <c r="AX14" s="444" t="e">
        <f t="shared" si="21"/>
        <v>#N/A</v>
      </c>
      <c r="AY14" s="444">
        <f t="shared" si="22"/>
        <v>0</v>
      </c>
      <c r="AZ14" s="444">
        <f t="shared" si="23"/>
        <v>0</v>
      </c>
    </row>
    <row r="15" spans="1:52">
      <c r="A15" s="444" t="s">
        <v>140</v>
      </c>
      <c r="B15" s="444" t="e">
        <f>'④-1月別配置内訳書(2)-(2)-(A)'!AC15</f>
        <v>#N/A</v>
      </c>
      <c r="C15" s="444" t="e">
        <f>'④-2月別配置内訳書(2)-(2)-(B)'!AF15</f>
        <v>#DIV/0!</v>
      </c>
      <c r="D15" s="444" t="e">
        <f>'④-3月別配置内訳書(2)-(2)-(C)・(D)'!V15</f>
        <v>#DIV/0!</v>
      </c>
      <c r="E15" s="444" t="e">
        <f>'④-3月別配置内訳書(2)-(2)-(C)・(D)'!AW15</f>
        <v>#DIV/0!</v>
      </c>
      <c r="F15" s="444" t="e">
        <f>'④-3月別配置内訳書(2)-(2)-(C)・(D)'!AX15</f>
        <v>#DIV/0!</v>
      </c>
      <c r="G15" s="444" t="e">
        <f>'④-４月別配置内訳書(2)-(2)-(E)'!V15</f>
        <v>#DIV/0!</v>
      </c>
      <c r="H15" s="444" t="e">
        <f t="shared" ref="H15:H20" si="24">I15+J15+K15</f>
        <v>#N/A</v>
      </c>
      <c r="I15" s="444" t="e">
        <f>'④-1月別配置内訳書(2)-(2)-(A)'!AD15</f>
        <v>#N/A</v>
      </c>
      <c r="J15" s="444" t="e">
        <f>'④-2月別配置内訳書(2)-(2)-(B)'!AG15</f>
        <v>#N/A</v>
      </c>
      <c r="K15" s="444" t="e">
        <f t="shared" si="8"/>
        <v>#N/A</v>
      </c>
      <c r="L15" s="444" t="e">
        <f>'④-3月別配置内訳書(2)-(2)-(C)・(D)'!AY15</f>
        <v>#N/A</v>
      </c>
      <c r="M15" s="444" t="e">
        <f>'④-3月別配置内訳書(2)-(2)-(C)・(D)'!AZ15</f>
        <v>#N/A</v>
      </c>
      <c r="N15" s="444" t="e">
        <f t="shared" ref="N15:N20" si="25">G15</f>
        <v>#DIV/0!</v>
      </c>
      <c r="O15" s="444" t="e">
        <f t="shared" ref="O15:O20" si="26">C15-J15</f>
        <v>#DIV/0!</v>
      </c>
      <c r="P15" s="444" t="e">
        <f t="shared" ref="P15:P20" si="27">D15-K15</f>
        <v>#DIV/0!</v>
      </c>
      <c r="R15" s="446" t="e">
        <f>①基本情報!L29</f>
        <v>#N/A</v>
      </c>
      <c r="S15" s="446" t="e">
        <f>①基本情報!L31</f>
        <v>#N/A</v>
      </c>
      <c r="T15" s="444">
        <f>SUM('③児童数及び保育士定数 (2)-(1)'!C16:D16)</f>
        <v>0</v>
      </c>
      <c r="U15" s="444">
        <f t="shared" ref="U15:U20" si="28">IF(T15&gt;=66,2,IF(T15&gt;=36,1,0))</f>
        <v>0</v>
      </c>
      <c r="W15" s="444" t="e">
        <f t="shared" si="12"/>
        <v>#N/A</v>
      </c>
      <c r="X15" s="444" t="e">
        <f t="shared" si="15"/>
        <v>#N/A</v>
      </c>
      <c r="Y15" s="444" t="e">
        <f t="shared" si="16"/>
        <v>#N/A</v>
      </c>
      <c r="Z15" s="444" t="e">
        <f t="shared" si="17"/>
        <v>#N/A</v>
      </c>
      <c r="AA15" s="444" t="e">
        <f t="shared" si="13"/>
        <v>#N/A</v>
      </c>
      <c r="AB15" s="444" t="e">
        <f t="shared" si="18"/>
        <v>#N/A</v>
      </c>
      <c r="AC15" s="444">
        <f t="shared" ref="AC15:AC20" si="29">IF(U15&gt;=1,MIN(ROUNDDOWN(SUM(I15:J15,O15)-COUNTIF($AF15:$AL15,$B$8)-COUNTIF($AF15:$AL15,$C$8),0),U15),0)</f>
        <v>0</v>
      </c>
      <c r="AE15" s="444" t="e">
        <f t="shared" ref="AE15:AE20" si="30">IF(W15="OK",IF($I15&gt;=$AE$1,I$8,IF($J15&gt;=$AE$1,J$8,IF($K15&gt;=$AE$1,K$8,"NG"))),"NG")</f>
        <v>#N/A</v>
      </c>
      <c r="AF15" s="444" t="e">
        <f>IF(X15="OK",IF($J15&gt;=$AE$1+COUNTIF($AE15:AE15,$J$8),$J$8,IF($K15&gt;=$AE$1+COUNTIF($AE15:AE15,$K$8),$K$8,IF($I15&gt;=$AE$1+COUNTIF($AE15:AE15,$I$8),$I$8,"NG"))),"NG")</f>
        <v>#N/A</v>
      </c>
      <c r="AG15" s="444" t="e">
        <f>IF(Y15="OK",IF($J15&gt;=$AE$1+COUNTIF($AE15:AF15,$J$8),$J$8,IF($K15&gt;=$AE$1+COUNTIF($AE15:AF15,$K$8),$K$8,IF($I15&gt;=$AE$1+COUNTIF($AE15:AF15,$I$8),$I$8,"NG"))),"NG")</f>
        <v>#N/A</v>
      </c>
      <c r="AH15" s="444" t="e">
        <f>IF($AB15&gt;=AH$8,IF($S15&gt;=$AE$1,IF($J15&gt;=$AE$1+COUNTIF($AE15:AG15,$J$8),$J$8,IF($D15&gt;=$AE$1+COUNTIF($AE15:AG15,$D$8),$D$8,IF($I15&gt;=$AE$1+COUNTIF($AE15:AG15,$I$8),$I$8,"NG"))),IF($J15&gt;=$AE$1+COUNTIF($AE15:AG15,$J$8),$J$8,IF($I15&gt;=$AE$1+COUNTIF($AE15:AG15,$I$8),$I$8,"NG"))),"NG")</f>
        <v>#N/A</v>
      </c>
      <c r="AI15" s="444" t="e">
        <f>IF($AB15&gt;=AI$8,IF($S15&gt;=$AE$1,IF($J15&gt;=$AE$1+COUNTIF($AE15:AH15,$J$8),$J$8,IF($D15&gt;=$AE$1+COUNTIF($AE15:AH15,$D$8),$D$8,IF($I15&gt;=$AE$1+COUNTIF($AE15:AH15,$I$8),$I$8,"NG"))),IF($J15&gt;=$AE$1+COUNTIF($AE15:AH15,$J$8),$J$8,IF($I15&gt;=$AE$1+COUNTIF($AE15:AH15,$I$8),$I$8,"NG"))),"NG")</f>
        <v>#N/A</v>
      </c>
      <c r="AJ15" s="444" t="e">
        <f>IF($AB15&gt;=AJ$8,IF($S15&gt;=$AE$1,IF($J15&gt;=$AE$1+COUNTIF($AE15:AI15,$J$8),$J$8,IF($D15&gt;=$AE$1+COUNTIF($AE15:AI15,$D$8),$D$8,IF($I15&gt;=$AE$1+COUNTIF($AE15:AI15,$I$8),$I$8,"NG"))),IF($J15&gt;=$AE$1+COUNTIF($AE15:AI15,$J$8),$J$8,IF($I15&gt;=$AE$1+COUNTIF($AE15:AI15,$I$8),$I$8,"NG"))),"NG")</f>
        <v>#N/A</v>
      </c>
      <c r="AK15" s="444" t="e">
        <f>IF($AB15&gt;=AK$8,IF($S15&gt;=$AE$1,IF($J15&gt;=$AE$1+COUNTIF($AE15:AJ15,$J$8),$J$8,IF($D15&gt;=$AE$1+COUNTIF($AE15:AJ15,$D$8),$D$8,IF($I15&gt;=$AE$1+COUNTIF($AE15:AJ15,$I$8),$I$8,"NG"))),IF($J15&gt;=$AE$1+COUNTIF($AE15:AJ15,$J$8),$J$8,IF($I15&gt;=$AE$1+COUNTIF($AE15:AJ15,$I$8),$I$8,"NG"))),"NG")</f>
        <v>#N/A</v>
      </c>
      <c r="AL15" s="444" t="e">
        <f>IF($AB15&gt;=AL$8,IF($S15&gt;=$AE$1,IF($J15&gt;=$AE$1+COUNTIF($AE15:AK15,$J$8),$J$8,IF($D15&gt;=$AE$1+COUNTIF($AE15:AK15,$D$8),$D$8,IF($I15&gt;=$AE$1+COUNTIF($AE15:AK15,$I$8),$I$8,"NG"))),IF($J15&gt;=$AE$1+COUNTIF($AE15:AK15,$J$8),$J$8,IF($I15&gt;=$AE$1+COUNTIF($AE15:AK15,$I$8),$I$8,"NG"))),"NG")</f>
        <v>#N/A</v>
      </c>
      <c r="AM15" s="444" t="e">
        <f>IF($AB15&gt;=AM$8,IF($S15&gt;=$AE$1,IF($J15&gt;=$AE$1+COUNTIF($AE15:AL15,$J$8),$J$8,IF($D15&gt;=$AE$1+COUNTIF($AE15:AL15,$D$8),$D$8,IF($I15&gt;=$AE$1+COUNTIF($AE15:AL15,$I$8),$I$8,"NG"))),IF($J15&gt;=$AE$1+COUNTIF($AE15:AL15,$J$8),$J$8,IF($I15&gt;=$AE$1+COUNTIF($AE15:AL15,$I$8),$I$8,"NG"))),"NG")</f>
        <v>#N/A</v>
      </c>
      <c r="AN15" s="444" t="e">
        <f>IF($AB15&gt;=AN$8,IF($S15&gt;=$AE$1,IF($J15&gt;=$AE$1+COUNTIF($AE15:AM15,$J$8),$J$8,IF($D15&gt;=$AE$1+COUNTIF($AE15:AM15,$D$8),$D$8,IF($I15&gt;=$AE$1+COUNTIF($AE15:AM15,$I$8),$I$8,"NG"))),IF($J15&gt;=$AE$1+COUNTIF($AE15:AM15,$J$8),$J$8,IF($I15&gt;=$AE$1+COUNTIF($AE15:AM15,$I$8),$I$8,"NG"))),"NG")</f>
        <v>#N/A</v>
      </c>
      <c r="AO15" s="444" t="e">
        <f>IF($AB15&gt;=AO$8,IF($S15&gt;=$AE$1,IF($J15&gt;=$AE$1+COUNTIF($AE15:AN15,$J$8),$J$8,IF($D15&gt;=$AE$1+COUNTIF($AE15:AN15,$D$8),$D$8,IF($I15&gt;=$AE$1+COUNTIF($AE15:AN15,$I$8),$I$8,"NG"))),IF($J15&gt;=$AE$1+COUNTIF($AE15:AN15,$J$8),$J$8,IF($I15&gt;=$AE$1+COUNTIF($AE15:AN15,$I$8),$I$8,"NG"))),"NG")</f>
        <v>#N/A</v>
      </c>
      <c r="AP15" s="444" t="e">
        <f>IF($AB15&gt;=AP$8,IF($S15&gt;=$AE$1,IF($J15&gt;=$AE$1+COUNTIF($AE15:AO15,$J$8),$J$8,IF($D15&gt;=$AE$1+COUNTIF($AE15:AO15,$D$8),$D$8,IF($I15&gt;=$AE$1+COUNTIF($AE15:AO15,$I$8),$I$8,"NG"))),IF($J15&gt;=$AE$1+COUNTIF($AE15:AO15,$J$8),$J$8,IF($I15&gt;=$AE$1+COUNTIF($AE15:AO15,$I$8),$I$8,"NG"))),"NG")</f>
        <v>#N/A</v>
      </c>
      <c r="AQ15" s="444" t="e">
        <f>IF($AB15&gt;=AQ$8,IF($S15&gt;=$AE$1,IF($J15&gt;=$AE$1+COUNTIF($AE15:AP15,$J$8),$J$8,IF($D15&gt;=$AE$1+COUNTIF($AE15:AP15,$D$8),$D$8,IF($I15&gt;=$AE$1+COUNTIF($AE15:AP15,$I$8),$I$8,"NG"))),IF($J15&gt;=$AE$1+COUNTIF($AE15:AP15,$J$8),$J$8,IF($I15&gt;=$AE$1+COUNTIF($AE15:AP15,$I$8),$I$8,"NG"))),"NG")</f>
        <v>#N/A</v>
      </c>
      <c r="AR15" s="444" t="str">
        <f>IF($AC15&gt;=AR$8,IF($J15&gt;=$AE$1+COUNTIF($AE15:AQ15,$J$8),$J$8,IF($I15&gt;=$AE$1+COUNTIF($AE15:AQ15,$I$8),$I$8,"NG")),"NG")</f>
        <v>NG</v>
      </c>
      <c r="AS15" s="444" t="str">
        <f>IF($AC15&gt;=AS$8,IF($J15&gt;=$AE$1+COUNTIF($AE15:AR15,$J$8),$J$8,IF($I15&gt;=$AE$1+COUNTIF($AE15:AR15,$I$8),$I$8,"NG")),"NG")</f>
        <v>NG</v>
      </c>
      <c r="AT15" s="444" t="e">
        <f>IF(AND(W15="OK",AE15="NG"),IF($N15&gt;=$AE$1+COUNTIF($AE15:AS15,$N$8),$N$8,IF($M15&gt;=$AE$1+COUNTIF($AE15:AS15,$M$8),$M$8,IF($L15&gt;=$AE$1+COUNTIF($AE15:AS15,$L$8),$L$8,"NG"))),"NG")</f>
        <v>#N/A</v>
      </c>
      <c r="AU15" s="444" t="e">
        <f>IF(Z15="OK",IF($C15&gt;=$AE$1+COUNTIF($AE15:AT15,$C$8),$C$8,IF($D15&gt;=$AE$1+COUNTIF($AE15:AT15,$D$8),$D$8,IF($N15&gt;=$AE$1+COUNTIF($AE15:AT15,$N$8),$N$8,IF($I15&gt;=$AE$1+COUNTIF($AE15:AT15,$I$8),$I$8,IF($M15&gt;=$AE$1+COUNTIF($AE15:AT15,$M$8),$M$8,IF($L15&gt;=$AE$1+COUNTIF($AE15:AT15,$L$8),$L$8,"NG")))))),"NG")</f>
        <v>#N/A</v>
      </c>
      <c r="AV15" s="444" t="e">
        <f>IF(AA15="OK",IF(COUNTIF($AE15:AU15,$L$8)+COUNTIF($AE15:AU15,$M$8)+COUNTIF($AE15:AU15,$N$8)&gt;=2,"NG",IF($C15&gt;=$AE$1+COUNTIF($AE15:AU15,$C$8),$C$8,IF($D15&gt;=$AE$1+COUNTIF($AE15:AU15,$D$8),$D$8,IF($N15&gt;=$AE$1+COUNTIF($AE15:AU15,$N$8),$N$8,IF($M15&gt;=$AE$1+COUNTIF($AE15:AU15,$M$8),$M$8,IF($I15&gt;=$AE$1+COUNTIF($AE15:AU15,$I$8),$I$8,IF($L15&gt;=$AE$1+COUNTIF($AE15:AU15,$L$8),$L$8,"NG"))))))),"NG")</f>
        <v>#N/A</v>
      </c>
      <c r="AX15" s="444" t="e">
        <f t="shared" ref="AX15:AX20" si="31">IF(AE15="NG",AT15,AE15)</f>
        <v>#N/A</v>
      </c>
      <c r="AY15" s="444">
        <f t="shared" si="22"/>
        <v>0</v>
      </c>
      <c r="AZ15" s="444">
        <f t="shared" si="23"/>
        <v>0</v>
      </c>
    </row>
    <row r="16" spans="1:52">
      <c r="A16" s="444" t="s">
        <v>141</v>
      </c>
      <c r="B16" s="444" t="e">
        <f>'④-1月別配置内訳書(2)-(2)-(A)'!AC16</f>
        <v>#N/A</v>
      </c>
      <c r="C16" s="444" t="e">
        <f>'④-2月別配置内訳書(2)-(2)-(B)'!AF16</f>
        <v>#DIV/0!</v>
      </c>
      <c r="D16" s="444" t="e">
        <f>'④-3月別配置内訳書(2)-(2)-(C)・(D)'!V16</f>
        <v>#DIV/0!</v>
      </c>
      <c r="E16" s="444" t="e">
        <f>'④-3月別配置内訳書(2)-(2)-(C)・(D)'!AW16</f>
        <v>#DIV/0!</v>
      </c>
      <c r="F16" s="444" t="e">
        <f>'④-3月別配置内訳書(2)-(2)-(C)・(D)'!AX16</f>
        <v>#DIV/0!</v>
      </c>
      <c r="G16" s="444" t="e">
        <f>'④-４月別配置内訳書(2)-(2)-(E)'!V16</f>
        <v>#DIV/0!</v>
      </c>
      <c r="H16" s="444" t="e">
        <f t="shared" si="24"/>
        <v>#N/A</v>
      </c>
      <c r="I16" s="444" t="e">
        <f>'④-1月別配置内訳書(2)-(2)-(A)'!AD16</f>
        <v>#N/A</v>
      </c>
      <c r="J16" s="444" t="e">
        <f>'④-2月別配置内訳書(2)-(2)-(B)'!AG16</f>
        <v>#N/A</v>
      </c>
      <c r="K16" s="444" t="e">
        <f t="shared" si="8"/>
        <v>#N/A</v>
      </c>
      <c r="L16" s="444" t="e">
        <f>'④-3月別配置内訳書(2)-(2)-(C)・(D)'!AY16</f>
        <v>#N/A</v>
      </c>
      <c r="M16" s="444" t="e">
        <f>'④-3月別配置内訳書(2)-(2)-(C)・(D)'!AZ16</f>
        <v>#N/A</v>
      </c>
      <c r="N16" s="444" t="e">
        <f t="shared" si="25"/>
        <v>#DIV/0!</v>
      </c>
      <c r="O16" s="444" t="e">
        <f t="shared" si="26"/>
        <v>#DIV/0!</v>
      </c>
      <c r="P16" s="444" t="e">
        <f t="shared" si="27"/>
        <v>#DIV/0!</v>
      </c>
      <c r="R16" s="446" t="e">
        <f>①基本情報!M29</f>
        <v>#N/A</v>
      </c>
      <c r="S16" s="446" t="e">
        <f>①基本情報!M31</f>
        <v>#N/A</v>
      </c>
      <c r="T16" s="444">
        <f>SUM('③児童数及び保育士定数 (2)-(1)'!C17:D17)</f>
        <v>0</v>
      </c>
      <c r="U16" s="444">
        <f t="shared" si="28"/>
        <v>0</v>
      </c>
      <c r="W16" s="444" t="e">
        <f t="shared" si="12"/>
        <v>#N/A</v>
      </c>
      <c r="X16" s="444" t="e">
        <f t="shared" si="15"/>
        <v>#N/A</v>
      </c>
      <c r="Y16" s="444" t="e">
        <f t="shared" si="16"/>
        <v>#N/A</v>
      </c>
      <c r="Z16" s="444" t="e">
        <f t="shared" si="17"/>
        <v>#N/A</v>
      </c>
      <c r="AA16" s="444" t="e">
        <f t="shared" si="13"/>
        <v>#N/A</v>
      </c>
      <c r="AB16" s="444" t="e">
        <f t="shared" si="18"/>
        <v>#N/A</v>
      </c>
      <c r="AC16" s="444">
        <f t="shared" si="29"/>
        <v>0</v>
      </c>
      <c r="AE16" s="444" t="e">
        <f t="shared" si="30"/>
        <v>#N/A</v>
      </c>
      <c r="AF16" s="444" t="e">
        <f>IF(X16="OK",IF($J16&gt;=$AE$1+COUNTIF($AE16:AE16,$J$8),$J$8,IF($K16&gt;=$AE$1+COUNTIF($AE16:AE16,$K$8),$K$8,IF($I16&gt;=$AE$1+COUNTIF($AE16:AE16,$I$8),$I$8,"NG"))),"NG")</f>
        <v>#N/A</v>
      </c>
      <c r="AG16" s="444" t="e">
        <f>IF(Y16="OK",IF($J16&gt;=$AE$1+COUNTIF($AE16:AF16,$J$8),$J$8,IF($K16&gt;=$AE$1+COUNTIF($AE16:AF16,$K$8),$K$8,IF($I16&gt;=$AE$1+COUNTIF($AE16:AF16,$I$8),$I$8,"NG"))),"NG")</f>
        <v>#N/A</v>
      </c>
      <c r="AH16" s="444" t="e">
        <f>IF($AB16&gt;=AH$8,IF($S16&gt;=$AE$1,IF($J16&gt;=$AE$1+COUNTIF($AE16:AG16,$J$8),$J$8,IF($D16&gt;=$AE$1+COUNTIF($AE16:AG16,$D$8),$D$8,IF($I16&gt;=$AE$1+COUNTIF($AE16:AG16,$I$8),$I$8,"NG"))),IF($J16&gt;=$AE$1+COUNTIF($AE16:AG16,$J$8),$J$8,IF($I16&gt;=$AE$1+COUNTIF($AE16:AG16,$I$8),$I$8,"NG"))),"NG")</f>
        <v>#N/A</v>
      </c>
      <c r="AI16" s="444" t="e">
        <f>IF($AB16&gt;=AI$8,IF($S16&gt;=$AE$1,IF($J16&gt;=$AE$1+COUNTIF($AE16:AH16,$J$8),$J$8,IF($D16&gt;=$AE$1+COUNTIF($AE16:AH16,$D$8),$D$8,IF($I16&gt;=$AE$1+COUNTIF($AE16:AH16,$I$8),$I$8,"NG"))),IF($J16&gt;=$AE$1+COUNTIF($AE16:AH16,$J$8),$J$8,IF($I16&gt;=$AE$1+COUNTIF($AE16:AH16,$I$8),$I$8,"NG"))),"NG")</f>
        <v>#N/A</v>
      </c>
      <c r="AJ16" s="444" t="e">
        <f>IF($AB16&gt;=AJ$8,IF($S16&gt;=$AE$1,IF($J16&gt;=$AE$1+COUNTIF($AE16:AI16,$J$8),$J$8,IF($D16&gt;=$AE$1+COUNTIF($AE16:AI16,$D$8),$D$8,IF($I16&gt;=$AE$1+COUNTIF($AE16:AI16,$I$8),$I$8,"NG"))),IF($J16&gt;=$AE$1+COUNTIF($AE16:AI16,$J$8),$J$8,IF($I16&gt;=$AE$1+COUNTIF($AE16:AI16,$I$8),$I$8,"NG"))),"NG")</f>
        <v>#N/A</v>
      </c>
      <c r="AK16" s="444" t="e">
        <f>IF($AB16&gt;=AK$8,IF($S16&gt;=$AE$1,IF($J16&gt;=$AE$1+COUNTIF($AE16:AJ16,$J$8),$J$8,IF($D16&gt;=$AE$1+COUNTIF($AE16:AJ16,$D$8),$D$8,IF($I16&gt;=$AE$1+COUNTIF($AE16:AJ16,$I$8),$I$8,"NG"))),IF($J16&gt;=$AE$1+COUNTIF($AE16:AJ16,$J$8),$J$8,IF($I16&gt;=$AE$1+COUNTIF($AE16:AJ16,$I$8),$I$8,"NG"))),"NG")</f>
        <v>#N/A</v>
      </c>
      <c r="AL16" s="444" t="e">
        <f>IF($AB16&gt;=AL$8,IF($S16&gt;=$AE$1,IF($J16&gt;=$AE$1+COUNTIF($AE16:AK16,$J$8),$J$8,IF($D16&gt;=$AE$1+COUNTIF($AE16:AK16,$D$8),$D$8,IF($I16&gt;=$AE$1+COUNTIF($AE16:AK16,$I$8),$I$8,"NG"))),IF($J16&gt;=$AE$1+COUNTIF($AE16:AK16,$J$8),$J$8,IF($I16&gt;=$AE$1+COUNTIF($AE16:AK16,$I$8),$I$8,"NG"))),"NG")</f>
        <v>#N/A</v>
      </c>
      <c r="AM16" s="444" t="e">
        <f>IF($AB16&gt;=AM$8,IF($S16&gt;=$AE$1,IF($J16&gt;=$AE$1+COUNTIF($AE16:AL16,$J$8),$J$8,IF($D16&gt;=$AE$1+COUNTIF($AE16:AL16,$D$8),$D$8,IF($I16&gt;=$AE$1+COUNTIF($AE16:AL16,$I$8),$I$8,"NG"))),IF($J16&gt;=$AE$1+COUNTIF($AE16:AL16,$J$8),$J$8,IF($I16&gt;=$AE$1+COUNTIF($AE16:AL16,$I$8),$I$8,"NG"))),"NG")</f>
        <v>#N/A</v>
      </c>
      <c r="AN16" s="444" t="e">
        <f>IF($AB16&gt;=AN$8,IF($S16&gt;=$AE$1,IF($J16&gt;=$AE$1+COUNTIF($AE16:AM16,$J$8),$J$8,IF($D16&gt;=$AE$1+COUNTIF($AE16:AM16,$D$8),$D$8,IF($I16&gt;=$AE$1+COUNTIF($AE16:AM16,$I$8),$I$8,"NG"))),IF($J16&gt;=$AE$1+COUNTIF($AE16:AM16,$J$8),$J$8,IF($I16&gt;=$AE$1+COUNTIF($AE16:AM16,$I$8),$I$8,"NG"))),"NG")</f>
        <v>#N/A</v>
      </c>
      <c r="AO16" s="444" t="e">
        <f>IF($AB16&gt;=AO$8,IF($S16&gt;=$AE$1,IF($J16&gt;=$AE$1+COUNTIF($AE16:AN16,$J$8),$J$8,IF($D16&gt;=$AE$1+COUNTIF($AE16:AN16,$D$8),$D$8,IF($I16&gt;=$AE$1+COUNTIF($AE16:AN16,$I$8),$I$8,"NG"))),IF($J16&gt;=$AE$1+COUNTIF($AE16:AN16,$J$8),$J$8,IF($I16&gt;=$AE$1+COUNTIF($AE16:AN16,$I$8),$I$8,"NG"))),"NG")</f>
        <v>#N/A</v>
      </c>
      <c r="AP16" s="444" t="e">
        <f>IF($AB16&gt;=AP$8,IF($S16&gt;=$AE$1,IF($J16&gt;=$AE$1+COUNTIF($AE16:AO16,$J$8),$J$8,IF($D16&gt;=$AE$1+COUNTIF($AE16:AO16,$D$8),$D$8,IF($I16&gt;=$AE$1+COUNTIF($AE16:AO16,$I$8),$I$8,"NG"))),IF($J16&gt;=$AE$1+COUNTIF($AE16:AO16,$J$8),$J$8,IF($I16&gt;=$AE$1+COUNTIF($AE16:AO16,$I$8),$I$8,"NG"))),"NG")</f>
        <v>#N/A</v>
      </c>
      <c r="AQ16" s="444" t="e">
        <f>IF($AB16&gt;=AQ$8,IF($S16&gt;=$AE$1,IF($J16&gt;=$AE$1+COUNTIF($AE16:AP16,$J$8),$J$8,IF($D16&gt;=$AE$1+COUNTIF($AE16:AP16,$D$8),$D$8,IF($I16&gt;=$AE$1+COUNTIF($AE16:AP16,$I$8),$I$8,"NG"))),IF($J16&gt;=$AE$1+COUNTIF($AE16:AP16,$J$8),$J$8,IF($I16&gt;=$AE$1+COUNTIF($AE16:AP16,$I$8),$I$8,"NG"))),"NG")</f>
        <v>#N/A</v>
      </c>
      <c r="AR16" s="444" t="str">
        <f>IF($AC16&gt;=AR$8,IF($J16&gt;=$AE$1+COUNTIF($AE16:AQ16,$J$8),$J$8,IF($I16&gt;=$AE$1+COUNTIF($AE16:AQ16,$I$8),$I$8,"NG")),"NG")</f>
        <v>NG</v>
      </c>
      <c r="AS16" s="444" t="str">
        <f>IF($AC16&gt;=AS$8,IF($J16&gt;=$AE$1+COUNTIF($AE16:AR16,$J$8),$J$8,IF($I16&gt;=$AE$1+COUNTIF($AE16:AR16,$I$8),$I$8,"NG")),"NG")</f>
        <v>NG</v>
      </c>
      <c r="AT16" s="444" t="e">
        <f>IF(AND(W16="OK",AE16="NG"),IF($N16&gt;=$AE$1+COUNTIF($AE16:AS16,$N$8),$N$8,IF($M16&gt;=$AE$1+COUNTIF($AE16:AS16,$M$8),$M$8,IF($L16&gt;=$AE$1+COUNTIF($AE16:AS16,$L$8),$L$8,"NG"))),"NG")</f>
        <v>#N/A</v>
      </c>
      <c r="AU16" s="444" t="e">
        <f>IF(Z16="OK",IF($C16&gt;=$AE$1+COUNTIF($AE16:AT16,$C$8),$C$8,IF($D16&gt;=$AE$1+COUNTIF($AE16:AT16,$D$8),$D$8,IF($N16&gt;=$AE$1+COUNTIF($AE16:AT16,$N$8),$N$8,IF($I16&gt;=$AE$1+COUNTIF($AE16:AT16,$I$8),$I$8,IF($M16&gt;=$AE$1+COUNTIF($AE16:AT16,$M$8),$M$8,IF($L16&gt;=$AE$1+COUNTIF($AE16:AT16,$L$8),$L$8,"NG")))))),"NG")</f>
        <v>#N/A</v>
      </c>
      <c r="AV16" s="444" t="e">
        <f>IF(AA16="OK",IF(COUNTIF($AE16:AU16,$L$8)+COUNTIF($AE16:AU16,$M$8)+COUNTIF($AE16:AU16,$N$8)&gt;=2,"NG",IF($C16&gt;=$AE$1+COUNTIF($AE16:AU16,$C$8),$C$8,IF($D16&gt;=$AE$1+COUNTIF($AE16:AU16,$D$8),$D$8,IF($N16&gt;=$AE$1+COUNTIF($AE16:AU16,$N$8),$N$8,IF($M16&gt;=$AE$1+COUNTIF($AE16:AU16,$M$8),$M$8,IF($I16&gt;=$AE$1+COUNTIF($AE16:AU16,$I$8),$I$8,IF($L16&gt;=$AE$1+COUNTIF($AE16:AU16,$L$8),$L$8,"NG"))))))),"NG")</f>
        <v>#N/A</v>
      </c>
      <c r="AX16" s="444" t="e">
        <f t="shared" si="31"/>
        <v>#N/A</v>
      </c>
      <c r="AY16" s="444">
        <f t="shared" si="22"/>
        <v>0</v>
      </c>
      <c r="AZ16" s="444">
        <f t="shared" si="23"/>
        <v>0</v>
      </c>
    </row>
    <row r="17" spans="1:52">
      <c r="A17" s="444" t="s">
        <v>142</v>
      </c>
      <c r="B17" s="444" t="e">
        <f>'④-1月別配置内訳書(2)-(2)-(A)'!AC17</f>
        <v>#N/A</v>
      </c>
      <c r="C17" s="444" t="e">
        <f>'④-2月別配置内訳書(2)-(2)-(B)'!AF17</f>
        <v>#DIV/0!</v>
      </c>
      <c r="D17" s="444" t="e">
        <f>'④-3月別配置内訳書(2)-(2)-(C)・(D)'!V17</f>
        <v>#DIV/0!</v>
      </c>
      <c r="E17" s="444" t="e">
        <f>'④-3月別配置内訳書(2)-(2)-(C)・(D)'!AW17</f>
        <v>#DIV/0!</v>
      </c>
      <c r="F17" s="444" t="e">
        <f>'④-3月別配置内訳書(2)-(2)-(C)・(D)'!AX17</f>
        <v>#DIV/0!</v>
      </c>
      <c r="G17" s="444" t="e">
        <f>'④-４月別配置内訳書(2)-(2)-(E)'!V17</f>
        <v>#DIV/0!</v>
      </c>
      <c r="H17" s="444" t="e">
        <f t="shared" si="24"/>
        <v>#N/A</v>
      </c>
      <c r="I17" s="444" t="e">
        <f>'④-1月別配置内訳書(2)-(2)-(A)'!AD17</f>
        <v>#N/A</v>
      </c>
      <c r="J17" s="444" t="e">
        <f>'④-2月別配置内訳書(2)-(2)-(B)'!AG17</f>
        <v>#N/A</v>
      </c>
      <c r="K17" s="444" t="e">
        <f t="shared" si="8"/>
        <v>#N/A</v>
      </c>
      <c r="L17" s="444" t="e">
        <f>'④-3月別配置内訳書(2)-(2)-(C)・(D)'!AY17</f>
        <v>#N/A</v>
      </c>
      <c r="M17" s="444" t="e">
        <f>'④-3月別配置内訳書(2)-(2)-(C)・(D)'!AZ17</f>
        <v>#N/A</v>
      </c>
      <c r="N17" s="444" t="e">
        <f t="shared" si="25"/>
        <v>#DIV/0!</v>
      </c>
      <c r="O17" s="444" t="e">
        <f t="shared" si="26"/>
        <v>#DIV/0!</v>
      </c>
      <c r="P17" s="444" t="e">
        <f t="shared" si="27"/>
        <v>#DIV/0!</v>
      </c>
      <c r="R17" s="446" t="e">
        <f>①基本情報!N29</f>
        <v>#N/A</v>
      </c>
      <c r="S17" s="446" t="e">
        <f>①基本情報!N31</f>
        <v>#N/A</v>
      </c>
      <c r="T17" s="444">
        <f>SUM('③児童数及び保育士定数 (2)-(1)'!C18:D18)</f>
        <v>0</v>
      </c>
      <c r="U17" s="444">
        <f t="shared" si="28"/>
        <v>0</v>
      </c>
      <c r="W17" s="444" t="e">
        <f t="shared" si="12"/>
        <v>#N/A</v>
      </c>
      <c r="X17" s="444" t="e">
        <f t="shared" si="15"/>
        <v>#N/A</v>
      </c>
      <c r="Y17" s="444" t="e">
        <f t="shared" si="16"/>
        <v>#N/A</v>
      </c>
      <c r="Z17" s="444" t="e">
        <f t="shared" si="17"/>
        <v>#N/A</v>
      </c>
      <c r="AA17" s="444" t="e">
        <f t="shared" si="13"/>
        <v>#N/A</v>
      </c>
      <c r="AB17" s="444" t="e">
        <f t="shared" si="18"/>
        <v>#N/A</v>
      </c>
      <c r="AC17" s="444">
        <f t="shared" si="29"/>
        <v>0</v>
      </c>
      <c r="AE17" s="444" t="e">
        <f t="shared" si="30"/>
        <v>#N/A</v>
      </c>
      <c r="AF17" s="444" t="e">
        <f>IF(X17="OK",IF($J17&gt;=$AE$1+COUNTIF($AE17:AE17,$J$8),$J$8,IF($K17&gt;=$AE$1+COUNTIF($AE17:AE17,$K$8),$K$8,IF($I17&gt;=$AE$1+COUNTIF($AE17:AE17,$I$8),$I$8,"NG"))),"NG")</f>
        <v>#N/A</v>
      </c>
      <c r="AG17" s="444" t="e">
        <f>IF(Y17="OK",IF($J17&gt;=$AE$1+COUNTIF($AE17:AF17,$J$8),$J$8,IF($K17&gt;=$AE$1+COUNTIF($AE17:AF17,$K$8),$K$8,IF($I17&gt;=$AE$1+COUNTIF($AE17:AF17,$I$8),$I$8,"NG"))),"NG")</f>
        <v>#N/A</v>
      </c>
      <c r="AH17" s="444" t="e">
        <f>IF($AB17&gt;=AH$8,IF($S17&gt;=$AE$1,IF($J17&gt;=$AE$1+COUNTIF($AE17:AG17,$J$8),$J$8,IF($D17&gt;=$AE$1+COUNTIF($AE17:AG17,$D$8),$D$8,IF($I17&gt;=$AE$1+COUNTIF($AE17:AG17,$I$8),$I$8,"NG"))),IF($J17&gt;=$AE$1+COUNTIF($AE17:AG17,$J$8),$J$8,IF($I17&gt;=$AE$1+COUNTIF($AE17:AG17,$I$8),$I$8,"NG"))),"NG")</f>
        <v>#N/A</v>
      </c>
      <c r="AI17" s="444" t="e">
        <f>IF($AB17&gt;=AI$8,IF($S17&gt;=$AE$1,IF($J17&gt;=$AE$1+COUNTIF($AE17:AH17,$J$8),$J$8,IF($D17&gt;=$AE$1+COUNTIF($AE17:AH17,$D$8),$D$8,IF($I17&gt;=$AE$1+COUNTIF($AE17:AH17,$I$8),$I$8,"NG"))),IF($J17&gt;=$AE$1+COUNTIF($AE17:AH17,$J$8),$J$8,IF($I17&gt;=$AE$1+COUNTIF($AE17:AH17,$I$8),$I$8,"NG"))),"NG")</f>
        <v>#N/A</v>
      </c>
      <c r="AJ17" s="444" t="e">
        <f>IF($AB17&gt;=AJ$8,IF($S17&gt;=$AE$1,IF($J17&gt;=$AE$1+COUNTIF($AE17:AI17,$J$8),$J$8,IF($D17&gt;=$AE$1+COUNTIF($AE17:AI17,$D$8),$D$8,IF($I17&gt;=$AE$1+COUNTIF($AE17:AI17,$I$8),$I$8,"NG"))),IF($J17&gt;=$AE$1+COUNTIF($AE17:AI17,$J$8),$J$8,IF($I17&gt;=$AE$1+COUNTIF($AE17:AI17,$I$8),$I$8,"NG"))),"NG")</f>
        <v>#N/A</v>
      </c>
      <c r="AK17" s="444" t="e">
        <f>IF($AB17&gt;=AK$8,IF($S17&gt;=$AE$1,IF($J17&gt;=$AE$1+COUNTIF($AE17:AJ17,$J$8),$J$8,IF($D17&gt;=$AE$1+COUNTIF($AE17:AJ17,$D$8),$D$8,IF($I17&gt;=$AE$1+COUNTIF($AE17:AJ17,$I$8),$I$8,"NG"))),IF($J17&gt;=$AE$1+COUNTIF($AE17:AJ17,$J$8),$J$8,IF($I17&gt;=$AE$1+COUNTIF($AE17:AJ17,$I$8),$I$8,"NG"))),"NG")</f>
        <v>#N/A</v>
      </c>
      <c r="AL17" s="444" t="e">
        <f>IF($AB17&gt;=AL$8,IF($S17&gt;=$AE$1,IF($J17&gt;=$AE$1+COUNTIF($AE17:AK17,$J$8),$J$8,IF($D17&gt;=$AE$1+COUNTIF($AE17:AK17,$D$8),$D$8,IF($I17&gt;=$AE$1+COUNTIF($AE17:AK17,$I$8),$I$8,"NG"))),IF($J17&gt;=$AE$1+COUNTIF($AE17:AK17,$J$8),$J$8,IF($I17&gt;=$AE$1+COUNTIF($AE17:AK17,$I$8),$I$8,"NG"))),"NG")</f>
        <v>#N/A</v>
      </c>
      <c r="AM17" s="444" t="e">
        <f>IF($AB17&gt;=AM$8,IF($S17&gt;=$AE$1,IF($J17&gt;=$AE$1+COUNTIF($AE17:AL17,$J$8),$J$8,IF($D17&gt;=$AE$1+COUNTIF($AE17:AL17,$D$8),$D$8,IF($I17&gt;=$AE$1+COUNTIF($AE17:AL17,$I$8),$I$8,"NG"))),IF($J17&gt;=$AE$1+COUNTIF($AE17:AL17,$J$8),$J$8,IF($I17&gt;=$AE$1+COUNTIF($AE17:AL17,$I$8),$I$8,"NG"))),"NG")</f>
        <v>#N/A</v>
      </c>
      <c r="AN17" s="444" t="e">
        <f>IF($AB17&gt;=AN$8,IF($S17&gt;=$AE$1,IF($J17&gt;=$AE$1+COUNTIF($AE17:AM17,$J$8),$J$8,IF($D17&gt;=$AE$1+COUNTIF($AE17:AM17,$D$8),$D$8,IF($I17&gt;=$AE$1+COUNTIF($AE17:AM17,$I$8),$I$8,"NG"))),IF($J17&gt;=$AE$1+COUNTIF($AE17:AM17,$J$8),$J$8,IF($I17&gt;=$AE$1+COUNTIF($AE17:AM17,$I$8),$I$8,"NG"))),"NG")</f>
        <v>#N/A</v>
      </c>
      <c r="AO17" s="444" t="e">
        <f>IF($AB17&gt;=AO$8,IF($S17&gt;=$AE$1,IF($J17&gt;=$AE$1+COUNTIF($AE17:AN17,$J$8),$J$8,IF($D17&gt;=$AE$1+COUNTIF($AE17:AN17,$D$8),$D$8,IF($I17&gt;=$AE$1+COUNTIF($AE17:AN17,$I$8),$I$8,"NG"))),IF($J17&gt;=$AE$1+COUNTIF($AE17:AN17,$J$8),$J$8,IF($I17&gt;=$AE$1+COUNTIF($AE17:AN17,$I$8),$I$8,"NG"))),"NG")</f>
        <v>#N/A</v>
      </c>
      <c r="AP17" s="444" t="e">
        <f>IF($AB17&gt;=AP$8,IF($S17&gt;=$AE$1,IF($J17&gt;=$AE$1+COUNTIF($AE17:AO17,$J$8),$J$8,IF($D17&gt;=$AE$1+COUNTIF($AE17:AO17,$D$8),$D$8,IF($I17&gt;=$AE$1+COUNTIF($AE17:AO17,$I$8),$I$8,"NG"))),IF($J17&gt;=$AE$1+COUNTIF($AE17:AO17,$J$8),$J$8,IF($I17&gt;=$AE$1+COUNTIF($AE17:AO17,$I$8),$I$8,"NG"))),"NG")</f>
        <v>#N/A</v>
      </c>
      <c r="AQ17" s="444" t="e">
        <f>IF($AB17&gt;=AQ$8,IF($S17&gt;=$AE$1,IF($J17&gt;=$AE$1+COUNTIF($AE17:AP17,$J$8),$J$8,IF($D17&gt;=$AE$1+COUNTIF($AE17:AP17,$D$8),$D$8,IF($I17&gt;=$AE$1+COUNTIF($AE17:AP17,$I$8),$I$8,"NG"))),IF($J17&gt;=$AE$1+COUNTIF($AE17:AP17,$J$8),$J$8,IF($I17&gt;=$AE$1+COUNTIF($AE17:AP17,$I$8),$I$8,"NG"))),"NG")</f>
        <v>#N/A</v>
      </c>
      <c r="AR17" s="444" t="str">
        <f>IF($AC17&gt;=AR$8,IF($J17&gt;=$AE$1+COUNTIF($AE17:AQ17,$J$8),$J$8,IF($I17&gt;=$AE$1+COUNTIF($AE17:AQ17,$I$8),$I$8,"NG")),"NG")</f>
        <v>NG</v>
      </c>
      <c r="AS17" s="444" t="str">
        <f>IF($AC17&gt;=AS$8,IF($J17&gt;=$AE$1+COUNTIF($AE17:AR17,$J$8),$J$8,IF($I17&gt;=$AE$1+COUNTIF($AE17:AR17,$I$8),$I$8,"NG")),"NG")</f>
        <v>NG</v>
      </c>
      <c r="AT17" s="444" t="e">
        <f>IF(AND(W17="OK",AE17="NG"),IF($N17&gt;=$AE$1+COUNTIF($AE17:AS17,$N$8),$N$8,IF($M17&gt;=$AE$1+COUNTIF($AE17:AS17,$M$8),$M$8,IF($L17&gt;=$AE$1+COUNTIF($AE17:AS17,$L$8),$L$8,"NG"))),"NG")</f>
        <v>#N/A</v>
      </c>
      <c r="AU17" s="444" t="e">
        <f>IF(Z17="OK",IF($C17&gt;=$AE$1+COUNTIF($AE17:AT17,$C$8),$C$8,IF($D17&gt;=$AE$1+COUNTIF($AE17:AT17,$D$8),$D$8,IF($N17&gt;=$AE$1+COUNTIF($AE17:AT17,$N$8),$N$8,IF($I17&gt;=$AE$1+COUNTIF($AE17:AT17,$I$8),$I$8,IF($M17&gt;=$AE$1+COUNTIF($AE17:AT17,$M$8),$M$8,IF($L17&gt;=$AE$1+COUNTIF($AE17:AT17,$L$8),$L$8,"NG")))))),"NG")</f>
        <v>#N/A</v>
      </c>
      <c r="AV17" s="444" t="e">
        <f>IF(AA17="OK",IF(COUNTIF($AE17:AU17,$L$8)+COUNTIF($AE17:AU17,$M$8)+COUNTIF($AE17:AU17,$N$8)&gt;=2,"NG",IF($C17&gt;=$AE$1+COUNTIF($AE17:AU17,$C$8),$C$8,IF($D17&gt;=$AE$1+COUNTIF($AE17:AU17,$D$8),$D$8,IF($N17&gt;=$AE$1+COUNTIF($AE17:AU17,$N$8),$N$8,IF($M17&gt;=$AE$1+COUNTIF($AE17:AU17,$M$8),$M$8,IF($I17&gt;=$AE$1+COUNTIF($AE17:AU17,$I$8),$I$8,IF($L17&gt;=$AE$1+COUNTIF($AE17:AU17,$L$8),$L$8,"NG"))))))),"NG")</f>
        <v>#N/A</v>
      </c>
      <c r="AX17" s="444" t="e">
        <f t="shared" si="31"/>
        <v>#N/A</v>
      </c>
      <c r="AY17" s="444">
        <f t="shared" si="22"/>
        <v>0</v>
      </c>
      <c r="AZ17" s="444">
        <f t="shared" si="23"/>
        <v>0</v>
      </c>
    </row>
    <row r="18" spans="1:52">
      <c r="A18" s="444" t="s">
        <v>143</v>
      </c>
      <c r="B18" s="444" t="e">
        <f>'④-1月別配置内訳書(2)-(2)-(A)'!AC18</f>
        <v>#N/A</v>
      </c>
      <c r="C18" s="444" t="e">
        <f>'④-2月別配置内訳書(2)-(2)-(B)'!AF18</f>
        <v>#DIV/0!</v>
      </c>
      <c r="D18" s="444" t="e">
        <f>'④-3月別配置内訳書(2)-(2)-(C)・(D)'!V18</f>
        <v>#DIV/0!</v>
      </c>
      <c r="E18" s="444" t="e">
        <f>'④-3月別配置内訳書(2)-(2)-(C)・(D)'!AW18</f>
        <v>#DIV/0!</v>
      </c>
      <c r="F18" s="444" t="e">
        <f>'④-3月別配置内訳書(2)-(2)-(C)・(D)'!AX18</f>
        <v>#DIV/0!</v>
      </c>
      <c r="G18" s="444" t="e">
        <f>'④-４月別配置内訳書(2)-(2)-(E)'!V18</f>
        <v>#DIV/0!</v>
      </c>
      <c r="H18" s="444" t="e">
        <f>I18+J18+K18</f>
        <v>#N/A</v>
      </c>
      <c r="I18" s="444" t="e">
        <f>'④-1月別配置内訳書(2)-(2)-(A)'!AD18</f>
        <v>#N/A</v>
      </c>
      <c r="J18" s="444" t="e">
        <f>'④-2月別配置内訳書(2)-(2)-(B)'!AG18</f>
        <v>#N/A</v>
      </c>
      <c r="K18" s="444" t="e">
        <f>MIN($D18,1+IF($S18&gt;=$W$1,$R18,0))</f>
        <v>#N/A</v>
      </c>
      <c r="L18" s="444" t="e">
        <f>'④-3月別配置内訳書(2)-(2)-(C)・(D)'!AY18</f>
        <v>#N/A</v>
      </c>
      <c r="M18" s="444" t="e">
        <f>'④-3月別配置内訳書(2)-(2)-(C)・(D)'!AZ18</f>
        <v>#N/A</v>
      </c>
      <c r="N18" s="444" t="e">
        <f t="shared" si="25"/>
        <v>#DIV/0!</v>
      </c>
      <c r="O18" s="444" t="e">
        <f t="shared" si="26"/>
        <v>#DIV/0!</v>
      </c>
      <c r="P18" s="444" t="e">
        <f t="shared" si="27"/>
        <v>#DIV/0!</v>
      </c>
      <c r="R18" s="446" t="e">
        <f>①基本情報!O29</f>
        <v>#N/A</v>
      </c>
      <c r="S18" s="446" t="e">
        <f>①基本情報!O31</f>
        <v>#N/A</v>
      </c>
      <c r="T18" s="444">
        <f>SUM('③児童数及び保育士定数 (2)-(1)'!C19:D19)</f>
        <v>0</v>
      </c>
      <c r="U18" s="444">
        <f t="shared" si="28"/>
        <v>0</v>
      </c>
      <c r="W18" s="444" t="e">
        <f t="shared" si="12"/>
        <v>#N/A</v>
      </c>
      <c r="X18" s="444" t="e">
        <f t="shared" si="15"/>
        <v>#N/A</v>
      </c>
      <c r="Y18" s="444" t="e">
        <f t="shared" si="16"/>
        <v>#N/A</v>
      </c>
      <c r="Z18" s="444" t="e">
        <f t="shared" si="17"/>
        <v>#N/A</v>
      </c>
      <c r="AA18" s="444" t="e">
        <f t="shared" si="13"/>
        <v>#N/A</v>
      </c>
      <c r="AB18" s="444" t="e">
        <f t="shared" si="18"/>
        <v>#N/A</v>
      </c>
      <c r="AC18" s="444">
        <f t="shared" si="29"/>
        <v>0</v>
      </c>
      <c r="AE18" s="444" t="e">
        <f t="shared" si="30"/>
        <v>#N/A</v>
      </c>
      <c r="AF18" s="444" t="e">
        <f>IF(X18="OK",IF($J18&gt;=$AE$1+COUNTIF($AE18:AE18,$J$8),$J$8,IF($K18&gt;=$AE$1+COUNTIF($AE18:AE18,$K$8),$K$8,IF($I18&gt;=$AE$1+COUNTIF($AE18:AE18,$I$8),$I$8,"NG"))),"NG")</f>
        <v>#N/A</v>
      </c>
      <c r="AG18" s="444" t="e">
        <f>IF(Y18="OK",IF($J18&gt;=$AE$1+COUNTIF($AE18:AF18,$J$8),$J$8,IF($K18&gt;=$AE$1+COUNTIF($AE18:AF18,$K$8),$K$8,IF($I18&gt;=$AE$1+COUNTIF($AE18:AF18,$I$8),$I$8,"NG"))),"NG")</f>
        <v>#N/A</v>
      </c>
      <c r="AH18" s="444" t="e">
        <f>IF($AB18&gt;=AH$8,IF($S18&gt;=$AE$1,IF($J18&gt;=$AE$1+COUNTIF($AE18:AG18,$J$8),$J$8,IF($D18&gt;=$AE$1+COUNTIF($AE18:AG18,$D$8),$D$8,IF($I18&gt;=$AE$1+COUNTIF($AE18:AG18,$I$8),$I$8,"NG"))),IF($J18&gt;=$AE$1+COUNTIF($AE18:AG18,$J$8),$J$8,IF($I18&gt;=$AE$1+COUNTIF($AE18:AG18,$I$8),$I$8,"NG"))),"NG")</f>
        <v>#N/A</v>
      </c>
      <c r="AI18" s="444" t="e">
        <f>IF($AB18&gt;=AI$8,IF($S18&gt;=$AE$1,IF($J18&gt;=$AE$1+COUNTIF($AE18:AH18,$J$8),$J$8,IF($D18&gt;=$AE$1+COUNTIF($AE18:AH18,$D$8),$D$8,IF($I18&gt;=$AE$1+COUNTIF($AE18:AH18,$I$8),$I$8,"NG"))),IF($J18&gt;=$AE$1+COUNTIF($AE18:AH18,$J$8),$J$8,IF($I18&gt;=$AE$1+COUNTIF($AE18:AH18,$I$8),$I$8,"NG"))),"NG")</f>
        <v>#N/A</v>
      </c>
      <c r="AJ18" s="444" t="e">
        <f>IF($AB18&gt;=AJ$8,IF($S18&gt;=$AE$1,IF($J18&gt;=$AE$1+COUNTIF($AE18:AI18,$J$8),$J$8,IF($D18&gt;=$AE$1+COUNTIF($AE18:AI18,$D$8),$D$8,IF($I18&gt;=$AE$1+COUNTIF($AE18:AI18,$I$8),$I$8,"NG"))),IF($J18&gt;=$AE$1+COUNTIF($AE18:AI18,$J$8),$J$8,IF($I18&gt;=$AE$1+COUNTIF($AE18:AI18,$I$8),$I$8,"NG"))),"NG")</f>
        <v>#N/A</v>
      </c>
      <c r="AK18" s="444" t="e">
        <f>IF($AB18&gt;=AK$8,IF($S18&gt;=$AE$1,IF($J18&gt;=$AE$1+COUNTIF($AE18:AJ18,$J$8),$J$8,IF($D18&gt;=$AE$1+COUNTIF($AE18:AJ18,$D$8),$D$8,IF($I18&gt;=$AE$1+COUNTIF($AE18:AJ18,$I$8),$I$8,"NG"))),IF($J18&gt;=$AE$1+COUNTIF($AE18:AJ18,$J$8),$J$8,IF($I18&gt;=$AE$1+COUNTIF($AE18:AJ18,$I$8),$I$8,"NG"))),"NG")</f>
        <v>#N/A</v>
      </c>
      <c r="AL18" s="444" t="e">
        <f>IF($AB18&gt;=AL$8,IF($S18&gt;=$AE$1,IF($J18&gt;=$AE$1+COUNTIF($AE18:AK18,$J$8),$J$8,IF($D18&gt;=$AE$1+COUNTIF($AE18:AK18,$D$8),$D$8,IF($I18&gt;=$AE$1+COUNTIF($AE18:AK18,$I$8),$I$8,"NG"))),IF($J18&gt;=$AE$1+COUNTIF($AE18:AK18,$J$8),$J$8,IF($I18&gt;=$AE$1+COUNTIF($AE18:AK18,$I$8),$I$8,"NG"))),"NG")</f>
        <v>#N/A</v>
      </c>
      <c r="AM18" s="444" t="e">
        <f>IF($AB18&gt;=AM$8,IF($S18&gt;=$AE$1,IF($J18&gt;=$AE$1+COUNTIF($AE18:AL18,$J$8),$J$8,IF($D18&gt;=$AE$1+COUNTIF($AE18:AL18,$D$8),$D$8,IF($I18&gt;=$AE$1+COUNTIF($AE18:AL18,$I$8),$I$8,"NG"))),IF($J18&gt;=$AE$1+COUNTIF($AE18:AL18,$J$8),$J$8,IF($I18&gt;=$AE$1+COUNTIF($AE18:AL18,$I$8),$I$8,"NG"))),"NG")</f>
        <v>#N/A</v>
      </c>
      <c r="AN18" s="444" t="e">
        <f>IF($AB18&gt;=AN$8,IF($S18&gt;=$AE$1,IF($J18&gt;=$AE$1+COUNTIF($AE18:AM18,$J$8),$J$8,IF($D18&gt;=$AE$1+COUNTIF($AE18:AM18,$D$8),$D$8,IF($I18&gt;=$AE$1+COUNTIF($AE18:AM18,$I$8),$I$8,"NG"))),IF($J18&gt;=$AE$1+COUNTIF($AE18:AM18,$J$8),$J$8,IF($I18&gt;=$AE$1+COUNTIF($AE18:AM18,$I$8),$I$8,"NG"))),"NG")</f>
        <v>#N/A</v>
      </c>
      <c r="AO18" s="444" t="e">
        <f>IF($AB18&gt;=AO$8,IF($S18&gt;=$AE$1,IF($J18&gt;=$AE$1+COUNTIF($AE18:AN18,$J$8),$J$8,IF($D18&gt;=$AE$1+COUNTIF($AE18:AN18,$D$8),$D$8,IF($I18&gt;=$AE$1+COUNTIF($AE18:AN18,$I$8),$I$8,"NG"))),IF($J18&gt;=$AE$1+COUNTIF($AE18:AN18,$J$8),$J$8,IF($I18&gt;=$AE$1+COUNTIF($AE18:AN18,$I$8),$I$8,"NG"))),"NG")</f>
        <v>#N/A</v>
      </c>
      <c r="AP18" s="444" t="e">
        <f>IF($AB18&gt;=AP$8,IF($S18&gt;=$AE$1,IF($J18&gt;=$AE$1+COUNTIF($AE18:AO18,$J$8),$J$8,IF($D18&gt;=$AE$1+COUNTIF($AE18:AO18,$D$8),$D$8,IF($I18&gt;=$AE$1+COUNTIF($AE18:AO18,$I$8),$I$8,"NG"))),IF($J18&gt;=$AE$1+COUNTIF($AE18:AO18,$J$8),$J$8,IF($I18&gt;=$AE$1+COUNTIF($AE18:AO18,$I$8),$I$8,"NG"))),"NG")</f>
        <v>#N/A</v>
      </c>
      <c r="AQ18" s="444" t="e">
        <f>IF($AB18&gt;=AQ$8,IF($S18&gt;=$AE$1,IF($J18&gt;=$AE$1+COUNTIF($AE18:AP18,$J$8),$J$8,IF($D18&gt;=$AE$1+COUNTIF($AE18:AP18,$D$8),$D$8,IF($I18&gt;=$AE$1+COUNTIF($AE18:AP18,$I$8),$I$8,"NG"))),IF($J18&gt;=$AE$1+COUNTIF($AE18:AP18,$J$8),$J$8,IF($I18&gt;=$AE$1+COUNTIF($AE18:AP18,$I$8),$I$8,"NG"))),"NG")</f>
        <v>#N/A</v>
      </c>
      <c r="AR18" s="444" t="str">
        <f>IF($AC18&gt;=AR$8,IF($J18&gt;=$AE$1+COUNTIF($AE18:AQ18,$J$8),$J$8,IF($I18&gt;=$AE$1+COUNTIF($AE18:AQ18,$I$8),$I$8,"NG")),"NG")</f>
        <v>NG</v>
      </c>
      <c r="AS18" s="444" t="str">
        <f>IF($AC18&gt;=AS$8,IF($J18&gt;=$AE$1+COUNTIF($AE18:AR18,$J$8),$J$8,IF($I18&gt;=$AE$1+COUNTIF($AE18:AR18,$I$8),$I$8,"NG")),"NG")</f>
        <v>NG</v>
      </c>
      <c r="AT18" s="444" t="e">
        <f>IF(AND(W18="OK",AE18="NG"),IF($N18&gt;=$AE$1+COUNTIF($AE18:AS18,$N$8),$N$8,IF($M18&gt;=$AE$1+COUNTIF($AE18:AS18,$M$8),$M$8,IF($L18&gt;=$AE$1+COUNTIF($AE18:AS18,$L$8),$L$8,"NG"))),"NG")</f>
        <v>#N/A</v>
      </c>
      <c r="AU18" s="444" t="e">
        <f>IF(Z18="OK",IF($C18&gt;=$AE$1+COUNTIF($AE18:AT18,$C$8),$C$8,IF($D18&gt;=$AE$1+COUNTIF($AE18:AT18,$D$8),$D$8,IF($N18&gt;=$AE$1+COUNTIF($AE18:AT18,$N$8),$N$8,IF($I18&gt;=$AE$1+COUNTIF($AE18:AT18,$I$8),$I$8,IF($M18&gt;=$AE$1+COUNTIF($AE18:AT18,$M$8),$M$8,IF($L18&gt;=$AE$1+COUNTIF($AE18:AT18,$L$8),$L$8,"NG")))))),"NG")</f>
        <v>#N/A</v>
      </c>
      <c r="AV18" s="444" t="e">
        <f>IF(AA18="OK",IF(COUNTIF($AE18:AU18,$L$8)+COUNTIF($AE18:AU18,$M$8)+COUNTIF($AE18:AU18,$N$8)&gt;=2,"NG",IF($C18&gt;=$AE$1+COUNTIF($AE18:AU18,$C$8),$C$8,IF($D18&gt;=$AE$1+COUNTIF($AE18:AU18,$D$8),$D$8,IF($N18&gt;=$AE$1+COUNTIF($AE18:AU18,$N$8),$N$8,IF($M18&gt;=$AE$1+COUNTIF($AE18:AU18,$M$8),$M$8,IF($I18&gt;=$AE$1+COUNTIF($AE18:AU18,$I$8),$I$8,IF($L18&gt;=$AE$1+COUNTIF($AE18:AU18,$L$8),$L$8,"NG"))))))),"NG")</f>
        <v>#N/A</v>
      </c>
      <c r="AX18" s="444" t="e">
        <f t="shared" si="31"/>
        <v>#N/A</v>
      </c>
      <c r="AY18" s="444">
        <f t="shared" si="22"/>
        <v>0</v>
      </c>
      <c r="AZ18" s="444">
        <f t="shared" si="23"/>
        <v>0</v>
      </c>
    </row>
    <row r="19" spans="1:52">
      <c r="A19" s="444" t="s">
        <v>144</v>
      </c>
      <c r="B19" s="444" t="e">
        <f>'④-1月別配置内訳書(2)-(2)-(A)'!AC19</f>
        <v>#N/A</v>
      </c>
      <c r="C19" s="444" t="e">
        <f>'④-2月別配置内訳書(2)-(2)-(B)'!AF19</f>
        <v>#DIV/0!</v>
      </c>
      <c r="D19" s="444" t="e">
        <f>'④-3月別配置内訳書(2)-(2)-(C)・(D)'!V19</f>
        <v>#DIV/0!</v>
      </c>
      <c r="E19" s="444" t="e">
        <f>'④-3月別配置内訳書(2)-(2)-(C)・(D)'!AW19</f>
        <v>#DIV/0!</v>
      </c>
      <c r="F19" s="444" t="e">
        <f>'④-3月別配置内訳書(2)-(2)-(C)・(D)'!AX19</f>
        <v>#DIV/0!</v>
      </c>
      <c r="G19" s="444" t="e">
        <f>'④-４月別配置内訳書(2)-(2)-(E)'!V19</f>
        <v>#DIV/0!</v>
      </c>
      <c r="H19" s="444" t="e">
        <f t="shared" si="24"/>
        <v>#N/A</v>
      </c>
      <c r="I19" s="444" t="e">
        <f>'④-1月別配置内訳書(2)-(2)-(A)'!AD19</f>
        <v>#N/A</v>
      </c>
      <c r="J19" s="444" t="e">
        <f>'④-2月別配置内訳書(2)-(2)-(B)'!AG19</f>
        <v>#N/A</v>
      </c>
      <c r="K19" s="444" t="e">
        <f t="shared" si="8"/>
        <v>#N/A</v>
      </c>
      <c r="L19" s="444" t="e">
        <f>'④-3月別配置内訳書(2)-(2)-(C)・(D)'!AY19</f>
        <v>#N/A</v>
      </c>
      <c r="M19" s="444" t="e">
        <f>'④-3月別配置内訳書(2)-(2)-(C)・(D)'!AZ19</f>
        <v>#N/A</v>
      </c>
      <c r="N19" s="444" t="e">
        <f t="shared" si="25"/>
        <v>#DIV/0!</v>
      </c>
      <c r="O19" s="444" t="e">
        <f t="shared" si="26"/>
        <v>#DIV/0!</v>
      </c>
      <c r="P19" s="444" t="e">
        <f t="shared" si="27"/>
        <v>#DIV/0!</v>
      </c>
      <c r="R19" s="446" t="e">
        <f>①基本情報!P29</f>
        <v>#N/A</v>
      </c>
      <c r="S19" s="446" t="e">
        <f>①基本情報!P31</f>
        <v>#N/A</v>
      </c>
      <c r="T19" s="444">
        <f>SUM('③児童数及び保育士定数 (2)-(1)'!C20:D20)</f>
        <v>0</v>
      </c>
      <c r="U19" s="444">
        <f t="shared" si="28"/>
        <v>0</v>
      </c>
      <c r="W19" s="444" t="e">
        <f t="shared" si="12"/>
        <v>#N/A</v>
      </c>
      <c r="X19" s="444" t="e">
        <f t="shared" si="15"/>
        <v>#N/A</v>
      </c>
      <c r="Y19" s="444" t="e">
        <f t="shared" si="16"/>
        <v>#N/A</v>
      </c>
      <c r="Z19" s="444" t="e">
        <f t="shared" si="17"/>
        <v>#N/A</v>
      </c>
      <c r="AA19" s="444" t="e">
        <f t="shared" si="13"/>
        <v>#N/A</v>
      </c>
      <c r="AB19" s="444" t="e">
        <f t="shared" si="18"/>
        <v>#N/A</v>
      </c>
      <c r="AC19" s="444">
        <f t="shared" si="29"/>
        <v>0</v>
      </c>
      <c r="AE19" s="444" t="e">
        <f t="shared" si="30"/>
        <v>#N/A</v>
      </c>
      <c r="AF19" s="444" t="e">
        <f>IF(X19="OK",IF($J19&gt;=$AE$1+COUNTIF($AE19:AE19,$J$8),$J$8,IF($K19&gt;=$AE$1+COUNTIF($AE19:AE19,$K$8),$K$8,IF($I19&gt;=$AE$1+COUNTIF($AE19:AE19,$I$8),$I$8,"NG"))),"NG")</f>
        <v>#N/A</v>
      </c>
      <c r="AG19" s="444" t="e">
        <f>IF(Y19="OK",IF($J19&gt;=$AE$1+COUNTIF($AE19:AF19,$J$8),$J$8,IF($K19&gt;=$AE$1+COUNTIF($AE19:AF19,$K$8),$K$8,IF($I19&gt;=$AE$1+COUNTIF($AE19:AF19,$I$8),$I$8,"NG"))),"NG")</f>
        <v>#N/A</v>
      </c>
      <c r="AH19" s="444" t="e">
        <f>IF($AB19&gt;=AH$8,IF($S19&gt;=$AE$1,IF($J19&gt;=$AE$1+COUNTIF($AE19:AG19,$J$8),$J$8,IF($D19&gt;=$AE$1+COUNTIF($AE19:AG19,$D$8),$D$8,IF($I19&gt;=$AE$1+COUNTIF($AE19:AG19,$I$8),$I$8,"NG"))),IF($J19&gt;=$AE$1+COUNTIF($AE19:AG19,$J$8),$J$8,IF($I19&gt;=$AE$1+COUNTIF($AE19:AG19,$I$8),$I$8,"NG"))),"NG")</f>
        <v>#N/A</v>
      </c>
      <c r="AI19" s="444" t="e">
        <f>IF($AB19&gt;=AI$8,IF($S19&gt;=$AE$1,IF($J19&gt;=$AE$1+COUNTIF($AE19:AH19,$J$8),$J$8,IF($D19&gt;=$AE$1+COUNTIF($AE19:AH19,$D$8),$D$8,IF($I19&gt;=$AE$1+COUNTIF($AE19:AH19,$I$8),$I$8,"NG"))),IF($J19&gt;=$AE$1+COUNTIF($AE19:AH19,$J$8),$J$8,IF($I19&gt;=$AE$1+COUNTIF($AE19:AH19,$I$8),$I$8,"NG"))),"NG")</f>
        <v>#N/A</v>
      </c>
      <c r="AJ19" s="444" t="e">
        <f>IF($AB19&gt;=AJ$8,IF($S19&gt;=$AE$1,IF($J19&gt;=$AE$1+COUNTIF($AE19:AI19,$J$8),$J$8,IF($D19&gt;=$AE$1+COUNTIF($AE19:AI19,$D$8),$D$8,IF($I19&gt;=$AE$1+COUNTIF($AE19:AI19,$I$8),$I$8,"NG"))),IF($J19&gt;=$AE$1+COUNTIF($AE19:AI19,$J$8),$J$8,IF($I19&gt;=$AE$1+COUNTIF($AE19:AI19,$I$8),$I$8,"NG"))),"NG")</f>
        <v>#N/A</v>
      </c>
      <c r="AK19" s="444" t="e">
        <f>IF($AB19&gt;=AK$8,IF($S19&gt;=$AE$1,IF($J19&gt;=$AE$1+COUNTIF($AE19:AJ19,$J$8),$J$8,IF($D19&gt;=$AE$1+COUNTIF($AE19:AJ19,$D$8),$D$8,IF($I19&gt;=$AE$1+COUNTIF($AE19:AJ19,$I$8),$I$8,"NG"))),IF($J19&gt;=$AE$1+COUNTIF($AE19:AJ19,$J$8),$J$8,IF($I19&gt;=$AE$1+COUNTIF($AE19:AJ19,$I$8),$I$8,"NG"))),"NG")</f>
        <v>#N/A</v>
      </c>
      <c r="AL19" s="444" t="e">
        <f>IF($AB19&gt;=AL$8,IF($S19&gt;=$AE$1,IF($J19&gt;=$AE$1+COUNTIF($AE19:AK19,$J$8),$J$8,IF($D19&gt;=$AE$1+COUNTIF($AE19:AK19,$D$8),$D$8,IF($I19&gt;=$AE$1+COUNTIF($AE19:AK19,$I$8),$I$8,"NG"))),IF($J19&gt;=$AE$1+COUNTIF($AE19:AK19,$J$8),$J$8,IF($I19&gt;=$AE$1+COUNTIF($AE19:AK19,$I$8),$I$8,"NG"))),"NG")</f>
        <v>#N/A</v>
      </c>
      <c r="AM19" s="444" t="e">
        <f>IF($AB19&gt;=AM$8,IF($S19&gt;=$AE$1,IF($J19&gt;=$AE$1+COUNTIF($AE19:AL19,$J$8),$J$8,IF($D19&gt;=$AE$1+COUNTIF($AE19:AL19,$D$8),$D$8,IF($I19&gt;=$AE$1+COUNTIF($AE19:AL19,$I$8),$I$8,"NG"))),IF($J19&gt;=$AE$1+COUNTIF($AE19:AL19,$J$8),$J$8,IF($I19&gt;=$AE$1+COUNTIF($AE19:AL19,$I$8),$I$8,"NG"))),"NG")</f>
        <v>#N/A</v>
      </c>
      <c r="AN19" s="444" t="e">
        <f>IF($AB19&gt;=AN$8,IF($S19&gt;=$AE$1,IF($J19&gt;=$AE$1+COUNTIF($AE19:AM19,$J$8),$J$8,IF($D19&gt;=$AE$1+COUNTIF($AE19:AM19,$D$8),$D$8,IF($I19&gt;=$AE$1+COUNTIF($AE19:AM19,$I$8),$I$8,"NG"))),IF($J19&gt;=$AE$1+COUNTIF($AE19:AM19,$J$8),$J$8,IF($I19&gt;=$AE$1+COUNTIF($AE19:AM19,$I$8),$I$8,"NG"))),"NG")</f>
        <v>#N/A</v>
      </c>
      <c r="AO19" s="444" t="e">
        <f>IF($AB19&gt;=AO$8,IF($S19&gt;=$AE$1,IF($J19&gt;=$AE$1+COUNTIF($AE19:AN19,$J$8),$J$8,IF($D19&gt;=$AE$1+COUNTIF($AE19:AN19,$D$8),$D$8,IF($I19&gt;=$AE$1+COUNTIF($AE19:AN19,$I$8),$I$8,"NG"))),IF($J19&gt;=$AE$1+COUNTIF($AE19:AN19,$J$8),$J$8,IF($I19&gt;=$AE$1+COUNTIF($AE19:AN19,$I$8),$I$8,"NG"))),"NG")</f>
        <v>#N/A</v>
      </c>
      <c r="AP19" s="444" t="e">
        <f>IF($AB19&gt;=AP$8,IF($S19&gt;=$AE$1,IF($J19&gt;=$AE$1+COUNTIF($AE19:AO19,$J$8),$J$8,IF($D19&gt;=$AE$1+COUNTIF($AE19:AO19,$D$8),$D$8,IF($I19&gt;=$AE$1+COUNTIF($AE19:AO19,$I$8),$I$8,"NG"))),IF($J19&gt;=$AE$1+COUNTIF($AE19:AO19,$J$8),$J$8,IF($I19&gt;=$AE$1+COUNTIF($AE19:AO19,$I$8),$I$8,"NG"))),"NG")</f>
        <v>#N/A</v>
      </c>
      <c r="AQ19" s="444" t="e">
        <f>IF($AB19&gt;=AQ$8,IF($S19&gt;=$AE$1,IF($J19&gt;=$AE$1+COUNTIF($AE19:AP19,$J$8),$J$8,IF($D19&gt;=$AE$1+COUNTIF($AE19:AP19,$D$8),$D$8,IF($I19&gt;=$AE$1+COUNTIF($AE19:AP19,$I$8),$I$8,"NG"))),IF($J19&gt;=$AE$1+COUNTIF($AE19:AP19,$J$8),$J$8,IF($I19&gt;=$AE$1+COUNTIF($AE19:AP19,$I$8),$I$8,"NG"))),"NG")</f>
        <v>#N/A</v>
      </c>
      <c r="AR19" s="444" t="str">
        <f>IF($AC19&gt;=AR$8,IF($J19&gt;=$AE$1+COUNTIF($AE19:AQ19,$J$8),$J$8,IF($I19&gt;=$AE$1+COUNTIF($AE19:AQ19,$I$8),$I$8,"NG")),"NG")</f>
        <v>NG</v>
      </c>
      <c r="AS19" s="444" t="str">
        <f>IF($AC19&gt;=AS$8,IF($J19&gt;=$AE$1+COUNTIF($AE19:AR19,$J$8),$J$8,IF($I19&gt;=$AE$1+COUNTIF($AE19:AR19,$I$8),$I$8,"NG")),"NG")</f>
        <v>NG</v>
      </c>
      <c r="AT19" s="444" t="e">
        <f>IF(AND(W19="OK",AE19="NG"),IF($N19&gt;=$AE$1+COUNTIF($AE19:AS19,$N$8),$N$8,IF($M19&gt;=$AE$1+COUNTIF($AE19:AS19,$M$8),$M$8,IF($L19&gt;=$AE$1+COUNTIF($AE19:AS19,$L$8),$L$8,"NG"))),"NG")</f>
        <v>#N/A</v>
      </c>
      <c r="AU19" s="444" t="e">
        <f>IF(Z19="OK",IF($C19&gt;=$AE$1+COUNTIF($AE19:AT19,$C$8),$C$8,IF($D19&gt;=$AE$1+COUNTIF($AE19:AT19,$D$8),$D$8,IF($N19&gt;=$AE$1+COUNTIF($AE19:AT19,$N$8),$N$8,IF($I19&gt;=$AE$1+COUNTIF($AE19:AT19,$I$8),$I$8,IF($M19&gt;=$AE$1+COUNTIF($AE19:AT19,$M$8),$M$8,IF($L19&gt;=$AE$1+COUNTIF($AE19:AT19,$L$8),$L$8,"NG")))))),"NG")</f>
        <v>#N/A</v>
      </c>
      <c r="AV19" s="444" t="e">
        <f>IF(AA19="OK",IF(COUNTIF($AE19:AU19,$L$8)+COUNTIF($AE19:AU19,$M$8)+COUNTIF($AE19:AU19,$N$8)&gt;=2,"NG",IF($C19&gt;=$AE$1+COUNTIF($AE19:AU19,$C$8),$C$8,IF($D19&gt;=$AE$1+COUNTIF($AE19:AU19,$D$8),$D$8,IF($N19&gt;=$AE$1+COUNTIF($AE19:AU19,$N$8),$N$8,IF($M19&gt;=$AE$1+COUNTIF($AE19:AU19,$M$8),$M$8,IF($I19&gt;=$AE$1+COUNTIF($AE19:AU19,$I$8),$I$8,IF($L19&gt;=$AE$1+COUNTIF($AE19:AU19,$L$8),$L$8,"NG"))))))),"NG")</f>
        <v>#N/A</v>
      </c>
      <c r="AX19" s="444" t="e">
        <f t="shared" si="31"/>
        <v>#N/A</v>
      </c>
      <c r="AY19" s="444">
        <f t="shared" si="22"/>
        <v>0</v>
      </c>
      <c r="AZ19" s="444">
        <f t="shared" si="23"/>
        <v>0</v>
      </c>
    </row>
    <row r="20" spans="1:52">
      <c r="A20" s="444" t="s">
        <v>145</v>
      </c>
      <c r="B20" s="444" t="e">
        <f>'④-1月別配置内訳書(2)-(2)-(A)'!AC20</f>
        <v>#N/A</v>
      </c>
      <c r="C20" s="444" t="e">
        <f>'④-2月別配置内訳書(2)-(2)-(B)'!AF20</f>
        <v>#DIV/0!</v>
      </c>
      <c r="D20" s="444" t="e">
        <f>'④-3月別配置内訳書(2)-(2)-(C)・(D)'!V20</f>
        <v>#DIV/0!</v>
      </c>
      <c r="E20" s="444" t="e">
        <f>'④-3月別配置内訳書(2)-(2)-(C)・(D)'!AW20</f>
        <v>#DIV/0!</v>
      </c>
      <c r="F20" s="444" t="e">
        <f>'④-3月別配置内訳書(2)-(2)-(C)・(D)'!AX20</f>
        <v>#DIV/0!</v>
      </c>
      <c r="G20" s="444" t="e">
        <f>'④-４月別配置内訳書(2)-(2)-(E)'!V20</f>
        <v>#DIV/0!</v>
      </c>
      <c r="H20" s="444" t="e">
        <f t="shared" si="24"/>
        <v>#N/A</v>
      </c>
      <c r="I20" s="444" t="e">
        <f>'④-1月別配置内訳書(2)-(2)-(A)'!AD20</f>
        <v>#N/A</v>
      </c>
      <c r="J20" s="444" t="e">
        <f>'④-2月別配置内訳書(2)-(2)-(B)'!AG20</f>
        <v>#N/A</v>
      </c>
      <c r="K20" s="444" t="e">
        <f t="shared" si="8"/>
        <v>#N/A</v>
      </c>
      <c r="L20" s="444" t="e">
        <f>'④-3月別配置内訳書(2)-(2)-(C)・(D)'!AY20</f>
        <v>#N/A</v>
      </c>
      <c r="M20" s="444" t="e">
        <f>'④-3月別配置内訳書(2)-(2)-(C)・(D)'!AZ20</f>
        <v>#N/A</v>
      </c>
      <c r="N20" s="444" t="e">
        <f t="shared" si="25"/>
        <v>#DIV/0!</v>
      </c>
      <c r="O20" s="444" t="e">
        <f t="shared" si="26"/>
        <v>#DIV/0!</v>
      </c>
      <c r="P20" s="444" t="e">
        <f t="shared" si="27"/>
        <v>#DIV/0!</v>
      </c>
      <c r="R20" s="446" t="e">
        <f>①基本情報!Q29</f>
        <v>#N/A</v>
      </c>
      <c r="S20" s="446" t="e">
        <f>①基本情報!Q31</f>
        <v>#N/A</v>
      </c>
      <c r="T20" s="444">
        <f>SUM('③児童数及び保育士定数 (2)-(1)'!C21:D21)</f>
        <v>0</v>
      </c>
      <c r="U20" s="444">
        <f t="shared" si="28"/>
        <v>0</v>
      </c>
      <c r="W20" s="444" t="e">
        <f t="shared" si="12"/>
        <v>#N/A</v>
      </c>
      <c r="X20" s="444" t="e">
        <f t="shared" si="15"/>
        <v>#N/A</v>
      </c>
      <c r="Y20" s="444" t="e">
        <f t="shared" si="16"/>
        <v>#N/A</v>
      </c>
      <c r="Z20" s="444" t="e">
        <f t="shared" si="17"/>
        <v>#N/A</v>
      </c>
      <c r="AA20" s="444" t="e">
        <f t="shared" si="13"/>
        <v>#N/A</v>
      </c>
      <c r="AB20" s="444" t="e">
        <f t="shared" si="18"/>
        <v>#N/A</v>
      </c>
      <c r="AC20" s="444">
        <f t="shared" si="29"/>
        <v>0</v>
      </c>
      <c r="AE20" s="444" t="e">
        <f t="shared" si="30"/>
        <v>#N/A</v>
      </c>
      <c r="AF20" s="444" t="e">
        <f>IF(X20="OK",IF($J20&gt;=$AE$1+COUNTIF($AE20:AE20,$J$8),$J$8,IF($K20&gt;=$AE$1+COUNTIF($AE20:AE20,$K$8),$K$8,IF($I20&gt;=$AE$1+COUNTIF($AE20:AE20,$I$8),$I$8,"NG"))),"NG")</f>
        <v>#N/A</v>
      </c>
      <c r="AG20" s="444" t="e">
        <f>IF(Y20="OK",IF($J20&gt;=$AE$1+COUNTIF($AE20:AF20,$J$8),$J$8,IF($K20&gt;=$AE$1+COUNTIF($AE20:AF20,$K$8),$K$8,IF($I20&gt;=$AE$1+COUNTIF($AE20:AF20,$I$8),$I$8,"NG"))),"NG")</f>
        <v>#N/A</v>
      </c>
      <c r="AH20" s="444" t="e">
        <f>IF($AB20&gt;=AH$8,IF($S20&gt;=$AE$1,IF($J20&gt;=$AE$1+COUNTIF($AE20:AG20,$J$8),$J$8,IF($D20&gt;=$AE$1+COUNTIF($AE20:AG20,$D$8),$D$8,IF($I20&gt;=$AE$1+COUNTIF($AE20:AG20,$I$8),$I$8,"NG"))),IF($J20&gt;=$AE$1+COUNTIF($AE20:AG20,$J$8),$J$8,IF($I20&gt;=$AE$1+COUNTIF($AE20:AG20,$I$8),$I$8,"NG"))),"NG")</f>
        <v>#N/A</v>
      </c>
      <c r="AI20" s="444" t="e">
        <f>IF($AB20&gt;=AI$8,IF($S20&gt;=$AE$1,IF($J20&gt;=$AE$1+COUNTIF($AE20:AH20,$J$8),$J$8,IF($D20&gt;=$AE$1+COUNTIF($AE20:AH20,$D$8),$D$8,IF($I20&gt;=$AE$1+COUNTIF($AE20:AH20,$I$8),$I$8,"NG"))),IF($J20&gt;=$AE$1+COUNTIF($AE20:AH20,$J$8),$J$8,IF($I20&gt;=$AE$1+COUNTIF($AE20:AH20,$I$8),$I$8,"NG"))),"NG")</f>
        <v>#N/A</v>
      </c>
      <c r="AJ20" s="444" t="e">
        <f>IF($AB20&gt;=AJ$8,IF($S20&gt;=$AE$1,IF($J20&gt;=$AE$1+COUNTIF($AE20:AI20,$J$8),$J$8,IF($D20&gt;=$AE$1+COUNTIF($AE20:AI20,$D$8),$D$8,IF($I20&gt;=$AE$1+COUNTIF($AE20:AI20,$I$8),$I$8,"NG"))),IF($J20&gt;=$AE$1+COUNTIF($AE20:AI20,$J$8),$J$8,IF($I20&gt;=$AE$1+COUNTIF($AE20:AI20,$I$8),$I$8,"NG"))),"NG")</f>
        <v>#N/A</v>
      </c>
      <c r="AK20" s="444" t="e">
        <f>IF($AB20&gt;=AK$8,IF($S20&gt;=$AE$1,IF($J20&gt;=$AE$1+COUNTIF($AE20:AJ20,$J$8),$J$8,IF($D20&gt;=$AE$1+COUNTIF($AE20:AJ20,$D$8),$D$8,IF($I20&gt;=$AE$1+COUNTIF($AE20:AJ20,$I$8),$I$8,"NG"))),IF($J20&gt;=$AE$1+COUNTIF($AE20:AJ20,$J$8),$J$8,IF($I20&gt;=$AE$1+COUNTIF($AE20:AJ20,$I$8),$I$8,"NG"))),"NG")</f>
        <v>#N/A</v>
      </c>
      <c r="AL20" s="444" t="e">
        <f>IF($AB20&gt;=AL$8,IF($S20&gt;=$AE$1,IF($J20&gt;=$AE$1+COUNTIF($AE20:AK20,$J$8),$J$8,IF($D20&gt;=$AE$1+COUNTIF($AE20:AK20,$D$8),$D$8,IF($I20&gt;=$AE$1+COUNTIF($AE20:AK20,$I$8),$I$8,"NG"))),IF($J20&gt;=$AE$1+COUNTIF($AE20:AK20,$J$8),$J$8,IF($I20&gt;=$AE$1+COUNTIF($AE20:AK20,$I$8),$I$8,"NG"))),"NG")</f>
        <v>#N/A</v>
      </c>
      <c r="AM20" s="444" t="e">
        <f>IF($AB20&gt;=AM$8,IF($S20&gt;=$AE$1,IF($J20&gt;=$AE$1+COUNTIF($AE20:AL20,$J$8),$J$8,IF($D20&gt;=$AE$1+COUNTIF($AE20:AL20,$D$8),$D$8,IF($I20&gt;=$AE$1+COUNTIF($AE20:AL20,$I$8),$I$8,"NG"))),IF($J20&gt;=$AE$1+COUNTIF($AE20:AL20,$J$8),$J$8,IF($I20&gt;=$AE$1+COUNTIF($AE20:AL20,$I$8),$I$8,"NG"))),"NG")</f>
        <v>#N/A</v>
      </c>
      <c r="AN20" s="444" t="e">
        <f>IF($AB20&gt;=AN$8,IF($S20&gt;=$AE$1,IF($J20&gt;=$AE$1+COUNTIF($AE20:AM20,$J$8),$J$8,IF($D20&gt;=$AE$1+COUNTIF($AE20:AM20,$D$8),$D$8,IF($I20&gt;=$AE$1+COUNTIF($AE20:AM20,$I$8),$I$8,"NG"))),IF($J20&gt;=$AE$1+COUNTIF($AE20:AM20,$J$8),$J$8,IF($I20&gt;=$AE$1+COUNTIF($AE20:AM20,$I$8),$I$8,"NG"))),"NG")</f>
        <v>#N/A</v>
      </c>
      <c r="AO20" s="444" t="e">
        <f>IF($AB20&gt;=AO$8,IF($S20&gt;=$AE$1,IF($J20&gt;=$AE$1+COUNTIF($AE20:AN20,$J$8),$J$8,IF($D20&gt;=$AE$1+COUNTIF($AE20:AN20,$D$8),$D$8,IF($I20&gt;=$AE$1+COUNTIF($AE20:AN20,$I$8),$I$8,"NG"))),IF($J20&gt;=$AE$1+COUNTIF($AE20:AN20,$J$8),$J$8,IF($I20&gt;=$AE$1+COUNTIF($AE20:AN20,$I$8),$I$8,"NG"))),"NG")</f>
        <v>#N/A</v>
      </c>
      <c r="AP20" s="444" t="e">
        <f>IF($AB20&gt;=AP$8,IF($S20&gt;=$AE$1,IF($J20&gt;=$AE$1+COUNTIF($AE20:AO20,$J$8),$J$8,IF($D20&gt;=$AE$1+COUNTIF($AE20:AO20,$D$8),$D$8,IF($I20&gt;=$AE$1+COUNTIF($AE20:AO20,$I$8),$I$8,"NG"))),IF($J20&gt;=$AE$1+COUNTIF($AE20:AO20,$J$8),$J$8,IF($I20&gt;=$AE$1+COUNTIF($AE20:AO20,$I$8),$I$8,"NG"))),"NG")</f>
        <v>#N/A</v>
      </c>
      <c r="AQ20" s="444" t="e">
        <f>IF($AB20&gt;=AQ$8,IF($S20&gt;=$AE$1,IF($J20&gt;=$AE$1+COUNTIF($AE20:AP20,$J$8),$J$8,IF($D20&gt;=$AE$1+COUNTIF($AE20:AP20,$D$8),$D$8,IF($I20&gt;=$AE$1+COUNTIF($AE20:AP20,$I$8),$I$8,"NG"))),IF($J20&gt;=$AE$1+COUNTIF($AE20:AP20,$J$8),$J$8,IF($I20&gt;=$AE$1+COUNTIF($AE20:AP20,$I$8),$I$8,"NG"))),"NG")</f>
        <v>#N/A</v>
      </c>
      <c r="AR20" s="444" t="str">
        <f>IF($AC20&gt;=AR$8,IF($J20&gt;=$AE$1+COUNTIF($AE20:AQ20,$J$8),$J$8,IF($I20&gt;=$AE$1+COUNTIF($AE20:AQ20,$I$8),$I$8,"NG")),"NG")</f>
        <v>NG</v>
      </c>
      <c r="AS20" s="444" t="str">
        <f>IF($AC20&gt;=AS$8,IF($J20&gt;=$AE$1+COUNTIF($AE20:AR20,$J$8),$J$8,IF($I20&gt;=$AE$1+COUNTIF($AE20:AR20,$I$8),$I$8,"NG")),"NG")</f>
        <v>NG</v>
      </c>
      <c r="AT20" s="444" t="e">
        <f>IF(AND(W20="OK",AE20="NG"),IF($N20&gt;=$AE$1+COUNTIF($AE20:AS20,$N$8),$N$8,IF($M20&gt;=$AE$1+COUNTIF($AE20:AS20,$M$8),$M$8,IF($L20&gt;=$AE$1+COUNTIF($AE20:AS20,$L$8),$L$8,"NG"))),"NG")</f>
        <v>#N/A</v>
      </c>
      <c r="AU20" s="444" t="e">
        <f>IF(Z20="OK",IF($C20&gt;=$AE$1+COUNTIF($AE20:AT20,$C$8),$C$8,IF($D20&gt;=$AE$1+COUNTIF($AE20:AT20,$D$8),$D$8,IF($N20&gt;=$AE$1+COUNTIF($AE20:AT20,$N$8),$N$8,IF($I20&gt;=$AE$1+COUNTIF($AE20:AT20,$I$8),$I$8,IF($M20&gt;=$AE$1+COUNTIF($AE20:AT20,$M$8),$M$8,IF($L20&gt;=$AE$1+COUNTIF($AE20:AT20,$L$8),$L$8,"NG")))))),"NG")</f>
        <v>#N/A</v>
      </c>
      <c r="AV20" s="444" t="e">
        <f>IF(AA20="OK",IF(COUNTIF($AE20:AU20,$L$8)+COUNTIF($AE20:AU20,$M$8)+COUNTIF($AE20:AU20,$N$8)&gt;=2,"NG",IF($C20&gt;=$AE$1+COUNTIF($AE20:AU20,$C$8),$C$8,IF($D20&gt;=$AE$1+COUNTIF($AE20:AU20,$D$8),$D$8,IF($N20&gt;=$AE$1+COUNTIF($AE20:AU20,$N$8),$N$8,IF($M20&gt;=$AE$1+COUNTIF($AE20:AU20,$M$8),$M$8,IF($I20&gt;=$AE$1+COUNTIF($AE20:AU20,$I$8),$I$8,IF($L20&gt;=$AE$1+COUNTIF($AE20:AU20,$L$8),$L$8,"NG"))))))),"NG")</f>
        <v>#N/A</v>
      </c>
      <c r="AX20" s="444" t="e">
        <f t="shared" si="31"/>
        <v>#N/A</v>
      </c>
      <c r="AY20" s="444">
        <f t="shared" si="22"/>
        <v>0</v>
      </c>
      <c r="AZ20" s="444">
        <f t="shared" si="23"/>
        <v>0</v>
      </c>
    </row>
    <row r="23" spans="1:52" ht="62.25" customHeight="1"/>
  </sheetData>
  <sheetProtection selectLockedCells="1" selectUnlockedCells="1"/>
  <phoneticPr fontId="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19070-D50D-4048-B9B9-0524341C9BAF}">
  <sheetPr codeName="Sheet2">
    <tabColor theme="1"/>
  </sheetPr>
  <dimension ref="A1:AO180"/>
  <sheetViews>
    <sheetView zoomScale="85" zoomScaleNormal="85" zoomScaleSheetLayoutView="80" workbookViewId="0">
      <pane xSplit="3" ySplit="4" topLeftCell="D54" activePane="bottomRight" state="frozen"/>
      <selection activeCell="A3" sqref="A3:K3"/>
      <selection pane="topRight" activeCell="A3" sqref="A3:K3"/>
      <selection pane="bottomLeft" activeCell="A3" sqref="A3:K3"/>
      <selection pane="bottomRight" activeCell="G57" sqref="G57"/>
    </sheetView>
  </sheetViews>
  <sheetFormatPr defaultColWidth="14.5" defaultRowHeight="18"/>
  <cols>
    <col min="1" max="1" width="14.5" style="349"/>
    <col min="2" max="2" width="5.33203125" style="349" customWidth="1"/>
    <col min="3" max="3" width="35.5" style="354" customWidth="1"/>
    <col min="4" max="4" width="9.08203125" style="353" customWidth="1"/>
    <col min="5" max="5" width="16.83203125" style="349" customWidth="1"/>
    <col min="6" max="13" width="14.5" style="349" customWidth="1"/>
    <col min="14" max="14" width="27.75" style="349" customWidth="1"/>
    <col min="15" max="16" width="14.5" style="349" customWidth="1"/>
    <col min="17" max="17" width="27.75" style="349" customWidth="1"/>
    <col min="18" max="20" width="14.5" style="349" customWidth="1"/>
    <col min="21" max="22" width="7" style="349" customWidth="1"/>
    <col min="23" max="23" width="7" style="351" customWidth="1"/>
    <col min="24" max="24" width="13.75" style="558" customWidth="1"/>
    <col min="25" max="25" width="13.75" style="351" customWidth="1"/>
    <col min="26" max="30" width="13.75" style="558" customWidth="1"/>
    <col min="31" max="31" width="13.75" style="349" customWidth="1"/>
    <col min="32" max="33" width="14.5" style="349"/>
    <col min="34" max="34" width="14.5" style="353"/>
    <col min="35" max="35" width="5.83203125" style="353" customWidth="1"/>
    <col min="36" max="36" width="14.5" style="353"/>
    <col min="37" max="37" width="5.83203125" style="182" customWidth="1"/>
    <col min="38" max="38" width="14.5" style="182"/>
    <col min="39" max="39" width="5.83203125" style="182" customWidth="1"/>
    <col min="40" max="40" width="14.5" style="182"/>
    <col min="41" max="41" width="5.83203125" style="182" customWidth="1"/>
    <col min="42" max="16384" width="14.5" style="181"/>
  </cols>
  <sheetData>
    <row r="1" spans="1:41" ht="115.5" customHeight="1">
      <c r="A1" s="347"/>
      <c r="B1" s="348" t="s">
        <v>1427</v>
      </c>
      <c r="C1" s="359">
        <v>45354</v>
      </c>
      <c r="D1" s="348">
        <v>1</v>
      </c>
      <c r="E1" s="348">
        <v>2</v>
      </c>
      <c r="F1" s="348">
        <v>3</v>
      </c>
      <c r="G1" s="348">
        <v>4</v>
      </c>
      <c r="H1" s="348">
        <v>5</v>
      </c>
      <c r="I1" s="348">
        <v>6</v>
      </c>
      <c r="J1" s="348">
        <v>7</v>
      </c>
      <c r="K1" s="348">
        <v>8</v>
      </c>
      <c r="L1" s="348">
        <v>9</v>
      </c>
      <c r="M1" s="348">
        <v>10</v>
      </c>
      <c r="N1" s="348">
        <v>11</v>
      </c>
      <c r="O1" s="348">
        <v>12</v>
      </c>
      <c r="P1" s="348">
        <v>13</v>
      </c>
      <c r="Q1" s="348">
        <v>14</v>
      </c>
      <c r="R1" s="348">
        <v>15</v>
      </c>
      <c r="S1" s="348">
        <v>16</v>
      </c>
      <c r="W1" s="349"/>
      <c r="Y1" s="349"/>
    </row>
    <row r="2" spans="1:41" ht="27" customHeight="1">
      <c r="A2" s="360"/>
      <c r="B2" s="361" t="s">
        <v>1428</v>
      </c>
      <c r="C2" s="361"/>
      <c r="D2" s="360"/>
      <c r="E2" s="360"/>
      <c r="F2" s="360"/>
      <c r="G2" s="360"/>
      <c r="H2" s="360"/>
      <c r="I2" s="360"/>
      <c r="J2" s="360"/>
      <c r="K2" s="360"/>
      <c r="L2" s="360"/>
      <c r="M2" s="360"/>
      <c r="N2" s="360"/>
      <c r="O2" s="360"/>
      <c r="P2" s="360"/>
      <c r="Q2" s="347" t="s">
        <v>1429</v>
      </c>
      <c r="R2" s="360"/>
      <c r="S2" s="360"/>
      <c r="W2" s="349"/>
      <c r="Y2" s="349"/>
    </row>
    <row r="3" spans="1:41" ht="24" customHeight="1">
      <c r="A3" s="347"/>
      <c r="B3" s="347"/>
      <c r="C3" s="362"/>
      <c r="D3" s="348"/>
      <c r="E3" s="347"/>
      <c r="F3" s="347"/>
      <c r="G3" s="350"/>
      <c r="H3" s="350"/>
      <c r="I3" s="350"/>
      <c r="J3" s="348"/>
      <c r="K3" s="348"/>
      <c r="L3" s="363" t="s">
        <v>2500</v>
      </c>
      <c r="M3" s="364"/>
      <c r="N3" s="364"/>
      <c r="O3" s="364"/>
      <c r="P3" s="365"/>
      <c r="Q3" s="363" t="s">
        <v>2501</v>
      </c>
      <c r="R3" s="364"/>
      <c r="S3" s="365"/>
      <c r="W3" s="349"/>
      <c r="X3" s="623" t="s">
        <v>1975</v>
      </c>
      <c r="Y3" s="624"/>
      <c r="Z3" s="623" t="s">
        <v>1978</v>
      </c>
      <c r="AA3" s="625"/>
      <c r="AB3" s="625"/>
      <c r="AC3" s="625"/>
      <c r="AD3" s="625"/>
      <c r="AE3" s="624"/>
      <c r="AH3" s="620" t="s">
        <v>1858</v>
      </c>
      <c r="AI3" s="621"/>
      <c r="AJ3" s="621"/>
      <c r="AK3" s="621"/>
      <c r="AL3" s="621"/>
      <c r="AM3" s="621"/>
      <c r="AN3" s="621"/>
      <c r="AO3" s="622"/>
    </row>
    <row r="4" spans="1:41" ht="42.75" customHeight="1">
      <c r="A4" s="366" t="s">
        <v>1430</v>
      </c>
      <c r="B4" s="350" t="s">
        <v>1546</v>
      </c>
      <c r="C4" s="350" t="s">
        <v>1547</v>
      </c>
      <c r="D4" s="367" t="s">
        <v>1431</v>
      </c>
      <c r="E4" s="368" t="s">
        <v>1432</v>
      </c>
      <c r="F4" s="368" t="s">
        <v>1432</v>
      </c>
      <c r="G4" s="350" t="s">
        <v>1433</v>
      </c>
      <c r="H4" s="368" t="s">
        <v>1021</v>
      </c>
      <c r="I4" s="350" t="s">
        <v>1434</v>
      </c>
      <c r="J4" s="369" t="s">
        <v>1435</v>
      </c>
      <c r="K4" s="370"/>
      <c r="L4" s="365" t="s">
        <v>1008</v>
      </c>
      <c r="M4" s="350" t="s">
        <v>1009</v>
      </c>
      <c r="N4" s="350" t="s">
        <v>1010</v>
      </c>
      <c r="O4" s="368" t="s">
        <v>1011</v>
      </c>
      <c r="P4" s="350" t="s">
        <v>1012</v>
      </c>
      <c r="Q4" s="350" t="s">
        <v>1010</v>
      </c>
      <c r="R4" s="368" t="s">
        <v>1011</v>
      </c>
      <c r="S4" s="350" t="s">
        <v>1012</v>
      </c>
      <c r="U4" s="349" t="s">
        <v>1878</v>
      </c>
      <c r="X4" s="560" t="s">
        <v>1976</v>
      </c>
      <c r="Y4" s="561" t="s">
        <v>1977</v>
      </c>
      <c r="Z4" s="560" t="s">
        <v>1979</v>
      </c>
      <c r="AA4" s="560" t="s">
        <v>1980</v>
      </c>
      <c r="AB4" s="560" t="s">
        <v>1981</v>
      </c>
      <c r="AC4" s="562" t="s">
        <v>1977</v>
      </c>
      <c r="AD4" s="562" t="s">
        <v>1977</v>
      </c>
      <c r="AE4" s="562" t="s">
        <v>1977</v>
      </c>
      <c r="AH4" s="380" t="s">
        <v>1859</v>
      </c>
      <c r="AI4" s="380" t="s">
        <v>1860</v>
      </c>
      <c r="AJ4" s="380" t="s">
        <v>1861</v>
      </c>
      <c r="AK4" s="380" t="s">
        <v>1860</v>
      </c>
      <c r="AL4" s="468"/>
      <c r="AM4" s="380" t="s">
        <v>1860</v>
      </c>
      <c r="AN4" s="468"/>
      <c r="AO4" s="380" t="s">
        <v>1860</v>
      </c>
    </row>
    <row r="5" spans="1:41" ht="21.75" customHeight="1">
      <c r="A5" s="347"/>
      <c r="B5" s="540">
        <v>1</v>
      </c>
      <c r="C5" s="526" t="s">
        <v>445</v>
      </c>
      <c r="D5" s="527">
        <v>1</v>
      </c>
      <c r="E5" s="528" t="s">
        <v>618</v>
      </c>
      <c r="F5" s="528">
        <v>3002</v>
      </c>
      <c r="G5" s="528" t="s">
        <v>2445</v>
      </c>
      <c r="H5" s="528" t="s">
        <v>1436</v>
      </c>
      <c r="I5" s="527" t="s">
        <v>1548</v>
      </c>
      <c r="J5" s="527" t="s">
        <v>1548</v>
      </c>
      <c r="K5" s="529"/>
      <c r="L5" s="530">
        <v>1002468</v>
      </c>
      <c r="M5" s="528" t="s">
        <v>767</v>
      </c>
      <c r="N5" s="528" t="s">
        <v>770</v>
      </c>
      <c r="O5" s="528" t="s">
        <v>768</v>
      </c>
      <c r="P5" s="528" t="s">
        <v>769</v>
      </c>
      <c r="Q5" s="528" t="s">
        <v>770</v>
      </c>
      <c r="R5" s="528" t="s">
        <v>768</v>
      </c>
      <c r="S5" s="528" t="s">
        <v>769</v>
      </c>
      <c r="T5" s="531"/>
      <c r="U5" s="349" t="str">
        <f>IF(N5=Q5,"〇","✕")</f>
        <v>〇</v>
      </c>
      <c r="V5" s="349" t="str">
        <f t="shared" ref="V5:V68" si="0">IF(O5=R5,"〇","✕")</f>
        <v>〇</v>
      </c>
      <c r="W5" s="349" t="str">
        <f>IF(P5=S5,"〇","✕")</f>
        <v>〇</v>
      </c>
      <c r="X5" s="559" t="s">
        <v>445</v>
      </c>
      <c r="Y5" s="557" t="str">
        <f>IF(C5=X5,"〇","✕")</f>
        <v>〇</v>
      </c>
      <c r="Z5" s="559" t="s">
        <v>770</v>
      </c>
      <c r="AA5" s="559" t="s">
        <v>768</v>
      </c>
      <c r="AB5" s="559" t="s">
        <v>769</v>
      </c>
      <c r="AC5" s="559" t="str">
        <f>IF(Q5=Z5,"〇","✕")</f>
        <v>〇</v>
      </c>
      <c r="AD5" s="559" t="str">
        <f t="shared" ref="AD5" si="1">IF(R5=AA5,"〇","✕")</f>
        <v>〇</v>
      </c>
      <c r="AE5" s="559" t="str">
        <f>IF(S5=AB5,"〇","✕")</f>
        <v>〇</v>
      </c>
      <c r="AF5" s="154">
        <v>2</v>
      </c>
      <c r="AG5" s="349" t="s">
        <v>1694</v>
      </c>
      <c r="AH5" s="378" t="s">
        <v>1436</v>
      </c>
      <c r="AI5" s="378" t="str">
        <f>IF(AH5=G5,"〇","✕")</f>
        <v>〇</v>
      </c>
      <c r="AJ5" s="378" t="s">
        <v>445</v>
      </c>
      <c r="AK5" s="467" t="str">
        <f>IF(AJ5=C5,"〇","✕")</f>
        <v>〇</v>
      </c>
      <c r="AL5" s="467"/>
      <c r="AM5" s="467"/>
      <c r="AN5" s="467"/>
      <c r="AO5" s="467"/>
    </row>
    <row r="6" spans="1:41" ht="21.75" customHeight="1">
      <c r="A6" s="347"/>
      <c r="B6" s="540">
        <v>2</v>
      </c>
      <c r="C6" s="526" t="s">
        <v>453</v>
      </c>
      <c r="D6" s="527">
        <v>2</v>
      </c>
      <c r="E6" s="528" t="s">
        <v>619</v>
      </c>
      <c r="F6" s="528">
        <v>3003</v>
      </c>
      <c r="G6" s="528" t="s">
        <v>1087</v>
      </c>
      <c r="H6" s="528" t="s">
        <v>1087</v>
      </c>
      <c r="I6" s="527" t="s">
        <v>1548</v>
      </c>
      <c r="J6" s="527" t="s">
        <v>1548</v>
      </c>
      <c r="K6" s="529"/>
      <c r="L6" s="530">
        <v>1002172</v>
      </c>
      <c r="M6" s="528" t="s">
        <v>1643</v>
      </c>
      <c r="N6" s="528" t="s">
        <v>2154</v>
      </c>
      <c r="O6" s="528" t="s">
        <v>1004</v>
      </c>
      <c r="P6" s="528" t="s">
        <v>2374</v>
      </c>
      <c r="Q6" s="528" t="s">
        <v>1862</v>
      </c>
      <c r="R6" s="528" t="s">
        <v>1869</v>
      </c>
      <c r="S6" s="528" t="s">
        <v>2365</v>
      </c>
      <c r="T6" s="531" t="s">
        <v>2153</v>
      </c>
      <c r="U6" s="349" t="str">
        <f t="shared" ref="U6:U68" si="2">IF(N6=Q6,"〇","✕")</f>
        <v>✕</v>
      </c>
      <c r="V6" s="349" t="str">
        <f t="shared" si="0"/>
        <v>✕</v>
      </c>
      <c r="W6" s="349" t="str">
        <f t="shared" ref="W6:W68" si="3">IF(P6=S6,"〇","✕")</f>
        <v>✕</v>
      </c>
      <c r="X6" s="559" t="s">
        <v>453</v>
      </c>
      <c r="Y6" s="557" t="str">
        <f t="shared" ref="Y6:Y69" si="4">IF(C6=X6,"〇","✕")</f>
        <v>〇</v>
      </c>
      <c r="Z6" s="559" t="s">
        <v>1862</v>
      </c>
      <c r="AA6" s="559" t="s">
        <v>1869</v>
      </c>
      <c r="AB6" s="559" t="s">
        <v>1870</v>
      </c>
      <c r="AC6" s="559" t="str">
        <f t="shared" ref="AC6:AC69" si="5">IF(Q6=Z6,"〇","✕")</f>
        <v>〇</v>
      </c>
      <c r="AD6" s="559" t="str">
        <f t="shared" ref="AD6:AD69" si="6">IF(R6=AA6,"〇","✕")</f>
        <v>〇</v>
      </c>
      <c r="AE6" s="559" t="str">
        <f t="shared" ref="AE6:AE69" si="7">IF(S6=AB6,"〇","✕")</f>
        <v>✕</v>
      </c>
      <c r="AF6" s="154">
        <v>3</v>
      </c>
      <c r="AG6" s="349" t="s">
        <v>1694</v>
      </c>
      <c r="AH6" s="378" t="s">
        <v>1087</v>
      </c>
      <c r="AI6" s="378" t="str">
        <f t="shared" ref="AI6:AI69" si="8">IF(AH6=G6,"〇","✕")</f>
        <v>〇</v>
      </c>
      <c r="AJ6" s="378" t="s">
        <v>453</v>
      </c>
      <c r="AK6" s="467" t="str">
        <f t="shared" ref="AK6:AK69" si="9">IF(AJ6=C6,"〇","✕")</f>
        <v>〇</v>
      </c>
      <c r="AL6" s="467"/>
      <c r="AM6" s="467"/>
      <c r="AN6" s="467"/>
      <c r="AO6" s="467"/>
    </row>
    <row r="7" spans="1:41" ht="21.75" customHeight="1">
      <c r="A7" s="347"/>
      <c r="B7" s="540">
        <v>3</v>
      </c>
      <c r="C7" s="526" t="s">
        <v>450</v>
      </c>
      <c r="D7" s="527">
        <v>3</v>
      </c>
      <c r="E7" s="528" t="s">
        <v>620</v>
      </c>
      <c r="F7" s="528">
        <v>3004</v>
      </c>
      <c r="G7" s="528" t="s">
        <v>1088</v>
      </c>
      <c r="H7" s="528" t="s">
        <v>1088</v>
      </c>
      <c r="I7" s="527" t="s">
        <v>1548</v>
      </c>
      <c r="J7" s="527" t="s">
        <v>1548</v>
      </c>
      <c r="K7" s="529"/>
      <c r="L7" s="530">
        <v>1002474</v>
      </c>
      <c r="M7" s="528" t="s">
        <v>771</v>
      </c>
      <c r="N7" s="528" t="s">
        <v>1020</v>
      </c>
      <c r="O7" s="528" t="s">
        <v>1004</v>
      </c>
      <c r="P7" s="528" t="s">
        <v>2155</v>
      </c>
      <c r="Q7" s="528" t="s">
        <v>2159</v>
      </c>
      <c r="R7" s="528" t="s">
        <v>1869</v>
      </c>
      <c r="S7" s="528" t="s">
        <v>1871</v>
      </c>
      <c r="T7" s="531" t="s">
        <v>2153</v>
      </c>
      <c r="U7" s="349" t="str">
        <f t="shared" si="2"/>
        <v>〇</v>
      </c>
      <c r="V7" s="349" t="str">
        <f t="shared" si="0"/>
        <v>✕</v>
      </c>
      <c r="W7" s="349" t="str">
        <f t="shared" si="3"/>
        <v>✕</v>
      </c>
      <c r="X7" s="559" t="s">
        <v>450</v>
      </c>
      <c r="Y7" s="557" t="str">
        <f t="shared" si="4"/>
        <v>〇</v>
      </c>
      <c r="Z7" s="559" t="s">
        <v>1020</v>
      </c>
      <c r="AA7" s="559" t="s">
        <v>1869</v>
      </c>
      <c r="AB7" s="559" t="s">
        <v>1871</v>
      </c>
      <c r="AC7" s="559" t="str">
        <f t="shared" si="5"/>
        <v>〇</v>
      </c>
      <c r="AD7" s="559" t="str">
        <f t="shared" si="6"/>
        <v>〇</v>
      </c>
      <c r="AE7" s="559" t="str">
        <f t="shared" si="7"/>
        <v>〇</v>
      </c>
      <c r="AF7" s="154">
        <v>25</v>
      </c>
      <c r="AG7" s="349" t="s">
        <v>1694</v>
      </c>
      <c r="AH7" s="378" t="s">
        <v>1088</v>
      </c>
      <c r="AI7" s="378" t="str">
        <f t="shared" si="8"/>
        <v>〇</v>
      </c>
      <c r="AJ7" s="378" t="s">
        <v>450</v>
      </c>
      <c r="AK7" s="467" t="str">
        <f t="shared" si="9"/>
        <v>〇</v>
      </c>
      <c r="AL7" s="467"/>
      <c r="AM7" s="467"/>
      <c r="AN7" s="467"/>
      <c r="AO7" s="467"/>
    </row>
    <row r="8" spans="1:41" ht="21.75" customHeight="1">
      <c r="A8" s="347"/>
      <c r="B8" s="540">
        <v>4</v>
      </c>
      <c r="C8" s="526" t="s">
        <v>448</v>
      </c>
      <c r="D8" s="527">
        <v>4</v>
      </c>
      <c r="E8" s="528" t="s">
        <v>621</v>
      </c>
      <c r="F8" s="528">
        <v>3005</v>
      </c>
      <c r="G8" s="528" t="s">
        <v>2446</v>
      </c>
      <c r="H8" s="528" t="s">
        <v>1089</v>
      </c>
      <c r="I8" s="527" t="s">
        <v>1548</v>
      </c>
      <c r="J8" s="527" t="s">
        <v>1548</v>
      </c>
      <c r="K8" s="529"/>
      <c r="L8" s="530">
        <v>1002330</v>
      </c>
      <c r="M8" s="528" t="s">
        <v>772</v>
      </c>
      <c r="N8" s="528" t="s">
        <v>774</v>
      </c>
      <c r="O8" s="528" t="s">
        <v>768</v>
      </c>
      <c r="P8" s="528" t="s">
        <v>773</v>
      </c>
      <c r="Q8" s="528" t="s">
        <v>774</v>
      </c>
      <c r="R8" s="528" t="s">
        <v>768</v>
      </c>
      <c r="S8" s="528" t="s">
        <v>773</v>
      </c>
      <c r="T8" s="531"/>
      <c r="U8" s="349" t="str">
        <f t="shared" si="2"/>
        <v>〇</v>
      </c>
      <c r="V8" s="349" t="str">
        <f t="shared" si="0"/>
        <v>〇</v>
      </c>
      <c r="W8" s="349" t="str">
        <f t="shared" si="3"/>
        <v>〇</v>
      </c>
      <c r="X8" s="559" t="s">
        <v>448</v>
      </c>
      <c r="Y8" s="557" t="str">
        <f t="shared" si="4"/>
        <v>〇</v>
      </c>
      <c r="Z8" s="559" t="s">
        <v>774</v>
      </c>
      <c r="AA8" s="559" t="s">
        <v>768</v>
      </c>
      <c r="AB8" s="559" t="s">
        <v>773</v>
      </c>
      <c r="AC8" s="559" t="str">
        <f t="shared" si="5"/>
        <v>〇</v>
      </c>
      <c r="AD8" s="559" t="str">
        <f t="shared" si="6"/>
        <v>〇</v>
      </c>
      <c r="AE8" s="559" t="str">
        <f t="shared" si="7"/>
        <v>〇</v>
      </c>
      <c r="AF8" s="154">
        <v>39</v>
      </c>
      <c r="AG8" s="349" t="s">
        <v>1694</v>
      </c>
      <c r="AH8" s="378" t="s">
        <v>1089</v>
      </c>
      <c r="AI8" s="378" t="str">
        <f t="shared" si="8"/>
        <v>〇</v>
      </c>
      <c r="AJ8" s="378" t="s">
        <v>448</v>
      </c>
      <c r="AK8" s="467" t="str">
        <f t="shared" si="9"/>
        <v>〇</v>
      </c>
      <c r="AL8" s="467"/>
      <c r="AM8" s="467"/>
      <c r="AN8" s="467"/>
      <c r="AO8" s="467"/>
    </row>
    <row r="9" spans="1:41" ht="21.75" customHeight="1">
      <c r="A9" s="347"/>
      <c r="B9" s="540">
        <v>5</v>
      </c>
      <c r="C9" s="526" t="s">
        <v>466</v>
      </c>
      <c r="D9" s="527">
        <v>5</v>
      </c>
      <c r="E9" s="528" t="s">
        <v>622</v>
      </c>
      <c r="F9" s="528">
        <v>3006</v>
      </c>
      <c r="G9" s="528" t="s">
        <v>1090</v>
      </c>
      <c r="H9" s="528" t="s">
        <v>1090</v>
      </c>
      <c r="I9" s="527" t="s">
        <v>1548</v>
      </c>
      <c r="J9" s="527" t="s">
        <v>1548</v>
      </c>
      <c r="K9" s="529"/>
      <c r="L9" s="530">
        <v>1002442</v>
      </c>
      <c r="M9" s="528" t="s">
        <v>775</v>
      </c>
      <c r="N9" s="528" t="s">
        <v>777</v>
      </c>
      <c r="O9" s="528" t="s">
        <v>768</v>
      </c>
      <c r="P9" s="528" t="s">
        <v>776</v>
      </c>
      <c r="Q9" s="528" t="s">
        <v>777</v>
      </c>
      <c r="R9" s="528" t="s">
        <v>768</v>
      </c>
      <c r="S9" s="528" t="s">
        <v>776</v>
      </c>
      <c r="T9" s="531"/>
      <c r="U9" s="349" t="str">
        <f t="shared" si="2"/>
        <v>〇</v>
      </c>
      <c r="V9" s="349" t="str">
        <f t="shared" si="0"/>
        <v>〇</v>
      </c>
      <c r="W9" s="349" t="str">
        <f t="shared" si="3"/>
        <v>〇</v>
      </c>
      <c r="X9" s="559" t="s">
        <v>466</v>
      </c>
      <c r="Y9" s="557" t="str">
        <f t="shared" si="4"/>
        <v>〇</v>
      </c>
      <c r="Z9" s="559" t="s">
        <v>777</v>
      </c>
      <c r="AA9" s="559" t="s">
        <v>768</v>
      </c>
      <c r="AB9" s="559" t="s">
        <v>776</v>
      </c>
      <c r="AC9" s="559" t="str">
        <f t="shared" si="5"/>
        <v>〇</v>
      </c>
      <c r="AD9" s="559" t="str">
        <f t="shared" si="6"/>
        <v>〇</v>
      </c>
      <c r="AE9" s="559" t="str">
        <f t="shared" si="7"/>
        <v>〇</v>
      </c>
      <c r="AF9" s="154">
        <v>43</v>
      </c>
      <c r="AG9" s="349" t="s">
        <v>1694</v>
      </c>
      <c r="AH9" s="378" t="s">
        <v>1090</v>
      </c>
      <c r="AI9" s="378" t="str">
        <f t="shared" si="8"/>
        <v>〇</v>
      </c>
      <c r="AJ9" s="378" t="s">
        <v>466</v>
      </c>
      <c r="AK9" s="467" t="str">
        <f t="shared" si="9"/>
        <v>〇</v>
      </c>
      <c r="AL9" s="467"/>
      <c r="AM9" s="467"/>
      <c r="AN9" s="467"/>
      <c r="AO9" s="467"/>
    </row>
    <row r="10" spans="1:41" ht="21.75" customHeight="1">
      <c r="A10" s="347"/>
      <c r="B10" s="540">
        <v>6</v>
      </c>
      <c r="C10" s="526" t="s">
        <v>463</v>
      </c>
      <c r="D10" s="527">
        <v>6</v>
      </c>
      <c r="E10" s="528" t="s">
        <v>623</v>
      </c>
      <c r="F10" s="528">
        <v>3007</v>
      </c>
      <c r="G10" s="528" t="s">
        <v>1091</v>
      </c>
      <c r="H10" s="528" t="s">
        <v>1091</v>
      </c>
      <c r="I10" s="527" t="s">
        <v>1548</v>
      </c>
      <c r="J10" s="527" t="s">
        <v>1548</v>
      </c>
      <c r="K10" s="529"/>
      <c r="L10" s="530">
        <v>1003051</v>
      </c>
      <c r="M10" s="528" t="s">
        <v>778</v>
      </c>
      <c r="N10" s="528" t="s">
        <v>780</v>
      </c>
      <c r="O10" s="528" t="s">
        <v>768</v>
      </c>
      <c r="P10" s="528" t="s">
        <v>779</v>
      </c>
      <c r="Q10" s="528" t="s">
        <v>780</v>
      </c>
      <c r="R10" s="528" t="s">
        <v>768</v>
      </c>
      <c r="S10" s="528" t="s">
        <v>779</v>
      </c>
      <c r="T10" s="531"/>
      <c r="U10" s="349" t="str">
        <f t="shared" si="2"/>
        <v>〇</v>
      </c>
      <c r="V10" s="349" t="str">
        <f t="shared" si="0"/>
        <v>〇</v>
      </c>
      <c r="W10" s="349" t="str">
        <f t="shared" si="3"/>
        <v>〇</v>
      </c>
      <c r="X10" s="559" t="s">
        <v>463</v>
      </c>
      <c r="Y10" s="557" t="str">
        <f t="shared" si="4"/>
        <v>〇</v>
      </c>
      <c r="Z10" s="559" t="s">
        <v>780</v>
      </c>
      <c r="AA10" s="559" t="s">
        <v>768</v>
      </c>
      <c r="AB10" s="559" t="s">
        <v>779</v>
      </c>
      <c r="AC10" s="559" t="str">
        <f t="shared" si="5"/>
        <v>〇</v>
      </c>
      <c r="AD10" s="559" t="str">
        <f t="shared" si="6"/>
        <v>〇</v>
      </c>
      <c r="AE10" s="559" t="str">
        <f t="shared" si="7"/>
        <v>〇</v>
      </c>
      <c r="AF10" s="154">
        <v>45</v>
      </c>
      <c r="AG10" s="349" t="s">
        <v>1694</v>
      </c>
      <c r="AH10" s="378" t="s">
        <v>1091</v>
      </c>
      <c r="AI10" s="378" t="str">
        <f t="shared" si="8"/>
        <v>〇</v>
      </c>
      <c r="AJ10" s="378" t="s">
        <v>463</v>
      </c>
      <c r="AK10" s="467" t="str">
        <f t="shared" si="9"/>
        <v>〇</v>
      </c>
      <c r="AL10" s="467"/>
      <c r="AM10" s="467"/>
      <c r="AN10" s="467"/>
      <c r="AO10" s="467"/>
    </row>
    <row r="11" spans="1:41" ht="21.75" customHeight="1">
      <c r="A11" s="347"/>
      <c r="B11" s="540">
        <v>7</v>
      </c>
      <c r="C11" s="526" t="s">
        <v>470</v>
      </c>
      <c r="D11" s="527">
        <v>7</v>
      </c>
      <c r="E11" s="528" t="s">
        <v>624</v>
      </c>
      <c r="F11" s="528">
        <v>3008</v>
      </c>
      <c r="G11" s="528" t="s">
        <v>1092</v>
      </c>
      <c r="H11" s="528" t="s">
        <v>1092</v>
      </c>
      <c r="I11" s="527" t="s">
        <v>1548</v>
      </c>
      <c r="J11" s="527" t="s">
        <v>1548</v>
      </c>
      <c r="K11" s="529"/>
      <c r="L11" s="530">
        <v>1003220</v>
      </c>
      <c r="M11" s="528" t="s">
        <v>781</v>
      </c>
      <c r="N11" s="528" t="s">
        <v>783</v>
      </c>
      <c r="O11" s="528" t="s">
        <v>768</v>
      </c>
      <c r="P11" s="528" t="s">
        <v>782</v>
      </c>
      <c r="Q11" s="528" t="s">
        <v>783</v>
      </c>
      <c r="R11" s="528" t="s">
        <v>768</v>
      </c>
      <c r="S11" s="528" t="s">
        <v>782</v>
      </c>
      <c r="T11" s="531"/>
      <c r="U11" s="349" t="str">
        <f t="shared" si="2"/>
        <v>〇</v>
      </c>
      <c r="V11" s="349" t="str">
        <f t="shared" si="0"/>
        <v>〇</v>
      </c>
      <c r="W11" s="349" t="str">
        <f t="shared" si="3"/>
        <v>〇</v>
      </c>
      <c r="X11" s="559" t="s">
        <v>470</v>
      </c>
      <c r="Y11" s="557" t="str">
        <f t="shared" si="4"/>
        <v>〇</v>
      </c>
      <c r="Z11" s="559" t="s">
        <v>783</v>
      </c>
      <c r="AA11" s="559" t="s">
        <v>768</v>
      </c>
      <c r="AB11" s="559" t="s">
        <v>782</v>
      </c>
      <c r="AC11" s="559" t="str">
        <f t="shared" si="5"/>
        <v>〇</v>
      </c>
      <c r="AD11" s="559" t="str">
        <f t="shared" si="6"/>
        <v>〇</v>
      </c>
      <c r="AE11" s="559" t="str">
        <f t="shared" si="7"/>
        <v>〇</v>
      </c>
      <c r="AF11" s="154">
        <v>49</v>
      </c>
      <c r="AG11" s="349" t="s">
        <v>1694</v>
      </c>
      <c r="AH11" s="378" t="s">
        <v>1092</v>
      </c>
      <c r="AI11" s="378" t="str">
        <f t="shared" si="8"/>
        <v>〇</v>
      </c>
      <c r="AJ11" s="378" t="s">
        <v>470</v>
      </c>
      <c r="AK11" s="467" t="str">
        <f t="shared" si="9"/>
        <v>〇</v>
      </c>
      <c r="AL11" s="467"/>
      <c r="AM11" s="467"/>
      <c r="AN11" s="467"/>
      <c r="AO11" s="467"/>
    </row>
    <row r="12" spans="1:41" ht="21.75" customHeight="1">
      <c r="A12" s="347"/>
      <c r="B12" s="540">
        <v>8</v>
      </c>
      <c r="C12" s="526" t="s">
        <v>477</v>
      </c>
      <c r="D12" s="527">
        <v>8</v>
      </c>
      <c r="E12" s="528" t="s">
        <v>625</v>
      </c>
      <c r="F12" s="528">
        <v>3009</v>
      </c>
      <c r="G12" s="528" t="s">
        <v>1093</v>
      </c>
      <c r="H12" s="528" t="s">
        <v>1093</v>
      </c>
      <c r="I12" s="527" t="s">
        <v>1548</v>
      </c>
      <c r="J12" s="527" t="s">
        <v>1548</v>
      </c>
      <c r="K12" s="529"/>
      <c r="L12" s="530">
        <v>1002239</v>
      </c>
      <c r="M12" s="528" t="s">
        <v>784</v>
      </c>
      <c r="N12" s="528" t="s">
        <v>786</v>
      </c>
      <c r="O12" s="528" t="s">
        <v>768</v>
      </c>
      <c r="P12" s="528" t="s">
        <v>2366</v>
      </c>
      <c r="Q12" s="528" t="s">
        <v>786</v>
      </c>
      <c r="R12" s="528" t="s">
        <v>768</v>
      </c>
      <c r="S12" s="528" t="s">
        <v>2366</v>
      </c>
      <c r="T12" s="531"/>
      <c r="U12" s="349" t="str">
        <f t="shared" si="2"/>
        <v>〇</v>
      </c>
      <c r="V12" s="349" t="str">
        <f t="shared" si="0"/>
        <v>〇</v>
      </c>
      <c r="W12" s="349" t="str">
        <f t="shared" si="3"/>
        <v>〇</v>
      </c>
      <c r="X12" s="559" t="s">
        <v>477</v>
      </c>
      <c r="Y12" s="557" t="str">
        <f t="shared" si="4"/>
        <v>〇</v>
      </c>
      <c r="Z12" s="559" t="s">
        <v>786</v>
      </c>
      <c r="AA12" s="559" t="s">
        <v>768</v>
      </c>
      <c r="AB12" s="559" t="s">
        <v>785</v>
      </c>
      <c r="AC12" s="559" t="str">
        <f t="shared" si="5"/>
        <v>〇</v>
      </c>
      <c r="AD12" s="559" t="str">
        <f t="shared" si="6"/>
        <v>〇</v>
      </c>
      <c r="AE12" s="559" t="str">
        <f t="shared" si="7"/>
        <v>✕</v>
      </c>
      <c r="AF12" s="154">
        <v>55</v>
      </c>
      <c r="AG12" s="349" t="s">
        <v>1694</v>
      </c>
      <c r="AH12" s="378" t="s">
        <v>1093</v>
      </c>
      <c r="AI12" s="378" t="str">
        <f t="shared" si="8"/>
        <v>〇</v>
      </c>
      <c r="AJ12" s="378" t="s">
        <v>477</v>
      </c>
      <c r="AK12" s="467" t="str">
        <f t="shared" si="9"/>
        <v>〇</v>
      </c>
      <c r="AL12" s="467"/>
      <c r="AM12" s="467"/>
      <c r="AN12" s="467"/>
      <c r="AO12" s="467"/>
    </row>
    <row r="13" spans="1:41" ht="21.75" customHeight="1">
      <c r="A13" s="347"/>
      <c r="B13" s="540">
        <v>9</v>
      </c>
      <c r="C13" s="526" t="s">
        <v>489</v>
      </c>
      <c r="D13" s="527">
        <v>9</v>
      </c>
      <c r="E13" s="528" t="s">
        <v>626</v>
      </c>
      <c r="F13" s="528">
        <v>3010</v>
      </c>
      <c r="G13" s="528" t="s">
        <v>1094</v>
      </c>
      <c r="H13" s="528" t="s">
        <v>1094</v>
      </c>
      <c r="I13" s="527" t="s">
        <v>1548</v>
      </c>
      <c r="J13" s="527" t="s">
        <v>1548</v>
      </c>
      <c r="K13" s="529"/>
      <c r="L13" s="530">
        <v>1002469</v>
      </c>
      <c r="M13" s="528" t="s">
        <v>787</v>
      </c>
      <c r="N13" s="528" t="s">
        <v>788</v>
      </c>
      <c r="O13" s="528" t="s">
        <v>768</v>
      </c>
      <c r="P13" s="528" t="s">
        <v>1984</v>
      </c>
      <c r="Q13" s="528" t="s">
        <v>788</v>
      </c>
      <c r="R13" s="528" t="s">
        <v>768</v>
      </c>
      <c r="S13" s="528" t="s">
        <v>1984</v>
      </c>
      <c r="T13" s="531"/>
      <c r="U13" s="349" t="str">
        <f t="shared" si="2"/>
        <v>〇</v>
      </c>
      <c r="V13" s="349" t="str">
        <f t="shared" si="0"/>
        <v>〇</v>
      </c>
      <c r="W13" s="349" t="str">
        <f t="shared" si="3"/>
        <v>〇</v>
      </c>
      <c r="X13" s="559" t="s">
        <v>489</v>
      </c>
      <c r="Y13" s="557" t="str">
        <f t="shared" si="4"/>
        <v>〇</v>
      </c>
      <c r="Z13" s="559" t="s">
        <v>788</v>
      </c>
      <c r="AA13" s="559" t="s">
        <v>768</v>
      </c>
      <c r="AB13" s="559" t="s">
        <v>1984</v>
      </c>
      <c r="AC13" s="559" t="str">
        <f t="shared" si="5"/>
        <v>〇</v>
      </c>
      <c r="AD13" s="559" t="str">
        <f t="shared" si="6"/>
        <v>〇</v>
      </c>
      <c r="AE13" s="559" t="str">
        <f t="shared" si="7"/>
        <v>〇</v>
      </c>
      <c r="AF13" s="154">
        <v>57</v>
      </c>
      <c r="AG13" s="349" t="s">
        <v>1694</v>
      </c>
      <c r="AH13" s="378" t="s">
        <v>1094</v>
      </c>
      <c r="AI13" s="378" t="str">
        <f t="shared" si="8"/>
        <v>〇</v>
      </c>
      <c r="AJ13" s="378" t="s">
        <v>489</v>
      </c>
      <c r="AK13" s="467" t="str">
        <f t="shared" si="9"/>
        <v>〇</v>
      </c>
      <c r="AL13" s="467"/>
      <c r="AM13" s="467"/>
      <c r="AN13" s="467"/>
      <c r="AO13" s="467"/>
    </row>
    <row r="14" spans="1:41" ht="21.75" customHeight="1">
      <c r="A14" s="347"/>
      <c r="B14" s="540">
        <v>10</v>
      </c>
      <c r="C14" s="526" t="s">
        <v>460</v>
      </c>
      <c r="D14" s="527">
        <v>10</v>
      </c>
      <c r="E14" s="528" t="s">
        <v>627</v>
      </c>
      <c r="F14" s="528">
        <v>3011</v>
      </c>
      <c r="G14" s="528" t="s">
        <v>1095</v>
      </c>
      <c r="H14" s="528" t="s">
        <v>1095</v>
      </c>
      <c r="I14" s="527" t="s">
        <v>1548</v>
      </c>
      <c r="J14" s="527" t="s">
        <v>1548</v>
      </c>
      <c r="K14" s="529"/>
      <c r="L14" s="530">
        <v>1004273</v>
      </c>
      <c r="M14" s="528" t="s">
        <v>789</v>
      </c>
      <c r="N14" s="528" t="s">
        <v>791</v>
      </c>
      <c r="O14" s="528" t="s">
        <v>768</v>
      </c>
      <c r="P14" s="528" t="s">
        <v>790</v>
      </c>
      <c r="Q14" s="528" t="s">
        <v>791</v>
      </c>
      <c r="R14" s="528" t="s">
        <v>768</v>
      </c>
      <c r="S14" s="528" t="s">
        <v>790</v>
      </c>
      <c r="T14" s="531"/>
      <c r="U14" s="349" t="str">
        <f t="shared" si="2"/>
        <v>〇</v>
      </c>
      <c r="V14" s="349" t="str">
        <f t="shared" si="0"/>
        <v>〇</v>
      </c>
      <c r="W14" s="349" t="str">
        <f t="shared" si="3"/>
        <v>〇</v>
      </c>
      <c r="X14" s="559" t="s">
        <v>460</v>
      </c>
      <c r="Y14" s="557" t="str">
        <f t="shared" si="4"/>
        <v>〇</v>
      </c>
      <c r="Z14" s="559" t="s">
        <v>791</v>
      </c>
      <c r="AA14" s="559" t="s">
        <v>768</v>
      </c>
      <c r="AB14" s="559" t="s">
        <v>790</v>
      </c>
      <c r="AC14" s="559" t="str">
        <f t="shared" si="5"/>
        <v>〇</v>
      </c>
      <c r="AD14" s="559" t="str">
        <f t="shared" si="6"/>
        <v>〇</v>
      </c>
      <c r="AE14" s="559" t="str">
        <f t="shared" si="7"/>
        <v>〇</v>
      </c>
      <c r="AF14" s="154">
        <v>120</v>
      </c>
      <c r="AG14" s="349" t="s">
        <v>1694</v>
      </c>
      <c r="AH14" s="378" t="s">
        <v>1095</v>
      </c>
      <c r="AI14" s="378" t="str">
        <f t="shared" si="8"/>
        <v>〇</v>
      </c>
      <c r="AJ14" s="378" t="s">
        <v>460</v>
      </c>
      <c r="AK14" s="467" t="str">
        <f t="shared" si="9"/>
        <v>〇</v>
      </c>
      <c r="AL14" s="467"/>
      <c r="AM14" s="467"/>
      <c r="AN14" s="467"/>
      <c r="AO14" s="467"/>
    </row>
    <row r="15" spans="1:41" ht="21.75" customHeight="1">
      <c r="A15" s="347"/>
      <c r="B15" s="540">
        <v>11</v>
      </c>
      <c r="C15" s="526" t="s">
        <v>474</v>
      </c>
      <c r="D15" s="527">
        <v>11</v>
      </c>
      <c r="E15" s="528" t="s">
        <v>628</v>
      </c>
      <c r="F15" s="528">
        <v>3012</v>
      </c>
      <c r="G15" s="528" t="s">
        <v>1437</v>
      </c>
      <c r="H15" s="528" t="s">
        <v>1437</v>
      </c>
      <c r="I15" s="527" t="s">
        <v>1548</v>
      </c>
      <c r="J15" s="527" t="s">
        <v>1548</v>
      </c>
      <c r="K15" s="529"/>
      <c r="L15" s="530">
        <v>1003081</v>
      </c>
      <c r="M15" s="528" t="s">
        <v>792</v>
      </c>
      <c r="N15" s="528" t="s">
        <v>794</v>
      </c>
      <c r="O15" s="528" t="s">
        <v>768</v>
      </c>
      <c r="P15" s="528" t="s">
        <v>793</v>
      </c>
      <c r="Q15" s="528" t="s">
        <v>794</v>
      </c>
      <c r="R15" s="528" t="s">
        <v>768</v>
      </c>
      <c r="S15" s="528" t="s">
        <v>793</v>
      </c>
      <c r="T15" s="531"/>
      <c r="U15" s="349" t="str">
        <f t="shared" si="2"/>
        <v>〇</v>
      </c>
      <c r="V15" s="349" t="str">
        <f t="shared" si="0"/>
        <v>〇</v>
      </c>
      <c r="W15" s="349" t="str">
        <f t="shared" si="3"/>
        <v>〇</v>
      </c>
      <c r="X15" s="559" t="s">
        <v>474</v>
      </c>
      <c r="Y15" s="557" t="str">
        <f t="shared" si="4"/>
        <v>〇</v>
      </c>
      <c r="Z15" s="559" t="s">
        <v>794</v>
      </c>
      <c r="AA15" s="559" t="s">
        <v>768</v>
      </c>
      <c r="AB15" s="559" t="s">
        <v>793</v>
      </c>
      <c r="AC15" s="559" t="str">
        <f t="shared" si="5"/>
        <v>〇</v>
      </c>
      <c r="AD15" s="559" t="str">
        <f t="shared" si="6"/>
        <v>〇</v>
      </c>
      <c r="AE15" s="559" t="str">
        <f t="shared" si="7"/>
        <v>〇</v>
      </c>
      <c r="AH15" s="378" t="s">
        <v>1437</v>
      </c>
      <c r="AI15" s="378" t="str">
        <f t="shared" si="8"/>
        <v>〇</v>
      </c>
      <c r="AJ15" s="378" t="s">
        <v>474</v>
      </c>
      <c r="AK15" s="467" t="str">
        <f t="shared" si="9"/>
        <v>〇</v>
      </c>
      <c r="AL15" s="467"/>
      <c r="AM15" s="467"/>
      <c r="AN15" s="467"/>
      <c r="AO15" s="467"/>
    </row>
    <row r="16" spans="1:41" ht="21.75" customHeight="1">
      <c r="A16" s="347"/>
      <c r="B16" s="540">
        <v>12</v>
      </c>
      <c r="C16" s="526" t="s">
        <v>483</v>
      </c>
      <c r="D16" s="527">
        <v>12</v>
      </c>
      <c r="E16" s="528" t="s">
        <v>629</v>
      </c>
      <c r="F16" s="528">
        <v>3014</v>
      </c>
      <c r="G16" s="528" t="s">
        <v>1096</v>
      </c>
      <c r="H16" s="528" t="s">
        <v>1096</v>
      </c>
      <c r="I16" s="527" t="s">
        <v>1548</v>
      </c>
      <c r="J16" s="527" t="s">
        <v>1548</v>
      </c>
      <c r="K16" s="529"/>
      <c r="L16" s="530">
        <v>1002217</v>
      </c>
      <c r="M16" s="528" t="s">
        <v>795</v>
      </c>
      <c r="N16" s="528" t="s">
        <v>797</v>
      </c>
      <c r="O16" s="528" t="s">
        <v>768</v>
      </c>
      <c r="P16" s="528" t="s">
        <v>796</v>
      </c>
      <c r="Q16" s="528" t="s">
        <v>797</v>
      </c>
      <c r="R16" s="528" t="s">
        <v>768</v>
      </c>
      <c r="S16" s="528" t="s">
        <v>796</v>
      </c>
      <c r="T16" s="531"/>
      <c r="U16" s="349" t="str">
        <f t="shared" si="2"/>
        <v>〇</v>
      </c>
      <c r="V16" s="349" t="str">
        <f t="shared" si="0"/>
        <v>〇</v>
      </c>
      <c r="W16" s="349" t="str">
        <f t="shared" si="3"/>
        <v>〇</v>
      </c>
      <c r="X16" s="559" t="s">
        <v>483</v>
      </c>
      <c r="Y16" s="557" t="str">
        <f t="shared" si="4"/>
        <v>〇</v>
      </c>
      <c r="Z16" s="559" t="s">
        <v>797</v>
      </c>
      <c r="AA16" s="559" t="s">
        <v>768</v>
      </c>
      <c r="AB16" s="559" t="s">
        <v>796</v>
      </c>
      <c r="AC16" s="559" t="str">
        <f t="shared" si="5"/>
        <v>〇</v>
      </c>
      <c r="AD16" s="559" t="str">
        <f t="shared" si="6"/>
        <v>〇</v>
      </c>
      <c r="AE16" s="559" t="str">
        <f t="shared" si="7"/>
        <v>〇</v>
      </c>
      <c r="AH16" s="378" t="s">
        <v>1096</v>
      </c>
      <c r="AI16" s="378" t="str">
        <f t="shared" si="8"/>
        <v>〇</v>
      </c>
      <c r="AJ16" s="378" t="s">
        <v>483</v>
      </c>
      <c r="AK16" s="467" t="str">
        <f t="shared" si="9"/>
        <v>〇</v>
      </c>
      <c r="AL16" s="467"/>
      <c r="AM16" s="467"/>
      <c r="AN16" s="467"/>
      <c r="AO16" s="467"/>
    </row>
    <row r="17" spans="1:41" ht="21.75" customHeight="1">
      <c r="A17" s="347"/>
      <c r="B17" s="540">
        <v>13</v>
      </c>
      <c r="C17" s="526" t="s">
        <v>486</v>
      </c>
      <c r="D17" s="527">
        <v>13</v>
      </c>
      <c r="E17" s="528" t="s">
        <v>630</v>
      </c>
      <c r="F17" s="528">
        <v>3015</v>
      </c>
      <c r="G17" s="528" t="s">
        <v>1097</v>
      </c>
      <c r="H17" s="528" t="s">
        <v>1097</v>
      </c>
      <c r="I17" s="527" t="s">
        <v>1548</v>
      </c>
      <c r="J17" s="527" t="s">
        <v>1548</v>
      </c>
      <c r="K17" s="529"/>
      <c r="L17" s="530">
        <v>1004277</v>
      </c>
      <c r="M17" s="528" t="s">
        <v>798</v>
      </c>
      <c r="N17" s="528" t="s">
        <v>800</v>
      </c>
      <c r="O17" s="528" t="s">
        <v>768</v>
      </c>
      <c r="P17" s="528" t="s">
        <v>799</v>
      </c>
      <c r="Q17" s="528" t="s">
        <v>800</v>
      </c>
      <c r="R17" s="528" t="s">
        <v>768</v>
      </c>
      <c r="S17" s="528" t="s">
        <v>799</v>
      </c>
      <c r="T17" s="531"/>
      <c r="U17" s="349" t="str">
        <f t="shared" si="2"/>
        <v>〇</v>
      </c>
      <c r="V17" s="349" t="str">
        <f t="shared" si="0"/>
        <v>〇</v>
      </c>
      <c r="W17" s="349" t="str">
        <f t="shared" si="3"/>
        <v>〇</v>
      </c>
      <c r="X17" s="559" t="s">
        <v>486</v>
      </c>
      <c r="Y17" s="557" t="str">
        <f t="shared" si="4"/>
        <v>〇</v>
      </c>
      <c r="Z17" s="559" t="s">
        <v>800</v>
      </c>
      <c r="AA17" s="559" t="s">
        <v>768</v>
      </c>
      <c r="AB17" s="559" t="s">
        <v>799</v>
      </c>
      <c r="AC17" s="559" t="str">
        <f t="shared" si="5"/>
        <v>〇</v>
      </c>
      <c r="AD17" s="559" t="str">
        <f t="shared" si="6"/>
        <v>〇</v>
      </c>
      <c r="AE17" s="559" t="str">
        <f t="shared" si="7"/>
        <v>〇</v>
      </c>
      <c r="AH17" s="378" t="s">
        <v>1097</v>
      </c>
      <c r="AI17" s="378" t="str">
        <f t="shared" si="8"/>
        <v>〇</v>
      </c>
      <c r="AJ17" s="378" t="s">
        <v>486</v>
      </c>
      <c r="AK17" s="467" t="str">
        <f t="shared" si="9"/>
        <v>〇</v>
      </c>
      <c r="AL17" s="467"/>
      <c r="AM17" s="467"/>
      <c r="AN17" s="467"/>
      <c r="AO17" s="467"/>
    </row>
    <row r="18" spans="1:41" ht="21.75" customHeight="1">
      <c r="A18" s="347"/>
      <c r="B18" s="540">
        <v>14</v>
      </c>
      <c r="C18" s="526" t="s">
        <v>455</v>
      </c>
      <c r="D18" s="527">
        <v>14</v>
      </c>
      <c r="E18" s="528" t="s">
        <v>631</v>
      </c>
      <c r="F18" s="528">
        <v>3016</v>
      </c>
      <c r="G18" s="528" t="s">
        <v>1098</v>
      </c>
      <c r="H18" s="528" t="s">
        <v>1098</v>
      </c>
      <c r="I18" s="527" t="s">
        <v>1548</v>
      </c>
      <c r="J18" s="527" t="s">
        <v>1548</v>
      </c>
      <c r="K18" s="529"/>
      <c r="L18" s="530">
        <v>1003082</v>
      </c>
      <c r="M18" s="528" t="s">
        <v>801</v>
      </c>
      <c r="N18" s="528" t="s">
        <v>803</v>
      </c>
      <c r="O18" s="528" t="s">
        <v>768</v>
      </c>
      <c r="P18" s="528" t="s">
        <v>802</v>
      </c>
      <c r="Q18" s="528" t="s">
        <v>803</v>
      </c>
      <c r="R18" s="528" t="s">
        <v>768</v>
      </c>
      <c r="S18" s="528" t="s">
        <v>802</v>
      </c>
      <c r="T18" s="531"/>
      <c r="U18" s="349" t="str">
        <f t="shared" si="2"/>
        <v>〇</v>
      </c>
      <c r="V18" s="349" t="str">
        <f t="shared" si="0"/>
        <v>〇</v>
      </c>
      <c r="W18" s="349" t="str">
        <f t="shared" si="3"/>
        <v>〇</v>
      </c>
      <c r="X18" s="559" t="s">
        <v>455</v>
      </c>
      <c r="Y18" s="557" t="str">
        <f t="shared" si="4"/>
        <v>〇</v>
      </c>
      <c r="Z18" s="559" t="s">
        <v>803</v>
      </c>
      <c r="AA18" s="559" t="s">
        <v>768</v>
      </c>
      <c r="AB18" s="559" t="s">
        <v>802</v>
      </c>
      <c r="AC18" s="559" t="str">
        <f t="shared" si="5"/>
        <v>〇</v>
      </c>
      <c r="AD18" s="559" t="str">
        <f t="shared" si="6"/>
        <v>〇</v>
      </c>
      <c r="AE18" s="559" t="str">
        <f t="shared" si="7"/>
        <v>〇</v>
      </c>
      <c r="AH18" s="378" t="s">
        <v>1098</v>
      </c>
      <c r="AI18" s="378" t="str">
        <f t="shared" si="8"/>
        <v>〇</v>
      </c>
      <c r="AJ18" s="378" t="s">
        <v>455</v>
      </c>
      <c r="AK18" s="467" t="str">
        <f t="shared" si="9"/>
        <v>〇</v>
      </c>
      <c r="AL18" s="467"/>
      <c r="AM18" s="467"/>
      <c r="AN18" s="467"/>
      <c r="AO18" s="467"/>
    </row>
    <row r="19" spans="1:41" ht="21.75" customHeight="1">
      <c r="A19" s="347"/>
      <c r="B19" s="540">
        <v>15</v>
      </c>
      <c r="C19" s="526" t="s">
        <v>495</v>
      </c>
      <c r="D19" s="527">
        <v>15</v>
      </c>
      <c r="E19" s="528" t="s">
        <v>632</v>
      </c>
      <c r="F19" s="528">
        <v>3017</v>
      </c>
      <c r="G19" s="528" t="s">
        <v>1099</v>
      </c>
      <c r="H19" s="528" t="s">
        <v>1099</v>
      </c>
      <c r="I19" s="527" t="s">
        <v>1548</v>
      </c>
      <c r="J19" s="527" t="s">
        <v>1548</v>
      </c>
      <c r="K19" s="529"/>
      <c r="L19" s="530">
        <v>1003083</v>
      </c>
      <c r="M19" s="528" t="s">
        <v>804</v>
      </c>
      <c r="N19" s="528" t="s">
        <v>805</v>
      </c>
      <c r="O19" s="528" t="s">
        <v>768</v>
      </c>
      <c r="P19" s="528" t="s">
        <v>1640</v>
      </c>
      <c r="Q19" s="528" t="s">
        <v>805</v>
      </c>
      <c r="R19" s="528" t="s">
        <v>768</v>
      </c>
      <c r="S19" s="528" t="s">
        <v>1640</v>
      </c>
      <c r="T19" s="531"/>
      <c r="U19" s="349" t="str">
        <f t="shared" si="2"/>
        <v>〇</v>
      </c>
      <c r="V19" s="349" t="str">
        <f t="shared" si="0"/>
        <v>〇</v>
      </c>
      <c r="W19" s="349" t="str">
        <f t="shared" si="3"/>
        <v>〇</v>
      </c>
      <c r="X19" s="559" t="s">
        <v>495</v>
      </c>
      <c r="Y19" s="557" t="str">
        <f t="shared" si="4"/>
        <v>〇</v>
      </c>
      <c r="Z19" s="559" t="s">
        <v>805</v>
      </c>
      <c r="AA19" s="559" t="s">
        <v>768</v>
      </c>
      <c r="AB19" s="559" t="s">
        <v>1640</v>
      </c>
      <c r="AC19" s="559" t="str">
        <f t="shared" si="5"/>
        <v>〇</v>
      </c>
      <c r="AD19" s="559" t="str">
        <f t="shared" si="6"/>
        <v>〇</v>
      </c>
      <c r="AE19" s="559" t="str">
        <f t="shared" si="7"/>
        <v>〇</v>
      </c>
      <c r="AH19" s="378" t="s">
        <v>1099</v>
      </c>
      <c r="AI19" s="378" t="str">
        <f t="shared" si="8"/>
        <v>〇</v>
      </c>
      <c r="AJ19" s="378" t="s">
        <v>495</v>
      </c>
      <c r="AK19" s="467" t="str">
        <f t="shared" si="9"/>
        <v>〇</v>
      </c>
      <c r="AL19" s="467"/>
      <c r="AM19" s="467"/>
      <c r="AN19" s="467"/>
      <c r="AO19" s="467"/>
    </row>
    <row r="20" spans="1:41" ht="21.75" customHeight="1">
      <c r="A20" s="347"/>
      <c r="B20" s="540">
        <v>16</v>
      </c>
      <c r="C20" s="526" t="s">
        <v>499</v>
      </c>
      <c r="D20" s="527">
        <v>16</v>
      </c>
      <c r="E20" s="528" t="s">
        <v>633</v>
      </c>
      <c r="F20" s="528">
        <v>3018</v>
      </c>
      <c r="G20" s="528" t="s">
        <v>1100</v>
      </c>
      <c r="H20" s="528" t="s">
        <v>1100</v>
      </c>
      <c r="I20" s="527" t="s">
        <v>1548</v>
      </c>
      <c r="J20" s="527" t="s">
        <v>1548</v>
      </c>
      <c r="K20" s="529"/>
      <c r="L20" s="530">
        <v>1002334</v>
      </c>
      <c r="M20" s="528" t="s">
        <v>806</v>
      </c>
      <c r="N20" s="528" t="s">
        <v>808</v>
      </c>
      <c r="O20" s="528" t="s">
        <v>768</v>
      </c>
      <c r="P20" s="528" t="s">
        <v>807</v>
      </c>
      <c r="Q20" s="528" t="s">
        <v>808</v>
      </c>
      <c r="R20" s="528" t="s">
        <v>768</v>
      </c>
      <c r="S20" s="528" t="s">
        <v>807</v>
      </c>
      <c r="T20" s="531"/>
      <c r="U20" s="349" t="str">
        <f t="shared" si="2"/>
        <v>〇</v>
      </c>
      <c r="V20" s="349" t="str">
        <f t="shared" si="0"/>
        <v>〇</v>
      </c>
      <c r="W20" s="349" t="str">
        <f t="shared" si="3"/>
        <v>〇</v>
      </c>
      <c r="X20" s="559" t="s">
        <v>499</v>
      </c>
      <c r="Y20" s="557" t="str">
        <f t="shared" si="4"/>
        <v>〇</v>
      </c>
      <c r="Z20" s="559" t="s">
        <v>808</v>
      </c>
      <c r="AA20" s="559" t="s">
        <v>768</v>
      </c>
      <c r="AB20" s="559" t="s">
        <v>807</v>
      </c>
      <c r="AC20" s="559" t="str">
        <f t="shared" si="5"/>
        <v>〇</v>
      </c>
      <c r="AD20" s="559" t="str">
        <f t="shared" si="6"/>
        <v>〇</v>
      </c>
      <c r="AE20" s="559" t="str">
        <f t="shared" si="7"/>
        <v>〇</v>
      </c>
      <c r="AH20" s="378" t="s">
        <v>1100</v>
      </c>
      <c r="AI20" s="378" t="str">
        <f t="shared" si="8"/>
        <v>〇</v>
      </c>
      <c r="AJ20" s="378" t="s">
        <v>499</v>
      </c>
      <c r="AK20" s="467" t="str">
        <f t="shared" si="9"/>
        <v>〇</v>
      </c>
      <c r="AL20" s="467"/>
      <c r="AM20" s="467"/>
      <c r="AN20" s="467"/>
      <c r="AO20" s="467"/>
    </row>
    <row r="21" spans="1:41" ht="21.75" customHeight="1">
      <c r="A21" s="347"/>
      <c r="B21" s="540">
        <v>17</v>
      </c>
      <c r="C21" s="526" t="s">
        <v>1438</v>
      </c>
      <c r="D21" s="527">
        <v>17</v>
      </c>
      <c r="E21" s="528" t="s">
        <v>634</v>
      </c>
      <c r="F21" s="528">
        <v>3019</v>
      </c>
      <c r="G21" s="528" t="s">
        <v>1101</v>
      </c>
      <c r="H21" s="528" t="s">
        <v>1101</v>
      </c>
      <c r="I21" s="527" t="s">
        <v>1548</v>
      </c>
      <c r="J21" s="527" t="s">
        <v>1548</v>
      </c>
      <c r="K21" s="529"/>
      <c r="L21" s="530">
        <v>1002467</v>
      </c>
      <c r="M21" s="528" t="s">
        <v>809</v>
      </c>
      <c r="N21" s="528" t="s">
        <v>811</v>
      </c>
      <c r="O21" s="528" t="s">
        <v>768</v>
      </c>
      <c r="P21" s="528" t="s">
        <v>810</v>
      </c>
      <c r="Q21" s="528" t="s">
        <v>811</v>
      </c>
      <c r="R21" s="528" t="s">
        <v>768</v>
      </c>
      <c r="S21" s="528" t="s">
        <v>810</v>
      </c>
      <c r="T21" s="531"/>
      <c r="U21" s="349" t="str">
        <f t="shared" si="2"/>
        <v>〇</v>
      </c>
      <c r="V21" s="349" t="str">
        <f t="shared" si="0"/>
        <v>〇</v>
      </c>
      <c r="W21" s="349" t="str">
        <f t="shared" si="3"/>
        <v>〇</v>
      </c>
      <c r="X21" s="559" t="s">
        <v>1438</v>
      </c>
      <c r="Y21" s="557" t="str">
        <f t="shared" si="4"/>
        <v>〇</v>
      </c>
      <c r="Z21" s="559" t="s">
        <v>811</v>
      </c>
      <c r="AA21" s="559" t="s">
        <v>768</v>
      </c>
      <c r="AB21" s="559" t="s">
        <v>810</v>
      </c>
      <c r="AC21" s="559" t="str">
        <f t="shared" si="5"/>
        <v>〇</v>
      </c>
      <c r="AD21" s="559" t="str">
        <f t="shared" si="6"/>
        <v>〇</v>
      </c>
      <c r="AE21" s="559" t="str">
        <f t="shared" si="7"/>
        <v>〇</v>
      </c>
      <c r="AH21" s="378" t="s">
        <v>1101</v>
      </c>
      <c r="AI21" s="378" t="str">
        <f t="shared" si="8"/>
        <v>〇</v>
      </c>
      <c r="AJ21" s="378" t="s">
        <v>1438</v>
      </c>
      <c r="AK21" s="467" t="str">
        <f t="shared" si="9"/>
        <v>〇</v>
      </c>
      <c r="AL21" s="467"/>
      <c r="AM21" s="467"/>
      <c r="AN21" s="467"/>
      <c r="AO21" s="467"/>
    </row>
    <row r="22" spans="1:41" ht="21.75" customHeight="1">
      <c r="A22" s="347"/>
      <c r="B22" s="540">
        <v>18</v>
      </c>
      <c r="C22" s="526" t="s">
        <v>503</v>
      </c>
      <c r="D22" s="527">
        <v>18</v>
      </c>
      <c r="E22" s="528" t="s">
        <v>635</v>
      </c>
      <c r="F22" s="528">
        <v>3020</v>
      </c>
      <c r="G22" s="528" t="s">
        <v>1102</v>
      </c>
      <c r="H22" s="528" t="s">
        <v>1102</v>
      </c>
      <c r="I22" s="527" t="s">
        <v>1548</v>
      </c>
      <c r="J22" s="527" t="s">
        <v>1548</v>
      </c>
      <c r="K22" s="529"/>
      <c r="L22" s="530">
        <v>1002324</v>
      </c>
      <c r="M22" s="528" t="s">
        <v>812</v>
      </c>
      <c r="N22" s="528" t="s">
        <v>814</v>
      </c>
      <c r="O22" s="528" t="s">
        <v>768</v>
      </c>
      <c r="P22" s="528" t="s">
        <v>813</v>
      </c>
      <c r="Q22" s="528" t="s">
        <v>814</v>
      </c>
      <c r="R22" s="528" t="s">
        <v>768</v>
      </c>
      <c r="S22" s="528" t="s">
        <v>813</v>
      </c>
      <c r="T22" s="531"/>
      <c r="U22" s="349" t="str">
        <f t="shared" si="2"/>
        <v>〇</v>
      </c>
      <c r="V22" s="349" t="str">
        <f t="shared" si="0"/>
        <v>〇</v>
      </c>
      <c r="W22" s="349" t="str">
        <f t="shared" si="3"/>
        <v>〇</v>
      </c>
      <c r="X22" s="559" t="s">
        <v>503</v>
      </c>
      <c r="Y22" s="557" t="str">
        <f t="shared" si="4"/>
        <v>〇</v>
      </c>
      <c r="Z22" s="559" t="s">
        <v>814</v>
      </c>
      <c r="AA22" s="559" t="s">
        <v>768</v>
      </c>
      <c r="AB22" s="559" t="s">
        <v>813</v>
      </c>
      <c r="AC22" s="559" t="str">
        <f t="shared" si="5"/>
        <v>〇</v>
      </c>
      <c r="AD22" s="559" t="str">
        <f t="shared" si="6"/>
        <v>〇</v>
      </c>
      <c r="AE22" s="559" t="str">
        <f t="shared" si="7"/>
        <v>〇</v>
      </c>
      <c r="AH22" s="378" t="s">
        <v>1102</v>
      </c>
      <c r="AI22" s="378" t="str">
        <f t="shared" si="8"/>
        <v>〇</v>
      </c>
      <c r="AJ22" s="378" t="s">
        <v>503</v>
      </c>
      <c r="AK22" s="467" t="str">
        <f t="shared" si="9"/>
        <v>〇</v>
      </c>
      <c r="AL22" s="467"/>
      <c r="AM22" s="467"/>
      <c r="AN22" s="467"/>
      <c r="AO22" s="467"/>
    </row>
    <row r="23" spans="1:41" ht="21.75" customHeight="1">
      <c r="A23" s="347"/>
      <c r="B23" s="540">
        <v>19</v>
      </c>
      <c r="C23" s="526" t="s">
        <v>497</v>
      </c>
      <c r="D23" s="527">
        <v>19</v>
      </c>
      <c r="E23" s="528" t="s">
        <v>636</v>
      </c>
      <c r="F23" s="528">
        <v>3021</v>
      </c>
      <c r="G23" s="528" t="s">
        <v>1103</v>
      </c>
      <c r="H23" s="528" t="s">
        <v>1103</v>
      </c>
      <c r="I23" s="527" t="s">
        <v>1548</v>
      </c>
      <c r="J23" s="527" t="s">
        <v>1548</v>
      </c>
      <c r="K23" s="529"/>
      <c r="L23" s="530">
        <v>1003207</v>
      </c>
      <c r="M23" s="528" t="s">
        <v>815</v>
      </c>
      <c r="N23" s="528" t="s">
        <v>817</v>
      </c>
      <c r="O23" s="528" t="s">
        <v>768</v>
      </c>
      <c r="P23" s="528" t="s">
        <v>2498</v>
      </c>
      <c r="Q23" s="528" t="s">
        <v>817</v>
      </c>
      <c r="R23" s="528" t="s">
        <v>768</v>
      </c>
      <c r="S23" s="528" t="s">
        <v>2498</v>
      </c>
      <c r="T23" s="531"/>
      <c r="U23" s="349" t="str">
        <f t="shared" si="2"/>
        <v>〇</v>
      </c>
      <c r="V23" s="349" t="str">
        <f t="shared" si="0"/>
        <v>〇</v>
      </c>
      <c r="W23" s="349" t="str">
        <f t="shared" si="3"/>
        <v>〇</v>
      </c>
      <c r="X23" s="559" t="s">
        <v>497</v>
      </c>
      <c r="Y23" s="557" t="str">
        <f t="shared" si="4"/>
        <v>〇</v>
      </c>
      <c r="Z23" s="559" t="s">
        <v>817</v>
      </c>
      <c r="AA23" s="559" t="s">
        <v>768</v>
      </c>
      <c r="AB23" s="559" t="s">
        <v>816</v>
      </c>
      <c r="AC23" s="559" t="str">
        <f t="shared" si="5"/>
        <v>〇</v>
      </c>
      <c r="AD23" s="559" t="str">
        <f t="shared" si="6"/>
        <v>〇</v>
      </c>
      <c r="AE23" s="559" t="str">
        <f t="shared" si="7"/>
        <v>✕</v>
      </c>
      <c r="AH23" s="378" t="s">
        <v>1103</v>
      </c>
      <c r="AI23" s="378" t="str">
        <f t="shared" si="8"/>
        <v>〇</v>
      </c>
      <c r="AJ23" s="378" t="s">
        <v>497</v>
      </c>
      <c r="AK23" s="467" t="str">
        <f t="shared" si="9"/>
        <v>〇</v>
      </c>
      <c r="AL23" s="467"/>
      <c r="AM23" s="467"/>
      <c r="AN23" s="467"/>
      <c r="AO23" s="467"/>
    </row>
    <row r="24" spans="1:41" ht="21.75" customHeight="1">
      <c r="A24" s="347"/>
      <c r="B24" s="540">
        <v>20</v>
      </c>
      <c r="C24" s="526" t="s">
        <v>481</v>
      </c>
      <c r="D24" s="527">
        <v>20</v>
      </c>
      <c r="E24" s="528" t="s">
        <v>637</v>
      </c>
      <c r="F24" s="528">
        <v>3022</v>
      </c>
      <c r="G24" s="528" t="s">
        <v>1104</v>
      </c>
      <c r="H24" s="528" t="s">
        <v>1104</v>
      </c>
      <c r="I24" s="527" t="s">
        <v>1548</v>
      </c>
      <c r="J24" s="527" t="s">
        <v>1548</v>
      </c>
      <c r="K24" s="529"/>
      <c r="L24" s="530">
        <v>1002997</v>
      </c>
      <c r="M24" s="528" t="s">
        <v>818</v>
      </c>
      <c r="N24" s="528" t="s">
        <v>820</v>
      </c>
      <c r="O24" s="528" t="s">
        <v>768</v>
      </c>
      <c r="P24" s="528" t="s">
        <v>819</v>
      </c>
      <c r="Q24" s="528" t="s">
        <v>820</v>
      </c>
      <c r="R24" s="528" t="s">
        <v>768</v>
      </c>
      <c r="S24" s="528" t="s">
        <v>819</v>
      </c>
      <c r="T24" s="531"/>
      <c r="U24" s="349" t="str">
        <f t="shared" si="2"/>
        <v>〇</v>
      </c>
      <c r="V24" s="349" t="str">
        <f t="shared" si="0"/>
        <v>〇</v>
      </c>
      <c r="W24" s="349" t="str">
        <f t="shared" si="3"/>
        <v>〇</v>
      </c>
      <c r="X24" s="559" t="s">
        <v>481</v>
      </c>
      <c r="Y24" s="557" t="str">
        <f t="shared" si="4"/>
        <v>〇</v>
      </c>
      <c r="Z24" s="559" t="s">
        <v>820</v>
      </c>
      <c r="AA24" s="559" t="s">
        <v>768</v>
      </c>
      <c r="AB24" s="559" t="s">
        <v>819</v>
      </c>
      <c r="AC24" s="559" t="str">
        <f t="shared" si="5"/>
        <v>〇</v>
      </c>
      <c r="AD24" s="559" t="str">
        <f t="shared" si="6"/>
        <v>〇</v>
      </c>
      <c r="AE24" s="559" t="str">
        <f t="shared" si="7"/>
        <v>〇</v>
      </c>
      <c r="AH24" s="378" t="s">
        <v>1104</v>
      </c>
      <c r="AI24" s="378" t="str">
        <f t="shared" si="8"/>
        <v>〇</v>
      </c>
      <c r="AJ24" s="378" t="s">
        <v>481</v>
      </c>
      <c r="AK24" s="467" t="str">
        <f t="shared" si="9"/>
        <v>〇</v>
      </c>
      <c r="AL24" s="467"/>
      <c r="AM24" s="467"/>
      <c r="AN24" s="467"/>
      <c r="AO24" s="467"/>
    </row>
    <row r="25" spans="1:41" ht="21.75" customHeight="1">
      <c r="A25" s="347"/>
      <c r="B25" s="540">
        <v>21</v>
      </c>
      <c r="C25" s="526" t="s">
        <v>505</v>
      </c>
      <c r="D25" s="527">
        <v>21</v>
      </c>
      <c r="E25" s="528" t="s">
        <v>638</v>
      </c>
      <c r="F25" s="528">
        <v>3023</v>
      </c>
      <c r="G25" s="528" t="s">
        <v>1105</v>
      </c>
      <c r="H25" s="528" t="s">
        <v>1105</v>
      </c>
      <c r="I25" s="527" t="s">
        <v>1548</v>
      </c>
      <c r="J25" s="527" t="s">
        <v>1548</v>
      </c>
      <c r="K25" s="529"/>
      <c r="L25" s="530">
        <v>1003012</v>
      </c>
      <c r="M25" s="528" t="s">
        <v>821</v>
      </c>
      <c r="N25" s="528" t="s">
        <v>822</v>
      </c>
      <c r="O25" s="528" t="s">
        <v>768</v>
      </c>
      <c r="P25" s="528" t="s">
        <v>2151</v>
      </c>
      <c r="Q25" s="528" t="s">
        <v>822</v>
      </c>
      <c r="R25" s="528" t="s">
        <v>768</v>
      </c>
      <c r="S25" s="528" t="s">
        <v>2151</v>
      </c>
      <c r="T25" s="531"/>
      <c r="U25" s="349" t="str">
        <f t="shared" si="2"/>
        <v>〇</v>
      </c>
      <c r="V25" s="349" t="str">
        <f t="shared" si="0"/>
        <v>〇</v>
      </c>
      <c r="W25" s="349" t="str">
        <f t="shared" si="3"/>
        <v>〇</v>
      </c>
      <c r="X25" s="559" t="s">
        <v>505</v>
      </c>
      <c r="Y25" s="557" t="str">
        <f t="shared" si="4"/>
        <v>〇</v>
      </c>
      <c r="Z25" s="559" t="s">
        <v>822</v>
      </c>
      <c r="AA25" s="559" t="s">
        <v>768</v>
      </c>
      <c r="AB25" s="559" t="s">
        <v>2151</v>
      </c>
      <c r="AC25" s="559" t="str">
        <f t="shared" si="5"/>
        <v>〇</v>
      </c>
      <c r="AD25" s="559" t="str">
        <f t="shared" si="6"/>
        <v>〇</v>
      </c>
      <c r="AE25" s="559" t="str">
        <f t="shared" si="7"/>
        <v>〇</v>
      </c>
      <c r="AH25" s="378" t="s">
        <v>1105</v>
      </c>
      <c r="AI25" s="378" t="str">
        <f t="shared" si="8"/>
        <v>〇</v>
      </c>
      <c r="AJ25" s="378" t="s">
        <v>505</v>
      </c>
      <c r="AK25" s="467" t="str">
        <f t="shared" si="9"/>
        <v>〇</v>
      </c>
      <c r="AL25" s="467"/>
      <c r="AM25" s="467"/>
      <c r="AN25" s="467"/>
      <c r="AO25" s="467"/>
    </row>
    <row r="26" spans="1:41" ht="21.75" customHeight="1">
      <c r="A26" s="347"/>
      <c r="B26" s="540">
        <v>22</v>
      </c>
      <c r="C26" s="526" t="s">
        <v>471</v>
      </c>
      <c r="D26" s="527">
        <v>22</v>
      </c>
      <c r="E26" s="528" t="s">
        <v>639</v>
      </c>
      <c r="F26" s="528">
        <v>3024</v>
      </c>
      <c r="G26" s="528" t="s">
        <v>1106</v>
      </c>
      <c r="H26" s="528" t="s">
        <v>1106</v>
      </c>
      <c r="I26" s="527" t="s">
        <v>1548</v>
      </c>
      <c r="J26" s="527" t="s">
        <v>1548</v>
      </c>
      <c r="K26" s="529"/>
      <c r="L26" s="530">
        <v>1017501</v>
      </c>
      <c r="M26" s="528" t="s">
        <v>823</v>
      </c>
      <c r="N26" s="528" t="s">
        <v>825</v>
      </c>
      <c r="O26" s="528" t="s">
        <v>768</v>
      </c>
      <c r="P26" s="528" t="s">
        <v>824</v>
      </c>
      <c r="Q26" s="528" t="s">
        <v>825</v>
      </c>
      <c r="R26" s="528" t="s">
        <v>768</v>
      </c>
      <c r="S26" s="528" t="s">
        <v>824</v>
      </c>
      <c r="T26" s="531"/>
      <c r="U26" s="349" t="str">
        <f t="shared" si="2"/>
        <v>〇</v>
      </c>
      <c r="V26" s="349" t="str">
        <f t="shared" si="0"/>
        <v>〇</v>
      </c>
      <c r="W26" s="349" t="str">
        <f t="shared" si="3"/>
        <v>〇</v>
      </c>
      <c r="X26" s="559" t="s">
        <v>471</v>
      </c>
      <c r="Y26" s="557" t="str">
        <f t="shared" si="4"/>
        <v>〇</v>
      </c>
      <c r="Z26" s="559" t="s">
        <v>825</v>
      </c>
      <c r="AA26" s="559" t="s">
        <v>768</v>
      </c>
      <c r="AB26" s="559" t="s">
        <v>824</v>
      </c>
      <c r="AC26" s="559" t="str">
        <f t="shared" si="5"/>
        <v>〇</v>
      </c>
      <c r="AD26" s="559" t="str">
        <f t="shared" si="6"/>
        <v>〇</v>
      </c>
      <c r="AE26" s="559" t="str">
        <f t="shared" si="7"/>
        <v>〇</v>
      </c>
      <c r="AH26" s="378" t="s">
        <v>1106</v>
      </c>
      <c r="AI26" s="378" t="str">
        <f t="shared" si="8"/>
        <v>〇</v>
      </c>
      <c r="AJ26" s="378" t="s">
        <v>471</v>
      </c>
      <c r="AK26" s="467" t="str">
        <f t="shared" si="9"/>
        <v>〇</v>
      </c>
      <c r="AL26" s="467"/>
      <c r="AM26" s="467"/>
      <c r="AN26" s="467"/>
      <c r="AO26" s="467"/>
    </row>
    <row r="27" spans="1:41" ht="21.75" customHeight="1">
      <c r="A27" s="347"/>
      <c r="B27" s="540">
        <v>23</v>
      </c>
      <c r="C27" s="531" t="s">
        <v>484</v>
      </c>
      <c r="D27" s="527">
        <v>23</v>
      </c>
      <c r="E27" s="528" t="s">
        <v>640</v>
      </c>
      <c r="F27" s="528">
        <v>3025</v>
      </c>
      <c r="G27" s="528" t="s">
        <v>1107</v>
      </c>
      <c r="H27" s="528" t="s">
        <v>1107</v>
      </c>
      <c r="I27" s="527" t="s">
        <v>1548</v>
      </c>
      <c r="J27" s="527" t="s">
        <v>1548</v>
      </c>
      <c r="K27" s="529"/>
      <c r="L27" s="530">
        <v>1024055</v>
      </c>
      <c r="M27" s="528" t="s">
        <v>826</v>
      </c>
      <c r="N27" s="528" t="s">
        <v>828</v>
      </c>
      <c r="O27" s="528" t="s">
        <v>768</v>
      </c>
      <c r="P27" s="528" t="s">
        <v>827</v>
      </c>
      <c r="Q27" s="528" t="s">
        <v>828</v>
      </c>
      <c r="R27" s="528" t="s">
        <v>768</v>
      </c>
      <c r="S27" s="528" t="s">
        <v>827</v>
      </c>
      <c r="T27" s="531"/>
      <c r="U27" s="349" t="str">
        <f t="shared" si="2"/>
        <v>〇</v>
      </c>
      <c r="V27" s="349" t="str">
        <f t="shared" si="0"/>
        <v>〇</v>
      </c>
      <c r="W27" s="349" t="str">
        <f t="shared" si="3"/>
        <v>〇</v>
      </c>
      <c r="X27" s="559" t="s">
        <v>484</v>
      </c>
      <c r="Y27" s="557" t="str">
        <f t="shared" si="4"/>
        <v>〇</v>
      </c>
      <c r="Z27" s="559" t="s">
        <v>828</v>
      </c>
      <c r="AA27" s="559" t="s">
        <v>768</v>
      </c>
      <c r="AB27" s="559" t="s">
        <v>827</v>
      </c>
      <c r="AC27" s="559" t="str">
        <f t="shared" si="5"/>
        <v>〇</v>
      </c>
      <c r="AD27" s="559" t="str">
        <f t="shared" si="6"/>
        <v>〇</v>
      </c>
      <c r="AE27" s="559" t="str">
        <f t="shared" si="7"/>
        <v>〇</v>
      </c>
      <c r="AH27" s="378" t="s">
        <v>1107</v>
      </c>
      <c r="AI27" s="378" t="str">
        <f t="shared" si="8"/>
        <v>〇</v>
      </c>
      <c r="AJ27" s="378" t="s">
        <v>484</v>
      </c>
      <c r="AK27" s="467" t="str">
        <f t="shared" si="9"/>
        <v>〇</v>
      </c>
      <c r="AL27" s="467"/>
      <c r="AM27" s="467"/>
      <c r="AN27" s="467"/>
      <c r="AO27" s="467"/>
    </row>
    <row r="28" spans="1:41" ht="21.75" customHeight="1">
      <c r="A28" s="347"/>
      <c r="B28" s="540">
        <v>24</v>
      </c>
      <c r="C28" s="526" t="s">
        <v>504</v>
      </c>
      <c r="D28" s="527">
        <v>24</v>
      </c>
      <c r="E28" s="528" t="s">
        <v>641</v>
      </c>
      <c r="F28" s="528">
        <v>3028</v>
      </c>
      <c r="G28" s="528" t="s">
        <v>1109</v>
      </c>
      <c r="H28" s="528" t="s">
        <v>1109</v>
      </c>
      <c r="I28" s="527" t="s">
        <v>1548</v>
      </c>
      <c r="J28" s="527" t="s">
        <v>1548</v>
      </c>
      <c r="K28" s="529"/>
      <c r="L28" s="530">
        <v>1031317</v>
      </c>
      <c r="M28" s="528" t="s">
        <v>831</v>
      </c>
      <c r="N28" s="528" t="s">
        <v>832</v>
      </c>
      <c r="O28" s="528" t="s">
        <v>1004</v>
      </c>
      <c r="P28" s="528" t="s">
        <v>2156</v>
      </c>
      <c r="Q28" s="528" t="s">
        <v>2158</v>
      </c>
      <c r="R28" s="528" t="s">
        <v>1869</v>
      </c>
      <c r="S28" s="528" t="s">
        <v>1872</v>
      </c>
      <c r="T28" s="531" t="s">
        <v>2153</v>
      </c>
      <c r="U28" s="349" t="str">
        <f t="shared" si="2"/>
        <v>〇</v>
      </c>
      <c r="V28" s="349" t="str">
        <f t="shared" si="0"/>
        <v>✕</v>
      </c>
      <c r="W28" s="349" t="str">
        <f t="shared" si="3"/>
        <v>✕</v>
      </c>
      <c r="X28" s="559" t="s">
        <v>504</v>
      </c>
      <c r="Y28" s="557" t="str">
        <f t="shared" si="4"/>
        <v>〇</v>
      </c>
      <c r="Z28" s="559" t="s">
        <v>832</v>
      </c>
      <c r="AA28" s="559" t="s">
        <v>1869</v>
      </c>
      <c r="AB28" s="559" t="s">
        <v>1872</v>
      </c>
      <c r="AC28" s="559" t="str">
        <f t="shared" si="5"/>
        <v>〇</v>
      </c>
      <c r="AD28" s="559" t="str">
        <f t="shared" si="6"/>
        <v>〇</v>
      </c>
      <c r="AE28" s="559" t="str">
        <f t="shared" si="7"/>
        <v>〇</v>
      </c>
      <c r="AH28" s="378" t="s">
        <v>1108</v>
      </c>
      <c r="AI28" s="378" t="str">
        <f t="shared" si="8"/>
        <v>✕</v>
      </c>
      <c r="AJ28" s="378" t="s">
        <v>496</v>
      </c>
      <c r="AK28" s="467" t="str">
        <f t="shared" si="9"/>
        <v>✕</v>
      </c>
      <c r="AL28" s="467"/>
      <c r="AM28" s="467"/>
      <c r="AN28" s="467"/>
      <c r="AO28" s="467"/>
    </row>
    <row r="29" spans="1:41" ht="21.75" customHeight="1">
      <c r="A29" s="347"/>
      <c r="B29" s="540">
        <v>25</v>
      </c>
      <c r="C29" s="526" t="s">
        <v>1439</v>
      </c>
      <c r="D29" s="527">
        <v>25</v>
      </c>
      <c r="E29" s="528" t="s">
        <v>642</v>
      </c>
      <c r="F29" s="528">
        <v>3029</v>
      </c>
      <c r="G29" s="528" t="s">
        <v>1110</v>
      </c>
      <c r="H29" s="528" t="s">
        <v>1110</v>
      </c>
      <c r="I29" s="527" t="s">
        <v>1548</v>
      </c>
      <c r="J29" s="527" t="s">
        <v>1548</v>
      </c>
      <c r="K29" s="529"/>
      <c r="L29" s="530">
        <v>1034881</v>
      </c>
      <c r="M29" s="528" t="s">
        <v>833</v>
      </c>
      <c r="N29" s="528" t="s">
        <v>835</v>
      </c>
      <c r="O29" s="528" t="s">
        <v>768</v>
      </c>
      <c r="P29" s="532" t="s">
        <v>834</v>
      </c>
      <c r="Q29" s="528" t="s">
        <v>835</v>
      </c>
      <c r="R29" s="528" t="s">
        <v>768</v>
      </c>
      <c r="S29" s="528" t="s">
        <v>834</v>
      </c>
      <c r="T29" s="531"/>
      <c r="U29" s="349" t="str">
        <f t="shared" si="2"/>
        <v>〇</v>
      </c>
      <c r="V29" s="349" t="str">
        <f t="shared" si="0"/>
        <v>〇</v>
      </c>
      <c r="W29" s="349" t="str">
        <f t="shared" si="3"/>
        <v>〇</v>
      </c>
      <c r="X29" s="559" t="s">
        <v>1439</v>
      </c>
      <c r="Y29" s="557" t="str">
        <f t="shared" si="4"/>
        <v>〇</v>
      </c>
      <c r="Z29" s="559" t="s">
        <v>835</v>
      </c>
      <c r="AA29" s="559" t="s">
        <v>768</v>
      </c>
      <c r="AB29" s="559" t="s">
        <v>834</v>
      </c>
      <c r="AC29" s="559" t="str">
        <f t="shared" si="5"/>
        <v>〇</v>
      </c>
      <c r="AD29" s="559" t="str">
        <f t="shared" si="6"/>
        <v>〇</v>
      </c>
      <c r="AE29" s="559" t="str">
        <f t="shared" si="7"/>
        <v>〇</v>
      </c>
      <c r="AH29" s="378" t="s">
        <v>1109</v>
      </c>
      <c r="AI29" s="378" t="str">
        <f t="shared" si="8"/>
        <v>✕</v>
      </c>
      <c r="AJ29" s="378" t="s">
        <v>504</v>
      </c>
      <c r="AK29" s="467" t="str">
        <f t="shared" si="9"/>
        <v>✕</v>
      </c>
      <c r="AL29" s="467"/>
      <c r="AM29" s="467"/>
      <c r="AN29" s="467"/>
      <c r="AO29" s="467"/>
    </row>
    <row r="30" spans="1:41" ht="21.75" customHeight="1">
      <c r="A30" s="347"/>
      <c r="B30" s="540">
        <v>26</v>
      </c>
      <c r="C30" s="526" t="s">
        <v>1440</v>
      </c>
      <c r="D30" s="527">
        <v>26</v>
      </c>
      <c r="E30" s="528" t="s">
        <v>643</v>
      </c>
      <c r="F30" s="528">
        <v>3030</v>
      </c>
      <c r="G30" s="528" t="s">
        <v>1111</v>
      </c>
      <c r="H30" s="528" t="s">
        <v>1111</v>
      </c>
      <c r="I30" s="527" t="s">
        <v>1548</v>
      </c>
      <c r="J30" s="527" t="s">
        <v>1548</v>
      </c>
      <c r="K30" s="529"/>
      <c r="L30" s="530">
        <v>1034728</v>
      </c>
      <c r="M30" s="528" t="s">
        <v>836</v>
      </c>
      <c r="N30" s="528" t="s">
        <v>838</v>
      </c>
      <c r="O30" s="528" t="s">
        <v>768</v>
      </c>
      <c r="P30" s="528" t="s">
        <v>837</v>
      </c>
      <c r="Q30" s="528" t="s">
        <v>838</v>
      </c>
      <c r="R30" s="528" t="s">
        <v>768</v>
      </c>
      <c r="S30" s="528" t="s">
        <v>837</v>
      </c>
      <c r="T30" s="531"/>
      <c r="U30" s="349" t="str">
        <f t="shared" si="2"/>
        <v>〇</v>
      </c>
      <c r="V30" s="349" t="str">
        <f t="shared" si="0"/>
        <v>〇</v>
      </c>
      <c r="W30" s="349" t="str">
        <f t="shared" si="3"/>
        <v>〇</v>
      </c>
      <c r="X30" s="559" t="s">
        <v>1440</v>
      </c>
      <c r="Y30" s="557" t="str">
        <f t="shared" si="4"/>
        <v>〇</v>
      </c>
      <c r="Z30" s="559" t="s">
        <v>838</v>
      </c>
      <c r="AA30" s="559" t="s">
        <v>768</v>
      </c>
      <c r="AB30" s="559" t="s">
        <v>837</v>
      </c>
      <c r="AC30" s="559" t="str">
        <f t="shared" si="5"/>
        <v>〇</v>
      </c>
      <c r="AD30" s="559" t="str">
        <f t="shared" si="6"/>
        <v>〇</v>
      </c>
      <c r="AE30" s="559" t="str">
        <f t="shared" si="7"/>
        <v>〇</v>
      </c>
      <c r="AH30" s="378" t="s">
        <v>1110</v>
      </c>
      <c r="AI30" s="378" t="str">
        <f t="shared" si="8"/>
        <v>✕</v>
      </c>
      <c r="AJ30" s="378" t="s">
        <v>1439</v>
      </c>
      <c r="AK30" s="467" t="str">
        <f t="shared" si="9"/>
        <v>✕</v>
      </c>
      <c r="AL30" s="467"/>
      <c r="AM30" s="467"/>
      <c r="AN30" s="467"/>
      <c r="AO30" s="467"/>
    </row>
    <row r="31" spans="1:41" ht="21.75" customHeight="1">
      <c r="A31" s="347"/>
      <c r="B31" s="540">
        <v>27</v>
      </c>
      <c r="C31" s="526" t="s">
        <v>1441</v>
      </c>
      <c r="D31" s="527">
        <v>27</v>
      </c>
      <c r="E31" s="528" t="s">
        <v>644</v>
      </c>
      <c r="F31" s="528">
        <v>3032</v>
      </c>
      <c r="G31" s="528" t="s">
        <v>1112</v>
      </c>
      <c r="H31" s="528" t="s">
        <v>1112</v>
      </c>
      <c r="I31" s="527" t="s">
        <v>1548</v>
      </c>
      <c r="J31" s="527" t="s">
        <v>1548</v>
      </c>
      <c r="K31" s="529"/>
      <c r="L31" s="530">
        <v>1041410</v>
      </c>
      <c r="M31" s="528" t="s">
        <v>839</v>
      </c>
      <c r="N31" s="528" t="s">
        <v>841</v>
      </c>
      <c r="O31" s="528" t="s">
        <v>768</v>
      </c>
      <c r="P31" s="528" t="s">
        <v>840</v>
      </c>
      <c r="Q31" s="528" t="s">
        <v>841</v>
      </c>
      <c r="R31" s="528" t="s">
        <v>768</v>
      </c>
      <c r="S31" s="528" t="s">
        <v>840</v>
      </c>
      <c r="T31" s="531"/>
      <c r="U31" s="349" t="str">
        <f t="shared" si="2"/>
        <v>〇</v>
      </c>
      <c r="V31" s="349" t="str">
        <f t="shared" si="0"/>
        <v>〇</v>
      </c>
      <c r="W31" s="349" t="str">
        <f t="shared" si="3"/>
        <v>〇</v>
      </c>
      <c r="X31" s="559" t="s">
        <v>1441</v>
      </c>
      <c r="Y31" s="557" t="str">
        <f t="shared" si="4"/>
        <v>〇</v>
      </c>
      <c r="Z31" s="559" t="s">
        <v>841</v>
      </c>
      <c r="AA31" s="559" t="s">
        <v>768</v>
      </c>
      <c r="AB31" s="559" t="s">
        <v>840</v>
      </c>
      <c r="AC31" s="559" t="str">
        <f t="shared" si="5"/>
        <v>〇</v>
      </c>
      <c r="AD31" s="559" t="str">
        <f t="shared" si="6"/>
        <v>〇</v>
      </c>
      <c r="AE31" s="559" t="str">
        <f t="shared" si="7"/>
        <v>〇</v>
      </c>
      <c r="AH31" s="378" t="s">
        <v>1111</v>
      </c>
      <c r="AI31" s="378" t="str">
        <f t="shared" si="8"/>
        <v>✕</v>
      </c>
      <c r="AJ31" s="378" t="s">
        <v>1440</v>
      </c>
      <c r="AK31" s="467" t="str">
        <f t="shared" si="9"/>
        <v>✕</v>
      </c>
      <c r="AL31" s="467"/>
      <c r="AM31" s="467"/>
      <c r="AN31" s="467"/>
      <c r="AO31" s="467"/>
    </row>
    <row r="32" spans="1:41" ht="21.75" customHeight="1">
      <c r="A32" s="347"/>
      <c r="B32" s="540">
        <v>28</v>
      </c>
      <c r="C32" s="526" t="s">
        <v>1442</v>
      </c>
      <c r="D32" s="527">
        <v>28</v>
      </c>
      <c r="E32" s="528" t="s">
        <v>645</v>
      </c>
      <c r="F32" s="528">
        <v>3033</v>
      </c>
      <c r="G32" s="528" t="s">
        <v>1113</v>
      </c>
      <c r="H32" s="528" t="s">
        <v>1113</v>
      </c>
      <c r="I32" s="527" t="s">
        <v>1548</v>
      </c>
      <c r="J32" s="527" t="s">
        <v>1548</v>
      </c>
      <c r="K32" s="529"/>
      <c r="L32" s="530">
        <v>1041450</v>
      </c>
      <c r="M32" s="528" t="s">
        <v>2125</v>
      </c>
      <c r="N32" s="528" t="s">
        <v>843</v>
      </c>
      <c r="O32" s="528" t="s">
        <v>768</v>
      </c>
      <c r="P32" s="528" t="s">
        <v>842</v>
      </c>
      <c r="Q32" s="528" t="s">
        <v>843</v>
      </c>
      <c r="R32" s="528" t="s">
        <v>768</v>
      </c>
      <c r="S32" s="528" t="s">
        <v>842</v>
      </c>
      <c r="T32" s="531"/>
      <c r="U32" s="349" t="str">
        <f t="shared" si="2"/>
        <v>〇</v>
      </c>
      <c r="V32" s="349" t="str">
        <f t="shared" si="0"/>
        <v>〇</v>
      </c>
      <c r="W32" s="349" t="str">
        <f t="shared" si="3"/>
        <v>〇</v>
      </c>
      <c r="X32" s="559" t="s">
        <v>1442</v>
      </c>
      <c r="Y32" s="557" t="str">
        <f t="shared" si="4"/>
        <v>〇</v>
      </c>
      <c r="Z32" s="559" t="s">
        <v>843</v>
      </c>
      <c r="AA32" s="559" t="s">
        <v>768</v>
      </c>
      <c r="AB32" s="559" t="s">
        <v>842</v>
      </c>
      <c r="AC32" s="559" t="str">
        <f t="shared" si="5"/>
        <v>〇</v>
      </c>
      <c r="AD32" s="559" t="str">
        <f t="shared" si="6"/>
        <v>〇</v>
      </c>
      <c r="AE32" s="559" t="str">
        <f t="shared" si="7"/>
        <v>〇</v>
      </c>
      <c r="AH32" s="378" t="s">
        <v>1112</v>
      </c>
      <c r="AI32" s="378" t="str">
        <f t="shared" si="8"/>
        <v>✕</v>
      </c>
      <c r="AJ32" s="378" t="s">
        <v>1441</v>
      </c>
      <c r="AK32" s="467" t="str">
        <f t="shared" si="9"/>
        <v>✕</v>
      </c>
      <c r="AL32" s="467"/>
      <c r="AM32" s="467"/>
      <c r="AN32" s="467"/>
      <c r="AO32" s="467"/>
    </row>
    <row r="33" spans="1:41" ht="21.75" customHeight="1">
      <c r="A33" s="347"/>
      <c r="B33" s="540">
        <v>29</v>
      </c>
      <c r="C33" s="526" t="s">
        <v>1443</v>
      </c>
      <c r="D33" s="527">
        <v>29</v>
      </c>
      <c r="E33" s="528" t="s">
        <v>646</v>
      </c>
      <c r="F33" s="528">
        <v>1210543</v>
      </c>
      <c r="G33" s="528" t="s">
        <v>1114</v>
      </c>
      <c r="H33" s="528" t="s">
        <v>1114</v>
      </c>
      <c r="I33" s="527" t="s">
        <v>1548</v>
      </c>
      <c r="J33" s="527" t="s">
        <v>1548</v>
      </c>
      <c r="K33" s="529"/>
      <c r="L33" s="530">
        <v>1064081</v>
      </c>
      <c r="M33" s="528" t="s">
        <v>2126</v>
      </c>
      <c r="N33" s="528" t="s">
        <v>845</v>
      </c>
      <c r="O33" s="528" t="s">
        <v>844</v>
      </c>
      <c r="P33" s="528" t="s">
        <v>807</v>
      </c>
      <c r="Q33" s="528" t="s">
        <v>845</v>
      </c>
      <c r="R33" s="528" t="s">
        <v>844</v>
      </c>
      <c r="S33" s="528" t="s">
        <v>807</v>
      </c>
      <c r="T33" s="531"/>
      <c r="U33" s="349" t="str">
        <f t="shared" si="2"/>
        <v>〇</v>
      </c>
      <c r="V33" s="349" t="str">
        <f t="shared" si="0"/>
        <v>〇</v>
      </c>
      <c r="W33" s="349" t="str">
        <f t="shared" si="3"/>
        <v>〇</v>
      </c>
      <c r="X33" s="559" t="s">
        <v>1443</v>
      </c>
      <c r="Y33" s="557" t="str">
        <f t="shared" si="4"/>
        <v>〇</v>
      </c>
      <c r="Z33" s="559" t="s">
        <v>845</v>
      </c>
      <c r="AA33" s="559" t="s">
        <v>844</v>
      </c>
      <c r="AB33" s="559" t="s">
        <v>807</v>
      </c>
      <c r="AC33" s="559" t="str">
        <f t="shared" si="5"/>
        <v>〇</v>
      </c>
      <c r="AD33" s="559" t="str">
        <f t="shared" si="6"/>
        <v>〇</v>
      </c>
      <c r="AE33" s="559" t="str">
        <f t="shared" si="7"/>
        <v>〇</v>
      </c>
      <c r="AH33" s="378" t="s">
        <v>1113</v>
      </c>
      <c r="AI33" s="378" t="str">
        <f t="shared" si="8"/>
        <v>✕</v>
      </c>
      <c r="AJ33" s="378" t="s">
        <v>1442</v>
      </c>
      <c r="AK33" s="467" t="str">
        <f t="shared" si="9"/>
        <v>✕</v>
      </c>
      <c r="AL33" s="467"/>
      <c r="AM33" s="467"/>
      <c r="AN33" s="467"/>
      <c r="AO33" s="467"/>
    </row>
    <row r="34" spans="1:41" ht="21.75" customHeight="1">
      <c r="A34" s="347"/>
      <c r="B34" s="540">
        <v>30</v>
      </c>
      <c r="C34" s="526" t="s">
        <v>1444</v>
      </c>
      <c r="D34" s="527">
        <v>30</v>
      </c>
      <c r="E34" s="528" t="s">
        <v>647</v>
      </c>
      <c r="F34" s="528">
        <v>3037</v>
      </c>
      <c r="G34" s="528" t="s">
        <v>1115</v>
      </c>
      <c r="H34" s="528" t="s">
        <v>1115</v>
      </c>
      <c r="I34" s="527" t="s">
        <v>1548</v>
      </c>
      <c r="J34" s="527" t="s">
        <v>1548</v>
      </c>
      <c r="K34" s="529"/>
      <c r="L34" s="530">
        <v>1048447</v>
      </c>
      <c r="M34" s="528" t="s">
        <v>815</v>
      </c>
      <c r="N34" s="528" t="s">
        <v>846</v>
      </c>
      <c r="O34" s="528" t="s">
        <v>768</v>
      </c>
      <c r="P34" s="528" t="s">
        <v>2498</v>
      </c>
      <c r="Q34" s="528" t="s">
        <v>846</v>
      </c>
      <c r="R34" s="528" t="s">
        <v>768</v>
      </c>
      <c r="S34" s="528" t="s">
        <v>2498</v>
      </c>
      <c r="T34" s="531"/>
      <c r="U34" s="349" t="str">
        <f t="shared" si="2"/>
        <v>〇</v>
      </c>
      <c r="V34" s="349" t="str">
        <f t="shared" si="0"/>
        <v>〇</v>
      </c>
      <c r="W34" s="349" t="str">
        <f t="shared" si="3"/>
        <v>〇</v>
      </c>
      <c r="X34" s="559" t="s">
        <v>1444</v>
      </c>
      <c r="Y34" s="557" t="str">
        <f t="shared" si="4"/>
        <v>〇</v>
      </c>
      <c r="Z34" s="559" t="s">
        <v>846</v>
      </c>
      <c r="AA34" s="559" t="s">
        <v>768</v>
      </c>
      <c r="AB34" s="559" t="s">
        <v>816</v>
      </c>
      <c r="AC34" s="559" t="str">
        <f t="shared" si="5"/>
        <v>〇</v>
      </c>
      <c r="AD34" s="559" t="str">
        <f t="shared" si="6"/>
        <v>〇</v>
      </c>
      <c r="AE34" s="559" t="str">
        <f t="shared" si="7"/>
        <v>✕</v>
      </c>
      <c r="AH34" s="378" t="s">
        <v>1114</v>
      </c>
      <c r="AI34" s="378" t="str">
        <f t="shared" si="8"/>
        <v>✕</v>
      </c>
      <c r="AJ34" s="378" t="s">
        <v>1443</v>
      </c>
      <c r="AK34" s="467" t="str">
        <f t="shared" si="9"/>
        <v>✕</v>
      </c>
      <c r="AL34" s="467"/>
      <c r="AM34" s="467"/>
      <c r="AN34" s="467"/>
      <c r="AO34" s="467"/>
    </row>
    <row r="35" spans="1:41" ht="21.75" customHeight="1">
      <c r="A35" s="347"/>
      <c r="B35" s="540">
        <v>31</v>
      </c>
      <c r="C35" s="526" t="s">
        <v>2375</v>
      </c>
      <c r="D35" s="527">
        <v>31</v>
      </c>
      <c r="E35" s="528" t="s">
        <v>648</v>
      </c>
      <c r="F35" s="528">
        <v>3038</v>
      </c>
      <c r="G35" s="528" t="s">
        <v>1116</v>
      </c>
      <c r="H35" s="528" t="s">
        <v>1116</v>
      </c>
      <c r="I35" s="527" t="s">
        <v>1548</v>
      </c>
      <c r="J35" s="527" t="s">
        <v>1548</v>
      </c>
      <c r="K35" s="529"/>
      <c r="L35" s="530">
        <v>1047647</v>
      </c>
      <c r="M35" s="528" t="s">
        <v>847</v>
      </c>
      <c r="N35" s="528" t="s">
        <v>850</v>
      </c>
      <c r="O35" s="528" t="s">
        <v>848</v>
      </c>
      <c r="P35" s="528" t="s">
        <v>849</v>
      </c>
      <c r="Q35" s="528" t="s">
        <v>850</v>
      </c>
      <c r="R35" s="528" t="s">
        <v>848</v>
      </c>
      <c r="S35" s="528" t="s">
        <v>849</v>
      </c>
      <c r="T35" s="531"/>
      <c r="U35" s="349" t="str">
        <f t="shared" si="2"/>
        <v>〇</v>
      </c>
      <c r="V35" s="349" t="str">
        <f t="shared" si="0"/>
        <v>〇</v>
      </c>
      <c r="W35" s="349" t="str">
        <f t="shared" si="3"/>
        <v>〇</v>
      </c>
      <c r="X35" s="559" t="s">
        <v>2375</v>
      </c>
      <c r="Y35" s="557" t="str">
        <f t="shared" si="4"/>
        <v>〇</v>
      </c>
      <c r="Z35" s="559" t="s">
        <v>850</v>
      </c>
      <c r="AA35" s="559" t="s">
        <v>848</v>
      </c>
      <c r="AB35" s="559" t="s">
        <v>849</v>
      </c>
      <c r="AC35" s="559" t="str">
        <f t="shared" si="5"/>
        <v>〇</v>
      </c>
      <c r="AD35" s="559" t="str">
        <f t="shared" si="6"/>
        <v>〇</v>
      </c>
      <c r="AE35" s="559" t="str">
        <f t="shared" si="7"/>
        <v>〇</v>
      </c>
      <c r="AH35" s="378" t="s">
        <v>1115</v>
      </c>
      <c r="AI35" s="378" t="str">
        <f t="shared" si="8"/>
        <v>✕</v>
      </c>
      <c r="AJ35" s="378" t="s">
        <v>1444</v>
      </c>
      <c r="AK35" s="467" t="str">
        <f t="shared" si="9"/>
        <v>✕</v>
      </c>
      <c r="AL35" s="467"/>
      <c r="AM35" s="467"/>
      <c r="AN35" s="467"/>
      <c r="AO35" s="467"/>
    </row>
    <row r="36" spans="1:41" ht="21.75" customHeight="1">
      <c r="A36" s="347"/>
      <c r="B36" s="540">
        <v>32</v>
      </c>
      <c r="C36" s="526" t="s">
        <v>1445</v>
      </c>
      <c r="D36" s="527">
        <v>32</v>
      </c>
      <c r="E36" s="528" t="s">
        <v>649</v>
      </c>
      <c r="F36" s="528">
        <v>3039</v>
      </c>
      <c r="G36" s="528" t="s">
        <v>1117</v>
      </c>
      <c r="H36" s="528" t="s">
        <v>1117</v>
      </c>
      <c r="I36" s="527" t="s">
        <v>1548</v>
      </c>
      <c r="J36" s="527" t="s">
        <v>1548</v>
      </c>
      <c r="K36" s="529"/>
      <c r="L36" s="530">
        <v>1047653</v>
      </c>
      <c r="M36" s="528" t="s">
        <v>1644</v>
      </c>
      <c r="N36" s="528" t="s">
        <v>853</v>
      </c>
      <c r="O36" s="528" t="s">
        <v>851</v>
      </c>
      <c r="P36" s="528" t="s">
        <v>852</v>
      </c>
      <c r="Q36" s="528" t="s">
        <v>853</v>
      </c>
      <c r="R36" s="528" t="s">
        <v>851</v>
      </c>
      <c r="S36" s="528" t="s">
        <v>852</v>
      </c>
      <c r="T36" s="531"/>
      <c r="U36" s="349" t="str">
        <f t="shared" si="2"/>
        <v>〇</v>
      </c>
      <c r="V36" s="349" t="str">
        <f t="shared" si="0"/>
        <v>〇</v>
      </c>
      <c r="W36" s="349" t="str">
        <f t="shared" si="3"/>
        <v>〇</v>
      </c>
      <c r="X36" s="559" t="s">
        <v>1445</v>
      </c>
      <c r="Y36" s="557" t="str">
        <f t="shared" si="4"/>
        <v>〇</v>
      </c>
      <c r="Z36" s="559" t="s">
        <v>853</v>
      </c>
      <c r="AA36" s="559" t="s">
        <v>851</v>
      </c>
      <c r="AB36" s="559" t="s">
        <v>852</v>
      </c>
      <c r="AC36" s="559" t="str">
        <f t="shared" si="5"/>
        <v>〇</v>
      </c>
      <c r="AD36" s="559" t="str">
        <f t="shared" si="6"/>
        <v>〇</v>
      </c>
      <c r="AE36" s="559" t="str">
        <f t="shared" si="7"/>
        <v>〇</v>
      </c>
      <c r="AH36" s="378" t="s">
        <v>1116</v>
      </c>
      <c r="AI36" s="378" t="str">
        <f t="shared" si="8"/>
        <v>✕</v>
      </c>
      <c r="AJ36" s="378" t="s">
        <v>510</v>
      </c>
      <c r="AK36" s="467" t="str">
        <f t="shared" si="9"/>
        <v>✕</v>
      </c>
      <c r="AL36" s="467"/>
      <c r="AM36" s="467"/>
      <c r="AN36" s="467"/>
      <c r="AO36" s="467"/>
    </row>
    <row r="37" spans="1:41" ht="21.75" customHeight="1">
      <c r="A37" s="347"/>
      <c r="B37" s="540">
        <v>33</v>
      </c>
      <c r="C37" s="526" t="s">
        <v>1446</v>
      </c>
      <c r="D37" s="527">
        <v>33</v>
      </c>
      <c r="E37" s="528" t="s">
        <v>650</v>
      </c>
      <c r="F37" s="528">
        <v>3040</v>
      </c>
      <c r="G37" s="528" t="s">
        <v>1118</v>
      </c>
      <c r="H37" s="528" t="s">
        <v>1118</v>
      </c>
      <c r="I37" s="527" t="s">
        <v>1548</v>
      </c>
      <c r="J37" s="527" t="s">
        <v>1548</v>
      </c>
      <c r="K37" s="529"/>
      <c r="L37" s="530">
        <v>1047672</v>
      </c>
      <c r="M37" s="528" t="s">
        <v>1645</v>
      </c>
      <c r="N37" s="528" t="s">
        <v>2356</v>
      </c>
      <c r="O37" s="528" t="s">
        <v>848</v>
      </c>
      <c r="P37" s="528" t="s">
        <v>1816</v>
      </c>
      <c r="Q37" s="528" t="s">
        <v>2356</v>
      </c>
      <c r="R37" s="528" t="s">
        <v>848</v>
      </c>
      <c r="S37" s="528" t="s">
        <v>1816</v>
      </c>
      <c r="T37" s="531"/>
      <c r="U37" s="349" t="str">
        <f t="shared" si="2"/>
        <v>〇</v>
      </c>
      <c r="V37" s="349" t="str">
        <f t="shared" si="0"/>
        <v>〇</v>
      </c>
      <c r="W37" s="349" t="str">
        <f t="shared" si="3"/>
        <v>〇</v>
      </c>
      <c r="X37" s="559" t="s">
        <v>1446</v>
      </c>
      <c r="Y37" s="557" t="str">
        <f t="shared" si="4"/>
        <v>〇</v>
      </c>
      <c r="Z37" s="559" t="s">
        <v>854</v>
      </c>
      <c r="AA37" s="559" t="s">
        <v>848</v>
      </c>
      <c r="AB37" s="559" t="s">
        <v>1816</v>
      </c>
      <c r="AC37" s="559" t="str">
        <f t="shared" si="5"/>
        <v>✕</v>
      </c>
      <c r="AD37" s="559" t="str">
        <f t="shared" si="6"/>
        <v>〇</v>
      </c>
      <c r="AE37" s="559" t="str">
        <f t="shared" si="7"/>
        <v>〇</v>
      </c>
      <c r="AH37" s="378" t="s">
        <v>1117</v>
      </c>
      <c r="AI37" s="378" t="str">
        <f t="shared" si="8"/>
        <v>✕</v>
      </c>
      <c r="AJ37" s="378" t="s">
        <v>1445</v>
      </c>
      <c r="AK37" s="467" t="str">
        <f t="shared" si="9"/>
        <v>✕</v>
      </c>
      <c r="AL37" s="467"/>
      <c r="AM37" s="467"/>
      <c r="AN37" s="467"/>
      <c r="AO37" s="467"/>
    </row>
    <row r="38" spans="1:41" ht="21.75" customHeight="1">
      <c r="A38" s="347"/>
      <c r="B38" s="540">
        <v>34</v>
      </c>
      <c r="C38" s="526" t="s">
        <v>1447</v>
      </c>
      <c r="D38" s="527">
        <v>34</v>
      </c>
      <c r="E38" s="528" t="s">
        <v>651</v>
      </c>
      <c r="F38" s="528">
        <v>3041</v>
      </c>
      <c r="G38" s="528" t="s">
        <v>1119</v>
      </c>
      <c r="H38" s="528" t="s">
        <v>1119</v>
      </c>
      <c r="I38" s="527" t="s">
        <v>1548</v>
      </c>
      <c r="J38" s="527" t="s">
        <v>1548</v>
      </c>
      <c r="K38" s="529"/>
      <c r="L38" s="530">
        <v>1050138</v>
      </c>
      <c r="M38" s="528" t="s">
        <v>855</v>
      </c>
      <c r="N38" s="528" t="s">
        <v>857</v>
      </c>
      <c r="O38" s="528" t="s">
        <v>768</v>
      </c>
      <c r="P38" s="528" t="s">
        <v>856</v>
      </c>
      <c r="Q38" s="528" t="s">
        <v>857</v>
      </c>
      <c r="R38" s="528" t="s">
        <v>768</v>
      </c>
      <c r="S38" s="528" t="s">
        <v>856</v>
      </c>
      <c r="T38" s="531"/>
      <c r="U38" s="349" t="str">
        <f t="shared" si="2"/>
        <v>〇</v>
      </c>
      <c r="V38" s="349" t="str">
        <f t="shared" si="0"/>
        <v>〇</v>
      </c>
      <c r="W38" s="349" t="str">
        <f t="shared" si="3"/>
        <v>〇</v>
      </c>
      <c r="X38" s="559" t="s">
        <v>1447</v>
      </c>
      <c r="Y38" s="557" t="str">
        <f t="shared" si="4"/>
        <v>〇</v>
      </c>
      <c r="Z38" s="559" t="s">
        <v>857</v>
      </c>
      <c r="AA38" s="559" t="s">
        <v>768</v>
      </c>
      <c r="AB38" s="559" t="s">
        <v>856</v>
      </c>
      <c r="AC38" s="559" t="str">
        <f t="shared" si="5"/>
        <v>〇</v>
      </c>
      <c r="AD38" s="559" t="str">
        <f t="shared" si="6"/>
        <v>〇</v>
      </c>
      <c r="AE38" s="559" t="str">
        <f t="shared" si="7"/>
        <v>〇</v>
      </c>
      <c r="AH38" s="378" t="s">
        <v>1118</v>
      </c>
      <c r="AI38" s="378" t="str">
        <f t="shared" si="8"/>
        <v>✕</v>
      </c>
      <c r="AJ38" s="378" t="s">
        <v>1446</v>
      </c>
      <c r="AK38" s="467" t="str">
        <f t="shared" si="9"/>
        <v>✕</v>
      </c>
      <c r="AL38" s="467"/>
      <c r="AM38" s="467"/>
      <c r="AN38" s="467"/>
      <c r="AO38" s="467"/>
    </row>
    <row r="39" spans="1:41" ht="21.75" customHeight="1">
      <c r="A39" s="347"/>
      <c r="B39" s="540">
        <v>35</v>
      </c>
      <c r="C39" s="526" t="s">
        <v>1448</v>
      </c>
      <c r="D39" s="527">
        <v>35</v>
      </c>
      <c r="E39" s="528" t="s">
        <v>652</v>
      </c>
      <c r="F39" s="528">
        <v>3042</v>
      </c>
      <c r="G39" s="528" t="s">
        <v>1120</v>
      </c>
      <c r="H39" s="528" t="s">
        <v>1120</v>
      </c>
      <c r="I39" s="527" t="s">
        <v>1548</v>
      </c>
      <c r="J39" s="527" t="s">
        <v>1548</v>
      </c>
      <c r="K39" s="529"/>
      <c r="L39" s="530">
        <v>1050139</v>
      </c>
      <c r="M39" s="528" t="s">
        <v>858</v>
      </c>
      <c r="N39" s="528" t="s">
        <v>860</v>
      </c>
      <c r="O39" s="528" t="s">
        <v>768</v>
      </c>
      <c r="P39" s="528" t="s">
        <v>859</v>
      </c>
      <c r="Q39" s="528" t="s">
        <v>860</v>
      </c>
      <c r="R39" s="528" t="s">
        <v>768</v>
      </c>
      <c r="S39" s="528" t="s">
        <v>859</v>
      </c>
      <c r="T39" s="531"/>
      <c r="U39" s="349" t="str">
        <f t="shared" si="2"/>
        <v>〇</v>
      </c>
      <c r="V39" s="349" t="str">
        <f t="shared" si="0"/>
        <v>〇</v>
      </c>
      <c r="W39" s="349" t="str">
        <f t="shared" si="3"/>
        <v>〇</v>
      </c>
      <c r="X39" s="559" t="s">
        <v>1448</v>
      </c>
      <c r="Y39" s="557" t="str">
        <f t="shared" si="4"/>
        <v>〇</v>
      </c>
      <c r="Z39" s="559" t="s">
        <v>860</v>
      </c>
      <c r="AA39" s="559" t="s">
        <v>768</v>
      </c>
      <c r="AB39" s="559" t="s">
        <v>859</v>
      </c>
      <c r="AC39" s="559" t="str">
        <f t="shared" si="5"/>
        <v>〇</v>
      </c>
      <c r="AD39" s="559" t="str">
        <f t="shared" si="6"/>
        <v>〇</v>
      </c>
      <c r="AE39" s="559" t="str">
        <f t="shared" si="7"/>
        <v>〇</v>
      </c>
      <c r="AH39" s="378" t="s">
        <v>1119</v>
      </c>
      <c r="AI39" s="378" t="str">
        <f t="shared" si="8"/>
        <v>✕</v>
      </c>
      <c r="AJ39" s="378" t="s">
        <v>1447</v>
      </c>
      <c r="AK39" s="467" t="str">
        <f t="shared" si="9"/>
        <v>✕</v>
      </c>
      <c r="AL39" s="467"/>
      <c r="AM39" s="467"/>
      <c r="AN39" s="467"/>
      <c r="AO39" s="467"/>
    </row>
    <row r="40" spans="1:41" ht="21.75" customHeight="1">
      <c r="A40" s="347"/>
      <c r="B40" s="540">
        <v>36</v>
      </c>
      <c r="C40" s="533" t="s">
        <v>1449</v>
      </c>
      <c r="D40" s="527">
        <v>36</v>
      </c>
      <c r="E40" s="528" t="s">
        <v>653</v>
      </c>
      <c r="F40" s="528">
        <v>3043</v>
      </c>
      <c r="G40" s="528" t="s">
        <v>1121</v>
      </c>
      <c r="H40" s="528" t="s">
        <v>1121</v>
      </c>
      <c r="I40" s="527" t="s">
        <v>1548</v>
      </c>
      <c r="J40" s="527" t="s">
        <v>1548</v>
      </c>
      <c r="K40" s="529"/>
      <c r="L40" s="530">
        <v>1050133</v>
      </c>
      <c r="M40" s="528" t="s">
        <v>861</v>
      </c>
      <c r="N40" s="528" t="s">
        <v>863</v>
      </c>
      <c r="O40" s="528" t="s">
        <v>848</v>
      </c>
      <c r="P40" s="528" t="s">
        <v>2367</v>
      </c>
      <c r="Q40" s="528" t="s">
        <v>863</v>
      </c>
      <c r="R40" s="528" t="s">
        <v>848</v>
      </c>
      <c r="S40" s="528" t="s">
        <v>2367</v>
      </c>
      <c r="T40" s="531"/>
      <c r="U40" s="349" t="str">
        <f t="shared" si="2"/>
        <v>〇</v>
      </c>
      <c r="V40" s="349" t="str">
        <f t="shared" si="0"/>
        <v>〇</v>
      </c>
      <c r="W40" s="349" t="str">
        <f t="shared" si="3"/>
        <v>〇</v>
      </c>
      <c r="X40" s="559" t="s">
        <v>1449</v>
      </c>
      <c r="Y40" s="557" t="str">
        <f t="shared" si="4"/>
        <v>〇</v>
      </c>
      <c r="Z40" s="559" t="s">
        <v>863</v>
      </c>
      <c r="AA40" s="559" t="s">
        <v>848</v>
      </c>
      <c r="AB40" s="559" t="s">
        <v>862</v>
      </c>
      <c r="AC40" s="559" t="str">
        <f t="shared" si="5"/>
        <v>〇</v>
      </c>
      <c r="AD40" s="559" t="str">
        <f t="shared" si="6"/>
        <v>〇</v>
      </c>
      <c r="AE40" s="559" t="str">
        <f t="shared" si="7"/>
        <v>✕</v>
      </c>
      <c r="AH40" s="378" t="s">
        <v>1120</v>
      </c>
      <c r="AI40" s="378" t="str">
        <f t="shared" si="8"/>
        <v>✕</v>
      </c>
      <c r="AJ40" s="378" t="s">
        <v>1448</v>
      </c>
      <c r="AK40" s="467" t="str">
        <f t="shared" si="9"/>
        <v>✕</v>
      </c>
      <c r="AL40" s="467"/>
      <c r="AM40" s="467"/>
      <c r="AN40" s="467"/>
      <c r="AO40" s="467"/>
    </row>
    <row r="41" spans="1:41" ht="21.75" customHeight="1">
      <c r="A41" s="347"/>
      <c r="B41" s="540">
        <v>37</v>
      </c>
      <c r="C41" s="526" t="s">
        <v>1450</v>
      </c>
      <c r="D41" s="527">
        <v>37</v>
      </c>
      <c r="E41" s="528" t="s">
        <v>654</v>
      </c>
      <c r="F41" s="528">
        <v>3044</v>
      </c>
      <c r="G41" s="528" t="s">
        <v>1122</v>
      </c>
      <c r="H41" s="528" t="s">
        <v>1122</v>
      </c>
      <c r="I41" s="527" t="s">
        <v>1548</v>
      </c>
      <c r="J41" s="527" t="s">
        <v>1548</v>
      </c>
      <c r="K41" s="529"/>
      <c r="L41" s="530">
        <v>1048990</v>
      </c>
      <c r="M41" s="528" t="s">
        <v>864</v>
      </c>
      <c r="N41" s="528" t="s">
        <v>866</v>
      </c>
      <c r="O41" s="528" t="s">
        <v>768</v>
      </c>
      <c r="P41" s="528" t="s">
        <v>865</v>
      </c>
      <c r="Q41" s="528" t="s">
        <v>866</v>
      </c>
      <c r="R41" s="528" t="s">
        <v>768</v>
      </c>
      <c r="S41" s="528" t="s">
        <v>865</v>
      </c>
      <c r="T41" s="531"/>
      <c r="U41" s="349" t="str">
        <f t="shared" si="2"/>
        <v>〇</v>
      </c>
      <c r="V41" s="349" t="str">
        <f t="shared" si="0"/>
        <v>〇</v>
      </c>
      <c r="W41" s="349" t="str">
        <f t="shared" si="3"/>
        <v>〇</v>
      </c>
      <c r="X41" s="559" t="s">
        <v>1450</v>
      </c>
      <c r="Y41" s="557" t="str">
        <f t="shared" si="4"/>
        <v>〇</v>
      </c>
      <c r="Z41" s="559" t="s">
        <v>866</v>
      </c>
      <c r="AA41" s="559" t="s">
        <v>768</v>
      </c>
      <c r="AB41" s="559" t="s">
        <v>865</v>
      </c>
      <c r="AC41" s="559" t="str">
        <f t="shared" si="5"/>
        <v>〇</v>
      </c>
      <c r="AD41" s="559" t="str">
        <f t="shared" si="6"/>
        <v>〇</v>
      </c>
      <c r="AE41" s="559" t="str">
        <f t="shared" si="7"/>
        <v>〇</v>
      </c>
      <c r="AH41" s="378" t="s">
        <v>1121</v>
      </c>
      <c r="AI41" s="378" t="str">
        <f t="shared" si="8"/>
        <v>✕</v>
      </c>
      <c r="AJ41" s="378" t="s">
        <v>1449</v>
      </c>
      <c r="AK41" s="467" t="str">
        <f t="shared" si="9"/>
        <v>✕</v>
      </c>
      <c r="AL41" s="467"/>
      <c r="AM41" s="467"/>
      <c r="AN41" s="467"/>
      <c r="AO41" s="467"/>
    </row>
    <row r="42" spans="1:41" ht="21.75" customHeight="1">
      <c r="A42" s="347"/>
      <c r="B42" s="540">
        <v>38</v>
      </c>
      <c r="C42" s="526" t="s">
        <v>1451</v>
      </c>
      <c r="D42" s="527">
        <v>38</v>
      </c>
      <c r="E42" s="528" t="s">
        <v>655</v>
      </c>
      <c r="F42" s="528">
        <v>3045</v>
      </c>
      <c r="G42" s="528" t="s">
        <v>1123</v>
      </c>
      <c r="H42" s="528" t="s">
        <v>1123</v>
      </c>
      <c r="I42" s="527" t="s">
        <v>1548</v>
      </c>
      <c r="J42" s="527" t="s">
        <v>1548</v>
      </c>
      <c r="K42" s="529"/>
      <c r="L42" s="530">
        <v>1050134</v>
      </c>
      <c r="M42" s="528" t="s">
        <v>831</v>
      </c>
      <c r="N42" s="528" t="s">
        <v>1863</v>
      </c>
      <c r="O42" s="528" t="s">
        <v>1004</v>
      </c>
      <c r="P42" s="528" t="s">
        <v>2157</v>
      </c>
      <c r="Q42" s="528" t="s">
        <v>2158</v>
      </c>
      <c r="R42" s="528" t="s">
        <v>1869</v>
      </c>
      <c r="S42" s="528" t="s">
        <v>1873</v>
      </c>
      <c r="T42" s="531" t="s">
        <v>2153</v>
      </c>
      <c r="U42" s="349" t="str">
        <f t="shared" si="2"/>
        <v>✕</v>
      </c>
      <c r="V42" s="349" t="str">
        <f t="shared" si="0"/>
        <v>✕</v>
      </c>
      <c r="W42" s="349" t="str">
        <f t="shared" si="3"/>
        <v>✕</v>
      </c>
      <c r="X42" s="559" t="s">
        <v>1451</v>
      </c>
      <c r="Y42" s="557" t="str">
        <f t="shared" si="4"/>
        <v>〇</v>
      </c>
      <c r="Z42" s="559" t="s">
        <v>1863</v>
      </c>
      <c r="AA42" s="559" t="s">
        <v>1869</v>
      </c>
      <c r="AB42" s="559" t="s">
        <v>1873</v>
      </c>
      <c r="AC42" s="559" t="str">
        <f t="shared" si="5"/>
        <v>✕</v>
      </c>
      <c r="AD42" s="559" t="str">
        <f t="shared" si="6"/>
        <v>〇</v>
      </c>
      <c r="AE42" s="559" t="str">
        <f t="shared" si="7"/>
        <v>〇</v>
      </c>
      <c r="AH42" s="378" t="s">
        <v>1122</v>
      </c>
      <c r="AI42" s="378" t="str">
        <f t="shared" si="8"/>
        <v>✕</v>
      </c>
      <c r="AJ42" s="378" t="s">
        <v>1450</v>
      </c>
      <c r="AK42" s="467" t="str">
        <f t="shared" si="9"/>
        <v>✕</v>
      </c>
      <c r="AL42" s="467"/>
      <c r="AM42" s="467"/>
      <c r="AN42" s="467"/>
      <c r="AO42" s="467"/>
    </row>
    <row r="43" spans="1:41" ht="21.75" customHeight="1">
      <c r="A43" s="347"/>
      <c r="B43" s="540">
        <v>39</v>
      </c>
      <c r="C43" s="526" t="s">
        <v>1452</v>
      </c>
      <c r="D43" s="527">
        <v>39</v>
      </c>
      <c r="E43" s="528" t="s">
        <v>656</v>
      </c>
      <c r="F43" s="528">
        <v>3046</v>
      </c>
      <c r="G43" s="528" t="s">
        <v>1124</v>
      </c>
      <c r="H43" s="528" t="s">
        <v>1124</v>
      </c>
      <c r="I43" s="527" t="s">
        <v>1548</v>
      </c>
      <c r="J43" s="527" t="s">
        <v>1548</v>
      </c>
      <c r="K43" s="529"/>
      <c r="L43" s="530">
        <v>1050140</v>
      </c>
      <c r="M43" s="528" t="s">
        <v>867</v>
      </c>
      <c r="N43" s="528" t="s">
        <v>869</v>
      </c>
      <c r="O43" s="528" t="s">
        <v>848</v>
      </c>
      <c r="P43" s="532" t="s">
        <v>868</v>
      </c>
      <c r="Q43" s="528" t="s">
        <v>869</v>
      </c>
      <c r="R43" s="528" t="s">
        <v>848</v>
      </c>
      <c r="S43" s="528" t="s">
        <v>868</v>
      </c>
      <c r="T43" s="531"/>
      <c r="U43" s="349" t="str">
        <f t="shared" si="2"/>
        <v>〇</v>
      </c>
      <c r="V43" s="349" t="str">
        <f t="shared" si="0"/>
        <v>〇</v>
      </c>
      <c r="W43" s="349" t="str">
        <f t="shared" si="3"/>
        <v>〇</v>
      </c>
      <c r="X43" s="559" t="s">
        <v>1452</v>
      </c>
      <c r="Y43" s="557" t="str">
        <f t="shared" si="4"/>
        <v>〇</v>
      </c>
      <c r="Z43" s="559" t="s">
        <v>869</v>
      </c>
      <c r="AA43" s="559" t="s">
        <v>848</v>
      </c>
      <c r="AB43" s="559" t="s">
        <v>868</v>
      </c>
      <c r="AC43" s="559" t="str">
        <f t="shared" si="5"/>
        <v>〇</v>
      </c>
      <c r="AD43" s="559" t="str">
        <f t="shared" si="6"/>
        <v>〇</v>
      </c>
      <c r="AE43" s="559" t="str">
        <f t="shared" si="7"/>
        <v>〇</v>
      </c>
      <c r="AH43" s="378" t="s">
        <v>1123</v>
      </c>
      <c r="AI43" s="378" t="str">
        <f t="shared" si="8"/>
        <v>✕</v>
      </c>
      <c r="AJ43" s="378" t="s">
        <v>1451</v>
      </c>
      <c r="AK43" s="467" t="str">
        <f t="shared" si="9"/>
        <v>✕</v>
      </c>
      <c r="AL43" s="467"/>
      <c r="AM43" s="467"/>
      <c r="AN43" s="467"/>
      <c r="AO43" s="467"/>
    </row>
    <row r="44" spans="1:41" ht="21.75" customHeight="1">
      <c r="A44" s="347"/>
      <c r="B44" s="540">
        <v>40</v>
      </c>
      <c r="C44" s="531" t="s">
        <v>1622</v>
      </c>
      <c r="D44" s="527">
        <v>40</v>
      </c>
      <c r="E44" s="528" t="s">
        <v>657</v>
      </c>
      <c r="F44" s="528">
        <v>3047</v>
      </c>
      <c r="G44" s="528" t="s">
        <v>1125</v>
      </c>
      <c r="H44" s="528" t="s">
        <v>1125</v>
      </c>
      <c r="I44" s="527" t="s">
        <v>1548</v>
      </c>
      <c r="J44" s="527" t="s">
        <v>1548</v>
      </c>
      <c r="K44" s="529"/>
      <c r="L44" s="530">
        <v>1054641</v>
      </c>
      <c r="M44" s="528" t="s">
        <v>2127</v>
      </c>
      <c r="N44" s="528" t="s">
        <v>1549</v>
      </c>
      <c r="O44" s="528" t="s">
        <v>848</v>
      </c>
      <c r="P44" s="528" t="s">
        <v>2368</v>
      </c>
      <c r="Q44" s="528" t="s">
        <v>1549</v>
      </c>
      <c r="R44" s="528" t="s">
        <v>848</v>
      </c>
      <c r="S44" s="528" t="s">
        <v>2368</v>
      </c>
      <c r="T44" s="531"/>
      <c r="U44" s="349" t="str">
        <f t="shared" si="2"/>
        <v>〇</v>
      </c>
      <c r="V44" s="349" t="str">
        <f t="shared" si="0"/>
        <v>〇</v>
      </c>
      <c r="W44" s="349" t="str">
        <f t="shared" si="3"/>
        <v>〇</v>
      </c>
      <c r="X44" s="559" t="s">
        <v>1622</v>
      </c>
      <c r="Y44" s="557" t="str">
        <f t="shared" si="4"/>
        <v>〇</v>
      </c>
      <c r="Z44" s="559" t="s">
        <v>1549</v>
      </c>
      <c r="AA44" s="559" t="s">
        <v>848</v>
      </c>
      <c r="AB44" s="559" t="s">
        <v>1985</v>
      </c>
      <c r="AC44" s="559" t="str">
        <f t="shared" si="5"/>
        <v>〇</v>
      </c>
      <c r="AD44" s="559" t="str">
        <f t="shared" si="6"/>
        <v>〇</v>
      </c>
      <c r="AE44" s="559" t="str">
        <f t="shared" si="7"/>
        <v>✕</v>
      </c>
      <c r="AH44" s="378" t="s">
        <v>1124</v>
      </c>
      <c r="AI44" s="378" t="str">
        <f t="shared" si="8"/>
        <v>✕</v>
      </c>
      <c r="AJ44" s="378" t="s">
        <v>1452</v>
      </c>
      <c r="AK44" s="467" t="str">
        <f t="shared" si="9"/>
        <v>✕</v>
      </c>
      <c r="AL44" s="467"/>
      <c r="AM44" s="467"/>
      <c r="AN44" s="467"/>
      <c r="AO44" s="467"/>
    </row>
    <row r="45" spans="1:41" ht="21.75" customHeight="1">
      <c r="A45" s="347"/>
      <c r="B45" s="540">
        <v>41</v>
      </c>
      <c r="C45" s="531" t="s">
        <v>1453</v>
      </c>
      <c r="D45" s="527">
        <v>41</v>
      </c>
      <c r="E45" s="528" t="s">
        <v>658</v>
      </c>
      <c r="F45" s="528">
        <v>3048</v>
      </c>
      <c r="G45" s="528" t="s">
        <v>1126</v>
      </c>
      <c r="H45" s="528" t="s">
        <v>1126</v>
      </c>
      <c r="I45" s="527" t="s">
        <v>1548</v>
      </c>
      <c r="J45" s="527" t="s">
        <v>1548</v>
      </c>
      <c r="K45" s="529"/>
      <c r="L45" s="530">
        <v>1051634</v>
      </c>
      <c r="M45" s="528" t="s">
        <v>870</v>
      </c>
      <c r="N45" s="528" t="s">
        <v>2357</v>
      </c>
      <c r="O45" s="528" t="s">
        <v>768</v>
      </c>
      <c r="P45" s="528" t="s">
        <v>871</v>
      </c>
      <c r="Q45" s="528" t="s">
        <v>2357</v>
      </c>
      <c r="R45" s="528" t="s">
        <v>768</v>
      </c>
      <c r="S45" s="528" t="s">
        <v>871</v>
      </c>
      <c r="T45" s="531"/>
      <c r="U45" s="349" t="str">
        <f t="shared" si="2"/>
        <v>〇</v>
      </c>
      <c r="V45" s="349" t="str">
        <f t="shared" si="0"/>
        <v>〇</v>
      </c>
      <c r="W45" s="349" t="str">
        <f t="shared" si="3"/>
        <v>〇</v>
      </c>
      <c r="X45" s="559" t="s">
        <v>1453</v>
      </c>
      <c r="Y45" s="557" t="str">
        <f t="shared" si="4"/>
        <v>〇</v>
      </c>
      <c r="Z45" s="559" t="s">
        <v>872</v>
      </c>
      <c r="AA45" s="559" t="s">
        <v>768</v>
      </c>
      <c r="AB45" s="559" t="s">
        <v>871</v>
      </c>
      <c r="AC45" s="559" t="str">
        <f t="shared" si="5"/>
        <v>✕</v>
      </c>
      <c r="AD45" s="559" t="str">
        <f t="shared" si="6"/>
        <v>〇</v>
      </c>
      <c r="AE45" s="559" t="str">
        <f t="shared" si="7"/>
        <v>〇</v>
      </c>
      <c r="AH45" s="378" t="s">
        <v>1125</v>
      </c>
      <c r="AI45" s="378" t="str">
        <f t="shared" si="8"/>
        <v>✕</v>
      </c>
      <c r="AJ45" s="378" t="s">
        <v>1622</v>
      </c>
      <c r="AK45" s="467" t="str">
        <f t="shared" si="9"/>
        <v>✕</v>
      </c>
      <c r="AL45" s="467"/>
      <c r="AM45" s="467"/>
      <c r="AN45" s="467"/>
      <c r="AO45" s="467"/>
    </row>
    <row r="46" spans="1:41" ht="21.75" customHeight="1">
      <c r="A46" s="347"/>
      <c r="B46" s="540">
        <v>42</v>
      </c>
      <c r="C46" s="526" t="s">
        <v>1454</v>
      </c>
      <c r="D46" s="527">
        <v>42</v>
      </c>
      <c r="E46" s="528" t="s">
        <v>659</v>
      </c>
      <c r="F46" s="528">
        <v>3049</v>
      </c>
      <c r="G46" s="528" t="s">
        <v>1127</v>
      </c>
      <c r="H46" s="528" t="s">
        <v>1127</v>
      </c>
      <c r="I46" s="527" t="s">
        <v>1548</v>
      </c>
      <c r="J46" s="527" t="s">
        <v>1548</v>
      </c>
      <c r="K46" s="529"/>
      <c r="L46" s="530">
        <v>1051899</v>
      </c>
      <c r="M46" s="528" t="s">
        <v>771</v>
      </c>
      <c r="N46" s="528" t="s">
        <v>1864</v>
      </c>
      <c r="O46" s="528" t="s">
        <v>1004</v>
      </c>
      <c r="P46" s="528" t="s">
        <v>2155</v>
      </c>
      <c r="Q46" s="528" t="s">
        <v>2159</v>
      </c>
      <c r="R46" s="528" t="s">
        <v>1869</v>
      </c>
      <c r="S46" s="528" t="s">
        <v>1874</v>
      </c>
      <c r="T46" s="531" t="s">
        <v>2153</v>
      </c>
      <c r="U46" s="349" t="str">
        <f t="shared" si="2"/>
        <v>✕</v>
      </c>
      <c r="V46" s="349" t="str">
        <f t="shared" si="0"/>
        <v>✕</v>
      </c>
      <c r="W46" s="349" t="str">
        <f t="shared" si="3"/>
        <v>✕</v>
      </c>
      <c r="X46" s="559" t="s">
        <v>1454</v>
      </c>
      <c r="Y46" s="557" t="str">
        <f t="shared" si="4"/>
        <v>〇</v>
      </c>
      <c r="Z46" s="559" t="s">
        <v>1864</v>
      </c>
      <c r="AA46" s="559" t="s">
        <v>1869</v>
      </c>
      <c r="AB46" s="559" t="s">
        <v>1874</v>
      </c>
      <c r="AC46" s="559" t="str">
        <f t="shared" si="5"/>
        <v>✕</v>
      </c>
      <c r="AD46" s="559" t="str">
        <f t="shared" si="6"/>
        <v>〇</v>
      </c>
      <c r="AE46" s="559" t="str">
        <f t="shared" si="7"/>
        <v>〇</v>
      </c>
      <c r="AH46" s="378" t="s">
        <v>1126</v>
      </c>
      <c r="AI46" s="378" t="str">
        <f t="shared" si="8"/>
        <v>✕</v>
      </c>
      <c r="AJ46" s="378" t="s">
        <v>1453</v>
      </c>
      <c r="AK46" s="467" t="str">
        <f t="shared" si="9"/>
        <v>✕</v>
      </c>
      <c r="AL46" s="467"/>
      <c r="AM46" s="467"/>
      <c r="AN46" s="467"/>
      <c r="AO46" s="467"/>
    </row>
    <row r="47" spans="1:41" ht="21.75" customHeight="1">
      <c r="A47" s="347"/>
      <c r="B47" s="540">
        <v>43</v>
      </c>
      <c r="C47" s="526" t="s">
        <v>1825</v>
      </c>
      <c r="D47" s="527">
        <v>43</v>
      </c>
      <c r="E47" s="528" t="s">
        <v>660</v>
      </c>
      <c r="F47" s="528">
        <v>3050</v>
      </c>
      <c r="G47" s="528" t="s">
        <v>1128</v>
      </c>
      <c r="H47" s="528" t="s">
        <v>1128</v>
      </c>
      <c r="I47" s="527" t="s">
        <v>1548</v>
      </c>
      <c r="J47" s="527" t="s">
        <v>1548</v>
      </c>
      <c r="K47" s="529"/>
      <c r="L47" s="530">
        <v>1051635</v>
      </c>
      <c r="M47" s="528" t="s">
        <v>2128</v>
      </c>
      <c r="N47" s="528" t="s">
        <v>1999</v>
      </c>
      <c r="O47" s="528" t="s">
        <v>768</v>
      </c>
      <c r="P47" s="528" t="s">
        <v>873</v>
      </c>
      <c r="Q47" s="528" t="s">
        <v>1999</v>
      </c>
      <c r="R47" s="528" t="s">
        <v>768</v>
      </c>
      <c r="S47" s="528" t="s">
        <v>873</v>
      </c>
      <c r="T47" s="531"/>
      <c r="U47" s="349" t="str">
        <f t="shared" si="2"/>
        <v>〇</v>
      </c>
      <c r="V47" s="349" t="str">
        <f t="shared" si="0"/>
        <v>〇</v>
      </c>
      <c r="W47" s="349" t="str">
        <f t="shared" si="3"/>
        <v>〇</v>
      </c>
      <c r="X47" s="559" t="s">
        <v>1825</v>
      </c>
      <c r="Y47" s="557" t="str">
        <f t="shared" si="4"/>
        <v>〇</v>
      </c>
      <c r="Z47" s="559" t="s">
        <v>1999</v>
      </c>
      <c r="AA47" s="559" t="s">
        <v>768</v>
      </c>
      <c r="AB47" s="559" t="s">
        <v>873</v>
      </c>
      <c r="AC47" s="559" t="str">
        <f t="shared" si="5"/>
        <v>〇</v>
      </c>
      <c r="AD47" s="559" t="str">
        <f t="shared" si="6"/>
        <v>〇</v>
      </c>
      <c r="AE47" s="559" t="str">
        <f t="shared" si="7"/>
        <v>〇</v>
      </c>
      <c r="AH47" s="378" t="s">
        <v>1127</v>
      </c>
      <c r="AI47" s="378" t="str">
        <f t="shared" si="8"/>
        <v>✕</v>
      </c>
      <c r="AJ47" s="378" t="s">
        <v>1454</v>
      </c>
      <c r="AK47" s="467" t="str">
        <f t="shared" si="9"/>
        <v>✕</v>
      </c>
      <c r="AL47" s="467"/>
      <c r="AM47" s="467"/>
      <c r="AN47" s="467"/>
      <c r="AO47" s="467"/>
    </row>
    <row r="48" spans="1:41" ht="21.75" customHeight="1">
      <c r="A48" s="347"/>
      <c r="B48" s="540">
        <v>44</v>
      </c>
      <c r="C48" s="526" t="s">
        <v>1455</v>
      </c>
      <c r="D48" s="527">
        <v>44</v>
      </c>
      <c r="E48" s="528" t="s">
        <v>661</v>
      </c>
      <c r="F48" s="528">
        <v>3051</v>
      </c>
      <c r="G48" s="528" t="s">
        <v>1129</v>
      </c>
      <c r="H48" s="528" t="s">
        <v>1129</v>
      </c>
      <c r="I48" s="527" t="s">
        <v>1548</v>
      </c>
      <c r="J48" s="527" t="s">
        <v>1548</v>
      </c>
      <c r="K48" s="529"/>
      <c r="L48" s="530">
        <v>1054106</v>
      </c>
      <c r="M48" s="528" t="s">
        <v>874</v>
      </c>
      <c r="N48" s="528" t="s">
        <v>1865</v>
      </c>
      <c r="O48" s="528" t="s">
        <v>1004</v>
      </c>
      <c r="P48" s="528" t="s">
        <v>2160</v>
      </c>
      <c r="Q48" s="528" t="s">
        <v>2161</v>
      </c>
      <c r="R48" s="528" t="s">
        <v>1869</v>
      </c>
      <c r="S48" s="528" t="s">
        <v>1664</v>
      </c>
      <c r="T48" s="531" t="s">
        <v>2153</v>
      </c>
      <c r="U48" s="349" t="str">
        <f t="shared" si="2"/>
        <v>✕</v>
      </c>
      <c r="V48" s="349" t="str">
        <f t="shared" si="0"/>
        <v>✕</v>
      </c>
      <c r="W48" s="349" t="str">
        <f t="shared" si="3"/>
        <v>✕</v>
      </c>
      <c r="X48" s="559" t="s">
        <v>1455</v>
      </c>
      <c r="Y48" s="557" t="str">
        <f t="shared" si="4"/>
        <v>〇</v>
      </c>
      <c r="Z48" s="559" t="s">
        <v>1865</v>
      </c>
      <c r="AA48" s="559" t="s">
        <v>1869</v>
      </c>
      <c r="AB48" s="559" t="s">
        <v>1664</v>
      </c>
      <c r="AC48" s="559" t="str">
        <f t="shared" si="5"/>
        <v>✕</v>
      </c>
      <c r="AD48" s="559" t="str">
        <f t="shared" si="6"/>
        <v>〇</v>
      </c>
      <c r="AE48" s="559" t="str">
        <f t="shared" si="7"/>
        <v>〇</v>
      </c>
      <c r="AH48" s="378" t="s">
        <v>1128</v>
      </c>
      <c r="AI48" s="378" t="str">
        <f t="shared" si="8"/>
        <v>✕</v>
      </c>
      <c r="AJ48" s="378" t="s">
        <v>1825</v>
      </c>
      <c r="AK48" s="467" t="str">
        <f t="shared" si="9"/>
        <v>✕</v>
      </c>
      <c r="AL48" s="467"/>
      <c r="AM48" s="467"/>
      <c r="AN48" s="467"/>
      <c r="AO48" s="467"/>
    </row>
    <row r="49" spans="1:41" ht="21.75" customHeight="1">
      <c r="A49" s="347"/>
      <c r="B49" s="540">
        <v>45</v>
      </c>
      <c r="C49" s="526" t="s">
        <v>1623</v>
      </c>
      <c r="D49" s="527">
        <v>45</v>
      </c>
      <c r="E49" s="528" t="s">
        <v>662</v>
      </c>
      <c r="F49" s="528">
        <v>3052</v>
      </c>
      <c r="G49" s="528" t="s">
        <v>1130</v>
      </c>
      <c r="H49" s="528" t="s">
        <v>1130</v>
      </c>
      <c r="I49" s="527" t="s">
        <v>1548</v>
      </c>
      <c r="J49" s="527" t="s">
        <v>1548</v>
      </c>
      <c r="K49" s="529"/>
      <c r="L49" s="530">
        <v>1054641</v>
      </c>
      <c r="M49" s="528" t="s">
        <v>2127</v>
      </c>
      <c r="N49" s="528" t="s">
        <v>1549</v>
      </c>
      <c r="O49" s="528" t="s">
        <v>848</v>
      </c>
      <c r="P49" s="532" t="s">
        <v>2368</v>
      </c>
      <c r="Q49" s="528" t="s">
        <v>1549</v>
      </c>
      <c r="R49" s="528" t="s">
        <v>848</v>
      </c>
      <c r="S49" s="528" t="s">
        <v>2368</v>
      </c>
      <c r="T49" s="531"/>
      <c r="U49" s="349" t="str">
        <f t="shared" si="2"/>
        <v>〇</v>
      </c>
      <c r="V49" s="349" t="str">
        <f t="shared" si="0"/>
        <v>〇</v>
      </c>
      <c r="W49" s="349" t="str">
        <f t="shared" si="3"/>
        <v>〇</v>
      </c>
      <c r="X49" s="559" t="s">
        <v>1623</v>
      </c>
      <c r="Y49" s="557" t="str">
        <f t="shared" si="4"/>
        <v>〇</v>
      </c>
      <c r="Z49" s="559" t="s">
        <v>1549</v>
      </c>
      <c r="AA49" s="559" t="s">
        <v>848</v>
      </c>
      <c r="AB49" s="559" t="s">
        <v>1985</v>
      </c>
      <c r="AC49" s="559" t="str">
        <f t="shared" si="5"/>
        <v>〇</v>
      </c>
      <c r="AD49" s="559" t="str">
        <f t="shared" si="6"/>
        <v>〇</v>
      </c>
      <c r="AE49" s="559" t="str">
        <f t="shared" si="7"/>
        <v>✕</v>
      </c>
      <c r="AH49" s="378" t="s">
        <v>1129</v>
      </c>
      <c r="AI49" s="378" t="str">
        <f t="shared" si="8"/>
        <v>✕</v>
      </c>
      <c r="AJ49" s="378" t="s">
        <v>1455</v>
      </c>
      <c r="AK49" s="467" t="str">
        <f t="shared" si="9"/>
        <v>✕</v>
      </c>
      <c r="AL49" s="467"/>
      <c r="AM49" s="467"/>
      <c r="AN49" s="467"/>
      <c r="AO49" s="467"/>
    </row>
    <row r="50" spans="1:41" ht="21.75" customHeight="1">
      <c r="A50" s="347"/>
      <c r="B50" s="540">
        <v>46</v>
      </c>
      <c r="C50" s="531" t="s">
        <v>1781</v>
      </c>
      <c r="D50" s="527">
        <v>46</v>
      </c>
      <c r="E50" s="528" t="s">
        <v>663</v>
      </c>
      <c r="F50" s="528">
        <v>3054</v>
      </c>
      <c r="G50" s="528" t="s">
        <v>1131</v>
      </c>
      <c r="H50" s="528" t="s">
        <v>1131</v>
      </c>
      <c r="I50" s="527" t="s">
        <v>1548</v>
      </c>
      <c r="J50" s="527" t="s">
        <v>1548</v>
      </c>
      <c r="K50" s="529"/>
      <c r="L50" s="530">
        <v>1052981</v>
      </c>
      <c r="M50" s="528" t="s">
        <v>1646</v>
      </c>
      <c r="N50" s="528" t="s">
        <v>875</v>
      </c>
      <c r="O50" s="528" t="s">
        <v>848</v>
      </c>
      <c r="P50" s="528" t="s">
        <v>1550</v>
      </c>
      <c r="Q50" s="528" t="s">
        <v>875</v>
      </c>
      <c r="R50" s="528" t="s">
        <v>848</v>
      </c>
      <c r="S50" s="528" t="s">
        <v>1550</v>
      </c>
      <c r="T50" s="531"/>
      <c r="U50" s="349" t="str">
        <f t="shared" si="2"/>
        <v>〇</v>
      </c>
      <c r="V50" s="349" t="str">
        <f t="shared" si="0"/>
        <v>〇</v>
      </c>
      <c r="W50" s="349" t="str">
        <f t="shared" si="3"/>
        <v>〇</v>
      </c>
      <c r="X50" s="559" t="s">
        <v>1781</v>
      </c>
      <c r="Y50" s="557" t="str">
        <f t="shared" si="4"/>
        <v>〇</v>
      </c>
      <c r="Z50" s="559" t="s">
        <v>875</v>
      </c>
      <c r="AA50" s="559" t="s">
        <v>848</v>
      </c>
      <c r="AB50" s="559" t="s">
        <v>1550</v>
      </c>
      <c r="AC50" s="559" t="str">
        <f t="shared" si="5"/>
        <v>〇</v>
      </c>
      <c r="AD50" s="559" t="str">
        <f t="shared" si="6"/>
        <v>〇</v>
      </c>
      <c r="AE50" s="559" t="str">
        <f t="shared" si="7"/>
        <v>〇</v>
      </c>
      <c r="AH50" s="378" t="s">
        <v>1130</v>
      </c>
      <c r="AI50" s="378" t="str">
        <f t="shared" si="8"/>
        <v>✕</v>
      </c>
      <c r="AJ50" s="378" t="s">
        <v>1623</v>
      </c>
      <c r="AK50" s="467" t="str">
        <f t="shared" si="9"/>
        <v>✕</v>
      </c>
      <c r="AL50" s="467"/>
      <c r="AM50" s="467"/>
      <c r="AN50" s="467"/>
      <c r="AO50" s="467"/>
    </row>
    <row r="51" spans="1:41" ht="21.75" customHeight="1">
      <c r="A51" s="347"/>
      <c r="B51" s="540">
        <v>47</v>
      </c>
      <c r="C51" s="526" t="s">
        <v>1456</v>
      </c>
      <c r="D51" s="527">
        <v>47</v>
      </c>
      <c r="E51" s="528" t="s">
        <v>664</v>
      </c>
      <c r="F51" s="528">
        <v>3055</v>
      </c>
      <c r="G51" s="528" t="s">
        <v>1132</v>
      </c>
      <c r="H51" s="528" t="s">
        <v>1132</v>
      </c>
      <c r="I51" s="527" t="s">
        <v>1548</v>
      </c>
      <c r="J51" s="527" t="s">
        <v>1548</v>
      </c>
      <c r="K51" s="529"/>
      <c r="L51" s="530">
        <v>1053355</v>
      </c>
      <c r="M51" s="528" t="s">
        <v>861</v>
      </c>
      <c r="N51" s="528" t="s">
        <v>863</v>
      </c>
      <c r="O51" s="528" t="s">
        <v>848</v>
      </c>
      <c r="P51" s="528" t="s">
        <v>2367</v>
      </c>
      <c r="Q51" s="528" t="s">
        <v>863</v>
      </c>
      <c r="R51" s="528" t="s">
        <v>848</v>
      </c>
      <c r="S51" s="528" t="s">
        <v>2367</v>
      </c>
      <c r="T51" s="531"/>
      <c r="U51" s="349" t="str">
        <f t="shared" si="2"/>
        <v>〇</v>
      </c>
      <c r="V51" s="349" t="str">
        <f t="shared" si="0"/>
        <v>〇</v>
      </c>
      <c r="W51" s="349" t="str">
        <f t="shared" si="3"/>
        <v>〇</v>
      </c>
      <c r="X51" s="559" t="s">
        <v>1456</v>
      </c>
      <c r="Y51" s="557" t="str">
        <f t="shared" si="4"/>
        <v>〇</v>
      </c>
      <c r="Z51" s="559" t="s">
        <v>863</v>
      </c>
      <c r="AA51" s="559" t="s">
        <v>848</v>
      </c>
      <c r="AB51" s="559" t="s">
        <v>862</v>
      </c>
      <c r="AC51" s="559" t="str">
        <f t="shared" si="5"/>
        <v>〇</v>
      </c>
      <c r="AD51" s="559" t="str">
        <f t="shared" si="6"/>
        <v>〇</v>
      </c>
      <c r="AE51" s="559" t="str">
        <f t="shared" si="7"/>
        <v>✕</v>
      </c>
      <c r="AH51" s="378" t="s">
        <v>1131</v>
      </c>
      <c r="AI51" s="378" t="str">
        <f t="shared" si="8"/>
        <v>✕</v>
      </c>
      <c r="AJ51" s="378" t="s">
        <v>1781</v>
      </c>
      <c r="AK51" s="467" t="str">
        <f t="shared" si="9"/>
        <v>✕</v>
      </c>
      <c r="AL51" s="467"/>
      <c r="AM51" s="467"/>
      <c r="AN51" s="467"/>
      <c r="AO51" s="467"/>
    </row>
    <row r="52" spans="1:41" ht="21.75" customHeight="1">
      <c r="A52" s="347"/>
      <c r="B52" s="540">
        <v>48</v>
      </c>
      <c r="C52" s="526" t="s">
        <v>1457</v>
      </c>
      <c r="D52" s="527">
        <v>48</v>
      </c>
      <c r="E52" s="528" t="s">
        <v>665</v>
      </c>
      <c r="F52" s="528">
        <v>3056</v>
      </c>
      <c r="G52" s="528" t="s">
        <v>1133</v>
      </c>
      <c r="H52" s="528" t="s">
        <v>1133</v>
      </c>
      <c r="I52" s="527" t="s">
        <v>1548</v>
      </c>
      <c r="J52" s="527" t="s">
        <v>1548</v>
      </c>
      <c r="K52" s="529"/>
      <c r="L52" s="530">
        <v>1052720</v>
      </c>
      <c r="M52" s="528" t="s">
        <v>876</v>
      </c>
      <c r="N52" s="528" t="s">
        <v>1991</v>
      </c>
      <c r="O52" s="528" t="s">
        <v>1004</v>
      </c>
      <c r="P52" s="528" t="s">
        <v>2162</v>
      </c>
      <c r="Q52" s="528" t="s">
        <v>2163</v>
      </c>
      <c r="R52" s="528" t="s">
        <v>1869</v>
      </c>
      <c r="S52" s="528" t="s">
        <v>1986</v>
      </c>
      <c r="T52" s="531" t="s">
        <v>2153</v>
      </c>
      <c r="U52" s="349" t="str">
        <f t="shared" si="2"/>
        <v>✕</v>
      </c>
      <c r="V52" s="349" t="str">
        <f t="shared" si="0"/>
        <v>✕</v>
      </c>
      <c r="W52" s="349" t="str">
        <f t="shared" si="3"/>
        <v>✕</v>
      </c>
      <c r="X52" s="559" t="s">
        <v>1457</v>
      </c>
      <c r="Y52" s="557" t="str">
        <f t="shared" si="4"/>
        <v>〇</v>
      </c>
      <c r="Z52" s="559" t="s">
        <v>1991</v>
      </c>
      <c r="AA52" s="559" t="s">
        <v>1869</v>
      </c>
      <c r="AB52" s="559" t="s">
        <v>1986</v>
      </c>
      <c r="AC52" s="559" t="str">
        <f t="shared" si="5"/>
        <v>✕</v>
      </c>
      <c r="AD52" s="559" t="str">
        <f t="shared" si="6"/>
        <v>〇</v>
      </c>
      <c r="AE52" s="559" t="str">
        <f t="shared" si="7"/>
        <v>〇</v>
      </c>
      <c r="AH52" s="378" t="s">
        <v>1132</v>
      </c>
      <c r="AI52" s="378" t="str">
        <f t="shared" si="8"/>
        <v>✕</v>
      </c>
      <c r="AJ52" s="378" t="s">
        <v>1456</v>
      </c>
      <c r="AK52" s="467" t="str">
        <f t="shared" si="9"/>
        <v>✕</v>
      </c>
      <c r="AL52" s="467"/>
      <c r="AM52" s="467"/>
      <c r="AN52" s="467"/>
      <c r="AO52" s="467"/>
    </row>
    <row r="53" spans="1:41" ht="21.75" customHeight="1">
      <c r="A53" s="347"/>
      <c r="B53" s="540">
        <v>49</v>
      </c>
      <c r="C53" s="526" t="s">
        <v>1458</v>
      </c>
      <c r="D53" s="527">
        <v>49</v>
      </c>
      <c r="E53" s="528" t="s">
        <v>666</v>
      </c>
      <c r="F53" s="528">
        <v>3058</v>
      </c>
      <c r="G53" s="528" t="s">
        <v>1134</v>
      </c>
      <c r="H53" s="528" t="s">
        <v>1134</v>
      </c>
      <c r="I53" s="527" t="s">
        <v>1548</v>
      </c>
      <c r="J53" s="527" t="s">
        <v>1548</v>
      </c>
      <c r="K53" s="529"/>
      <c r="L53" s="530">
        <v>1055123</v>
      </c>
      <c r="M53" s="528" t="s">
        <v>1647</v>
      </c>
      <c r="N53" s="528" t="s">
        <v>2358</v>
      </c>
      <c r="O53" s="528" t="s">
        <v>851</v>
      </c>
      <c r="P53" s="532" t="s">
        <v>2369</v>
      </c>
      <c r="Q53" s="528" t="s">
        <v>2358</v>
      </c>
      <c r="R53" s="528" t="s">
        <v>851</v>
      </c>
      <c r="S53" s="528" t="s">
        <v>2369</v>
      </c>
      <c r="T53" s="531"/>
      <c r="U53" s="349" t="str">
        <f t="shared" si="2"/>
        <v>〇</v>
      </c>
      <c r="V53" s="349" t="str">
        <f t="shared" si="0"/>
        <v>〇</v>
      </c>
      <c r="W53" s="349" t="str">
        <f t="shared" si="3"/>
        <v>〇</v>
      </c>
      <c r="X53" s="559" t="s">
        <v>1458</v>
      </c>
      <c r="Y53" s="557" t="str">
        <f t="shared" si="4"/>
        <v>〇</v>
      </c>
      <c r="Z53" s="559" t="s">
        <v>877</v>
      </c>
      <c r="AA53" s="559" t="s">
        <v>848</v>
      </c>
      <c r="AB53" s="559" t="s">
        <v>1987</v>
      </c>
      <c r="AC53" s="559" t="str">
        <f t="shared" si="5"/>
        <v>✕</v>
      </c>
      <c r="AD53" s="559" t="str">
        <f t="shared" si="6"/>
        <v>✕</v>
      </c>
      <c r="AE53" s="559" t="str">
        <f t="shared" si="7"/>
        <v>✕</v>
      </c>
      <c r="AH53" s="378" t="s">
        <v>1133</v>
      </c>
      <c r="AI53" s="378" t="str">
        <f t="shared" si="8"/>
        <v>✕</v>
      </c>
      <c r="AJ53" s="378" t="s">
        <v>1457</v>
      </c>
      <c r="AK53" s="467" t="str">
        <f t="shared" si="9"/>
        <v>✕</v>
      </c>
      <c r="AL53" s="467"/>
      <c r="AM53" s="467"/>
      <c r="AN53" s="467"/>
      <c r="AO53" s="467"/>
    </row>
    <row r="54" spans="1:41" ht="21.75" customHeight="1">
      <c r="A54" s="347"/>
      <c r="B54" s="540">
        <v>50</v>
      </c>
      <c r="C54" s="526" t="s">
        <v>501</v>
      </c>
      <c r="D54" s="527">
        <v>50</v>
      </c>
      <c r="E54" s="528" t="s">
        <v>667</v>
      </c>
      <c r="F54" s="528">
        <v>3059</v>
      </c>
      <c r="G54" s="528" t="s">
        <v>1135</v>
      </c>
      <c r="H54" s="528" t="s">
        <v>1135</v>
      </c>
      <c r="I54" s="527" t="s">
        <v>1548</v>
      </c>
      <c r="J54" s="527" t="s">
        <v>1548</v>
      </c>
      <c r="K54" s="529"/>
      <c r="L54" s="530">
        <v>1053585</v>
      </c>
      <c r="M54" s="528" t="s">
        <v>2129</v>
      </c>
      <c r="N54" s="528" t="s">
        <v>879</v>
      </c>
      <c r="O54" s="528" t="s">
        <v>768</v>
      </c>
      <c r="P54" s="528" t="s">
        <v>878</v>
      </c>
      <c r="Q54" s="528" t="s">
        <v>879</v>
      </c>
      <c r="R54" s="528" t="s">
        <v>768</v>
      </c>
      <c r="S54" s="528" t="s">
        <v>878</v>
      </c>
      <c r="T54" s="531"/>
      <c r="U54" s="349" t="str">
        <f t="shared" si="2"/>
        <v>〇</v>
      </c>
      <c r="V54" s="349" t="str">
        <f t="shared" si="0"/>
        <v>〇</v>
      </c>
      <c r="W54" s="349" t="str">
        <f t="shared" si="3"/>
        <v>〇</v>
      </c>
      <c r="X54" s="559" t="s">
        <v>501</v>
      </c>
      <c r="Y54" s="557" t="str">
        <f t="shared" si="4"/>
        <v>〇</v>
      </c>
      <c r="Z54" s="559" t="s">
        <v>879</v>
      </c>
      <c r="AA54" s="559" t="s">
        <v>768</v>
      </c>
      <c r="AB54" s="559" t="s">
        <v>878</v>
      </c>
      <c r="AC54" s="559" t="str">
        <f t="shared" si="5"/>
        <v>〇</v>
      </c>
      <c r="AD54" s="559" t="str">
        <f t="shared" si="6"/>
        <v>〇</v>
      </c>
      <c r="AE54" s="559" t="str">
        <f t="shared" si="7"/>
        <v>〇</v>
      </c>
      <c r="AH54" s="378" t="s">
        <v>1134</v>
      </c>
      <c r="AI54" s="378" t="str">
        <f t="shared" si="8"/>
        <v>✕</v>
      </c>
      <c r="AJ54" s="378" t="s">
        <v>1458</v>
      </c>
      <c r="AK54" s="467" t="str">
        <f t="shared" si="9"/>
        <v>✕</v>
      </c>
      <c r="AL54" s="467"/>
      <c r="AM54" s="467"/>
      <c r="AN54" s="467"/>
      <c r="AO54" s="467"/>
    </row>
    <row r="55" spans="1:41" ht="21.75" customHeight="1">
      <c r="A55" s="347"/>
      <c r="B55" s="540">
        <v>51</v>
      </c>
      <c r="C55" s="526" t="s">
        <v>1826</v>
      </c>
      <c r="D55" s="527">
        <v>51</v>
      </c>
      <c r="E55" s="528" t="s">
        <v>668</v>
      </c>
      <c r="F55" s="528">
        <v>3060</v>
      </c>
      <c r="G55" s="528" t="s">
        <v>1136</v>
      </c>
      <c r="H55" s="528" t="s">
        <v>1136</v>
      </c>
      <c r="I55" s="527" t="s">
        <v>1548</v>
      </c>
      <c r="J55" s="527" t="s">
        <v>1548</v>
      </c>
      <c r="K55" s="529"/>
      <c r="L55" s="530">
        <v>1055175</v>
      </c>
      <c r="M55" s="528" t="s">
        <v>1646</v>
      </c>
      <c r="N55" s="528" t="s">
        <v>875</v>
      </c>
      <c r="O55" s="528" t="s">
        <v>848</v>
      </c>
      <c r="P55" s="528" t="s">
        <v>1550</v>
      </c>
      <c r="Q55" s="528" t="s">
        <v>875</v>
      </c>
      <c r="R55" s="528" t="s">
        <v>848</v>
      </c>
      <c r="S55" s="528" t="s">
        <v>1550</v>
      </c>
      <c r="T55" s="531"/>
      <c r="U55" s="349" t="str">
        <f t="shared" si="2"/>
        <v>〇</v>
      </c>
      <c r="V55" s="349" t="str">
        <f t="shared" si="0"/>
        <v>〇</v>
      </c>
      <c r="W55" s="349" t="str">
        <f t="shared" si="3"/>
        <v>〇</v>
      </c>
      <c r="X55" s="559" t="s">
        <v>1826</v>
      </c>
      <c r="Y55" s="557" t="str">
        <f t="shared" si="4"/>
        <v>〇</v>
      </c>
      <c r="Z55" s="559" t="s">
        <v>875</v>
      </c>
      <c r="AA55" s="559" t="s">
        <v>848</v>
      </c>
      <c r="AB55" s="559" t="s">
        <v>1550</v>
      </c>
      <c r="AC55" s="559" t="str">
        <f t="shared" si="5"/>
        <v>〇</v>
      </c>
      <c r="AD55" s="559" t="str">
        <f t="shared" si="6"/>
        <v>〇</v>
      </c>
      <c r="AE55" s="559" t="str">
        <f t="shared" si="7"/>
        <v>〇</v>
      </c>
      <c r="AH55" s="378" t="s">
        <v>1135</v>
      </c>
      <c r="AI55" s="378" t="str">
        <f t="shared" si="8"/>
        <v>✕</v>
      </c>
      <c r="AJ55" s="378" t="s">
        <v>501</v>
      </c>
      <c r="AK55" s="467" t="str">
        <f t="shared" si="9"/>
        <v>✕</v>
      </c>
      <c r="AL55" s="467"/>
      <c r="AM55" s="467"/>
      <c r="AN55" s="467"/>
      <c r="AO55" s="467"/>
    </row>
    <row r="56" spans="1:41" ht="21.75" customHeight="1">
      <c r="A56" s="347"/>
      <c r="B56" s="540">
        <v>52</v>
      </c>
      <c r="C56" s="526" t="s">
        <v>1459</v>
      </c>
      <c r="D56" s="527">
        <v>52</v>
      </c>
      <c r="E56" s="528" t="s">
        <v>669</v>
      </c>
      <c r="F56" s="528">
        <v>3061</v>
      </c>
      <c r="G56" s="528" t="s">
        <v>1137</v>
      </c>
      <c r="H56" s="528" t="s">
        <v>1137</v>
      </c>
      <c r="I56" s="527" t="s">
        <v>1548</v>
      </c>
      <c r="J56" s="527" t="s">
        <v>1548</v>
      </c>
      <c r="K56" s="529"/>
      <c r="L56" s="530">
        <v>1053646</v>
      </c>
      <c r="M56" s="528" t="s">
        <v>880</v>
      </c>
      <c r="N56" s="528" t="s">
        <v>882</v>
      </c>
      <c r="O56" s="528" t="s">
        <v>768</v>
      </c>
      <c r="P56" s="528" t="s">
        <v>881</v>
      </c>
      <c r="Q56" s="528" t="s">
        <v>882</v>
      </c>
      <c r="R56" s="528" t="s">
        <v>768</v>
      </c>
      <c r="S56" s="528" t="s">
        <v>881</v>
      </c>
      <c r="T56" s="531"/>
      <c r="U56" s="349" t="str">
        <f t="shared" si="2"/>
        <v>〇</v>
      </c>
      <c r="V56" s="349" t="str">
        <f t="shared" si="0"/>
        <v>〇</v>
      </c>
      <c r="W56" s="349" t="str">
        <f t="shared" si="3"/>
        <v>〇</v>
      </c>
      <c r="X56" s="559" t="s">
        <v>1459</v>
      </c>
      <c r="Y56" s="557" t="str">
        <f t="shared" si="4"/>
        <v>〇</v>
      </c>
      <c r="Z56" s="559" t="s">
        <v>882</v>
      </c>
      <c r="AA56" s="559" t="s">
        <v>768</v>
      </c>
      <c r="AB56" s="559" t="s">
        <v>881</v>
      </c>
      <c r="AC56" s="559" t="str">
        <f t="shared" si="5"/>
        <v>〇</v>
      </c>
      <c r="AD56" s="559" t="str">
        <f t="shared" si="6"/>
        <v>〇</v>
      </c>
      <c r="AE56" s="559" t="str">
        <f t="shared" si="7"/>
        <v>〇</v>
      </c>
      <c r="AH56" s="378" t="s">
        <v>1136</v>
      </c>
      <c r="AI56" s="378" t="str">
        <f t="shared" si="8"/>
        <v>✕</v>
      </c>
      <c r="AJ56" s="378" t="s">
        <v>1826</v>
      </c>
      <c r="AK56" s="467" t="str">
        <f t="shared" si="9"/>
        <v>✕</v>
      </c>
      <c r="AL56" s="467"/>
      <c r="AM56" s="467"/>
      <c r="AN56" s="467"/>
      <c r="AO56" s="467"/>
    </row>
    <row r="57" spans="1:41" ht="21.75" customHeight="1">
      <c r="A57" s="347"/>
      <c r="B57" s="540">
        <v>53</v>
      </c>
      <c r="C57" s="526" t="s">
        <v>1460</v>
      </c>
      <c r="D57" s="527">
        <v>53</v>
      </c>
      <c r="E57" s="528" t="s">
        <v>670</v>
      </c>
      <c r="F57" s="528">
        <v>3062</v>
      </c>
      <c r="G57" s="528" t="s">
        <v>2510</v>
      </c>
      <c r="H57" s="528" t="s">
        <v>1138</v>
      </c>
      <c r="I57" s="527" t="s">
        <v>1548</v>
      </c>
      <c r="J57" s="527" t="s">
        <v>1548</v>
      </c>
      <c r="K57" s="529"/>
      <c r="L57" s="530">
        <v>1055122</v>
      </c>
      <c r="M57" s="528" t="s">
        <v>1648</v>
      </c>
      <c r="N57" s="528" t="s">
        <v>1817</v>
      </c>
      <c r="O57" s="528" t="s">
        <v>848</v>
      </c>
      <c r="P57" s="528" t="s">
        <v>883</v>
      </c>
      <c r="Q57" s="528" t="s">
        <v>1817</v>
      </c>
      <c r="R57" s="528" t="s">
        <v>848</v>
      </c>
      <c r="S57" s="528" t="s">
        <v>883</v>
      </c>
      <c r="T57" s="531"/>
      <c r="U57" s="349" t="str">
        <f t="shared" si="2"/>
        <v>〇</v>
      </c>
      <c r="V57" s="349" t="str">
        <f t="shared" si="0"/>
        <v>〇</v>
      </c>
      <c r="W57" s="349" t="str">
        <f t="shared" si="3"/>
        <v>〇</v>
      </c>
      <c r="X57" s="559" t="s">
        <v>1919</v>
      </c>
      <c r="Y57" s="557" t="str">
        <f t="shared" si="4"/>
        <v>✕</v>
      </c>
      <c r="Z57" s="559" t="s">
        <v>1817</v>
      </c>
      <c r="AA57" s="559" t="s">
        <v>848</v>
      </c>
      <c r="AB57" s="559" t="s">
        <v>883</v>
      </c>
      <c r="AC57" s="559" t="str">
        <f t="shared" si="5"/>
        <v>〇</v>
      </c>
      <c r="AD57" s="559" t="str">
        <f t="shared" si="6"/>
        <v>〇</v>
      </c>
      <c r="AE57" s="559" t="str">
        <f t="shared" si="7"/>
        <v>〇</v>
      </c>
      <c r="AH57" s="378" t="s">
        <v>1137</v>
      </c>
      <c r="AI57" s="378" t="str">
        <f t="shared" si="8"/>
        <v>✕</v>
      </c>
      <c r="AJ57" s="378" t="s">
        <v>1459</v>
      </c>
      <c r="AK57" s="467" t="str">
        <f t="shared" si="9"/>
        <v>✕</v>
      </c>
      <c r="AL57" s="467"/>
      <c r="AM57" s="467"/>
      <c r="AN57" s="467"/>
      <c r="AO57" s="467"/>
    </row>
    <row r="58" spans="1:41" ht="21.75" customHeight="1">
      <c r="A58" s="347"/>
      <c r="B58" s="540">
        <v>54</v>
      </c>
      <c r="C58" s="526" t="s">
        <v>1461</v>
      </c>
      <c r="D58" s="527">
        <v>54</v>
      </c>
      <c r="E58" s="528" t="s">
        <v>671</v>
      </c>
      <c r="F58" s="528">
        <v>3063</v>
      </c>
      <c r="G58" s="528" t="s">
        <v>1139</v>
      </c>
      <c r="H58" s="528" t="s">
        <v>1139</v>
      </c>
      <c r="I58" s="527" t="s">
        <v>1548</v>
      </c>
      <c r="J58" s="527" t="s">
        <v>1548</v>
      </c>
      <c r="K58" s="529"/>
      <c r="L58" s="530">
        <v>1055131</v>
      </c>
      <c r="M58" s="528" t="s">
        <v>831</v>
      </c>
      <c r="N58" s="528" t="s">
        <v>1866</v>
      </c>
      <c r="O58" s="528" t="s">
        <v>1004</v>
      </c>
      <c r="P58" s="528" t="s">
        <v>2164</v>
      </c>
      <c r="Q58" s="528" t="s">
        <v>2158</v>
      </c>
      <c r="R58" s="528" t="s">
        <v>1869</v>
      </c>
      <c r="S58" s="528" t="s">
        <v>1875</v>
      </c>
      <c r="T58" s="531" t="s">
        <v>2153</v>
      </c>
      <c r="U58" s="349" t="str">
        <f t="shared" si="2"/>
        <v>✕</v>
      </c>
      <c r="V58" s="349" t="str">
        <f t="shared" si="0"/>
        <v>✕</v>
      </c>
      <c r="W58" s="349" t="str">
        <f t="shared" si="3"/>
        <v>✕</v>
      </c>
      <c r="X58" s="559" t="s">
        <v>1461</v>
      </c>
      <c r="Y58" s="557" t="str">
        <f t="shared" si="4"/>
        <v>〇</v>
      </c>
      <c r="Z58" s="559" t="s">
        <v>1866</v>
      </c>
      <c r="AA58" s="559" t="s">
        <v>1869</v>
      </c>
      <c r="AB58" s="559" t="s">
        <v>1875</v>
      </c>
      <c r="AC58" s="559" t="str">
        <f t="shared" si="5"/>
        <v>✕</v>
      </c>
      <c r="AD58" s="559" t="str">
        <f t="shared" si="6"/>
        <v>〇</v>
      </c>
      <c r="AE58" s="559" t="str">
        <f t="shared" si="7"/>
        <v>〇</v>
      </c>
      <c r="AH58" s="378" t="s">
        <v>1138</v>
      </c>
      <c r="AI58" s="378" t="str">
        <f t="shared" si="8"/>
        <v>✕</v>
      </c>
      <c r="AJ58" s="378" t="s">
        <v>1460</v>
      </c>
      <c r="AK58" s="467" t="str">
        <f t="shared" si="9"/>
        <v>✕</v>
      </c>
      <c r="AL58" s="467"/>
      <c r="AM58" s="467"/>
      <c r="AN58" s="467"/>
      <c r="AO58" s="467"/>
    </row>
    <row r="59" spans="1:41" ht="21.75" customHeight="1">
      <c r="A59" s="347"/>
      <c r="B59" s="540">
        <v>55</v>
      </c>
      <c r="C59" s="526" t="s">
        <v>1462</v>
      </c>
      <c r="D59" s="527">
        <v>55</v>
      </c>
      <c r="E59" s="528" t="s">
        <v>672</v>
      </c>
      <c r="F59" s="528">
        <v>3064</v>
      </c>
      <c r="G59" s="528" t="s">
        <v>1140</v>
      </c>
      <c r="H59" s="528" t="s">
        <v>1140</v>
      </c>
      <c r="I59" s="527" t="s">
        <v>1548</v>
      </c>
      <c r="J59" s="527" t="s">
        <v>1548</v>
      </c>
      <c r="K59" s="529"/>
      <c r="L59" s="530">
        <v>1055105</v>
      </c>
      <c r="M59" s="528" t="s">
        <v>884</v>
      </c>
      <c r="N59" s="528" t="s">
        <v>886</v>
      </c>
      <c r="O59" s="528" t="s">
        <v>768</v>
      </c>
      <c r="P59" s="532" t="s">
        <v>885</v>
      </c>
      <c r="Q59" s="528" t="s">
        <v>886</v>
      </c>
      <c r="R59" s="528" t="s">
        <v>768</v>
      </c>
      <c r="S59" s="528" t="s">
        <v>885</v>
      </c>
      <c r="T59" s="531"/>
      <c r="U59" s="349" t="str">
        <f t="shared" si="2"/>
        <v>〇</v>
      </c>
      <c r="V59" s="349" t="str">
        <f t="shared" si="0"/>
        <v>〇</v>
      </c>
      <c r="W59" s="349" t="str">
        <f t="shared" si="3"/>
        <v>〇</v>
      </c>
      <c r="X59" s="559" t="s">
        <v>1462</v>
      </c>
      <c r="Y59" s="557" t="str">
        <f t="shared" si="4"/>
        <v>〇</v>
      </c>
      <c r="Z59" s="559" t="s">
        <v>886</v>
      </c>
      <c r="AA59" s="559" t="s">
        <v>768</v>
      </c>
      <c r="AB59" s="559" t="s">
        <v>885</v>
      </c>
      <c r="AC59" s="559" t="str">
        <f t="shared" si="5"/>
        <v>〇</v>
      </c>
      <c r="AD59" s="559" t="str">
        <f t="shared" si="6"/>
        <v>〇</v>
      </c>
      <c r="AE59" s="559" t="str">
        <f t="shared" si="7"/>
        <v>〇</v>
      </c>
      <c r="AH59" s="378" t="s">
        <v>1139</v>
      </c>
      <c r="AI59" s="378" t="str">
        <f t="shared" si="8"/>
        <v>✕</v>
      </c>
      <c r="AJ59" s="378" t="s">
        <v>1461</v>
      </c>
      <c r="AK59" s="467" t="str">
        <f t="shared" si="9"/>
        <v>✕</v>
      </c>
      <c r="AL59" s="467"/>
      <c r="AM59" s="467"/>
      <c r="AN59" s="467"/>
      <c r="AO59" s="467"/>
    </row>
    <row r="60" spans="1:41" ht="21.75" customHeight="1">
      <c r="A60" s="347"/>
      <c r="B60" s="540">
        <v>56</v>
      </c>
      <c r="C60" s="526" t="s">
        <v>1463</v>
      </c>
      <c r="D60" s="527">
        <v>56</v>
      </c>
      <c r="E60" s="528" t="s">
        <v>673</v>
      </c>
      <c r="F60" s="528">
        <v>3065</v>
      </c>
      <c r="G60" s="528" t="s">
        <v>1141</v>
      </c>
      <c r="H60" s="528" t="s">
        <v>1141</v>
      </c>
      <c r="I60" s="527" t="s">
        <v>1548</v>
      </c>
      <c r="J60" s="527" t="s">
        <v>1548</v>
      </c>
      <c r="K60" s="529"/>
      <c r="L60" s="530">
        <v>1054572</v>
      </c>
      <c r="M60" s="528" t="s">
        <v>1649</v>
      </c>
      <c r="N60" s="528" t="s">
        <v>1867</v>
      </c>
      <c r="O60" s="528" t="s">
        <v>2165</v>
      </c>
      <c r="P60" s="528" t="s">
        <v>2166</v>
      </c>
      <c r="Q60" s="528" t="s">
        <v>2167</v>
      </c>
      <c r="R60" s="528" t="s">
        <v>1876</v>
      </c>
      <c r="S60" s="528" t="s">
        <v>1877</v>
      </c>
      <c r="T60" s="531" t="s">
        <v>2153</v>
      </c>
      <c r="U60" s="349" t="str">
        <f t="shared" si="2"/>
        <v>✕</v>
      </c>
      <c r="V60" s="349" t="str">
        <f t="shared" si="0"/>
        <v>✕</v>
      </c>
      <c r="W60" s="349" t="str">
        <f t="shared" si="3"/>
        <v>✕</v>
      </c>
      <c r="X60" s="559" t="s">
        <v>1463</v>
      </c>
      <c r="Y60" s="557" t="str">
        <f t="shared" si="4"/>
        <v>〇</v>
      </c>
      <c r="Z60" s="559" t="s">
        <v>1867</v>
      </c>
      <c r="AA60" s="559" t="s">
        <v>1876</v>
      </c>
      <c r="AB60" s="559" t="s">
        <v>1877</v>
      </c>
      <c r="AC60" s="559" t="str">
        <f t="shared" si="5"/>
        <v>✕</v>
      </c>
      <c r="AD60" s="559" t="str">
        <f t="shared" si="6"/>
        <v>〇</v>
      </c>
      <c r="AE60" s="559" t="str">
        <f t="shared" si="7"/>
        <v>〇</v>
      </c>
      <c r="AH60" s="378" t="s">
        <v>1140</v>
      </c>
      <c r="AI60" s="378" t="str">
        <f t="shared" si="8"/>
        <v>✕</v>
      </c>
      <c r="AJ60" s="378" t="s">
        <v>1462</v>
      </c>
      <c r="AK60" s="467" t="str">
        <f t="shared" si="9"/>
        <v>✕</v>
      </c>
      <c r="AL60" s="467"/>
      <c r="AM60" s="467"/>
      <c r="AN60" s="467"/>
      <c r="AO60" s="467"/>
    </row>
    <row r="61" spans="1:41" ht="21.75" customHeight="1" thickBot="1">
      <c r="A61" s="347"/>
      <c r="B61" s="540">
        <v>57</v>
      </c>
      <c r="C61" s="526" t="s">
        <v>1464</v>
      </c>
      <c r="D61" s="527">
        <v>57</v>
      </c>
      <c r="E61" s="528" t="s">
        <v>674</v>
      </c>
      <c r="F61" s="528">
        <v>3066</v>
      </c>
      <c r="G61" s="528" t="s">
        <v>1142</v>
      </c>
      <c r="H61" s="528" t="s">
        <v>1142</v>
      </c>
      <c r="I61" s="527" t="s">
        <v>1548</v>
      </c>
      <c r="J61" s="527" t="s">
        <v>1548</v>
      </c>
      <c r="K61" s="529"/>
      <c r="L61" s="530">
        <v>1057808</v>
      </c>
      <c r="M61" s="528" t="s">
        <v>1650</v>
      </c>
      <c r="N61" s="528" t="s">
        <v>888</v>
      </c>
      <c r="O61" s="528" t="s">
        <v>848</v>
      </c>
      <c r="P61" s="534" t="s">
        <v>887</v>
      </c>
      <c r="Q61" s="528" t="s">
        <v>888</v>
      </c>
      <c r="R61" s="528" t="s">
        <v>848</v>
      </c>
      <c r="S61" s="528" t="s">
        <v>887</v>
      </c>
      <c r="T61" s="531"/>
      <c r="U61" s="349" t="str">
        <f t="shared" si="2"/>
        <v>〇</v>
      </c>
      <c r="V61" s="349" t="str">
        <f t="shared" si="0"/>
        <v>〇</v>
      </c>
      <c r="W61" s="349" t="str">
        <f t="shared" si="3"/>
        <v>〇</v>
      </c>
      <c r="X61" s="559" t="s">
        <v>1464</v>
      </c>
      <c r="Y61" s="557" t="str">
        <f t="shared" si="4"/>
        <v>〇</v>
      </c>
      <c r="Z61" s="559" t="s">
        <v>888</v>
      </c>
      <c r="AA61" s="559" t="s">
        <v>848</v>
      </c>
      <c r="AB61" s="559" t="s">
        <v>887</v>
      </c>
      <c r="AC61" s="559" t="str">
        <f t="shared" si="5"/>
        <v>〇</v>
      </c>
      <c r="AD61" s="559" t="str">
        <f t="shared" si="6"/>
        <v>〇</v>
      </c>
      <c r="AE61" s="559" t="str">
        <f t="shared" si="7"/>
        <v>〇</v>
      </c>
      <c r="AH61" s="378" t="s">
        <v>1141</v>
      </c>
      <c r="AI61" s="378" t="str">
        <f t="shared" si="8"/>
        <v>✕</v>
      </c>
      <c r="AJ61" s="378" t="s">
        <v>1463</v>
      </c>
      <c r="AK61" s="467" t="str">
        <f t="shared" si="9"/>
        <v>✕</v>
      </c>
      <c r="AL61" s="467"/>
      <c r="AM61" s="467"/>
      <c r="AN61" s="467"/>
      <c r="AO61" s="467"/>
    </row>
    <row r="62" spans="1:41" ht="21.75" customHeight="1">
      <c r="A62" s="347"/>
      <c r="B62" s="540">
        <v>58</v>
      </c>
      <c r="C62" s="526" t="s">
        <v>556</v>
      </c>
      <c r="D62" s="527">
        <v>58</v>
      </c>
      <c r="E62" s="528" t="s">
        <v>675</v>
      </c>
      <c r="F62" s="528">
        <v>3067</v>
      </c>
      <c r="G62" s="528" t="s">
        <v>1143</v>
      </c>
      <c r="H62" s="528" t="s">
        <v>1143</v>
      </c>
      <c r="I62" s="527" t="s">
        <v>1548</v>
      </c>
      <c r="J62" s="527" t="s">
        <v>1548</v>
      </c>
      <c r="K62" s="529"/>
      <c r="L62" s="530">
        <v>1056375</v>
      </c>
      <c r="M62" s="528" t="s">
        <v>2355</v>
      </c>
      <c r="N62" s="528" t="s">
        <v>2359</v>
      </c>
      <c r="O62" s="528" t="s">
        <v>848</v>
      </c>
      <c r="P62" s="528" t="s">
        <v>889</v>
      </c>
      <c r="Q62" s="528" t="s">
        <v>2359</v>
      </c>
      <c r="R62" s="528" t="s">
        <v>848</v>
      </c>
      <c r="S62" s="528" t="s">
        <v>889</v>
      </c>
      <c r="T62" s="531"/>
      <c r="U62" s="349" t="str">
        <f t="shared" si="2"/>
        <v>〇</v>
      </c>
      <c r="V62" s="349" t="str">
        <f t="shared" si="0"/>
        <v>〇</v>
      </c>
      <c r="W62" s="349" t="str">
        <f t="shared" si="3"/>
        <v>〇</v>
      </c>
      <c r="X62" s="559" t="s">
        <v>556</v>
      </c>
      <c r="Y62" s="557" t="str">
        <f t="shared" si="4"/>
        <v>〇</v>
      </c>
      <c r="Z62" s="559" t="s">
        <v>1992</v>
      </c>
      <c r="AA62" s="559" t="s">
        <v>848</v>
      </c>
      <c r="AB62" s="559" t="s">
        <v>889</v>
      </c>
      <c r="AC62" s="559" t="str">
        <f t="shared" si="5"/>
        <v>✕</v>
      </c>
      <c r="AD62" s="559" t="str">
        <f t="shared" si="6"/>
        <v>〇</v>
      </c>
      <c r="AE62" s="559" t="str">
        <f t="shared" si="7"/>
        <v>〇</v>
      </c>
      <c r="AH62" s="378" t="s">
        <v>1142</v>
      </c>
      <c r="AI62" s="378" t="str">
        <f t="shared" si="8"/>
        <v>✕</v>
      </c>
      <c r="AJ62" s="378" t="s">
        <v>1464</v>
      </c>
      <c r="AK62" s="467" t="str">
        <f t="shared" si="9"/>
        <v>✕</v>
      </c>
      <c r="AL62" s="467"/>
      <c r="AM62" s="467"/>
      <c r="AN62" s="467"/>
      <c r="AO62" s="467"/>
    </row>
    <row r="63" spans="1:41" ht="21.75" customHeight="1">
      <c r="A63" s="347"/>
      <c r="B63" s="540">
        <v>59</v>
      </c>
      <c r="C63" s="526" t="s">
        <v>1465</v>
      </c>
      <c r="D63" s="527">
        <v>59</v>
      </c>
      <c r="E63" s="528" t="s">
        <v>676</v>
      </c>
      <c r="F63" s="528">
        <v>3068</v>
      </c>
      <c r="G63" s="528" t="s">
        <v>1144</v>
      </c>
      <c r="H63" s="528" t="s">
        <v>1144</v>
      </c>
      <c r="I63" s="527" t="s">
        <v>1548</v>
      </c>
      <c r="J63" s="527" t="s">
        <v>1548</v>
      </c>
      <c r="K63" s="529"/>
      <c r="L63" s="530">
        <v>1057770</v>
      </c>
      <c r="M63" s="528" t="s">
        <v>861</v>
      </c>
      <c r="N63" s="528" t="s">
        <v>863</v>
      </c>
      <c r="O63" s="528" t="s">
        <v>848</v>
      </c>
      <c r="P63" s="528" t="s">
        <v>2367</v>
      </c>
      <c r="Q63" s="528" t="s">
        <v>863</v>
      </c>
      <c r="R63" s="528" t="s">
        <v>848</v>
      </c>
      <c r="S63" s="528" t="s">
        <v>2367</v>
      </c>
      <c r="T63" s="531"/>
      <c r="U63" s="349" t="str">
        <f t="shared" si="2"/>
        <v>〇</v>
      </c>
      <c r="V63" s="349" t="str">
        <f t="shared" si="0"/>
        <v>〇</v>
      </c>
      <c r="W63" s="349" t="str">
        <f t="shared" si="3"/>
        <v>〇</v>
      </c>
      <c r="X63" s="559" t="s">
        <v>1465</v>
      </c>
      <c r="Y63" s="557" t="str">
        <f t="shared" si="4"/>
        <v>〇</v>
      </c>
      <c r="Z63" s="559" t="s">
        <v>863</v>
      </c>
      <c r="AA63" s="559" t="s">
        <v>848</v>
      </c>
      <c r="AB63" s="559" t="s">
        <v>862</v>
      </c>
      <c r="AC63" s="559" t="str">
        <f t="shared" si="5"/>
        <v>〇</v>
      </c>
      <c r="AD63" s="559" t="str">
        <f t="shared" si="6"/>
        <v>〇</v>
      </c>
      <c r="AE63" s="559" t="str">
        <f t="shared" si="7"/>
        <v>✕</v>
      </c>
      <c r="AH63" s="378" t="s">
        <v>1143</v>
      </c>
      <c r="AI63" s="378" t="str">
        <f t="shared" si="8"/>
        <v>✕</v>
      </c>
      <c r="AJ63" s="378" t="s">
        <v>556</v>
      </c>
      <c r="AK63" s="467" t="str">
        <f t="shared" si="9"/>
        <v>✕</v>
      </c>
      <c r="AL63" s="467"/>
      <c r="AM63" s="467"/>
      <c r="AN63" s="467"/>
      <c r="AO63" s="467"/>
    </row>
    <row r="64" spans="1:41" ht="21.75" customHeight="1">
      <c r="A64" s="347"/>
      <c r="B64" s="540">
        <v>60</v>
      </c>
      <c r="C64" s="526" t="s">
        <v>1466</v>
      </c>
      <c r="D64" s="527">
        <v>60</v>
      </c>
      <c r="E64" s="528" t="s">
        <v>677</v>
      </c>
      <c r="F64" s="528">
        <v>3069</v>
      </c>
      <c r="G64" s="528" t="s">
        <v>1145</v>
      </c>
      <c r="H64" s="528" t="s">
        <v>1145</v>
      </c>
      <c r="I64" s="527" t="s">
        <v>1548</v>
      </c>
      <c r="J64" s="527" t="s">
        <v>1548</v>
      </c>
      <c r="K64" s="529"/>
      <c r="L64" s="530">
        <v>1057809</v>
      </c>
      <c r="M64" s="528" t="s">
        <v>1651</v>
      </c>
      <c r="N64" s="528" t="s">
        <v>891</v>
      </c>
      <c r="O64" s="528" t="s">
        <v>768</v>
      </c>
      <c r="P64" s="528" t="s">
        <v>890</v>
      </c>
      <c r="Q64" s="528" t="s">
        <v>891</v>
      </c>
      <c r="R64" s="528" t="s">
        <v>768</v>
      </c>
      <c r="S64" s="528" t="s">
        <v>890</v>
      </c>
      <c r="T64" s="531"/>
      <c r="U64" s="349" t="str">
        <f t="shared" si="2"/>
        <v>〇</v>
      </c>
      <c r="V64" s="349" t="str">
        <f t="shared" si="0"/>
        <v>〇</v>
      </c>
      <c r="W64" s="349" t="str">
        <f t="shared" si="3"/>
        <v>〇</v>
      </c>
      <c r="X64" s="559" t="s">
        <v>1466</v>
      </c>
      <c r="Y64" s="557" t="str">
        <f t="shared" si="4"/>
        <v>〇</v>
      </c>
      <c r="Z64" s="559" t="s">
        <v>891</v>
      </c>
      <c r="AA64" s="559" t="s">
        <v>768</v>
      </c>
      <c r="AB64" s="559" t="s">
        <v>890</v>
      </c>
      <c r="AC64" s="559" t="str">
        <f t="shared" si="5"/>
        <v>〇</v>
      </c>
      <c r="AD64" s="559" t="str">
        <f t="shared" si="6"/>
        <v>〇</v>
      </c>
      <c r="AE64" s="559" t="str">
        <f t="shared" si="7"/>
        <v>〇</v>
      </c>
      <c r="AH64" s="378" t="s">
        <v>1144</v>
      </c>
      <c r="AI64" s="378" t="str">
        <f t="shared" si="8"/>
        <v>✕</v>
      </c>
      <c r="AJ64" s="378" t="s">
        <v>1465</v>
      </c>
      <c r="AK64" s="467" t="str">
        <f t="shared" si="9"/>
        <v>✕</v>
      </c>
      <c r="AL64" s="467"/>
      <c r="AM64" s="467"/>
      <c r="AN64" s="467"/>
      <c r="AO64" s="467"/>
    </row>
    <row r="65" spans="1:41" ht="21.75" customHeight="1">
      <c r="A65" s="347"/>
      <c r="B65" s="540">
        <v>61</v>
      </c>
      <c r="C65" s="526" t="s">
        <v>1467</v>
      </c>
      <c r="D65" s="527">
        <v>61</v>
      </c>
      <c r="E65" s="528" t="s">
        <v>678</v>
      </c>
      <c r="F65" s="528">
        <v>3070</v>
      </c>
      <c r="G65" s="528" t="s">
        <v>1146</v>
      </c>
      <c r="H65" s="528" t="s">
        <v>1146</v>
      </c>
      <c r="I65" s="527" t="s">
        <v>1548</v>
      </c>
      <c r="J65" s="527" t="s">
        <v>1548</v>
      </c>
      <c r="K65" s="529"/>
      <c r="L65" s="530">
        <v>1057772</v>
      </c>
      <c r="M65" s="528" t="s">
        <v>892</v>
      </c>
      <c r="N65" s="528" t="s">
        <v>894</v>
      </c>
      <c r="O65" s="528" t="s">
        <v>848</v>
      </c>
      <c r="P65" s="528" t="s">
        <v>893</v>
      </c>
      <c r="Q65" s="528" t="s">
        <v>894</v>
      </c>
      <c r="R65" s="528" t="s">
        <v>848</v>
      </c>
      <c r="S65" s="528" t="s">
        <v>893</v>
      </c>
      <c r="T65" s="531"/>
      <c r="U65" s="349" t="str">
        <f t="shared" si="2"/>
        <v>〇</v>
      </c>
      <c r="V65" s="349" t="str">
        <f t="shared" si="0"/>
        <v>〇</v>
      </c>
      <c r="W65" s="349" t="str">
        <f t="shared" si="3"/>
        <v>〇</v>
      </c>
      <c r="X65" s="559" t="s">
        <v>1467</v>
      </c>
      <c r="Y65" s="557" t="str">
        <f t="shared" si="4"/>
        <v>〇</v>
      </c>
      <c r="Z65" s="559" t="s">
        <v>894</v>
      </c>
      <c r="AA65" s="559" t="s">
        <v>848</v>
      </c>
      <c r="AB65" s="559" t="s">
        <v>893</v>
      </c>
      <c r="AC65" s="559" t="str">
        <f t="shared" si="5"/>
        <v>〇</v>
      </c>
      <c r="AD65" s="559" t="str">
        <f t="shared" si="6"/>
        <v>〇</v>
      </c>
      <c r="AE65" s="559" t="str">
        <f t="shared" si="7"/>
        <v>〇</v>
      </c>
      <c r="AH65" s="378" t="s">
        <v>1145</v>
      </c>
      <c r="AI65" s="378" t="str">
        <f t="shared" si="8"/>
        <v>✕</v>
      </c>
      <c r="AJ65" s="378" t="s">
        <v>1466</v>
      </c>
      <c r="AK65" s="467" t="str">
        <f t="shared" si="9"/>
        <v>✕</v>
      </c>
      <c r="AL65" s="467"/>
      <c r="AM65" s="467"/>
      <c r="AN65" s="467"/>
      <c r="AO65" s="467"/>
    </row>
    <row r="66" spans="1:41" ht="21.75" customHeight="1">
      <c r="A66" s="347"/>
      <c r="B66" s="540">
        <v>62</v>
      </c>
      <c r="C66" s="526" t="s">
        <v>1468</v>
      </c>
      <c r="D66" s="527">
        <v>62</v>
      </c>
      <c r="E66" s="528" t="s">
        <v>679</v>
      </c>
      <c r="F66" s="528">
        <v>3071</v>
      </c>
      <c r="G66" s="528" t="s">
        <v>1147</v>
      </c>
      <c r="H66" s="528" t="s">
        <v>1147</v>
      </c>
      <c r="I66" s="527" t="s">
        <v>1548</v>
      </c>
      <c r="J66" s="527" t="s">
        <v>1548</v>
      </c>
      <c r="K66" s="529"/>
      <c r="L66" s="530">
        <v>1060106</v>
      </c>
      <c r="M66" s="528" t="s">
        <v>895</v>
      </c>
      <c r="N66" s="528" t="s">
        <v>897</v>
      </c>
      <c r="O66" s="528" t="s">
        <v>768</v>
      </c>
      <c r="P66" s="528" t="s">
        <v>896</v>
      </c>
      <c r="Q66" s="528" t="s">
        <v>897</v>
      </c>
      <c r="R66" s="528" t="s">
        <v>768</v>
      </c>
      <c r="S66" s="528" t="s">
        <v>896</v>
      </c>
      <c r="T66" s="531"/>
      <c r="U66" s="349" t="str">
        <f t="shared" si="2"/>
        <v>〇</v>
      </c>
      <c r="V66" s="349" t="str">
        <f t="shared" si="0"/>
        <v>〇</v>
      </c>
      <c r="W66" s="349" t="str">
        <f t="shared" si="3"/>
        <v>〇</v>
      </c>
      <c r="X66" s="559" t="s">
        <v>1468</v>
      </c>
      <c r="Y66" s="557" t="str">
        <f t="shared" si="4"/>
        <v>〇</v>
      </c>
      <c r="Z66" s="559" t="s">
        <v>897</v>
      </c>
      <c r="AA66" s="559" t="s">
        <v>768</v>
      </c>
      <c r="AB66" s="559" t="s">
        <v>896</v>
      </c>
      <c r="AC66" s="559" t="str">
        <f t="shared" si="5"/>
        <v>〇</v>
      </c>
      <c r="AD66" s="559" t="str">
        <f t="shared" si="6"/>
        <v>〇</v>
      </c>
      <c r="AE66" s="559" t="str">
        <f t="shared" si="7"/>
        <v>〇</v>
      </c>
      <c r="AH66" s="378" t="s">
        <v>1146</v>
      </c>
      <c r="AI66" s="378" t="str">
        <f t="shared" si="8"/>
        <v>✕</v>
      </c>
      <c r="AJ66" s="378" t="s">
        <v>1467</v>
      </c>
      <c r="AK66" s="467" t="str">
        <f t="shared" si="9"/>
        <v>✕</v>
      </c>
      <c r="AL66" s="467"/>
      <c r="AM66" s="467"/>
      <c r="AN66" s="467"/>
      <c r="AO66" s="467"/>
    </row>
    <row r="67" spans="1:41" ht="21.75" customHeight="1">
      <c r="A67" s="347"/>
      <c r="B67" s="540">
        <v>63</v>
      </c>
      <c r="C67" s="526" t="s">
        <v>1780</v>
      </c>
      <c r="D67" s="527">
        <v>63</v>
      </c>
      <c r="E67" s="528" t="s">
        <v>680</v>
      </c>
      <c r="F67" s="528">
        <v>1210012</v>
      </c>
      <c r="G67" s="528" t="s">
        <v>1148</v>
      </c>
      <c r="H67" s="528" t="s">
        <v>1148</v>
      </c>
      <c r="I67" s="527" t="s">
        <v>1548</v>
      </c>
      <c r="J67" s="527" t="s">
        <v>1548</v>
      </c>
      <c r="K67" s="529"/>
      <c r="L67" s="530">
        <v>1060100</v>
      </c>
      <c r="M67" s="528" t="s">
        <v>1646</v>
      </c>
      <c r="N67" s="528" t="s">
        <v>875</v>
      </c>
      <c r="O67" s="528" t="s">
        <v>848</v>
      </c>
      <c r="P67" s="528" t="s">
        <v>1550</v>
      </c>
      <c r="Q67" s="528" t="s">
        <v>875</v>
      </c>
      <c r="R67" s="528" t="s">
        <v>848</v>
      </c>
      <c r="S67" s="528" t="s">
        <v>1550</v>
      </c>
      <c r="T67" s="531"/>
      <c r="U67" s="349" t="str">
        <f t="shared" si="2"/>
        <v>〇</v>
      </c>
      <c r="V67" s="349" t="str">
        <f t="shared" si="0"/>
        <v>〇</v>
      </c>
      <c r="W67" s="349" t="str">
        <f t="shared" si="3"/>
        <v>〇</v>
      </c>
      <c r="X67" s="559" t="s">
        <v>1780</v>
      </c>
      <c r="Y67" s="557" t="str">
        <f t="shared" si="4"/>
        <v>〇</v>
      </c>
      <c r="Z67" s="559" t="s">
        <v>875</v>
      </c>
      <c r="AA67" s="559" t="s">
        <v>848</v>
      </c>
      <c r="AB67" s="559" t="s">
        <v>1550</v>
      </c>
      <c r="AC67" s="559" t="str">
        <f t="shared" si="5"/>
        <v>〇</v>
      </c>
      <c r="AD67" s="559" t="str">
        <f t="shared" si="6"/>
        <v>〇</v>
      </c>
      <c r="AE67" s="559" t="str">
        <f t="shared" si="7"/>
        <v>〇</v>
      </c>
      <c r="AH67" s="378" t="s">
        <v>1147</v>
      </c>
      <c r="AI67" s="378" t="str">
        <f t="shared" si="8"/>
        <v>✕</v>
      </c>
      <c r="AJ67" s="378" t="s">
        <v>1468</v>
      </c>
      <c r="AK67" s="467" t="str">
        <f t="shared" si="9"/>
        <v>✕</v>
      </c>
      <c r="AL67" s="467"/>
      <c r="AM67" s="467"/>
      <c r="AN67" s="467"/>
      <c r="AO67" s="467"/>
    </row>
    <row r="68" spans="1:41" ht="21.75" customHeight="1">
      <c r="A68" s="347"/>
      <c r="B68" s="540">
        <v>64</v>
      </c>
      <c r="C68" s="526" t="s">
        <v>1469</v>
      </c>
      <c r="D68" s="527">
        <v>64</v>
      </c>
      <c r="E68" s="528" t="s">
        <v>681</v>
      </c>
      <c r="F68" s="528">
        <v>1210013</v>
      </c>
      <c r="G68" s="528" t="s">
        <v>1149</v>
      </c>
      <c r="H68" s="528" t="s">
        <v>1149</v>
      </c>
      <c r="I68" s="527" t="s">
        <v>1548</v>
      </c>
      <c r="J68" s="527" t="s">
        <v>1548</v>
      </c>
      <c r="K68" s="529"/>
      <c r="L68" s="530">
        <v>1059375</v>
      </c>
      <c r="M68" s="528" t="s">
        <v>895</v>
      </c>
      <c r="N68" s="528" t="s">
        <v>897</v>
      </c>
      <c r="O68" s="528" t="s">
        <v>768</v>
      </c>
      <c r="P68" s="528" t="s">
        <v>896</v>
      </c>
      <c r="Q68" s="528" t="s">
        <v>897</v>
      </c>
      <c r="R68" s="528" t="s">
        <v>768</v>
      </c>
      <c r="S68" s="528" t="s">
        <v>896</v>
      </c>
      <c r="T68" s="531"/>
      <c r="U68" s="349" t="str">
        <f t="shared" si="2"/>
        <v>〇</v>
      </c>
      <c r="V68" s="349" t="str">
        <f t="shared" si="0"/>
        <v>〇</v>
      </c>
      <c r="W68" s="349" t="str">
        <f t="shared" si="3"/>
        <v>〇</v>
      </c>
      <c r="X68" s="559" t="s">
        <v>1469</v>
      </c>
      <c r="Y68" s="557" t="str">
        <f t="shared" si="4"/>
        <v>〇</v>
      </c>
      <c r="Z68" s="559" t="s">
        <v>897</v>
      </c>
      <c r="AA68" s="559" t="s">
        <v>768</v>
      </c>
      <c r="AB68" s="559" t="s">
        <v>896</v>
      </c>
      <c r="AC68" s="559" t="str">
        <f t="shared" si="5"/>
        <v>〇</v>
      </c>
      <c r="AD68" s="559" t="str">
        <f t="shared" si="6"/>
        <v>〇</v>
      </c>
      <c r="AE68" s="559" t="str">
        <f t="shared" si="7"/>
        <v>〇</v>
      </c>
      <c r="AH68" s="378" t="s">
        <v>1148</v>
      </c>
      <c r="AI68" s="378" t="str">
        <f t="shared" si="8"/>
        <v>✕</v>
      </c>
      <c r="AJ68" s="378" t="s">
        <v>1780</v>
      </c>
      <c r="AK68" s="467" t="str">
        <f t="shared" si="9"/>
        <v>✕</v>
      </c>
      <c r="AL68" s="467"/>
      <c r="AM68" s="467"/>
      <c r="AN68" s="467"/>
      <c r="AO68" s="467"/>
    </row>
    <row r="69" spans="1:41" ht="21.75" customHeight="1">
      <c r="A69" s="347"/>
      <c r="B69" s="540">
        <v>65</v>
      </c>
      <c r="C69" s="526" t="s">
        <v>1470</v>
      </c>
      <c r="D69" s="527">
        <v>65</v>
      </c>
      <c r="E69" s="528" t="s">
        <v>682</v>
      </c>
      <c r="F69" s="528">
        <v>1210014</v>
      </c>
      <c r="G69" s="528" t="s">
        <v>1150</v>
      </c>
      <c r="H69" s="528" t="s">
        <v>1150</v>
      </c>
      <c r="I69" s="527" t="s">
        <v>1548</v>
      </c>
      <c r="J69" s="527" t="s">
        <v>1548</v>
      </c>
      <c r="K69" s="529"/>
      <c r="L69" s="530">
        <v>1059626</v>
      </c>
      <c r="M69" s="528" t="s">
        <v>1652</v>
      </c>
      <c r="N69" s="528" t="s">
        <v>899</v>
      </c>
      <c r="O69" s="528" t="s">
        <v>768</v>
      </c>
      <c r="P69" s="528" t="s">
        <v>898</v>
      </c>
      <c r="Q69" s="528" t="s">
        <v>899</v>
      </c>
      <c r="R69" s="528" t="s">
        <v>768</v>
      </c>
      <c r="S69" s="528" t="s">
        <v>898</v>
      </c>
      <c r="T69" s="531"/>
      <c r="U69" s="349" t="str">
        <f t="shared" ref="U69:U132" si="10">IF(N69=Q69,"〇","✕")</f>
        <v>〇</v>
      </c>
      <c r="V69" s="349" t="str">
        <f t="shared" ref="V69:V132" si="11">IF(O69=R69,"〇","✕")</f>
        <v>〇</v>
      </c>
      <c r="W69" s="349" t="str">
        <f t="shared" ref="W69:W132" si="12">IF(P69=S69,"〇","✕")</f>
        <v>〇</v>
      </c>
      <c r="X69" s="559" t="s">
        <v>1470</v>
      </c>
      <c r="Y69" s="557" t="str">
        <f t="shared" si="4"/>
        <v>〇</v>
      </c>
      <c r="Z69" s="559" t="s">
        <v>899</v>
      </c>
      <c r="AA69" s="559" t="s">
        <v>768</v>
      </c>
      <c r="AB69" s="559" t="s">
        <v>898</v>
      </c>
      <c r="AC69" s="559" t="str">
        <f t="shared" si="5"/>
        <v>〇</v>
      </c>
      <c r="AD69" s="559" t="str">
        <f t="shared" si="6"/>
        <v>〇</v>
      </c>
      <c r="AE69" s="559" t="str">
        <f t="shared" si="7"/>
        <v>〇</v>
      </c>
      <c r="AH69" s="378" t="s">
        <v>1149</v>
      </c>
      <c r="AI69" s="378" t="str">
        <f t="shared" si="8"/>
        <v>✕</v>
      </c>
      <c r="AJ69" s="378" t="s">
        <v>1469</v>
      </c>
      <c r="AK69" s="467" t="str">
        <f t="shared" si="9"/>
        <v>✕</v>
      </c>
      <c r="AL69" s="467"/>
      <c r="AM69" s="467"/>
      <c r="AN69" s="467"/>
      <c r="AO69" s="467"/>
    </row>
    <row r="70" spans="1:41" ht="21.75" customHeight="1">
      <c r="A70" s="347"/>
      <c r="B70" s="540">
        <v>66</v>
      </c>
      <c r="C70" s="526" t="s">
        <v>1471</v>
      </c>
      <c r="D70" s="527">
        <v>66</v>
      </c>
      <c r="E70" s="528" t="s">
        <v>683</v>
      </c>
      <c r="F70" s="528">
        <v>1210015</v>
      </c>
      <c r="G70" s="528" t="s">
        <v>1151</v>
      </c>
      <c r="H70" s="528" t="s">
        <v>1151</v>
      </c>
      <c r="I70" s="527" t="s">
        <v>1548</v>
      </c>
      <c r="J70" s="527" t="s">
        <v>1548</v>
      </c>
      <c r="K70" s="529"/>
      <c r="L70" s="530">
        <v>1060118</v>
      </c>
      <c r="M70" s="528" t="s">
        <v>1653</v>
      </c>
      <c r="N70" s="528" t="s">
        <v>1993</v>
      </c>
      <c r="O70" s="528" t="s">
        <v>848</v>
      </c>
      <c r="P70" s="528" t="s">
        <v>900</v>
      </c>
      <c r="Q70" s="528" t="s">
        <v>1993</v>
      </c>
      <c r="R70" s="528" t="s">
        <v>848</v>
      </c>
      <c r="S70" s="528" t="s">
        <v>900</v>
      </c>
      <c r="T70" s="531"/>
      <c r="U70" s="349" t="str">
        <f t="shared" si="10"/>
        <v>〇</v>
      </c>
      <c r="V70" s="349" t="str">
        <f t="shared" si="11"/>
        <v>〇</v>
      </c>
      <c r="W70" s="349" t="str">
        <f t="shared" si="12"/>
        <v>〇</v>
      </c>
      <c r="X70" s="559" t="s">
        <v>1471</v>
      </c>
      <c r="Y70" s="557" t="str">
        <f t="shared" ref="Y70:Y133" si="13">IF(C70=X70,"〇","✕")</f>
        <v>〇</v>
      </c>
      <c r="Z70" s="559" t="s">
        <v>1993</v>
      </c>
      <c r="AA70" s="559" t="s">
        <v>848</v>
      </c>
      <c r="AB70" s="559" t="s">
        <v>900</v>
      </c>
      <c r="AC70" s="559" t="str">
        <f t="shared" ref="AC70:AC133" si="14">IF(Q70=Z70,"〇","✕")</f>
        <v>〇</v>
      </c>
      <c r="AD70" s="559" t="str">
        <f t="shared" ref="AD70:AD133" si="15">IF(R70=AA70,"〇","✕")</f>
        <v>〇</v>
      </c>
      <c r="AE70" s="559" t="str">
        <f t="shared" ref="AE70:AE133" si="16">IF(S70=AB70,"〇","✕")</f>
        <v>〇</v>
      </c>
      <c r="AH70" s="378" t="s">
        <v>1150</v>
      </c>
      <c r="AI70" s="378" t="str">
        <f t="shared" ref="AI70:AI133" si="17">IF(AH70=G70,"〇","✕")</f>
        <v>✕</v>
      </c>
      <c r="AJ70" s="378" t="s">
        <v>1470</v>
      </c>
      <c r="AK70" s="467" t="str">
        <f t="shared" ref="AK70:AK133" si="18">IF(AJ70=C70,"〇","✕")</f>
        <v>✕</v>
      </c>
      <c r="AL70" s="467"/>
      <c r="AM70" s="467"/>
      <c r="AN70" s="467"/>
      <c r="AO70" s="467"/>
    </row>
    <row r="71" spans="1:41" ht="21.75" customHeight="1">
      <c r="A71" s="347"/>
      <c r="B71" s="540">
        <v>67</v>
      </c>
      <c r="C71" s="526" t="s">
        <v>1472</v>
      </c>
      <c r="D71" s="527">
        <v>67</v>
      </c>
      <c r="E71" s="528" t="s">
        <v>684</v>
      </c>
      <c r="F71" s="528">
        <v>1210016</v>
      </c>
      <c r="G71" s="528" t="s">
        <v>1152</v>
      </c>
      <c r="H71" s="528" t="s">
        <v>1152</v>
      </c>
      <c r="I71" s="527" t="s">
        <v>1548</v>
      </c>
      <c r="J71" s="527" t="s">
        <v>1548</v>
      </c>
      <c r="K71" s="529"/>
      <c r="L71" s="530">
        <v>1060185</v>
      </c>
      <c r="M71" s="528" t="s">
        <v>901</v>
      </c>
      <c r="N71" s="528" t="s">
        <v>2360</v>
      </c>
      <c r="O71" s="528" t="s">
        <v>768</v>
      </c>
      <c r="P71" s="528" t="s">
        <v>1641</v>
      </c>
      <c r="Q71" s="528" t="s">
        <v>2360</v>
      </c>
      <c r="R71" s="528" t="s">
        <v>768</v>
      </c>
      <c r="S71" s="528" t="s">
        <v>1641</v>
      </c>
      <c r="T71" s="531"/>
      <c r="U71" s="349" t="str">
        <f t="shared" si="10"/>
        <v>〇</v>
      </c>
      <c r="V71" s="349" t="str">
        <f t="shared" si="11"/>
        <v>〇</v>
      </c>
      <c r="W71" s="349" t="str">
        <f t="shared" si="12"/>
        <v>〇</v>
      </c>
      <c r="X71" s="559" t="s">
        <v>1472</v>
      </c>
      <c r="Y71" s="557" t="str">
        <f t="shared" si="13"/>
        <v>〇</v>
      </c>
      <c r="Z71" s="559" t="s">
        <v>902</v>
      </c>
      <c r="AA71" s="559" t="s">
        <v>768</v>
      </c>
      <c r="AB71" s="559" t="s">
        <v>1641</v>
      </c>
      <c r="AC71" s="559" t="str">
        <f t="shared" si="14"/>
        <v>✕</v>
      </c>
      <c r="AD71" s="559" t="str">
        <f t="shared" si="15"/>
        <v>〇</v>
      </c>
      <c r="AE71" s="559" t="str">
        <f t="shared" si="16"/>
        <v>〇</v>
      </c>
      <c r="AH71" s="378" t="s">
        <v>1151</v>
      </c>
      <c r="AI71" s="378" t="str">
        <f t="shared" si="17"/>
        <v>✕</v>
      </c>
      <c r="AJ71" s="378" t="s">
        <v>1471</v>
      </c>
      <c r="AK71" s="467" t="str">
        <f t="shared" si="18"/>
        <v>✕</v>
      </c>
      <c r="AL71" s="467"/>
      <c r="AM71" s="467"/>
      <c r="AN71" s="467"/>
      <c r="AO71" s="467"/>
    </row>
    <row r="72" spans="1:41" ht="21.75" customHeight="1">
      <c r="A72" s="347"/>
      <c r="B72" s="540">
        <v>68</v>
      </c>
      <c r="C72" s="526" t="s">
        <v>524</v>
      </c>
      <c r="D72" s="527">
        <v>68</v>
      </c>
      <c r="E72" s="528" t="s">
        <v>685</v>
      </c>
      <c r="F72" s="528">
        <v>1210017</v>
      </c>
      <c r="G72" s="528" t="s">
        <v>1153</v>
      </c>
      <c r="H72" s="528" t="s">
        <v>1153</v>
      </c>
      <c r="I72" s="527" t="s">
        <v>1548</v>
      </c>
      <c r="J72" s="527" t="s">
        <v>1548</v>
      </c>
      <c r="K72" s="529"/>
      <c r="L72" s="530">
        <v>1059151</v>
      </c>
      <c r="M72" s="528" t="s">
        <v>903</v>
      </c>
      <c r="N72" s="528" t="s">
        <v>905</v>
      </c>
      <c r="O72" s="528" t="s">
        <v>768</v>
      </c>
      <c r="P72" s="528" t="s">
        <v>904</v>
      </c>
      <c r="Q72" s="528" t="s">
        <v>905</v>
      </c>
      <c r="R72" s="528" t="s">
        <v>768</v>
      </c>
      <c r="S72" s="528" t="s">
        <v>904</v>
      </c>
      <c r="T72" s="531"/>
      <c r="U72" s="349" t="str">
        <f t="shared" si="10"/>
        <v>〇</v>
      </c>
      <c r="V72" s="349" t="str">
        <f t="shared" si="11"/>
        <v>〇</v>
      </c>
      <c r="W72" s="349" t="str">
        <f t="shared" si="12"/>
        <v>〇</v>
      </c>
      <c r="X72" s="559" t="s">
        <v>524</v>
      </c>
      <c r="Y72" s="557" t="str">
        <f t="shared" si="13"/>
        <v>〇</v>
      </c>
      <c r="Z72" s="559" t="s">
        <v>905</v>
      </c>
      <c r="AA72" s="559" t="s">
        <v>768</v>
      </c>
      <c r="AB72" s="559" t="s">
        <v>904</v>
      </c>
      <c r="AC72" s="559" t="str">
        <f t="shared" si="14"/>
        <v>〇</v>
      </c>
      <c r="AD72" s="559" t="str">
        <f t="shared" si="15"/>
        <v>〇</v>
      </c>
      <c r="AE72" s="559" t="str">
        <f t="shared" si="16"/>
        <v>〇</v>
      </c>
      <c r="AH72" s="378" t="s">
        <v>1152</v>
      </c>
      <c r="AI72" s="378" t="str">
        <f t="shared" si="17"/>
        <v>✕</v>
      </c>
      <c r="AJ72" s="378" t="s">
        <v>1472</v>
      </c>
      <c r="AK72" s="467" t="str">
        <f t="shared" si="18"/>
        <v>✕</v>
      </c>
      <c r="AL72" s="467"/>
      <c r="AM72" s="467"/>
      <c r="AN72" s="467"/>
      <c r="AO72" s="467"/>
    </row>
    <row r="73" spans="1:41" ht="21.75" customHeight="1">
      <c r="A73" s="347"/>
      <c r="B73" s="540">
        <v>69</v>
      </c>
      <c r="C73" s="526" t="s">
        <v>1473</v>
      </c>
      <c r="D73" s="527">
        <v>69</v>
      </c>
      <c r="E73" s="528" t="s">
        <v>686</v>
      </c>
      <c r="F73" s="528">
        <v>1210018</v>
      </c>
      <c r="G73" s="528" t="s">
        <v>1154</v>
      </c>
      <c r="H73" s="528" t="s">
        <v>1154</v>
      </c>
      <c r="I73" s="527" t="s">
        <v>1548</v>
      </c>
      <c r="J73" s="527" t="s">
        <v>1548</v>
      </c>
      <c r="K73" s="529"/>
      <c r="L73" s="530">
        <v>1059288</v>
      </c>
      <c r="M73" s="528" t="s">
        <v>2355</v>
      </c>
      <c r="N73" s="528" t="s">
        <v>2361</v>
      </c>
      <c r="O73" s="528" t="s">
        <v>848</v>
      </c>
      <c r="P73" s="528" t="s">
        <v>2152</v>
      </c>
      <c r="Q73" s="528" t="s">
        <v>2361</v>
      </c>
      <c r="R73" s="528" t="s">
        <v>848</v>
      </c>
      <c r="S73" s="528" t="s">
        <v>2152</v>
      </c>
      <c r="T73" s="531"/>
      <c r="U73" s="349" t="str">
        <f t="shared" si="10"/>
        <v>〇</v>
      </c>
      <c r="V73" s="349" t="str">
        <f t="shared" si="11"/>
        <v>〇</v>
      </c>
      <c r="W73" s="349" t="str">
        <f t="shared" si="12"/>
        <v>〇</v>
      </c>
      <c r="X73" s="559" t="s">
        <v>1473</v>
      </c>
      <c r="Y73" s="557" t="str">
        <f t="shared" si="13"/>
        <v>〇</v>
      </c>
      <c r="Z73" s="559" t="s">
        <v>1992</v>
      </c>
      <c r="AA73" s="559" t="s">
        <v>848</v>
      </c>
      <c r="AB73" s="559" t="s">
        <v>2152</v>
      </c>
      <c r="AC73" s="559" t="str">
        <f t="shared" si="14"/>
        <v>✕</v>
      </c>
      <c r="AD73" s="559" t="str">
        <f t="shared" si="15"/>
        <v>〇</v>
      </c>
      <c r="AE73" s="559" t="str">
        <f t="shared" si="16"/>
        <v>〇</v>
      </c>
      <c r="AH73" s="378" t="s">
        <v>1153</v>
      </c>
      <c r="AI73" s="378" t="str">
        <f t="shared" si="17"/>
        <v>✕</v>
      </c>
      <c r="AJ73" s="378" t="s">
        <v>524</v>
      </c>
      <c r="AK73" s="467" t="str">
        <f t="shared" si="18"/>
        <v>✕</v>
      </c>
      <c r="AL73" s="467"/>
      <c r="AM73" s="467"/>
      <c r="AN73" s="467"/>
      <c r="AO73" s="467"/>
    </row>
    <row r="74" spans="1:41" ht="21.75" customHeight="1">
      <c r="A74" s="347"/>
      <c r="B74" s="540">
        <v>70</v>
      </c>
      <c r="C74" s="526" t="s">
        <v>1779</v>
      </c>
      <c r="D74" s="527">
        <v>70</v>
      </c>
      <c r="E74" s="528" t="s">
        <v>687</v>
      </c>
      <c r="F74" s="528">
        <v>1210019</v>
      </c>
      <c r="G74" s="528" t="s">
        <v>1155</v>
      </c>
      <c r="H74" s="528" t="s">
        <v>1155</v>
      </c>
      <c r="I74" s="527" t="s">
        <v>1548</v>
      </c>
      <c r="J74" s="527" t="s">
        <v>1548</v>
      </c>
      <c r="K74" s="529"/>
      <c r="L74" s="530">
        <v>1053771</v>
      </c>
      <c r="M74" s="528" t="s">
        <v>2130</v>
      </c>
      <c r="N74" s="528" t="s">
        <v>907</v>
      </c>
      <c r="O74" s="528" t="s">
        <v>848</v>
      </c>
      <c r="P74" s="528" t="s">
        <v>906</v>
      </c>
      <c r="Q74" s="528" t="s">
        <v>907</v>
      </c>
      <c r="R74" s="528" t="s">
        <v>848</v>
      </c>
      <c r="S74" s="528" t="s">
        <v>906</v>
      </c>
      <c r="T74" s="531"/>
      <c r="U74" s="349" t="str">
        <f t="shared" si="10"/>
        <v>〇</v>
      </c>
      <c r="V74" s="349" t="str">
        <f t="shared" si="11"/>
        <v>〇</v>
      </c>
      <c r="W74" s="349" t="str">
        <f t="shared" si="12"/>
        <v>〇</v>
      </c>
      <c r="X74" s="559" t="s">
        <v>1779</v>
      </c>
      <c r="Y74" s="557" t="str">
        <f t="shared" si="13"/>
        <v>〇</v>
      </c>
      <c r="Z74" s="559" t="s">
        <v>907</v>
      </c>
      <c r="AA74" s="559" t="s">
        <v>848</v>
      </c>
      <c r="AB74" s="559" t="s">
        <v>906</v>
      </c>
      <c r="AC74" s="559" t="str">
        <f t="shared" si="14"/>
        <v>〇</v>
      </c>
      <c r="AD74" s="559" t="str">
        <f t="shared" si="15"/>
        <v>〇</v>
      </c>
      <c r="AE74" s="559" t="str">
        <f t="shared" si="16"/>
        <v>〇</v>
      </c>
      <c r="AH74" s="378" t="s">
        <v>1154</v>
      </c>
      <c r="AI74" s="378" t="str">
        <f t="shared" si="17"/>
        <v>✕</v>
      </c>
      <c r="AJ74" s="378" t="s">
        <v>1473</v>
      </c>
      <c r="AK74" s="467" t="str">
        <f t="shared" si="18"/>
        <v>✕</v>
      </c>
      <c r="AL74" s="467"/>
      <c r="AM74" s="467"/>
      <c r="AN74" s="467"/>
      <c r="AO74" s="467"/>
    </row>
    <row r="75" spans="1:41" ht="21.75" customHeight="1">
      <c r="A75" s="347"/>
      <c r="B75" s="540">
        <v>71</v>
      </c>
      <c r="C75" s="526" t="s">
        <v>1474</v>
      </c>
      <c r="D75" s="527">
        <v>71</v>
      </c>
      <c r="E75" s="528" t="s">
        <v>688</v>
      </c>
      <c r="F75" s="528">
        <v>1210020</v>
      </c>
      <c r="G75" s="528" t="s">
        <v>1156</v>
      </c>
      <c r="H75" s="528" t="s">
        <v>1156</v>
      </c>
      <c r="I75" s="527" t="s">
        <v>1548</v>
      </c>
      <c r="J75" s="527" t="s">
        <v>1548</v>
      </c>
      <c r="K75" s="529"/>
      <c r="L75" s="530">
        <v>1060131</v>
      </c>
      <c r="M75" s="528" t="s">
        <v>908</v>
      </c>
      <c r="N75" s="528" t="s">
        <v>909</v>
      </c>
      <c r="O75" s="528" t="s">
        <v>768</v>
      </c>
      <c r="P75" s="528" t="s">
        <v>1988</v>
      </c>
      <c r="Q75" s="528" t="s">
        <v>909</v>
      </c>
      <c r="R75" s="528" t="s">
        <v>768</v>
      </c>
      <c r="S75" s="528" t="s">
        <v>1988</v>
      </c>
      <c r="T75" s="531"/>
      <c r="U75" s="349" t="str">
        <f t="shared" si="10"/>
        <v>〇</v>
      </c>
      <c r="V75" s="349" t="str">
        <f t="shared" si="11"/>
        <v>〇</v>
      </c>
      <c r="W75" s="349" t="str">
        <f t="shared" si="12"/>
        <v>〇</v>
      </c>
      <c r="X75" s="559" t="s">
        <v>1474</v>
      </c>
      <c r="Y75" s="557" t="str">
        <f t="shared" si="13"/>
        <v>〇</v>
      </c>
      <c r="Z75" s="559" t="s">
        <v>909</v>
      </c>
      <c r="AA75" s="559" t="s">
        <v>768</v>
      </c>
      <c r="AB75" s="559" t="s">
        <v>1988</v>
      </c>
      <c r="AC75" s="559" t="str">
        <f t="shared" si="14"/>
        <v>〇</v>
      </c>
      <c r="AD75" s="559" t="str">
        <f t="shared" si="15"/>
        <v>〇</v>
      </c>
      <c r="AE75" s="559" t="str">
        <f t="shared" si="16"/>
        <v>〇</v>
      </c>
      <c r="AH75" s="378" t="s">
        <v>1155</v>
      </c>
      <c r="AI75" s="378" t="str">
        <f t="shared" si="17"/>
        <v>✕</v>
      </c>
      <c r="AJ75" s="378" t="s">
        <v>1779</v>
      </c>
      <c r="AK75" s="467" t="str">
        <f t="shared" si="18"/>
        <v>✕</v>
      </c>
      <c r="AL75" s="467"/>
      <c r="AM75" s="467"/>
      <c r="AN75" s="467"/>
      <c r="AO75" s="467"/>
    </row>
    <row r="76" spans="1:41" ht="21.75" customHeight="1">
      <c r="A76" s="347"/>
      <c r="B76" s="540">
        <v>72</v>
      </c>
      <c r="C76" s="526" t="s">
        <v>1475</v>
      </c>
      <c r="D76" s="527">
        <v>72</v>
      </c>
      <c r="E76" s="528" t="s">
        <v>689</v>
      </c>
      <c r="F76" s="528">
        <v>1210021</v>
      </c>
      <c r="G76" s="528" t="s">
        <v>1157</v>
      </c>
      <c r="H76" s="528" t="s">
        <v>1157</v>
      </c>
      <c r="I76" s="527" t="s">
        <v>1548</v>
      </c>
      <c r="J76" s="527" t="s">
        <v>1548</v>
      </c>
      <c r="K76" s="529"/>
      <c r="L76" s="530">
        <v>1058141</v>
      </c>
      <c r="M76" s="528" t="s">
        <v>2131</v>
      </c>
      <c r="N76" s="528" t="s">
        <v>912</v>
      </c>
      <c r="O76" s="528" t="s">
        <v>910</v>
      </c>
      <c r="P76" s="528" t="s">
        <v>911</v>
      </c>
      <c r="Q76" s="528" t="s">
        <v>912</v>
      </c>
      <c r="R76" s="528" t="s">
        <v>910</v>
      </c>
      <c r="S76" s="528" t="s">
        <v>911</v>
      </c>
      <c r="T76" s="531"/>
      <c r="U76" s="349" t="str">
        <f t="shared" si="10"/>
        <v>〇</v>
      </c>
      <c r="V76" s="349" t="str">
        <f t="shared" si="11"/>
        <v>〇</v>
      </c>
      <c r="W76" s="349" t="str">
        <f t="shared" si="12"/>
        <v>〇</v>
      </c>
      <c r="X76" s="559" t="s">
        <v>1475</v>
      </c>
      <c r="Y76" s="557" t="str">
        <f t="shared" si="13"/>
        <v>〇</v>
      </c>
      <c r="Z76" s="559" t="s">
        <v>912</v>
      </c>
      <c r="AA76" s="559" t="s">
        <v>910</v>
      </c>
      <c r="AB76" s="559" t="s">
        <v>911</v>
      </c>
      <c r="AC76" s="559" t="str">
        <f t="shared" si="14"/>
        <v>〇</v>
      </c>
      <c r="AD76" s="559" t="str">
        <f t="shared" si="15"/>
        <v>〇</v>
      </c>
      <c r="AE76" s="559" t="str">
        <f t="shared" si="16"/>
        <v>〇</v>
      </c>
      <c r="AH76" s="378" t="s">
        <v>1156</v>
      </c>
      <c r="AI76" s="378" t="str">
        <f t="shared" si="17"/>
        <v>✕</v>
      </c>
      <c r="AJ76" s="378" t="s">
        <v>1474</v>
      </c>
      <c r="AK76" s="467" t="str">
        <f t="shared" si="18"/>
        <v>✕</v>
      </c>
      <c r="AL76" s="467"/>
      <c r="AM76" s="467"/>
      <c r="AN76" s="467"/>
      <c r="AO76" s="467"/>
    </row>
    <row r="77" spans="1:41" ht="21.75" customHeight="1">
      <c r="A77" s="347"/>
      <c r="B77" s="540">
        <v>73</v>
      </c>
      <c r="C77" s="526" t="s">
        <v>1476</v>
      </c>
      <c r="D77" s="527">
        <v>73</v>
      </c>
      <c r="E77" s="528" t="s">
        <v>690</v>
      </c>
      <c r="F77" s="528">
        <v>1210022</v>
      </c>
      <c r="G77" s="528" t="s">
        <v>1158</v>
      </c>
      <c r="H77" s="528" t="s">
        <v>1158</v>
      </c>
      <c r="I77" s="527" t="s">
        <v>1548</v>
      </c>
      <c r="J77" s="527" t="s">
        <v>1548</v>
      </c>
      <c r="K77" s="529"/>
      <c r="L77" s="530">
        <v>1060099</v>
      </c>
      <c r="M77" s="528" t="s">
        <v>913</v>
      </c>
      <c r="N77" s="528" t="s">
        <v>1994</v>
      </c>
      <c r="O77" s="528" t="s">
        <v>848</v>
      </c>
      <c r="P77" s="528" t="s">
        <v>1989</v>
      </c>
      <c r="Q77" s="528" t="s">
        <v>1994</v>
      </c>
      <c r="R77" s="528" t="s">
        <v>848</v>
      </c>
      <c r="S77" s="528" t="s">
        <v>1989</v>
      </c>
      <c r="T77" s="531"/>
      <c r="U77" s="349" t="str">
        <f t="shared" si="10"/>
        <v>〇</v>
      </c>
      <c r="V77" s="349" t="str">
        <f t="shared" si="11"/>
        <v>〇</v>
      </c>
      <c r="W77" s="349" t="str">
        <f t="shared" si="12"/>
        <v>〇</v>
      </c>
      <c r="X77" s="559" t="s">
        <v>1476</v>
      </c>
      <c r="Y77" s="557" t="str">
        <f t="shared" si="13"/>
        <v>〇</v>
      </c>
      <c r="Z77" s="559" t="s">
        <v>1994</v>
      </c>
      <c r="AA77" s="559" t="s">
        <v>848</v>
      </c>
      <c r="AB77" s="559" t="s">
        <v>1989</v>
      </c>
      <c r="AC77" s="559" t="str">
        <f t="shared" si="14"/>
        <v>〇</v>
      </c>
      <c r="AD77" s="559" t="str">
        <f t="shared" si="15"/>
        <v>〇</v>
      </c>
      <c r="AE77" s="559" t="str">
        <f t="shared" si="16"/>
        <v>〇</v>
      </c>
      <c r="AH77" s="378" t="s">
        <v>1157</v>
      </c>
      <c r="AI77" s="378" t="str">
        <f t="shared" si="17"/>
        <v>✕</v>
      </c>
      <c r="AJ77" s="378" t="s">
        <v>1475</v>
      </c>
      <c r="AK77" s="467" t="str">
        <f t="shared" si="18"/>
        <v>✕</v>
      </c>
      <c r="AL77" s="467"/>
      <c r="AM77" s="467"/>
      <c r="AN77" s="467"/>
      <c r="AO77" s="467"/>
    </row>
    <row r="78" spans="1:41" ht="21.75" customHeight="1">
      <c r="A78" s="347"/>
      <c r="B78" s="540">
        <v>74</v>
      </c>
      <c r="C78" s="526" t="s">
        <v>1477</v>
      </c>
      <c r="D78" s="527">
        <v>74</v>
      </c>
      <c r="E78" s="528" t="s">
        <v>691</v>
      </c>
      <c r="F78" s="528">
        <v>1210031</v>
      </c>
      <c r="G78" s="528" t="s">
        <v>1159</v>
      </c>
      <c r="H78" s="528" t="s">
        <v>1159</v>
      </c>
      <c r="I78" s="527" t="s">
        <v>1548</v>
      </c>
      <c r="J78" s="527" t="s">
        <v>1548</v>
      </c>
      <c r="K78" s="529"/>
      <c r="L78" s="530">
        <v>1060115</v>
      </c>
      <c r="M78" s="528" t="s">
        <v>809</v>
      </c>
      <c r="N78" s="528" t="s">
        <v>811</v>
      </c>
      <c r="O78" s="528" t="s">
        <v>768</v>
      </c>
      <c r="P78" s="528" t="s">
        <v>810</v>
      </c>
      <c r="Q78" s="528" t="s">
        <v>811</v>
      </c>
      <c r="R78" s="528" t="s">
        <v>768</v>
      </c>
      <c r="S78" s="528" t="s">
        <v>810</v>
      </c>
      <c r="T78" s="531"/>
      <c r="U78" s="349" t="str">
        <f t="shared" si="10"/>
        <v>〇</v>
      </c>
      <c r="V78" s="349" t="str">
        <f t="shared" si="11"/>
        <v>〇</v>
      </c>
      <c r="W78" s="349" t="str">
        <f t="shared" si="12"/>
        <v>〇</v>
      </c>
      <c r="X78" s="559" t="s">
        <v>1477</v>
      </c>
      <c r="Y78" s="557" t="str">
        <f t="shared" si="13"/>
        <v>〇</v>
      </c>
      <c r="Z78" s="559" t="s">
        <v>811</v>
      </c>
      <c r="AA78" s="559" t="s">
        <v>768</v>
      </c>
      <c r="AB78" s="559" t="s">
        <v>810</v>
      </c>
      <c r="AC78" s="559" t="str">
        <f t="shared" si="14"/>
        <v>〇</v>
      </c>
      <c r="AD78" s="559" t="str">
        <f t="shared" si="15"/>
        <v>〇</v>
      </c>
      <c r="AE78" s="559" t="str">
        <f t="shared" si="16"/>
        <v>〇</v>
      </c>
      <c r="AH78" s="378" t="s">
        <v>1158</v>
      </c>
      <c r="AI78" s="378" t="str">
        <f t="shared" si="17"/>
        <v>✕</v>
      </c>
      <c r="AJ78" s="378" t="s">
        <v>1476</v>
      </c>
      <c r="AK78" s="467" t="str">
        <f t="shared" si="18"/>
        <v>✕</v>
      </c>
      <c r="AL78" s="467"/>
      <c r="AM78" s="467"/>
      <c r="AN78" s="467"/>
      <c r="AO78" s="467"/>
    </row>
    <row r="79" spans="1:41" ht="21.75" customHeight="1">
      <c r="A79" s="347"/>
      <c r="B79" s="540">
        <v>75</v>
      </c>
      <c r="C79" s="526" t="s">
        <v>1982</v>
      </c>
      <c r="D79" s="527">
        <v>75</v>
      </c>
      <c r="E79" s="528" t="s">
        <v>692</v>
      </c>
      <c r="F79" s="528">
        <v>1210035</v>
      </c>
      <c r="G79" s="528" t="s">
        <v>1160</v>
      </c>
      <c r="H79" s="528" t="s">
        <v>1160</v>
      </c>
      <c r="I79" s="527" t="s">
        <v>1548</v>
      </c>
      <c r="J79" s="527" t="s">
        <v>1548</v>
      </c>
      <c r="K79" s="529"/>
      <c r="L79" s="530">
        <v>1060102</v>
      </c>
      <c r="M79" s="528" t="s">
        <v>1654</v>
      </c>
      <c r="N79" s="528" t="s">
        <v>915</v>
      </c>
      <c r="O79" s="528" t="s">
        <v>848</v>
      </c>
      <c r="P79" s="528" t="s">
        <v>914</v>
      </c>
      <c r="Q79" s="528" t="s">
        <v>915</v>
      </c>
      <c r="R79" s="528" t="s">
        <v>848</v>
      </c>
      <c r="S79" s="528" t="s">
        <v>914</v>
      </c>
      <c r="T79" s="531"/>
      <c r="U79" s="349" t="str">
        <f t="shared" si="10"/>
        <v>〇</v>
      </c>
      <c r="V79" s="349" t="str">
        <f t="shared" si="11"/>
        <v>〇</v>
      </c>
      <c r="W79" s="349" t="str">
        <f t="shared" si="12"/>
        <v>〇</v>
      </c>
      <c r="X79" s="559" t="s">
        <v>1982</v>
      </c>
      <c r="Y79" s="557" t="str">
        <f t="shared" si="13"/>
        <v>〇</v>
      </c>
      <c r="Z79" s="559" t="s">
        <v>915</v>
      </c>
      <c r="AA79" s="559" t="s">
        <v>848</v>
      </c>
      <c r="AB79" s="559" t="s">
        <v>914</v>
      </c>
      <c r="AC79" s="559" t="str">
        <f t="shared" si="14"/>
        <v>〇</v>
      </c>
      <c r="AD79" s="559" t="str">
        <f t="shared" si="15"/>
        <v>〇</v>
      </c>
      <c r="AE79" s="559" t="str">
        <f t="shared" si="16"/>
        <v>〇</v>
      </c>
      <c r="AH79" s="378" t="s">
        <v>1159</v>
      </c>
      <c r="AI79" s="378" t="str">
        <f t="shared" si="17"/>
        <v>✕</v>
      </c>
      <c r="AJ79" s="378" t="s">
        <v>1477</v>
      </c>
      <c r="AK79" s="467" t="str">
        <f t="shared" si="18"/>
        <v>✕</v>
      </c>
      <c r="AL79" s="467"/>
      <c r="AM79" s="467"/>
      <c r="AN79" s="467"/>
      <c r="AO79" s="467"/>
    </row>
    <row r="80" spans="1:41" ht="21.75" customHeight="1">
      <c r="A80" s="347"/>
      <c r="B80" s="540">
        <v>76</v>
      </c>
      <c r="C80" s="526" t="s">
        <v>1479</v>
      </c>
      <c r="D80" s="527">
        <v>76</v>
      </c>
      <c r="E80" s="528" t="s">
        <v>693</v>
      </c>
      <c r="F80" s="528">
        <v>1210109</v>
      </c>
      <c r="G80" s="528" t="s">
        <v>1161</v>
      </c>
      <c r="H80" s="528" t="s">
        <v>1161</v>
      </c>
      <c r="I80" s="527" t="s">
        <v>1548</v>
      </c>
      <c r="J80" s="527" t="s">
        <v>1548</v>
      </c>
      <c r="K80" s="529"/>
      <c r="L80" s="530">
        <v>1061838</v>
      </c>
      <c r="M80" s="528" t="s">
        <v>1655</v>
      </c>
      <c r="N80" s="528" t="s">
        <v>917</v>
      </c>
      <c r="O80" s="528" t="s">
        <v>848</v>
      </c>
      <c r="P80" s="528" t="s">
        <v>916</v>
      </c>
      <c r="Q80" s="528" t="s">
        <v>917</v>
      </c>
      <c r="R80" s="528" t="s">
        <v>848</v>
      </c>
      <c r="S80" s="528" t="s">
        <v>916</v>
      </c>
      <c r="T80" s="531"/>
      <c r="U80" s="349" t="str">
        <f t="shared" si="10"/>
        <v>〇</v>
      </c>
      <c r="V80" s="349" t="str">
        <f t="shared" si="11"/>
        <v>〇</v>
      </c>
      <c r="W80" s="349" t="str">
        <f t="shared" si="12"/>
        <v>〇</v>
      </c>
      <c r="X80" s="559" t="s">
        <v>1479</v>
      </c>
      <c r="Y80" s="557" t="str">
        <f t="shared" si="13"/>
        <v>〇</v>
      </c>
      <c r="Z80" s="559" t="s">
        <v>917</v>
      </c>
      <c r="AA80" s="559" t="s">
        <v>848</v>
      </c>
      <c r="AB80" s="559" t="s">
        <v>916</v>
      </c>
      <c r="AC80" s="559" t="str">
        <f t="shared" si="14"/>
        <v>〇</v>
      </c>
      <c r="AD80" s="559" t="str">
        <f t="shared" si="15"/>
        <v>〇</v>
      </c>
      <c r="AE80" s="559" t="str">
        <f t="shared" si="16"/>
        <v>〇</v>
      </c>
      <c r="AH80" s="378" t="s">
        <v>1160</v>
      </c>
      <c r="AI80" s="378" t="str">
        <f t="shared" si="17"/>
        <v>✕</v>
      </c>
      <c r="AJ80" s="378" t="s">
        <v>1478</v>
      </c>
      <c r="AK80" s="467" t="str">
        <f t="shared" si="18"/>
        <v>✕</v>
      </c>
      <c r="AL80" s="467"/>
      <c r="AM80" s="467"/>
      <c r="AN80" s="467"/>
      <c r="AO80" s="467"/>
    </row>
    <row r="81" spans="1:41" ht="21.75" customHeight="1">
      <c r="A81" s="347"/>
      <c r="B81" s="540">
        <v>77</v>
      </c>
      <c r="C81" s="526" t="s">
        <v>1480</v>
      </c>
      <c r="D81" s="527">
        <v>77</v>
      </c>
      <c r="E81" s="528" t="s">
        <v>694</v>
      </c>
      <c r="F81" s="528">
        <v>1210110</v>
      </c>
      <c r="G81" s="528" t="s">
        <v>1162</v>
      </c>
      <c r="H81" s="528" t="s">
        <v>1162</v>
      </c>
      <c r="I81" s="527" t="s">
        <v>1548</v>
      </c>
      <c r="J81" s="527" t="s">
        <v>1548</v>
      </c>
      <c r="K81" s="529"/>
      <c r="L81" s="530">
        <v>1061839</v>
      </c>
      <c r="M81" s="528" t="s">
        <v>918</v>
      </c>
      <c r="N81" s="528" t="s">
        <v>1551</v>
      </c>
      <c r="O81" s="528" t="s">
        <v>848</v>
      </c>
      <c r="P81" s="528" t="s">
        <v>919</v>
      </c>
      <c r="Q81" s="528" t="s">
        <v>1551</v>
      </c>
      <c r="R81" s="528" t="s">
        <v>848</v>
      </c>
      <c r="S81" s="528" t="s">
        <v>919</v>
      </c>
      <c r="T81" s="531"/>
      <c r="U81" s="349" t="str">
        <f t="shared" si="10"/>
        <v>〇</v>
      </c>
      <c r="V81" s="349" t="str">
        <f t="shared" si="11"/>
        <v>〇</v>
      </c>
      <c r="W81" s="349" t="str">
        <f t="shared" si="12"/>
        <v>〇</v>
      </c>
      <c r="X81" s="559" t="s">
        <v>1480</v>
      </c>
      <c r="Y81" s="557" t="str">
        <f t="shared" si="13"/>
        <v>〇</v>
      </c>
      <c r="Z81" s="559" t="s">
        <v>1551</v>
      </c>
      <c r="AA81" s="559" t="s">
        <v>848</v>
      </c>
      <c r="AB81" s="559" t="s">
        <v>919</v>
      </c>
      <c r="AC81" s="559" t="str">
        <f t="shared" si="14"/>
        <v>〇</v>
      </c>
      <c r="AD81" s="559" t="str">
        <f t="shared" si="15"/>
        <v>〇</v>
      </c>
      <c r="AE81" s="559" t="str">
        <f t="shared" si="16"/>
        <v>〇</v>
      </c>
      <c r="AH81" s="378" t="s">
        <v>1161</v>
      </c>
      <c r="AI81" s="378" t="str">
        <f t="shared" si="17"/>
        <v>✕</v>
      </c>
      <c r="AJ81" s="378" t="s">
        <v>1479</v>
      </c>
      <c r="AK81" s="467" t="str">
        <f t="shared" si="18"/>
        <v>✕</v>
      </c>
      <c r="AL81" s="467"/>
      <c r="AM81" s="467"/>
      <c r="AN81" s="467"/>
      <c r="AO81" s="467"/>
    </row>
    <row r="82" spans="1:41" ht="21.75" customHeight="1">
      <c r="A82" s="347"/>
      <c r="B82" s="540">
        <v>78</v>
      </c>
      <c r="C82" s="526" t="s">
        <v>1481</v>
      </c>
      <c r="D82" s="527">
        <v>78</v>
      </c>
      <c r="E82" s="528" t="s">
        <v>695</v>
      </c>
      <c r="F82" s="528">
        <v>1210111</v>
      </c>
      <c r="G82" s="528" t="s">
        <v>1163</v>
      </c>
      <c r="H82" s="528" t="s">
        <v>1163</v>
      </c>
      <c r="I82" s="527" t="s">
        <v>1548</v>
      </c>
      <c r="J82" s="527" t="s">
        <v>1548</v>
      </c>
      <c r="K82" s="529"/>
      <c r="L82" s="530">
        <v>1061821</v>
      </c>
      <c r="M82" s="528" t="s">
        <v>2132</v>
      </c>
      <c r="N82" s="528" t="s">
        <v>921</v>
      </c>
      <c r="O82" s="528" t="s">
        <v>848</v>
      </c>
      <c r="P82" s="528" t="s">
        <v>920</v>
      </c>
      <c r="Q82" s="528" t="s">
        <v>921</v>
      </c>
      <c r="R82" s="528" t="s">
        <v>848</v>
      </c>
      <c r="S82" s="528" t="s">
        <v>920</v>
      </c>
      <c r="T82" s="531"/>
      <c r="U82" s="349" t="str">
        <f t="shared" si="10"/>
        <v>〇</v>
      </c>
      <c r="V82" s="349" t="str">
        <f t="shared" si="11"/>
        <v>〇</v>
      </c>
      <c r="W82" s="349" t="str">
        <f t="shared" si="12"/>
        <v>〇</v>
      </c>
      <c r="X82" s="559" t="s">
        <v>1481</v>
      </c>
      <c r="Y82" s="557" t="str">
        <f t="shared" si="13"/>
        <v>〇</v>
      </c>
      <c r="Z82" s="559" t="s">
        <v>921</v>
      </c>
      <c r="AA82" s="559" t="s">
        <v>848</v>
      </c>
      <c r="AB82" s="559" t="s">
        <v>920</v>
      </c>
      <c r="AC82" s="559" t="str">
        <f t="shared" si="14"/>
        <v>〇</v>
      </c>
      <c r="AD82" s="559" t="str">
        <f t="shared" si="15"/>
        <v>〇</v>
      </c>
      <c r="AE82" s="559" t="str">
        <f t="shared" si="16"/>
        <v>〇</v>
      </c>
      <c r="AH82" s="378" t="s">
        <v>1162</v>
      </c>
      <c r="AI82" s="378" t="str">
        <f t="shared" si="17"/>
        <v>✕</v>
      </c>
      <c r="AJ82" s="378" t="s">
        <v>1480</v>
      </c>
      <c r="AK82" s="467" t="str">
        <f t="shared" si="18"/>
        <v>✕</v>
      </c>
      <c r="AL82" s="467"/>
      <c r="AM82" s="467"/>
      <c r="AN82" s="467"/>
      <c r="AO82" s="467"/>
    </row>
    <row r="83" spans="1:41" ht="21.75" customHeight="1">
      <c r="A83" s="347"/>
      <c r="B83" s="540">
        <v>79</v>
      </c>
      <c r="C83" s="526" t="s">
        <v>1482</v>
      </c>
      <c r="D83" s="527">
        <v>79</v>
      </c>
      <c r="E83" s="528" t="s">
        <v>696</v>
      </c>
      <c r="F83" s="528">
        <v>1210112</v>
      </c>
      <c r="G83" s="528" t="s">
        <v>1164</v>
      </c>
      <c r="H83" s="528" t="s">
        <v>1164</v>
      </c>
      <c r="I83" s="527" t="s">
        <v>1548</v>
      </c>
      <c r="J83" s="527" t="s">
        <v>1548</v>
      </c>
      <c r="K83" s="529"/>
      <c r="L83" s="530">
        <v>1061842</v>
      </c>
      <c r="M83" s="528" t="s">
        <v>1656</v>
      </c>
      <c r="N83" s="528" t="s">
        <v>923</v>
      </c>
      <c r="O83" s="528" t="s">
        <v>848</v>
      </c>
      <c r="P83" s="528" t="s">
        <v>922</v>
      </c>
      <c r="Q83" s="528" t="s">
        <v>923</v>
      </c>
      <c r="R83" s="528" t="s">
        <v>848</v>
      </c>
      <c r="S83" s="528" t="s">
        <v>922</v>
      </c>
      <c r="T83" s="531"/>
      <c r="U83" s="349" t="str">
        <f t="shared" si="10"/>
        <v>〇</v>
      </c>
      <c r="V83" s="349" t="str">
        <f t="shared" si="11"/>
        <v>〇</v>
      </c>
      <c r="W83" s="349" t="str">
        <f t="shared" si="12"/>
        <v>〇</v>
      </c>
      <c r="X83" s="559" t="s">
        <v>1482</v>
      </c>
      <c r="Y83" s="557" t="str">
        <f t="shared" si="13"/>
        <v>〇</v>
      </c>
      <c r="Z83" s="559" t="s">
        <v>923</v>
      </c>
      <c r="AA83" s="559" t="s">
        <v>848</v>
      </c>
      <c r="AB83" s="559" t="s">
        <v>922</v>
      </c>
      <c r="AC83" s="559" t="str">
        <f t="shared" si="14"/>
        <v>〇</v>
      </c>
      <c r="AD83" s="559" t="str">
        <f t="shared" si="15"/>
        <v>〇</v>
      </c>
      <c r="AE83" s="559" t="str">
        <f t="shared" si="16"/>
        <v>〇</v>
      </c>
      <c r="AH83" s="378" t="s">
        <v>1163</v>
      </c>
      <c r="AI83" s="378" t="str">
        <f t="shared" si="17"/>
        <v>✕</v>
      </c>
      <c r="AJ83" s="378" t="s">
        <v>1481</v>
      </c>
      <c r="AK83" s="467" t="str">
        <f t="shared" si="18"/>
        <v>✕</v>
      </c>
      <c r="AL83" s="467"/>
      <c r="AM83" s="467"/>
      <c r="AN83" s="467"/>
      <c r="AO83" s="467"/>
    </row>
    <row r="84" spans="1:41" ht="21.75" customHeight="1">
      <c r="A84" s="347"/>
      <c r="B84" s="540">
        <v>80</v>
      </c>
      <c r="C84" s="526" t="s">
        <v>1483</v>
      </c>
      <c r="D84" s="527">
        <v>80</v>
      </c>
      <c r="E84" s="528" t="s">
        <v>697</v>
      </c>
      <c r="F84" s="528">
        <v>1210114</v>
      </c>
      <c r="G84" s="528" t="s">
        <v>1165</v>
      </c>
      <c r="H84" s="528" t="s">
        <v>1165</v>
      </c>
      <c r="I84" s="527" t="s">
        <v>1548</v>
      </c>
      <c r="J84" s="527" t="s">
        <v>1548</v>
      </c>
      <c r="K84" s="529"/>
      <c r="L84" s="530">
        <v>1061822</v>
      </c>
      <c r="M84" s="528" t="s">
        <v>924</v>
      </c>
      <c r="N84" s="528" t="s">
        <v>926</v>
      </c>
      <c r="O84" s="528" t="s">
        <v>848</v>
      </c>
      <c r="P84" s="528" t="s">
        <v>925</v>
      </c>
      <c r="Q84" s="528" t="s">
        <v>926</v>
      </c>
      <c r="R84" s="528" t="s">
        <v>848</v>
      </c>
      <c r="S84" s="528" t="s">
        <v>925</v>
      </c>
      <c r="T84" s="531"/>
      <c r="U84" s="349" t="str">
        <f t="shared" si="10"/>
        <v>〇</v>
      </c>
      <c r="V84" s="349" t="str">
        <f t="shared" si="11"/>
        <v>〇</v>
      </c>
      <c r="W84" s="349" t="str">
        <f t="shared" si="12"/>
        <v>〇</v>
      </c>
      <c r="X84" s="559" t="s">
        <v>1483</v>
      </c>
      <c r="Y84" s="557" t="str">
        <f t="shared" si="13"/>
        <v>〇</v>
      </c>
      <c r="Z84" s="559" t="s">
        <v>926</v>
      </c>
      <c r="AA84" s="559" t="s">
        <v>848</v>
      </c>
      <c r="AB84" s="559" t="s">
        <v>925</v>
      </c>
      <c r="AC84" s="559" t="str">
        <f t="shared" si="14"/>
        <v>〇</v>
      </c>
      <c r="AD84" s="559" t="str">
        <f t="shared" si="15"/>
        <v>〇</v>
      </c>
      <c r="AE84" s="559" t="str">
        <f t="shared" si="16"/>
        <v>〇</v>
      </c>
      <c r="AH84" s="378" t="s">
        <v>1164</v>
      </c>
      <c r="AI84" s="378" t="str">
        <f t="shared" si="17"/>
        <v>✕</v>
      </c>
      <c r="AJ84" s="378" t="s">
        <v>1482</v>
      </c>
      <c r="AK84" s="467" t="str">
        <f t="shared" si="18"/>
        <v>✕</v>
      </c>
      <c r="AL84" s="467"/>
      <c r="AM84" s="467"/>
      <c r="AN84" s="467"/>
      <c r="AO84" s="467"/>
    </row>
    <row r="85" spans="1:41" ht="21.75" customHeight="1">
      <c r="A85" s="347"/>
      <c r="B85" s="540">
        <v>81</v>
      </c>
      <c r="C85" s="526" t="s">
        <v>1484</v>
      </c>
      <c r="D85" s="527">
        <v>81</v>
      </c>
      <c r="E85" s="528" t="s">
        <v>698</v>
      </c>
      <c r="F85" s="528">
        <v>1210115</v>
      </c>
      <c r="G85" s="528" t="s">
        <v>2503</v>
      </c>
      <c r="H85" s="528" t="s">
        <v>1166</v>
      </c>
      <c r="I85" s="527" t="s">
        <v>1548</v>
      </c>
      <c r="J85" s="527" t="s">
        <v>1548</v>
      </c>
      <c r="K85" s="529"/>
      <c r="L85" s="530">
        <v>1061094</v>
      </c>
      <c r="M85" s="528" t="s">
        <v>927</v>
      </c>
      <c r="N85" s="528" t="s">
        <v>929</v>
      </c>
      <c r="O85" s="528" t="s">
        <v>848</v>
      </c>
      <c r="P85" s="528" t="s">
        <v>928</v>
      </c>
      <c r="Q85" s="528" t="s">
        <v>929</v>
      </c>
      <c r="R85" s="528" t="s">
        <v>848</v>
      </c>
      <c r="S85" s="528" t="s">
        <v>928</v>
      </c>
      <c r="T85" s="531"/>
      <c r="U85" s="349" t="str">
        <f t="shared" si="10"/>
        <v>〇</v>
      </c>
      <c r="V85" s="349" t="str">
        <f t="shared" si="11"/>
        <v>〇</v>
      </c>
      <c r="W85" s="349" t="str">
        <f t="shared" si="12"/>
        <v>〇</v>
      </c>
      <c r="X85" s="559" t="s">
        <v>1484</v>
      </c>
      <c r="Y85" s="557" t="str">
        <f t="shared" si="13"/>
        <v>〇</v>
      </c>
      <c r="Z85" s="559" t="s">
        <v>929</v>
      </c>
      <c r="AA85" s="559" t="s">
        <v>848</v>
      </c>
      <c r="AB85" s="559" t="s">
        <v>928</v>
      </c>
      <c r="AC85" s="559" t="str">
        <f t="shared" si="14"/>
        <v>〇</v>
      </c>
      <c r="AD85" s="559" t="str">
        <f t="shared" si="15"/>
        <v>〇</v>
      </c>
      <c r="AE85" s="559" t="str">
        <f t="shared" si="16"/>
        <v>〇</v>
      </c>
      <c r="AH85" s="378" t="s">
        <v>1165</v>
      </c>
      <c r="AI85" s="378" t="str">
        <f t="shared" si="17"/>
        <v>✕</v>
      </c>
      <c r="AJ85" s="378" t="s">
        <v>1483</v>
      </c>
      <c r="AK85" s="467" t="str">
        <f t="shared" si="18"/>
        <v>✕</v>
      </c>
      <c r="AL85" s="467"/>
      <c r="AM85" s="467"/>
      <c r="AN85" s="467"/>
      <c r="AO85" s="467"/>
    </row>
    <row r="86" spans="1:41" ht="21.75" customHeight="1">
      <c r="A86" s="347"/>
      <c r="B86" s="540">
        <v>82</v>
      </c>
      <c r="C86" s="526" t="s">
        <v>1778</v>
      </c>
      <c r="D86" s="527">
        <v>82</v>
      </c>
      <c r="E86" s="528" t="s">
        <v>699</v>
      </c>
      <c r="F86" s="528">
        <v>1210120</v>
      </c>
      <c r="G86" s="528" t="s">
        <v>1167</v>
      </c>
      <c r="H86" s="528" t="s">
        <v>1167</v>
      </c>
      <c r="I86" s="527" t="s">
        <v>1548</v>
      </c>
      <c r="J86" s="527" t="s">
        <v>1548</v>
      </c>
      <c r="K86" s="529"/>
      <c r="L86" s="530">
        <v>1061849</v>
      </c>
      <c r="M86" s="528" t="s">
        <v>1693</v>
      </c>
      <c r="N86" s="528" t="s">
        <v>907</v>
      </c>
      <c r="O86" s="528" t="s">
        <v>848</v>
      </c>
      <c r="P86" s="528" t="s">
        <v>906</v>
      </c>
      <c r="Q86" s="528" t="s">
        <v>907</v>
      </c>
      <c r="R86" s="528" t="s">
        <v>848</v>
      </c>
      <c r="S86" s="528" t="s">
        <v>906</v>
      </c>
      <c r="T86" s="531"/>
      <c r="U86" s="349" t="str">
        <f t="shared" si="10"/>
        <v>〇</v>
      </c>
      <c r="V86" s="349" t="str">
        <f t="shared" si="11"/>
        <v>〇</v>
      </c>
      <c r="W86" s="349" t="str">
        <f t="shared" si="12"/>
        <v>〇</v>
      </c>
      <c r="X86" s="559" t="s">
        <v>1778</v>
      </c>
      <c r="Y86" s="557" t="str">
        <f t="shared" si="13"/>
        <v>〇</v>
      </c>
      <c r="Z86" s="559" t="s">
        <v>907</v>
      </c>
      <c r="AA86" s="559" t="s">
        <v>848</v>
      </c>
      <c r="AB86" s="559" t="s">
        <v>906</v>
      </c>
      <c r="AC86" s="559" t="str">
        <f t="shared" si="14"/>
        <v>〇</v>
      </c>
      <c r="AD86" s="559" t="str">
        <f t="shared" si="15"/>
        <v>〇</v>
      </c>
      <c r="AE86" s="559" t="str">
        <f t="shared" si="16"/>
        <v>〇</v>
      </c>
      <c r="AH86" s="378" t="s">
        <v>1166</v>
      </c>
      <c r="AI86" s="378" t="str">
        <f t="shared" si="17"/>
        <v>✕</v>
      </c>
      <c r="AJ86" s="378" t="s">
        <v>1484</v>
      </c>
      <c r="AK86" s="467" t="str">
        <f t="shared" si="18"/>
        <v>✕</v>
      </c>
      <c r="AL86" s="467"/>
      <c r="AM86" s="467"/>
      <c r="AN86" s="467"/>
      <c r="AO86" s="467"/>
    </row>
    <row r="87" spans="1:41" ht="21.75" customHeight="1">
      <c r="A87" s="347"/>
      <c r="B87" s="540">
        <v>83</v>
      </c>
      <c r="C87" s="526" t="s">
        <v>1485</v>
      </c>
      <c r="D87" s="527">
        <v>83</v>
      </c>
      <c r="E87" s="528" t="s">
        <v>700</v>
      </c>
      <c r="F87" s="528">
        <v>1210121</v>
      </c>
      <c r="G87" s="528" t="s">
        <v>1168</v>
      </c>
      <c r="H87" s="528" t="s">
        <v>1168</v>
      </c>
      <c r="I87" s="527" t="s">
        <v>1548</v>
      </c>
      <c r="J87" s="527" t="s">
        <v>1548</v>
      </c>
      <c r="K87" s="529"/>
      <c r="L87" s="530">
        <v>1061825</v>
      </c>
      <c r="M87" s="528" t="s">
        <v>1657</v>
      </c>
      <c r="N87" s="528" t="s">
        <v>931</v>
      </c>
      <c r="O87" s="528" t="s">
        <v>848</v>
      </c>
      <c r="P87" s="528" t="s">
        <v>930</v>
      </c>
      <c r="Q87" s="528" t="s">
        <v>931</v>
      </c>
      <c r="R87" s="528" t="s">
        <v>848</v>
      </c>
      <c r="S87" s="528" t="s">
        <v>930</v>
      </c>
      <c r="T87" s="531"/>
      <c r="U87" s="349" t="str">
        <f t="shared" si="10"/>
        <v>〇</v>
      </c>
      <c r="V87" s="349" t="str">
        <f t="shared" si="11"/>
        <v>〇</v>
      </c>
      <c r="W87" s="349" t="str">
        <f t="shared" si="12"/>
        <v>〇</v>
      </c>
      <c r="X87" s="559" t="s">
        <v>1485</v>
      </c>
      <c r="Y87" s="557" t="str">
        <f t="shared" si="13"/>
        <v>〇</v>
      </c>
      <c r="Z87" s="559" t="s">
        <v>931</v>
      </c>
      <c r="AA87" s="559" t="s">
        <v>848</v>
      </c>
      <c r="AB87" s="559" t="s">
        <v>930</v>
      </c>
      <c r="AC87" s="559" t="str">
        <f t="shared" si="14"/>
        <v>〇</v>
      </c>
      <c r="AD87" s="559" t="str">
        <f t="shared" si="15"/>
        <v>〇</v>
      </c>
      <c r="AE87" s="559" t="str">
        <f t="shared" si="16"/>
        <v>〇</v>
      </c>
      <c r="AH87" s="378" t="s">
        <v>1167</v>
      </c>
      <c r="AI87" s="378" t="str">
        <f t="shared" si="17"/>
        <v>✕</v>
      </c>
      <c r="AJ87" s="378" t="s">
        <v>1778</v>
      </c>
      <c r="AK87" s="467" t="str">
        <f t="shared" si="18"/>
        <v>✕</v>
      </c>
      <c r="AL87" s="467"/>
      <c r="AM87" s="467"/>
      <c r="AN87" s="467"/>
      <c r="AO87" s="467"/>
    </row>
    <row r="88" spans="1:41" ht="21.75" customHeight="1">
      <c r="A88" s="347"/>
      <c r="B88" s="540">
        <v>84</v>
      </c>
      <c r="C88" s="526" t="s">
        <v>1486</v>
      </c>
      <c r="D88" s="527">
        <v>84</v>
      </c>
      <c r="E88" s="528" t="s">
        <v>701</v>
      </c>
      <c r="F88" s="528">
        <v>1210133</v>
      </c>
      <c r="G88" s="528" t="s">
        <v>1169</v>
      </c>
      <c r="H88" s="528" t="s">
        <v>1169</v>
      </c>
      <c r="I88" s="527" t="s">
        <v>1548</v>
      </c>
      <c r="J88" s="527" t="s">
        <v>1548</v>
      </c>
      <c r="K88" s="529"/>
      <c r="L88" s="530">
        <v>1061820</v>
      </c>
      <c r="M88" s="528" t="s">
        <v>913</v>
      </c>
      <c r="N88" s="528" t="s">
        <v>1994</v>
      </c>
      <c r="O88" s="528" t="s">
        <v>848</v>
      </c>
      <c r="P88" s="528" t="s">
        <v>1989</v>
      </c>
      <c r="Q88" s="528" t="s">
        <v>1994</v>
      </c>
      <c r="R88" s="528" t="s">
        <v>848</v>
      </c>
      <c r="S88" s="528" t="s">
        <v>1989</v>
      </c>
      <c r="T88" s="531"/>
      <c r="U88" s="349" t="str">
        <f t="shared" si="10"/>
        <v>〇</v>
      </c>
      <c r="V88" s="349" t="str">
        <f t="shared" si="11"/>
        <v>〇</v>
      </c>
      <c r="W88" s="349" t="str">
        <f t="shared" si="12"/>
        <v>〇</v>
      </c>
      <c r="X88" s="559" t="s">
        <v>1486</v>
      </c>
      <c r="Y88" s="557" t="str">
        <f t="shared" si="13"/>
        <v>〇</v>
      </c>
      <c r="Z88" s="559" t="s">
        <v>1994</v>
      </c>
      <c r="AA88" s="559" t="s">
        <v>848</v>
      </c>
      <c r="AB88" s="559" t="s">
        <v>1989</v>
      </c>
      <c r="AC88" s="559" t="str">
        <f t="shared" si="14"/>
        <v>〇</v>
      </c>
      <c r="AD88" s="559" t="str">
        <f t="shared" si="15"/>
        <v>〇</v>
      </c>
      <c r="AE88" s="559" t="str">
        <f t="shared" si="16"/>
        <v>〇</v>
      </c>
      <c r="AH88" s="378" t="s">
        <v>1168</v>
      </c>
      <c r="AI88" s="378" t="str">
        <f t="shared" si="17"/>
        <v>✕</v>
      </c>
      <c r="AJ88" s="378" t="s">
        <v>1485</v>
      </c>
      <c r="AK88" s="467" t="str">
        <f t="shared" si="18"/>
        <v>✕</v>
      </c>
      <c r="AL88" s="467"/>
      <c r="AM88" s="467"/>
      <c r="AN88" s="467"/>
      <c r="AO88" s="467"/>
    </row>
    <row r="89" spans="1:41" ht="21.75" customHeight="1">
      <c r="A89" s="347"/>
      <c r="B89" s="540">
        <v>85</v>
      </c>
      <c r="C89" s="526" t="s">
        <v>1487</v>
      </c>
      <c r="D89" s="527">
        <v>85</v>
      </c>
      <c r="E89" s="528" t="s">
        <v>702</v>
      </c>
      <c r="F89" s="528">
        <v>1210136</v>
      </c>
      <c r="G89" s="528" t="s">
        <v>1170</v>
      </c>
      <c r="H89" s="528" t="s">
        <v>1170</v>
      </c>
      <c r="I89" s="527" t="s">
        <v>1548</v>
      </c>
      <c r="J89" s="527" t="s">
        <v>1548</v>
      </c>
      <c r="K89" s="529"/>
      <c r="L89" s="530">
        <v>1061840</v>
      </c>
      <c r="M89" s="528" t="s">
        <v>861</v>
      </c>
      <c r="N89" s="528" t="s">
        <v>863</v>
      </c>
      <c r="O89" s="528" t="s">
        <v>848</v>
      </c>
      <c r="P89" s="528" t="s">
        <v>2367</v>
      </c>
      <c r="Q89" s="528" t="s">
        <v>863</v>
      </c>
      <c r="R89" s="528" t="s">
        <v>848</v>
      </c>
      <c r="S89" s="528" t="s">
        <v>2367</v>
      </c>
      <c r="T89" s="531"/>
      <c r="U89" s="349" t="str">
        <f t="shared" si="10"/>
        <v>〇</v>
      </c>
      <c r="V89" s="349" t="str">
        <f t="shared" si="11"/>
        <v>〇</v>
      </c>
      <c r="W89" s="349" t="str">
        <f t="shared" si="12"/>
        <v>〇</v>
      </c>
      <c r="X89" s="559" t="s">
        <v>1487</v>
      </c>
      <c r="Y89" s="557" t="str">
        <f t="shared" si="13"/>
        <v>〇</v>
      </c>
      <c r="Z89" s="559" t="s">
        <v>863</v>
      </c>
      <c r="AA89" s="559" t="s">
        <v>848</v>
      </c>
      <c r="AB89" s="559" t="s">
        <v>932</v>
      </c>
      <c r="AC89" s="559" t="str">
        <f t="shared" si="14"/>
        <v>〇</v>
      </c>
      <c r="AD89" s="559" t="str">
        <f t="shared" si="15"/>
        <v>〇</v>
      </c>
      <c r="AE89" s="559" t="str">
        <f t="shared" si="16"/>
        <v>✕</v>
      </c>
      <c r="AH89" s="378" t="s">
        <v>1169</v>
      </c>
      <c r="AI89" s="378" t="str">
        <f t="shared" si="17"/>
        <v>✕</v>
      </c>
      <c r="AJ89" s="378" t="s">
        <v>1486</v>
      </c>
      <c r="AK89" s="467" t="str">
        <f t="shared" si="18"/>
        <v>✕</v>
      </c>
      <c r="AL89" s="467"/>
      <c r="AM89" s="467"/>
      <c r="AN89" s="467"/>
      <c r="AO89" s="467"/>
    </row>
    <row r="90" spans="1:41" ht="21.75" customHeight="1">
      <c r="A90" s="347"/>
      <c r="B90" s="540">
        <v>86</v>
      </c>
      <c r="C90" s="526" t="s">
        <v>1488</v>
      </c>
      <c r="D90" s="527">
        <v>86</v>
      </c>
      <c r="E90" s="528" t="s">
        <v>703</v>
      </c>
      <c r="F90" s="528">
        <v>1210162</v>
      </c>
      <c r="G90" s="528" t="s">
        <v>1171</v>
      </c>
      <c r="H90" s="528" t="s">
        <v>1171</v>
      </c>
      <c r="I90" s="527" t="s">
        <v>1548</v>
      </c>
      <c r="J90" s="527" t="s">
        <v>1548</v>
      </c>
      <c r="K90" s="529"/>
      <c r="L90" s="530">
        <v>1061843</v>
      </c>
      <c r="M90" s="528" t="s">
        <v>1658</v>
      </c>
      <c r="N90" s="528" t="s">
        <v>934</v>
      </c>
      <c r="O90" s="528" t="s">
        <v>848</v>
      </c>
      <c r="P90" s="528" t="s">
        <v>933</v>
      </c>
      <c r="Q90" s="528" t="s">
        <v>934</v>
      </c>
      <c r="R90" s="528" t="s">
        <v>848</v>
      </c>
      <c r="S90" s="528" t="s">
        <v>933</v>
      </c>
      <c r="T90" s="531"/>
      <c r="U90" s="349" t="str">
        <f t="shared" si="10"/>
        <v>〇</v>
      </c>
      <c r="V90" s="349" t="str">
        <f t="shared" si="11"/>
        <v>〇</v>
      </c>
      <c r="W90" s="349" t="str">
        <f t="shared" si="12"/>
        <v>〇</v>
      </c>
      <c r="X90" s="559" t="s">
        <v>1488</v>
      </c>
      <c r="Y90" s="557" t="str">
        <f t="shared" si="13"/>
        <v>〇</v>
      </c>
      <c r="Z90" s="559" t="s">
        <v>934</v>
      </c>
      <c r="AA90" s="559" t="s">
        <v>848</v>
      </c>
      <c r="AB90" s="559" t="s">
        <v>933</v>
      </c>
      <c r="AC90" s="559" t="str">
        <f t="shared" si="14"/>
        <v>〇</v>
      </c>
      <c r="AD90" s="559" t="str">
        <f t="shared" si="15"/>
        <v>〇</v>
      </c>
      <c r="AE90" s="559" t="str">
        <f t="shared" si="16"/>
        <v>〇</v>
      </c>
      <c r="AH90" s="378" t="s">
        <v>1170</v>
      </c>
      <c r="AI90" s="378" t="str">
        <f t="shared" si="17"/>
        <v>✕</v>
      </c>
      <c r="AJ90" s="378" t="s">
        <v>1487</v>
      </c>
      <c r="AK90" s="467" t="str">
        <f t="shared" si="18"/>
        <v>✕</v>
      </c>
      <c r="AL90" s="467"/>
      <c r="AM90" s="467"/>
      <c r="AN90" s="467"/>
      <c r="AO90" s="467"/>
    </row>
    <row r="91" spans="1:41" ht="21.75" customHeight="1">
      <c r="A91" s="347"/>
      <c r="B91" s="540">
        <v>87</v>
      </c>
      <c r="C91" s="526" t="s">
        <v>545</v>
      </c>
      <c r="D91" s="527">
        <v>87</v>
      </c>
      <c r="E91" s="528" t="s">
        <v>704</v>
      </c>
      <c r="F91" s="528">
        <v>1210201</v>
      </c>
      <c r="G91" s="528" t="s">
        <v>1172</v>
      </c>
      <c r="H91" s="528" t="s">
        <v>1172</v>
      </c>
      <c r="I91" s="527" t="s">
        <v>1548</v>
      </c>
      <c r="J91" s="527" t="s">
        <v>1548</v>
      </c>
      <c r="K91" s="529"/>
      <c r="L91" s="530">
        <v>1063818</v>
      </c>
      <c r="M91" s="528" t="s">
        <v>935</v>
      </c>
      <c r="N91" s="528" t="s">
        <v>937</v>
      </c>
      <c r="O91" s="528" t="s">
        <v>768</v>
      </c>
      <c r="P91" s="528" t="s">
        <v>936</v>
      </c>
      <c r="Q91" s="528" t="s">
        <v>937</v>
      </c>
      <c r="R91" s="528" t="s">
        <v>768</v>
      </c>
      <c r="S91" s="528" t="s">
        <v>936</v>
      </c>
      <c r="T91" s="531"/>
      <c r="U91" s="349" t="str">
        <f t="shared" si="10"/>
        <v>〇</v>
      </c>
      <c r="V91" s="349" t="str">
        <f t="shared" si="11"/>
        <v>〇</v>
      </c>
      <c r="W91" s="349" t="str">
        <f t="shared" si="12"/>
        <v>〇</v>
      </c>
      <c r="X91" s="559" t="s">
        <v>545</v>
      </c>
      <c r="Y91" s="557" t="str">
        <f t="shared" si="13"/>
        <v>〇</v>
      </c>
      <c r="Z91" s="559" t="s">
        <v>937</v>
      </c>
      <c r="AA91" s="559" t="s">
        <v>768</v>
      </c>
      <c r="AB91" s="559" t="s">
        <v>936</v>
      </c>
      <c r="AC91" s="559" t="str">
        <f t="shared" si="14"/>
        <v>〇</v>
      </c>
      <c r="AD91" s="559" t="str">
        <f t="shared" si="15"/>
        <v>〇</v>
      </c>
      <c r="AE91" s="559" t="str">
        <f t="shared" si="16"/>
        <v>〇</v>
      </c>
      <c r="AH91" s="378" t="s">
        <v>1171</v>
      </c>
      <c r="AI91" s="378" t="str">
        <f t="shared" si="17"/>
        <v>✕</v>
      </c>
      <c r="AJ91" s="378" t="s">
        <v>1488</v>
      </c>
      <c r="AK91" s="467" t="str">
        <f t="shared" si="18"/>
        <v>✕</v>
      </c>
      <c r="AL91" s="467"/>
      <c r="AM91" s="467"/>
      <c r="AN91" s="467"/>
      <c r="AO91" s="467"/>
    </row>
    <row r="92" spans="1:41" ht="21.75" customHeight="1">
      <c r="A92" s="347"/>
      <c r="B92" s="540">
        <v>88</v>
      </c>
      <c r="C92" s="526" t="s">
        <v>580</v>
      </c>
      <c r="D92" s="527">
        <v>88</v>
      </c>
      <c r="E92" s="528" t="s">
        <v>705</v>
      </c>
      <c r="F92" s="528">
        <v>1210224</v>
      </c>
      <c r="G92" s="528" t="s">
        <v>1173</v>
      </c>
      <c r="H92" s="528" t="s">
        <v>1173</v>
      </c>
      <c r="I92" s="527" t="s">
        <v>1548</v>
      </c>
      <c r="J92" s="527" t="s">
        <v>1548</v>
      </c>
      <c r="K92" s="529"/>
      <c r="L92" s="530">
        <v>1063271</v>
      </c>
      <c r="M92" s="528" t="s">
        <v>784</v>
      </c>
      <c r="N92" s="528" t="s">
        <v>786</v>
      </c>
      <c r="O92" s="528" t="s">
        <v>768</v>
      </c>
      <c r="P92" s="528" t="s">
        <v>2366</v>
      </c>
      <c r="Q92" s="528" t="s">
        <v>786</v>
      </c>
      <c r="R92" s="528" t="s">
        <v>768</v>
      </c>
      <c r="S92" s="528" t="s">
        <v>2366</v>
      </c>
      <c r="T92" s="531"/>
      <c r="U92" s="349" t="str">
        <f t="shared" si="10"/>
        <v>〇</v>
      </c>
      <c r="V92" s="349" t="str">
        <f t="shared" si="11"/>
        <v>〇</v>
      </c>
      <c r="W92" s="349" t="str">
        <f t="shared" si="12"/>
        <v>〇</v>
      </c>
      <c r="X92" s="559" t="s">
        <v>580</v>
      </c>
      <c r="Y92" s="557" t="str">
        <f t="shared" si="13"/>
        <v>〇</v>
      </c>
      <c r="Z92" s="559" t="s">
        <v>786</v>
      </c>
      <c r="AA92" s="559" t="s">
        <v>768</v>
      </c>
      <c r="AB92" s="559" t="s">
        <v>785</v>
      </c>
      <c r="AC92" s="559" t="str">
        <f t="shared" si="14"/>
        <v>〇</v>
      </c>
      <c r="AD92" s="559" t="str">
        <f t="shared" si="15"/>
        <v>〇</v>
      </c>
      <c r="AE92" s="559" t="str">
        <f t="shared" si="16"/>
        <v>✕</v>
      </c>
      <c r="AH92" s="378" t="s">
        <v>1172</v>
      </c>
      <c r="AI92" s="378" t="str">
        <f t="shared" si="17"/>
        <v>✕</v>
      </c>
      <c r="AJ92" s="378" t="s">
        <v>545</v>
      </c>
      <c r="AK92" s="467" t="str">
        <f t="shared" si="18"/>
        <v>✕</v>
      </c>
      <c r="AL92" s="467"/>
      <c r="AM92" s="467"/>
      <c r="AN92" s="467"/>
      <c r="AO92" s="467"/>
    </row>
    <row r="93" spans="1:41" ht="21.75" customHeight="1">
      <c r="A93" s="347"/>
      <c r="B93" s="540">
        <v>89</v>
      </c>
      <c r="C93" s="526" t="s">
        <v>584</v>
      </c>
      <c r="D93" s="527">
        <v>89</v>
      </c>
      <c r="E93" s="528" t="s">
        <v>706</v>
      </c>
      <c r="F93" s="528">
        <v>1210225</v>
      </c>
      <c r="G93" s="528" t="s">
        <v>1174</v>
      </c>
      <c r="H93" s="528" t="s">
        <v>1174</v>
      </c>
      <c r="I93" s="527" t="s">
        <v>1548</v>
      </c>
      <c r="J93" s="527" t="s">
        <v>1548</v>
      </c>
      <c r="K93" s="529"/>
      <c r="L93" s="530">
        <v>1064017</v>
      </c>
      <c r="M93" s="528" t="s">
        <v>938</v>
      </c>
      <c r="N93" s="528" t="s">
        <v>940</v>
      </c>
      <c r="O93" s="528" t="s">
        <v>768</v>
      </c>
      <c r="P93" s="528" t="s">
        <v>939</v>
      </c>
      <c r="Q93" s="528" t="s">
        <v>940</v>
      </c>
      <c r="R93" s="528" t="s">
        <v>768</v>
      </c>
      <c r="S93" s="528" t="s">
        <v>939</v>
      </c>
      <c r="T93" s="531"/>
      <c r="U93" s="349" t="str">
        <f t="shared" si="10"/>
        <v>〇</v>
      </c>
      <c r="V93" s="349" t="str">
        <f t="shared" si="11"/>
        <v>〇</v>
      </c>
      <c r="W93" s="349" t="str">
        <f t="shared" si="12"/>
        <v>〇</v>
      </c>
      <c r="X93" s="559" t="s">
        <v>584</v>
      </c>
      <c r="Y93" s="557" t="str">
        <f t="shared" si="13"/>
        <v>〇</v>
      </c>
      <c r="Z93" s="559" t="s">
        <v>940</v>
      </c>
      <c r="AA93" s="559" t="s">
        <v>768</v>
      </c>
      <c r="AB93" s="559" t="s">
        <v>939</v>
      </c>
      <c r="AC93" s="559" t="str">
        <f t="shared" si="14"/>
        <v>〇</v>
      </c>
      <c r="AD93" s="559" t="str">
        <f t="shared" si="15"/>
        <v>〇</v>
      </c>
      <c r="AE93" s="559" t="str">
        <f t="shared" si="16"/>
        <v>〇</v>
      </c>
      <c r="AH93" s="378" t="s">
        <v>1173</v>
      </c>
      <c r="AI93" s="378" t="str">
        <f t="shared" si="17"/>
        <v>✕</v>
      </c>
      <c r="AJ93" s="378" t="s">
        <v>580</v>
      </c>
      <c r="AK93" s="467" t="str">
        <f t="shared" si="18"/>
        <v>✕</v>
      </c>
      <c r="AL93" s="467"/>
      <c r="AM93" s="467"/>
      <c r="AN93" s="467"/>
      <c r="AO93" s="467"/>
    </row>
    <row r="94" spans="1:41" ht="21.75" customHeight="1">
      <c r="A94" s="347"/>
      <c r="B94" s="540">
        <v>90</v>
      </c>
      <c r="C94" s="526" t="s">
        <v>588</v>
      </c>
      <c r="D94" s="527">
        <v>90</v>
      </c>
      <c r="E94" s="528" t="s">
        <v>707</v>
      </c>
      <c r="F94" s="528">
        <v>1210226</v>
      </c>
      <c r="G94" s="528" t="s">
        <v>1175</v>
      </c>
      <c r="H94" s="528" t="s">
        <v>1175</v>
      </c>
      <c r="I94" s="527" t="s">
        <v>1548</v>
      </c>
      <c r="J94" s="527" t="s">
        <v>1548</v>
      </c>
      <c r="K94" s="529"/>
      <c r="L94" s="530">
        <v>1064192</v>
      </c>
      <c r="M94" s="528" t="s">
        <v>941</v>
      </c>
      <c r="N94" s="528" t="s">
        <v>943</v>
      </c>
      <c r="O94" s="528" t="s">
        <v>768</v>
      </c>
      <c r="P94" s="528" t="s">
        <v>2370</v>
      </c>
      <c r="Q94" s="528" t="s">
        <v>943</v>
      </c>
      <c r="R94" s="528" t="s">
        <v>768</v>
      </c>
      <c r="S94" s="528" t="s">
        <v>2370</v>
      </c>
      <c r="T94" s="531"/>
      <c r="U94" s="349" t="str">
        <f t="shared" si="10"/>
        <v>〇</v>
      </c>
      <c r="V94" s="349" t="str">
        <f t="shared" si="11"/>
        <v>〇</v>
      </c>
      <c r="W94" s="349" t="str">
        <f t="shared" si="12"/>
        <v>〇</v>
      </c>
      <c r="X94" s="559" t="s">
        <v>588</v>
      </c>
      <c r="Y94" s="557" t="str">
        <f t="shared" si="13"/>
        <v>〇</v>
      </c>
      <c r="Z94" s="559" t="s">
        <v>943</v>
      </c>
      <c r="AA94" s="559" t="s">
        <v>768</v>
      </c>
      <c r="AB94" s="559" t="s">
        <v>942</v>
      </c>
      <c r="AC94" s="559" t="str">
        <f t="shared" si="14"/>
        <v>〇</v>
      </c>
      <c r="AD94" s="559" t="str">
        <f t="shared" si="15"/>
        <v>〇</v>
      </c>
      <c r="AE94" s="559" t="str">
        <f t="shared" si="16"/>
        <v>✕</v>
      </c>
      <c r="AH94" s="378" t="s">
        <v>1174</v>
      </c>
      <c r="AI94" s="378" t="str">
        <f t="shared" si="17"/>
        <v>✕</v>
      </c>
      <c r="AJ94" s="378" t="s">
        <v>584</v>
      </c>
      <c r="AK94" s="467" t="str">
        <f t="shared" si="18"/>
        <v>✕</v>
      </c>
      <c r="AL94" s="467"/>
      <c r="AM94" s="467"/>
      <c r="AN94" s="467"/>
      <c r="AO94" s="467"/>
    </row>
    <row r="95" spans="1:41" ht="21.75" customHeight="1">
      <c r="A95" s="347"/>
      <c r="B95" s="540">
        <v>91</v>
      </c>
      <c r="C95" s="526" t="s">
        <v>592</v>
      </c>
      <c r="D95" s="527">
        <v>91</v>
      </c>
      <c r="E95" s="528" t="s">
        <v>708</v>
      </c>
      <c r="F95" s="528">
        <v>1210227</v>
      </c>
      <c r="G95" s="528" t="s">
        <v>1176</v>
      </c>
      <c r="H95" s="528" t="s">
        <v>1176</v>
      </c>
      <c r="I95" s="527" t="s">
        <v>1548</v>
      </c>
      <c r="J95" s="527" t="s">
        <v>1548</v>
      </c>
      <c r="K95" s="529"/>
      <c r="L95" s="530">
        <v>1064046</v>
      </c>
      <c r="M95" s="528" t="s">
        <v>944</v>
      </c>
      <c r="N95" s="528" t="s">
        <v>946</v>
      </c>
      <c r="O95" s="528" t="s">
        <v>848</v>
      </c>
      <c r="P95" s="528" t="s">
        <v>2371</v>
      </c>
      <c r="Q95" s="528" t="s">
        <v>946</v>
      </c>
      <c r="R95" s="528" t="s">
        <v>848</v>
      </c>
      <c r="S95" s="528" t="s">
        <v>2371</v>
      </c>
      <c r="T95" s="531"/>
      <c r="U95" s="349" t="str">
        <f t="shared" si="10"/>
        <v>〇</v>
      </c>
      <c r="V95" s="349" t="str">
        <f t="shared" si="11"/>
        <v>〇</v>
      </c>
      <c r="W95" s="349" t="str">
        <f t="shared" si="12"/>
        <v>〇</v>
      </c>
      <c r="X95" s="559" t="s">
        <v>592</v>
      </c>
      <c r="Y95" s="557" t="str">
        <f t="shared" si="13"/>
        <v>〇</v>
      </c>
      <c r="Z95" s="559" t="s">
        <v>946</v>
      </c>
      <c r="AA95" s="559" t="s">
        <v>848</v>
      </c>
      <c r="AB95" s="559" t="s">
        <v>945</v>
      </c>
      <c r="AC95" s="559" t="str">
        <f t="shared" si="14"/>
        <v>〇</v>
      </c>
      <c r="AD95" s="559" t="str">
        <f t="shared" si="15"/>
        <v>〇</v>
      </c>
      <c r="AE95" s="559" t="str">
        <f t="shared" si="16"/>
        <v>✕</v>
      </c>
      <c r="AH95" s="378" t="s">
        <v>1175</v>
      </c>
      <c r="AI95" s="378" t="str">
        <f t="shared" si="17"/>
        <v>✕</v>
      </c>
      <c r="AJ95" s="378" t="s">
        <v>588</v>
      </c>
      <c r="AK95" s="467" t="str">
        <f t="shared" si="18"/>
        <v>✕</v>
      </c>
      <c r="AL95" s="467"/>
      <c r="AM95" s="467"/>
      <c r="AN95" s="467"/>
      <c r="AO95" s="467"/>
    </row>
    <row r="96" spans="1:41" ht="21.75" customHeight="1">
      <c r="A96" s="347"/>
      <c r="B96" s="540">
        <v>92</v>
      </c>
      <c r="C96" s="526" t="s">
        <v>551</v>
      </c>
      <c r="D96" s="527">
        <v>92</v>
      </c>
      <c r="E96" s="528" t="s">
        <v>709</v>
      </c>
      <c r="F96" s="528">
        <v>1210228</v>
      </c>
      <c r="G96" s="528" t="s">
        <v>1177</v>
      </c>
      <c r="H96" s="528" t="s">
        <v>1177</v>
      </c>
      <c r="I96" s="527" t="s">
        <v>1548</v>
      </c>
      <c r="J96" s="527" t="s">
        <v>1548</v>
      </c>
      <c r="K96" s="529"/>
      <c r="L96" s="530">
        <v>1064040</v>
      </c>
      <c r="M96" s="528" t="s">
        <v>947</v>
      </c>
      <c r="N96" s="528" t="s">
        <v>950</v>
      </c>
      <c r="O96" s="528" t="s">
        <v>948</v>
      </c>
      <c r="P96" s="528" t="s">
        <v>949</v>
      </c>
      <c r="Q96" s="528" t="s">
        <v>950</v>
      </c>
      <c r="R96" s="528" t="s">
        <v>948</v>
      </c>
      <c r="S96" s="528" t="s">
        <v>949</v>
      </c>
      <c r="T96" s="531"/>
      <c r="U96" s="349" t="str">
        <f t="shared" si="10"/>
        <v>〇</v>
      </c>
      <c r="V96" s="349" t="str">
        <f t="shared" si="11"/>
        <v>〇</v>
      </c>
      <c r="W96" s="349" t="str">
        <f t="shared" si="12"/>
        <v>〇</v>
      </c>
      <c r="X96" s="559" t="s">
        <v>551</v>
      </c>
      <c r="Y96" s="557" t="str">
        <f t="shared" si="13"/>
        <v>〇</v>
      </c>
      <c r="Z96" s="559" t="s">
        <v>950</v>
      </c>
      <c r="AA96" s="559" t="s">
        <v>948</v>
      </c>
      <c r="AB96" s="559" t="s">
        <v>949</v>
      </c>
      <c r="AC96" s="559" t="str">
        <f t="shared" si="14"/>
        <v>〇</v>
      </c>
      <c r="AD96" s="559" t="str">
        <f t="shared" si="15"/>
        <v>〇</v>
      </c>
      <c r="AE96" s="559" t="str">
        <f t="shared" si="16"/>
        <v>〇</v>
      </c>
      <c r="AH96" s="378" t="s">
        <v>1176</v>
      </c>
      <c r="AI96" s="378" t="str">
        <f t="shared" si="17"/>
        <v>✕</v>
      </c>
      <c r="AJ96" s="378" t="s">
        <v>592</v>
      </c>
      <c r="AK96" s="467" t="str">
        <f t="shared" si="18"/>
        <v>✕</v>
      </c>
      <c r="AL96" s="467"/>
      <c r="AM96" s="467"/>
      <c r="AN96" s="467"/>
      <c r="AO96" s="467"/>
    </row>
    <row r="97" spans="1:41" ht="21.75" customHeight="1">
      <c r="A97" s="347"/>
      <c r="B97" s="540">
        <v>93</v>
      </c>
      <c r="C97" s="526" t="s">
        <v>552</v>
      </c>
      <c r="D97" s="527">
        <v>93</v>
      </c>
      <c r="E97" s="528" t="s">
        <v>710</v>
      </c>
      <c r="F97" s="528">
        <v>1210229</v>
      </c>
      <c r="G97" s="528" t="s">
        <v>1178</v>
      </c>
      <c r="H97" s="528" t="s">
        <v>1178</v>
      </c>
      <c r="I97" s="527" t="s">
        <v>1548</v>
      </c>
      <c r="J97" s="527" t="s">
        <v>1548</v>
      </c>
      <c r="K97" s="529"/>
      <c r="L97" s="530">
        <v>1059288</v>
      </c>
      <c r="M97" s="528" t="s">
        <v>2355</v>
      </c>
      <c r="N97" s="528" t="s">
        <v>2361</v>
      </c>
      <c r="O97" s="528" t="s">
        <v>848</v>
      </c>
      <c r="P97" s="528" t="s">
        <v>2152</v>
      </c>
      <c r="Q97" s="528" t="s">
        <v>2361</v>
      </c>
      <c r="R97" s="528" t="s">
        <v>848</v>
      </c>
      <c r="S97" s="528" t="s">
        <v>2152</v>
      </c>
      <c r="T97" s="531"/>
      <c r="U97" s="349" t="str">
        <f t="shared" si="10"/>
        <v>〇</v>
      </c>
      <c r="V97" s="349" t="str">
        <f t="shared" si="11"/>
        <v>〇</v>
      </c>
      <c r="W97" s="349" t="str">
        <f t="shared" si="12"/>
        <v>〇</v>
      </c>
      <c r="X97" s="559" t="s">
        <v>552</v>
      </c>
      <c r="Y97" s="557" t="str">
        <f t="shared" si="13"/>
        <v>〇</v>
      </c>
      <c r="Z97" s="559" t="s">
        <v>1992</v>
      </c>
      <c r="AA97" s="559" t="s">
        <v>848</v>
      </c>
      <c r="AB97" s="559" t="s">
        <v>2152</v>
      </c>
      <c r="AC97" s="559" t="str">
        <f t="shared" si="14"/>
        <v>✕</v>
      </c>
      <c r="AD97" s="559" t="str">
        <f t="shared" si="15"/>
        <v>〇</v>
      </c>
      <c r="AE97" s="559" t="str">
        <f t="shared" si="16"/>
        <v>〇</v>
      </c>
      <c r="AH97" s="378" t="s">
        <v>1177</v>
      </c>
      <c r="AI97" s="378" t="str">
        <f t="shared" si="17"/>
        <v>✕</v>
      </c>
      <c r="AJ97" s="378" t="s">
        <v>551</v>
      </c>
      <c r="AK97" s="467" t="str">
        <f t="shared" si="18"/>
        <v>✕</v>
      </c>
      <c r="AL97" s="467"/>
      <c r="AM97" s="467"/>
      <c r="AN97" s="467"/>
      <c r="AO97" s="467"/>
    </row>
    <row r="98" spans="1:41" ht="21.75" customHeight="1">
      <c r="A98" s="347"/>
      <c r="B98" s="540">
        <v>94</v>
      </c>
      <c r="C98" s="526" t="s">
        <v>558</v>
      </c>
      <c r="D98" s="527">
        <v>94</v>
      </c>
      <c r="E98" s="528" t="s">
        <v>711</v>
      </c>
      <c r="F98" s="528">
        <v>1210230</v>
      </c>
      <c r="G98" s="528" t="s">
        <v>1179</v>
      </c>
      <c r="H98" s="528" t="s">
        <v>1179</v>
      </c>
      <c r="I98" s="527" t="s">
        <v>1548</v>
      </c>
      <c r="J98" s="527" t="s">
        <v>1548</v>
      </c>
      <c r="K98" s="529"/>
      <c r="L98" s="530">
        <v>1063848</v>
      </c>
      <c r="M98" s="528" t="s">
        <v>951</v>
      </c>
      <c r="N98" s="528" t="s">
        <v>953</v>
      </c>
      <c r="O98" s="528" t="s">
        <v>848</v>
      </c>
      <c r="P98" s="528" t="s">
        <v>952</v>
      </c>
      <c r="Q98" s="528" t="s">
        <v>953</v>
      </c>
      <c r="R98" s="528" t="s">
        <v>848</v>
      </c>
      <c r="S98" s="528" t="s">
        <v>952</v>
      </c>
      <c r="T98" s="531"/>
      <c r="U98" s="349" t="str">
        <f t="shared" si="10"/>
        <v>〇</v>
      </c>
      <c r="V98" s="349" t="str">
        <f t="shared" si="11"/>
        <v>〇</v>
      </c>
      <c r="W98" s="349" t="str">
        <f t="shared" si="12"/>
        <v>〇</v>
      </c>
      <c r="X98" s="559" t="s">
        <v>558</v>
      </c>
      <c r="Y98" s="557" t="str">
        <f t="shared" si="13"/>
        <v>〇</v>
      </c>
      <c r="Z98" s="559" t="s">
        <v>953</v>
      </c>
      <c r="AA98" s="559" t="s">
        <v>848</v>
      </c>
      <c r="AB98" s="559" t="s">
        <v>952</v>
      </c>
      <c r="AC98" s="559" t="str">
        <f t="shared" si="14"/>
        <v>〇</v>
      </c>
      <c r="AD98" s="559" t="str">
        <f t="shared" si="15"/>
        <v>〇</v>
      </c>
      <c r="AE98" s="559" t="str">
        <f t="shared" si="16"/>
        <v>〇</v>
      </c>
      <c r="AH98" s="378" t="s">
        <v>1178</v>
      </c>
      <c r="AI98" s="378" t="str">
        <f t="shared" si="17"/>
        <v>✕</v>
      </c>
      <c r="AJ98" s="378" t="s">
        <v>552</v>
      </c>
      <c r="AK98" s="467" t="str">
        <f t="shared" si="18"/>
        <v>✕</v>
      </c>
      <c r="AL98" s="467"/>
      <c r="AM98" s="467"/>
      <c r="AN98" s="467"/>
      <c r="AO98" s="467"/>
    </row>
    <row r="99" spans="1:41" ht="21.75" customHeight="1">
      <c r="A99" s="347"/>
      <c r="B99" s="540">
        <v>95</v>
      </c>
      <c r="C99" s="526" t="s">
        <v>547</v>
      </c>
      <c r="D99" s="527">
        <v>95</v>
      </c>
      <c r="E99" s="528" t="s">
        <v>712</v>
      </c>
      <c r="F99" s="528">
        <v>1210231</v>
      </c>
      <c r="G99" s="528" t="s">
        <v>1180</v>
      </c>
      <c r="H99" s="528" t="s">
        <v>1180</v>
      </c>
      <c r="I99" s="527" t="s">
        <v>1548</v>
      </c>
      <c r="J99" s="527" t="s">
        <v>1548</v>
      </c>
      <c r="K99" s="529"/>
      <c r="L99" s="530">
        <v>1064193</v>
      </c>
      <c r="M99" s="528" t="s">
        <v>954</v>
      </c>
      <c r="N99" s="528" t="s">
        <v>956</v>
      </c>
      <c r="O99" s="528" t="s">
        <v>848</v>
      </c>
      <c r="P99" s="528" t="s">
        <v>955</v>
      </c>
      <c r="Q99" s="528" t="s">
        <v>956</v>
      </c>
      <c r="R99" s="528" t="s">
        <v>848</v>
      </c>
      <c r="S99" s="528" t="s">
        <v>955</v>
      </c>
      <c r="T99" s="531"/>
      <c r="U99" s="349" t="str">
        <f t="shared" si="10"/>
        <v>〇</v>
      </c>
      <c r="V99" s="349" t="str">
        <f t="shared" si="11"/>
        <v>〇</v>
      </c>
      <c r="W99" s="349" t="str">
        <f t="shared" si="12"/>
        <v>〇</v>
      </c>
      <c r="X99" s="559" t="s">
        <v>547</v>
      </c>
      <c r="Y99" s="557" t="str">
        <f t="shared" si="13"/>
        <v>〇</v>
      </c>
      <c r="Z99" s="559" t="s">
        <v>956</v>
      </c>
      <c r="AA99" s="559" t="s">
        <v>848</v>
      </c>
      <c r="AB99" s="559" t="s">
        <v>955</v>
      </c>
      <c r="AC99" s="559" t="str">
        <f t="shared" si="14"/>
        <v>〇</v>
      </c>
      <c r="AD99" s="559" t="str">
        <f t="shared" si="15"/>
        <v>〇</v>
      </c>
      <c r="AE99" s="559" t="str">
        <f t="shared" si="16"/>
        <v>〇</v>
      </c>
      <c r="AH99" s="378" t="s">
        <v>1179</v>
      </c>
      <c r="AI99" s="378" t="str">
        <f t="shared" si="17"/>
        <v>✕</v>
      </c>
      <c r="AJ99" s="378" t="s">
        <v>558</v>
      </c>
      <c r="AK99" s="467" t="str">
        <f t="shared" si="18"/>
        <v>✕</v>
      </c>
      <c r="AL99" s="467"/>
      <c r="AM99" s="467"/>
      <c r="AN99" s="467"/>
      <c r="AO99" s="467"/>
    </row>
    <row r="100" spans="1:41" ht="21.75" customHeight="1">
      <c r="A100" s="347"/>
      <c r="B100" s="540">
        <v>96</v>
      </c>
      <c r="C100" s="526" t="s">
        <v>553</v>
      </c>
      <c r="D100" s="527">
        <v>96</v>
      </c>
      <c r="E100" s="528" t="s">
        <v>713</v>
      </c>
      <c r="F100" s="528">
        <v>1210232</v>
      </c>
      <c r="G100" s="528" t="s">
        <v>1181</v>
      </c>
      <c r="H100" s="528" t="s">
        <v>1181</v>
      </c>
      <c r="I100" s="527" t="s">
        <v>1548</v>
      </c>
      <c r="J100" s="527" t="s">
        <v>1548</v>
      </c>
      <c r="K100" s="529"/>
      <c r="L100" s="530">
        <v>1063669</v>
      </c>
      <c r="M100" s="528" t="s">
        <v>1658</v>
      </c>
      <c r="N100" s="528" t="s">
        <v>957</v>
      </c>
      <c r="O100" s="528" t="s">
        <v>848</v>
      </c>
      <c r="P100" s="528" t="s">
        <v>933</v>
      </c>
      <c r="Q100" s="528" t="s">
        <v>957</v>
      </c>
      <c r="R100" s="528" t="s">
        <v>848</v>
      </c>
      <c r="S100" s="528" t="s">
        <v>933</v>
      </c>
      <c r="T100" s="531"/>
      <c r="U100" s="349" t="str">
        <f t="shared" si="10"/>
        <v>〇</v>
      </c>
      <c r="V100" s="349" t="str">
        <f t="shared" si="11"/>
        <v>〇</v>
      </c>
      <c r="W100" s="349" t="str">
        <f t="shared" si="12"/>
        <v>〇</v>
      </c>
      <c r="X100" s="559" t="s">
        <v>553</v>
      </c>
      <c r="Y100" s="557" t="str">
        <f t="shared" si="13"/>
        <v>〇</v>
      </c>
      <c r="Z100" s="559" t="s">
        <v>957</v>
      </c>
      <c r="AA100" s="559" t="s">
        <v>848</v>
      </c>
      <c r="AB100" s="559" t="s">
        <v>933</v>
      </c>
      <c r="AC100" s="559" t="str">
        <f t="shared" si="14"/>
        <v>〇</v>
      </c>
      <c r="AD100" s="559" t="str">
        <f t="shared" si="15"/>
        <v>〇</v>
      </c>
      <c r="AE100" s="559" t="str">
        <f t="shared" si="16"/>
        <v>〇</v>
      </c>
      <c r="AH100" s="378" t="s">
        <v>1180</v>
      </c>
      <c r="AI100" s="378" t="str">
        <f t="shared" si="17"/>
        <v>✕</v>
      </c>
      <c r="AJ100" s="378" t="s">
        <v>547</v>
      </c>
      <c r="AK100" s="467" t="str">
        <f t="shared" si="18"/>
        <v>✕</v>
      </c>
      <c r="AL100" s="467"/>
      <c r="AM100" s="467"/>
      <c r="AN100" s="467"/>
      <c r="AO100" s="467"/>
    </row>
    <row r="101" spans="1:41" ht="21.75" customHeight="1">
      <c r="A101" s="347"/>
      <c r="B101" s="540">
        <v>97</v>
      </c>
      <c r="C101" s="526" t="s">
        <v>559</v>
      </c>
      <c r="D101" s="527">
        <v>97</v>
      </c>
      <c r="E101" s="528" t="s">
        <v>714</v>
      </c>
      <c r="F101" s="528">
        <v>1210233</v>
      </c>
      <c r="G101" s="528" t="s">
        <v>1182</v>
      </c>
      <c r="H101" s="528" t="s">
        <v>1182</v>
      </c>
      <c r="I101" s="527" t="s">
        <v>1548</v>
      </c>
      <c r="J101" s="527" t="s">
        <v>1548</v>
      </c>
      <c r="K101" s="529"/>
      <c r="L101" s="530">
        <v>1064016</v>
      </c>
      <c r="M101" s="528" t="s">
        <v>864</v>
      </c>
      <c r="N101" s="528" t="s">
        <v>866</v>
      </c>
      <c r="O101" s="528" t="s">
        <v>768</v>
      </c>
      <c r="P101" s="528" t="s">
        <v>865</v>
      </c>
      <c r="Q101" s="528" t="s">
        <v>866</v>
      </c>
      <c r="R101" s="528" t="s">
        <v>768</v>
      </c>
      <c r="S101" s="528" t="s">
        <v>865</v>
      </c>
      <c r="T101" s="531"/>
      <c r="U101" s="349" t="str">
        <f t="shared" si="10"/>
        <v>〇</v>
      </c>
      <c r="V101" s="349" t="str">
        <f t="shared" si="11"/>
        <v>〇</v>
      </c>
      <c r="W101" s="349" t="str">
        <f t="shared" si="12"/>
        <v>〇</v>
      </c>
      <c r="X101" s="559" t="s">
        <v>559</v>
      </c>
      <c r="Y101" s="557" t="str">
        <f t="shared" si="13"/>
        <v>〇</v>
      </c>
      <c r="Z101" s="559" t="s">
        <v>866</v>
      </c>
      <c r="AA101" s="559" t="s">
        <v>768</v>
      </c>
      <c r="AB101" s="559" t="s">
        <v>865</v>
      </c>
      <c r="AC101" s="559" t="str">
        <f t="shared" si="14"/>
        <v>〇</v>
      </c>
      <c r="AD101" s="559" t="str">
        <f t="shared" si="15"/>
        <v>〇</v>
      </c>
      <c r="AE101" s="559" t="str">
        <f t="shared" si="16"/>
        <v>〇</v>
      </c>
      <c r="AH101" s="378" t="s">
        <v>1181</v>
      </c>
      <c r="AI101" s="378" t="str">
        <f t="shared" si="17"/>
        <v>✕</v>
      </c>
      <c r="AJ101" s="378" t="s">
        <v>553</v>
      </c>
      <c r="AK101" s="467" t="str">
        <f t="shared" si="18"/>
        <v>✕</v>
      </c>
      <c r="AL101" s="467"/>
      <c r="AM101" s="467"/>
      <c r="AN101" s="467"/>
      <c r="AO101" s="467"/>
    </row>
    <row r="102" spans="1:41" ht="21.75" customHeight="1">
      <c r="A102" s="347"/>
      <c r="B102" s="540">
        <v>98</v>
      </c>
      <c r="C102" s="526" t="s">
        <v>564</v>
      </c>
      <c r="D102" s="527">
        <v>98</v>
      </c>
      <c r="E102" s="528" t="s">
        <v>715</v>
      </c>
      <c r="F102" s="528">
        <v>1210234</v>
      </c>
      <c r="G102" s="528" t="s">
        <v>1183</v>
      </c>
      <c r="H102" s="528" t="s">
        <v>1183</v>
      </c>
      <c r="I102" s="527" t="s">
        <v>1548</v>
      </c>
      <c r="J102" s="527" t="s">
        <v>1548</v>
      </c>
      <c r="K102" s="529"/>
      <c r="L102" s="530">
        <v>1064250</v>
      </c>
      <c r="M102" s="528" t="s">
        <v>958</v>
      </c>
      <c r="N102" s="528" t="s">
        <v>2362</v>
      </c>
      <c r="O102" s="528" t="s">
        <v>848</v>
      </c>
      <c r="P102" s="528" t="s">
        <v>2372</v>
      </c>
      <c r="Q102" s="528" t="s">
        <v>2362</v>
      </c>
      <c r="R102" s="528" t="s">
        <v>848</v>
      </c>
      <c r="S102" s="528" t="s">
        <v>2372</v>
      </c>
      <c r="T102" s="531"/>
      <c r="U102" s="349" t="str">
        <f t="shared" si="10"/>
        <v>〇</v>
      </c>
      <c r="V102" s="349" t="str">
        <f t="shared" si="11"/>
        <v>〇</v>
      </c>
      <c r="W102" s="349" t="str">
        <f t="shared" si="12"/>
        <v>〇</v>
      </c>
      <c r="X102" s="559" t="s">
        <v>564</v>
      </c>
      <c r="Y102" s="557" t="str">
        <f t="shared" si="13"/>
        <v>〇</v>
      </c>
      <c r="Z102" s="559" t="s">
        <v>1818</v>
      </c>
      <c r="AA102" s="559" t="s">
        <v>848</v>
      </c>
      <c r="AB102" s="559" t="s">
        <v>959</v>
      </c>
      <c r="AC102" s="559" t="str">
        <f t="shared" si="14"/>
        <v>✕</v>
      </c>
      <c r="AD102" s="559" t="str">
        <f t="shared" si="15"/>
        <v>〇</v>
      </c>
      <c r="AE102" s="559" t="str">
        <f t="shared" si="16"/>
        <v>✕</v>
      </c>
      <c r="AH102" s="378" t="s">
        <v>1182</v>
      </c>
      <c r="AI102" s="378" t="str">
        <f t="shared" si="17"/>
        <v>✕</v>
      </c>
      <c r="AJ102" s="378" t="s">
        <v>559</v>
      </c>
      <c r="AK102" s="467" t="str">
        <f t="shared" si="18"/>
        <v>✕</v>
      </c>
      <c r="AL102" s="467"/>
      <c r="AM102" s="467"/>
      <c r="AN102" s="467"/>
      <c r="AO102" s="467"/>
    </row>
    <row r="103" spans="1:41" ht="21.75" customHeight="1">
      <c r="A103" s="347"/>
      <c r="B103" s="540">
        <v>99</v>
      </c>
      <c r="C103" s="526" t="s">
        <v>583</v>
      </c>
      <c r="D103" s="527">
        <v>99</v>
      </c>
      <c r="E103" s="528" t="s">
        <v>716</v>
      </c>
      <c r="F103" s="528">
        <v>1210235</v>
      </c>
      <c r="G103" s="528" t="s">
        <v>1184</v>
      </c>
      <c r="H103" s="528" t="s">
        <v>1184</v>
      </c>
      <c r="I103" s="527" t="s">
        <v>1548</v>
      </c>
      <c r="J103" s="527" t="s">
        <v>1548</v>
      </c>
      <c r="K103" s="529"/>
      <c r="L103" s="530">
        <v>1074833</v>
      </c>
      <c r="M103" s="528" t="s">
        <v>2133</v>
      </c>
      <c r="N103" s="528" t="s">
        <v>1820</v>
      </c>
      <c r="O103" s="528" t="s">
        <v>848</v>
      </c>
      <c r="P103" s="528" t="s">
        <v>1819</v>
      </c>
      <c r="Q103" s="528" t="s">
        <v>1820</v>
      </c>
      <c r="R103" s="528" t="s">
        <v>848</v>
      </c>
      <c r="S103" s="528" t="s">
        <v>1819</v>
      </c>
      <c r="T103" s="531"/>
      <c r="U103" s="349" t="str">
        <f t="shared" si="10"/>
        <v>〇</v>
      </c>
      <c r="V103" s="349" t="str">
        <f t="shared" si="11"/>
        <v>〇</v>
      </c>
      <c r="W103" s="349" t="str">
        <f t="shared" si="12"/>
        <v>〇</v>
      </c>
      <c r="X103" s="559" t="s">
        <v>583</v>
      </c>
      <c r="Y103" s="557" t="str">
        <f t="shared" si="13"/>
        <v>〇</v>
      </c>
      <c r="Z103" s="559" t="s">
        <v>1820</v>
      </c>
      <c r="AA103" s="559" t="s">
        <v>848</v>
      </c>
      <c r="AB103" s="559" t="s">
        <v>1819</v>
      </c>
      <c r="AC103" s="559" t="str">
        <f t="shared" si="14"/>
        <v>〇</v>
      </c>
      <c r="AD103" s="559" t="str">
        <f t="shared" si="15"/>
        <v>〇</v>
      </c>
      <c r="AE103" s="559" t="str">
        <f t="shared" si="16"/>
        <v>〇</v>
      </c>
      <c r="AH103" s="378" t="s">
        <v>1183</v>
      </c>
      <c r="AI103" s="378" t="str">
        <f t="shared" si="17"/>
        <v>✕</v>
      </c>
      <c r="AJ103" s="378" t="s">
        <v>564</v>
      </c>
      <c r="AK103" s="467" t="str">
        <f t="shared" si="18"/>
        <v>✕</v>
      </c>
      <c r="AL103" s="467"/>
      <c r="AM103" s="467"/>
      <c r="AN103" s="467"/>
      <c r="AO103" s="467"/>
    </row>
    <row r="104" spans="1:41" ht="21.75" customHeight="1">
      <c r="A104" s="347"/>
      <c r="B104" s="540">
        <v>100</v>
      </c>
      <c r="C104" s="526" t="s">
        <v>549</v>
      </c>
      <c r="D104" s="527">
        <v>100</v>
      </c>
      <c r="E104" s="528" t="s">
        <v>717</v>
      </c>
      <c r="F104" s="528">
        <v>1210236</v>
      </c>
      <c r="G104" s="528" t="s">
        <v>1185</v>
      </c>
      <c r="H104" s="528" t="s">
        <v>1185</v>
      </c>
      <c r="I104" s="527" t="s">
        <v>1548</v>
      </c>
      <c r="J104" s="527" t="s">
        <v>1548</v>
      </c>
      <c r="K104" s="529"/>
      <c r="L104" s="535">
        <v>1059436</v>
      </c>
      <c r="M104" s="536" t="s">
        <v>960</v>
      </c>
      <c r="N104" s="536" t="s">
        <v>962</v>
      </c>
      <c r="O104" s="537" t="s">
        <v>848</v>
      </c>
      <c r="P104" s="536" t="s">
        <v>961</v>
      </c>
      <c r="Q104" s="528" t="s">
        <v>962</v>
      </c>
      <c r="R104" s="528" t="s">
        <v>848</v>
      </c>
      <c r="S104" s="528" t="s">
        <v>961</v>
      </c>
      <c r="T104" s="531"/>
      <c r="U104" s="349" t="str">
        <f t="shared" si="10"/>
        <v>〇</v>
      </c>
      <c r="V104" s="349" t="str">
        <f t="shared" si="11"/>
        <v>〇</v>
      </c>
      <c r="W104" s="349" t="str">
        <f t="shared" si="12"/>
        <v>〇</v>
      </c>
      <c r="X104" s="559" t="s">
        <v>549</v>
      </c>
      <c r="Y104" s="557" t="str">
        <f t="shared" si="13"/>
        <v>〇</v>
      </c>
      <c r="Z104" s="559" t="s">
        <v>962</v>
      </c>
      <c r="AA104" s="559" t="s">
        <v>848</v>
      </c>
      <c r="AB104" s="559" t="s">
        <v>961</v>
      </c>
      <c r="AC104" s="559" t="str">
        <f t="shared" si="14"/>
        <v>〇</v>
      </c>
      <c r="AD104" s="559" t="str">
        <f t="shared" si="15"/>
        <v>〇</v>
      </c>
      <c r="AE104" s="559" t="str">
        <f t="shared" si="16"/>
        <v>〇</v>
      </c>
      <c r="AH104" s="378" t="s">
        <v>1184</v>
      </c>
      <c r="AI104" s="378" t="str">
        <f t="shared" si="17"/>
        <v>✕</v>
      </c>
      <c r="AJ104" s="378" t="s">
        <v>583</v>
      </c>
      <c r="AK104" s="467" t="str">
        <f t="shared" si="18"/>
        <v>✕</v>
      </c>
      <c r="AL104" s="467"/>
      <c r="AM104" s="467"/>
      <c r="AN104" s="467"/>
      <c r="AO104" s="467"/>
    </row>
    <row r="105" spans="1:41" ht="21.75" customHeight="1">
      <c r="A105" s="347"/>
      <c r="B105" s="540">
        <v>101</v>
      </c>
      <c r="C105" s="526" t="s">
        <v>1489</v>
      </c>
      <c r="D105" s="527">
        <v>101</v>
      </c>
      <c r="E105" s="528" t="s">
        <v>718</v>
      </c>
      <c r="F105" s="528">
        <v>1210542</v>
      </c>
      <c r="G105" s="528" t="s">
        <v>1186</v>
      </c>
      <c r="H105" s="528" t="s">
        <v>1186</v>
      </c>
      <c r="I105" s="527" t="s">
        <v>1548</v>
      </c>
      <c r="J105" s="527" t="s">
        <v>1548</v>
      </c>
      <c r="K105" s="529"/>
      <c r="L105" s="530">
        <v>1065968</v>
      </c>
      <c r="M105" s="528" t="s">
        <v>963</v>
      </c>
      <c r="N105" s="528" t="s">
        <v>965</v>
      </c>
      <c r="O105" s="528" t="s">
        <v>910</v>
      </c>
      <c r="P105" s="528" t="s">
        <v>964</v>
      </c>
      <c r="Q105" s="528" t="s">
        <v>965</v>
      </c>
      <c r="R105" s="528" t="s">
        <v>910</v>
      </c>
      <c r="S105" s="528" t="s">
        <v>964</v>
      </c>
      <c r="T105" s="531"/>
      <c r="U105" s="349" t="str">
        <f t="shared" si="10"/>
        <v>〇</v>
      </c>
      <c r="V105" s="349" t="str">
        <f t="shared" si="11"/>
        <v>〇</v>
      </c>
      <c r="W105" s="349" t="str">
        <f t="shared" si="12"/>
        <v>〇</v>
      </c>
      <c r="X105" s="559" t="s">
        <v>1489</v>
      </c>
      <c r="Y105" s="557" t="str">
        <f t="shared" si="13"/>
        <v>〇</v>
      </c>
      <c r="Z105" s="559" t="s">
        <v>965</v>
      </c>
      <c r="AA105" s="559" t="s">
        <v>910</v>
      </c>
      <c r="AB105" s="559" t="s">
        <v>964</v>
      </c>
      <c r="AC105" s="559" t="str">
        <f t="shared" si="14"/>
        <v>〇</v>
      </c>
      <c r="AD105" s="559" t="str">
        <f t="shared" si="15"/>
        <v>〇</v>
      </c>
      <c r="AE105" s="559" t="str">
        <f t="shared" si="16"/>
        <v>〇</v>
      </c>
      <c r="AH105" s="378" t="s">
        <v>1185</v>
      </c>
      <c r="AI105" s="378" t="str">
        <f t="shared" si="17"/>
        <v>✕</v>
      </c>
      <c r="AJ105" s="378" t="s">
        <v>549</v>
      </c>
      <c r="AK105" s="467" t="str">
        <f t="shared" si="18"/>
        <v>✕</v>
      </c>
      <c r="AL105" s="467"/>
      <c r="AM105" s="467"/>
      <c r="AN105" s="467"/>
      <c r="AO105" s="467"/>
    </row>
    <row r="106" spans="1:41" ht="21.75" customHeight="1">
      <c r="A106" s="347"/>
      <c r="B106" s="540">
        <v>102</v>
      </c>
      <c r="C106" s="526" t="s">
        <v>1490</v>
      </c>
      <c r="D106" s="527">
        <v>102</v>
      </c>
      <c r="E106" s="528" t="s">
        <v>719</v>
      </c>
      <c r="F106" s="528">
        <v>1210328</v>
      </c>
      <c r="G106" s="528" t="s">
        <v>1187</v>
      </c>
      <c r="H106" s="528" t="s">
        <v>1187</v>
      </c>
      <c r="I106" s="527" t="s">
        <v>1548</v>
      </c>
      <c r="J106" s="527" t="s">
        <v>1548</v>
      </c>
      <c r="K106" s="529"/>
      <c r="L106" s="530">
        <v>1066600</v>
      </c>
      <c r="M106" s="528" t="s">
        <v>966</v>
      </c>
      <c r="N106" s="528" t="s">
        <v>968</v>
      </c>
      <c r="O106" s="528" t="s">
        <v>768</v>
      </c>
      <c r="P106" s="528" t="s">
        <v>967</v>
      </c>
      <c r="Q106" s="528" t="s">
        <v>968</v>
      </c>
      <c r="R106" s="528" t="s">
        <v>768</v>
      </c>
      <c r="S106" s="528" t="s">
        <v>967</v>
      </c>
      <c r="T106" s="531"/>
      <c r="U106" s="349" t="str">
        <f t="shared" si="10"/>
        <v>〇</v>
      </c>
      <c r="V106" s="349" t="str">
        <f t="shared" si="11"/>
        <v>〇</v>
      </c>
      <c r="W106" s="349" t="str">
        <f t="shared" si="12"/>
        <v>〇</v>
      </c>
      <c r="X106" s="559" t="s">
        <v>1490</v>
      </c>
      <c r="Y106" s="557" t="str">
        <f t="shared" si="13"/>
        <v>〇</v>
      </c>
      <c r="Z106" s="559" t="s">
        <v>968</v>
      </c>
      <c r="AA106" s="559" t="s">
        <v>768</v>
      </c>
      <c r="AB106" s="559" t="s">
        <v>967</v>
      </c>
      <c r="AC106" s="559" t="str">
        <f t="shared" si="14"/>
        <v>〇</v>
      </c>
      <c r="AD106" s="559" t="str">
        <f t="shared" si="15"/>
        <v>〇</v>
      </c>
      <c r="AE106" s="559" t="str">
        <f t="shared" si="16"/>
        <v>〇</v>
      </c>
      <c r="AH106" s="378" t="s">
        <v>1186</v>
      </c>
      <c r="AI106" s="378" t="str">
        <f t="shared" si="17"/>
        <v>✕</v>
      </c>
      <c r="AJ106" s="378" t="s">
        <v>1489</v>
      </c>
      <c r="AK106" s="467" t="str">
        <f t="shared" si="18"/>
        <v>✕</v>
      </c>
      <c r="AL106" s="467"/>
      <c r="AM106" s="467"/>
      <c r="AN106" s="467"/>
      <c r="AO106" s="467"/>
    </row>
    <row r="107" spans="1:41" ht="21.75" customHeight="1">
      <c r="A107" s="347"/>
      <c r="B107" s="540">
        <v>103</v>
      </c>
      <c r="C107" s="538" t="s">
        <v>1491</v>
      </c>
      <c r="D107" s="527">
        <v>103</v>
      </c>
      <c r="E107" s="528" t="s">
        <v>720</v>
      </c>
      <c r="F107" s="528">
        <v>1210332</v>
      </c>
      <c r="G107" s="528" t="s">
        <v>1188</v>
      </c>
      <c r="H107" s="528" t="s">
        <v>1188</v>
      </c>
      <c r="I107" s="527" t="s">
        <v>1548</v>
      </c>
      <c r="J107" s="527" t="s">
        <v>1548</v>
      </c>
      <c r="K107" s="529"/>
      <c r="L107" s="530">
        <v>1061825</v>
      </c>
      <c r="M107" s="528" t="s">
        <v>1657</v>
      </c>
      <c r="N107" s="528" t="s">
        <v>931</v>
      </c>
      <c r="O107" s="528" t="s">
        <v>848</v>
      </c>
      <c r="P107" s="528" t="s">
        <v>930</v>
      </c>
      <c r="Q107" s="528" t="s">
        <v>931</v>
      </c>
      <c r="R107" s="528" t="s">
        <v>848</v>
      </c>
      <c r="S107" s="528" t="s">
        <v>930</v>
      </c>
      <c r="T107" s="531"/>
      <c r="U107" s="349" t="str">
        <f t="shared" si="10"/>
        <v>〇</v>
      </c>
      <c r="V107" s="349" t="str">
        <f t="shared" si="11"/>
        <v>〇</v>
      </c>
      <c r="W107" s="349" t="str">
        <f t="shared" si="12"/>
        <v>〇</v>
      </c>
      <c r="X107" s="559" t="s">
        <v>1491</v>
      </c>
      <c r="Y107" s="557" t="str">
        <f t="shared" si="13"/>
        <v>〇</v>
      </c>
      <c r="Z107" s="559" t="s">
        <v>931</v>
      </c>
      <c r="AA107" s="559" t="s">
        <v>848</v>
      </c>
      <c r="AB107" s="559" t="s">
        <v>930</v>
      </c>
      <c r="AC107" s="559" t="str">
        <f t="shared" si="14"/>
        <v>〇</v>
      </c>
      <c r="AD107" s="559" t="str">
        <f t="shared" si="15"/>
        <v>〇</v>
      </c>
      <c r="AE107" s="559" t="str">
        <f t="shared" si="16"/>
        <v>〇</v>
      </c>
      <c r="AH107" s="378" t="s">
        <v>1187</v>
      </c>
      <c r="AI107" s="378" t="str">
        <f t="shared" si="17"/>
        <v>✕</v>
      </c>
      <c r="AJ107" s="378" t="s">
        <v>1490</v>
      </c>
      <c r="AK107" s="467" t="str">
        <f t="shared" si="18"/>
        <v>✕</v>
      </c>
      <c r="AL107" s="467"/>
      <c r="AM107" s="467"/>
      <c r="AN107" s="467"/>
      <c r="AO107" s="467"/>
    </row>
    <row r="108" spans="1:41" ht="21.75" customHeight="1">
      <c r="A108" s="347"/>
      <c r="B108" s="540">
        <v>104</v>
      </c>
      <c r="C108" s="538" t="s">
        <v>1492</v>
      </c>
      <c r="D108" s="527">
        <v>104</v>
      </c>
      <c r="E108" s="528" t="s">
        <v>721</v>
      </c>
      <c r="F108" s="528">
        <v>1210333</v>
      </c>
      <c r="G108" s="528" t="s">
        <v>1189</v>
      </c>
      <c r="H108" s="528" t="s">
        <v>1189</v>
      </c>
      <c r="I108" s="527" t="s">
        <v>1548</v>
      </c>
      <c r="J108" s="527" t="s">
        <v>1548</v>
      </c>
      <c r="K108" s="529"/>
      <c r="L108" s="530">
        <v>1065085</v>
      </c>
      <c r="M108" s="528" t="s">
        <v>999</v>
      </c>
      <c r="N108" s="528" t="s">
        <v>969</v>
      </c>
      <c r="O108" s="528" t="s">
        <v>848</v>
      </c>
      <c r="P108" s="528" t="s">
        <v>1613</v>
      </c>
      <c r="Q108" s="528" t="s">
        <v>969</v>
      </c>
      <c r="R108" s="528" t="s">
        <v>848</v>
      </c>
      <c r="S108" s="528" t="s">
        <v>1613</v>
      </c>
      <c r="T108" s="531"/>
      <c r="U108" s="349" t="str">
        <f t="shared" si="10"/>
        <v>〇</v>
      </c>
      <c r="V108" s="349" t="str">
        <f t="shared" si="11"/>
        <v>〇</v>
      </c>
      <c r="W108" s="349" t="str">
        <f t="shared" si="12"/>
        <v>〇</v>
      </c>
      <c r="X108" s="559" t="s">
        <v>1492</v>
      </c>
      <c r="Y108" s="557" t="str">
        <f t="shared" si="13"/>
        <v>〇</v>
      </c>
      <c r="Z108" s="559" t="s">
        <v>969</v>
      </c>
      <c r="AA108" s="559" t="s">
        <v>848</v>
      </c>
      <c r="AB108" s="559" t="s">
        <v>1613</v>
      </c>
      <c r="AC108" s="559" t="str">
        <f t="shared" si="14"/>
        <v>〇</v>
      </c>
      <c r="AD108" s="559" t="str">
        <f t="shared" si="15"/>
        <v>〇</v>
      </c>
      <c r="AE108" s="559" t="str">
        <f t="shared" si="16"/>
        <v>〇</v>
      </c>
      <c r="AH108" s="378" t="s">
        <v>1188</v>
      </c>
      <c r="AI108" s="378" t="str">
        <f t="shared" si="17"/>
        <v>✕</v>
      </c>
      <c r="AJ108" s="378" t="s">
        <v>1491</v>
      </c>
      <c r="AK108" s="467" t="str">
        <f t="shared" si="18"/>
        <v>✕</v>
      </c>
      <c r="AL108" s="467"/>
      <c r="AM108" s="467"/>
      <c r="AN108" s="467"/>
      <c r="AO108" s="467"/>
    </row>
    <row r="109" spans="1:41" ht="21.75" customHeight="1">
      <c r="A109" s="347"/>
      <c r="B109" s="540">
        <v>105</v>
      </c>
      <c r="C109" s="538" t="s">
        <v>1493</v>
      </c>
      <c r="D109" s="527">
        <v>105</v>
      </c>
      <c r="E109" s="528" t="s">
        <v>722</v>
      </c>
      <c r="F109" s="528">
        <v>1210334</v>
      </c>
      <c r="G109" s="528" t="s">
        <v>1190</v>
      </c>
      <c r="H109" s="528" t="s">
        <v>1190</v>
      </c>
      <c r="I109" s="527" t="s">
        <v>1548</v>
      </c>
      <c r="J109" s="527" t="s">
        <v>1548</v>
      </c>
      <c r="K109" s="529"/>
      <c r="L109" s="530">
        <v>1065085</v>
      </c>
      <c r="M109" s="528" t="s">
        <v>999</v>
      </c>
      <c r="N109" s="528" t="s">
        <v>969</v>
      </c>
      <c r="O109" s="528" t="s">
        <v>848</v>
      </c>
      <c r="P109" s="528" t="s">
        <v>1613</v>
      </c>
      <c r="Q109" s="528" t="s">
        <v>969</v>
      </c>
      <c r="R109" s="528" t="s">
        <v>848</v>
      </c>
      <c r="S109" s="528" t="s">
        <v>1613</v>
      </c>
      <c r="T109" s="531"/>
      <c r="U109" s="349" t="str">
        <f t="shared" si="10"/>
        <v>〇</v>
      </c>
      <c r="V109" s="349" t="str">
        <f t="shared" si="11"/>
        <v>〇</v>
      </c>
      <c r="W109" s="349" t="str">
        <f t="shared" si="12"/>
        <v>〇</v>
      </c>
      <c r="X109" s="559" t="s">
        <v>1493</v>
      </c>
      <c r="Y109" s="557" t="str">
        <f t="shared" si="13"/>
        <v>〇</v>
      </c>
      <c r="Z109" s="559" t="s">
        <v>969</v>
      </c>
      <c r="AA109" s="559" t="s">
        <v>848</v>
      </c>
      <c r="AB109" s="559" t="s">
        <v>1613</v>
      </c>
      <c r="AC109" s="559" t="str">
        <f t="shared" si="14"/>
        <v>〇</v>
      </c>
      <c r="AD109" s="559" t="str">
        <f t="shared" si="15"/>
        <v>〇</v>
      </c>
      <c r="AE109" s="559" t="str">
        <f t="shared" si="16"/>
        <v>〇</v>
      </c>
      <c r="AH109" s="378" t="s">
        <v>1189</v>
      </c>
      <c r="AI109" s="378" t="str">
        <f t="shared" si="17"/>
        <v>✕</v>
      </c>
      <c r="AJ109" s="378" t="s">
        <v>1492</v>
      </c>
      <c r="AK109" s="467" t="str">
        <f t="shared" si="18"/>
        <v>✕</v>
      </c>
      <c r="AL109" s="467"/>
      <c r="AM109" s="467"/>
      <c r="AN109" s="467"/>
      <c r="AO109" s="467"/>
    </row>
    <row r="110" spans="1:41" ht="21.75" customHeight="1">
      <c r="A110" s="347"/>
      <c r="B110" s="540">
        <v>106</v>
      </c>
      <c r="C110" s="538" t="s">
        <v>1494</v>
      </c>
      <c r="D110" s="527">
        <v>106</v>
      </c>
      <c r="E110" s="528" t="s">
        <v>723</v>
      </c>
      <c r="F110" s="528">
        <v>1210335</v>
      </c>
      <c r="G110" s="528" t="s">
        <v>1191</v>
      </c>
      <c r="H110" s="528" t="s">
        <v>1191</v>
      </c>
      <c r="I110" s="527" t="s">
        <v>1548</v>
      </c>
      <c r="J110" s="527" t="s">
        <v>1548</v>
      </c>
      <c r="K110" s="529"/>
      <c r="L110" s="530">
        <v>1066516</v>
      </c>
      <c r="M110" s="528" t="s">
        <v>1660</v>
      </c>
      <c r="N110" s="528" t="s">
        <v>971</v>
      </c>
      <c r="O110" s="528" t="s">
        <v>848</v>
      </c>
      <c r="P110" s="528" t="s">
        <v>970</v>
      </c>
      <c r="Q110" s="528" t="s">
        <v>971</v>
      </c>
      <c r="R110" s="528" t="s">
        <v>848</v>
      </c>
      <c r="S110" s="528" t="s">
        <v>970</v>
      </c>
      <c r="T110" s="531"/>
      <c r="U110" s="349" t="str">
        <f t="shared" si="10"/>
        <v>〇</v>
      </c>
      <c r="V110" s="349" t="str">
        <f t="shared" si="11"/>
        <v>〇</v>
      </c>
      <c r="W110" s="349" t="str">
        <f t="shared" si="12"/>
        <v>〇</v>
      </c>
      <c r="X110" s="559" t="s">
        <v>1494</v>
      </c>
      <c r="Y110" s="557" t="str">
        <f t="shared" si="13"/>
        <v>〇</v>
      </c>
      <c r="Z110" s="559" t="s">
        <v>971</v>
      </c>
      <c r="AA110" s="559" t="s">
        <v>848</v>
      </c>
      <c r="AB110" s="559" t="s">
        <v>970</v>
      </c>
      <c r="AC110" s="559" t="str">
        <f t="shared" si="14"/>
        <v>〇</v>
      </c>
      <c r="AD110" s="559" t="str">
        <f t="shared" si="15"/>
        <v>〇</v>
      </c>
      <c r="AE110" s="559" t="str">
        <f t="shared" si="16"/>
        <v>〇</v>
      </c>
      <c r="AH110" s="378" t="s">
        <v>1190</v>
      </c>
      <c r="AI110" s="378" t="str">
        <f t="shared" si="17"/>
        <v>✕</v>
      </c>
      <c r="AJ110" s="378" t="s">
        <v>1493</v>
      </c>
      <c r="AK110" s="467" t="str">
        <f t="shared" si="18"/>
        <v>✕</v>
      </c>
      <c r="AL110" s="467"/>
      <c r="AM110" s="467"/>
      <c r="AN110" s="467"/>
      <c r="AO110" s="467"/>
    </row>
    <row r="111" spans="1:41" ht="21.75" customHeight="1">
      <c r="A111" s="347"/>
      <c r="B111" s="540">
        <v>107</v>
      </c>
      <c r="C111" s="538" t="s">
        <v>1495</v>
      </c>
      <c r="D111" s="527">
        <v>107</v>
      </c>
      <c r="E111" s="528" t="s">
        <v>724</v>
      </c>
      <c r="F111" s="528">
        <v>1210336</v>
      </c>
      <c r="G111" s="528" t="s">
        <v>1192</v>
      </c>
      <c r="H111" s="528" t="s">
        <v>1192</v>
      </c>
      <c r="I111" s="527" t="s">
        <v>1548</v>
      </c>
      <c r="J111" s="527" t="s">
        <v>1548</v>
      </c>
      <c r="K111" s="529"/>
      <c r="L111" s="530">
        <v>1059654</v>
      </c>
      <c r="M111" s="528" t="s">
        <v>972</v>
      </c>
      <c r="N111" s="528" t="s">
        <v>974</v>
      </c>
      <c r="O111" s="528" t="s">
        <v>848</v>
      </c>
      <c r="P111" s="528" t="s">
        <v>973</v>
      </c>
      <c r="Q111" s="528" t="s">
        <v>974</v>
      </c>
      <c r="R111" s="528" t="s">
        <v>848</v>
      </c>
      <c r="S111" s="528" t="s">
        <v>973</v>
      </c>
      <c r="T111" s="531"/>
      <c r="U111" s="349" t="str">
        <f t="shared" si="10"/>
        <v>〇</v>
      </c>
      <c r="V111" s="349" t="str">
        <f t="shared" si="11"/>
        <v>〇</v>
      </c>
      <c r="W111" s="349" t="str">
        <f t="shared" si="12"/>
        <v>〇</v>
      </c>
      <c r="X111" s="559" t="s">
        <v>1495</v>
      </c>
      <c r="Y111" s="557" t="str">
        <f t="shared" si="13"/>
        <v>〇</v>
      </c>
      <c r="Z111" s="559" t="s">
        <v>974</v>
      </c>
      <c r="AA111" s="559" t="s">
        <v>848</v>
      </c>
      <c r="AB111" s="559" t="s">
        <v>973</v>
      </c>
      <c r="AC111" s="559" t="str">
        <f t="shared" si="14"/>
        <v>〇</v>
      </c>
      <c r="AD111" s="559" t="str">
        <f t="shared" si="15"/>
        <v>〇</v>
      </c>
      <c r="AE111" s="559" t="str">
        <f t="shared" si="16"/>
        <v>〇</v>
      </c>
      <c r="AH111" s="378" t="s">
        <v>1191</v>
      </c>
      <c r="AI111" s="378" t="str">
        <f t="shared" si="17"/>
        <v>✕</v>
      </c>
      <c r="AJ111" s="378" t="s">
        <v>1494</v>
      </c>
      <c r="AK111" s="467" t="str">
        <f t="shared" si="18"/>
        <v>✕</v>
      </c>
      <c r="AL111" s="467"/>
      <c r="AM111" s="467"/>
      <c r="AN111" s="467"/>
      <c r="AO111" s="467"/>
    </row>
    <row r="112" spans="1:41" ht="21.75" customHeight="1">
      <c r="A112" s="347"/>
      <c r="B112" s="540">
        <v>108</v>
      </c>
      <c r="C112" s="538" t="s">
        <v>1496</v>
      </c>
      <c r="D112" s="527">
        <v>108</v>
      </c>
      <c r="E112" s="528" t="s">
        <v>725</v>
      </c>
      <c r="F112" s="528">
        <v>1210400</v>
      </c>
      <c r="G112" s="528" t="s">
        <v>1193</v>
      </c>
      <c r="H112" s="528" t="s">
        <v>1193</v>
      </c>
      <c r="I112" s="527" t="s">
        <v>1548</v>
      </c>
      <c r="J112" s="527" t="s">
        <v>1548</v>
      </c>
      <c r="K112" s="529"/>
      <c r="L112" s="530">
        <v>1063849</v>
      </c>
      <c r="M112" s="528" t="s">
        <v>1659</v>
      </c>
      <c r="N112" s="528" t="s">
        <v>975</v>
      </c>
      <c r="O112" s="528" t="s">
        <v>848</v>
      </c>
      <c r="P112" s="528" t="s">
        <v>2499</v>
      </c>
      <c r="Q112" s="528" t="s">
        <v>975</v>
      </c>
      <c r="R112" s="528" t="s">
        <v>848</v>
      </c>
      <c r="S112" s="528" t="s">
        <v>2499</v>
      </c>
      <c r="T112" s="531"/>
      <c r="U112" s="349" t="str">
        <f t="shared" si="10"/>
        <v>〇</v>
      </c>
      <c r="V112" s="349" t="str">
        <f t="shared" si="11"/>
        <v>〇</v>
      </c>
      <c r="W112" s="349" t="str">
        <f t="shared" si="12"/>
        <v>〇</v>
      </c>
      <c r="X112" s="559" t="s">
        <v>1496</v>
      </c>
      <c r="Y112" s="557" t="str">
        <f t="shared" si="13"/>
        <v>〇</v>
      </c>
      <c r="Z112" s="559" t="s">
        <v>975</v>
      </c>
      <c r="AA112" s="559" t="s">
        <v>848</v>
      </c>
      <c r="AB112" s="559" t="s">
        <v>1998</v>
      </c>
      <c r="AC112" s="559" t="str">
        <f t="shared" si="14"/>
        <v>〇</v>
      </c>
      <c r="AD112" s="559" t="str">
        <f t="shared" si="15"/>
        <v>〇</v>
      </c>
      <c r="AE112" s="559" t="str">
        <f t="shared" si="16"/>
        <v>✕</v>
      </c>
      <c r="AH112" s="378" t="s">
        <v>1192</v>
      </c>
      <c r="AI112" s="378" t="str">
        <f t="shared" si="17"/>
        <v>✕</v>
      </c>
      <c r="AJ112" s="378" t="s">
        <v>1495</v>
      </c>
      <c r="AK112" s="467" t="str">
        <f t="shared" si="18"/>
        <v>✕</v>
      </c>
      <c r="AL112" s="467"/>
      <c r="AM112" s="467"/>
      <c r="AN112" s="467"/>
      <c r="AO112" s="467"/>
    </row>
    <row r="113" spans="1:41" ht="21.75" customHeight="1">
      <c r="A113" s="347"/>
      <c r="B113" s="540">
        <v>109</v>
      </c>
      <c r="C113" s="538" t="s">
        <v>1497</v>
      </c>
      <c r="D113" s="527">
        <v>109</v>
      </c>
      <c r="E113" s="528" t="s">
        <v>726</v>
      </c>
      <c r="F113" s="528">
        <v>1210344</v>
      </c>
      <c r="G113" s="528" t="s">
        <v>1194</v>
      </c>
      <c r="H113" s="528" t="s">
        <v>1194</v>
      </c>
      <c r="I113" s="527" t="s">
        <v>1548</v>
      </c>
      <c r="J113" s="527" t="s">
        <v>1548</v>
      </c>
      <c r="K113" s="529"/>
      <c r="L113" s="530">
        <v>1054939</v>
      </c>
      <c r="M113" s="528" t="s">
        <v>1644</v>
      </c>
      <c r="N113" s="528" t="s">
        <v>976</v>
      </c>
      <c r="O113" s="528" t="s">
        <v>851</v>
      </c>
      <c r="P113" s="528" t="s">
        <v>852</v>
      </c>
      <c r="Q113" s="528" t="s">
        <v>976</v>
      </c>
      <c r="R113" s="528" t="s">
        <v>851</v>
      </c>
      <c r="S113" s="528" t="s">
        <v>852</v>
      </c>
      <c r="T113" s="531"/>
      <c r="U113" s="349" t="str">
        <f t="shared" si="10"/>
        <v>〇</v>
      </c>
      <c r="V113" s="349" t="str">
        <f t="shared" si="11"/>
        <v>〇</v>
      </c>
      <c r="W113" s="349" t="str">
        <f t="shared" si="12"/>
        <v>〇</v>
      </c>
      <c r="X113" s="559" t="s">
        <v>1497</v>
      </c>
      <c r="Y113" s="557" t="str">
        <f t="shared" si="13"/>
        <v>〇</v>
      </c>
      <c r="Z113" s="559" t="s">
        <v>976</v>
      </c>
      <c r="AA113" s="559" t="s">
        <v>851</v>
      </c>
      <c r="AB113" s="559" t="s">
        <v>852</v>
      </c>
      <c r="AC113" s="559" t="str">
        <f t="shared" si="14"/>
        <v>〇</v>
      </c>
      <c r="AD113" s="559" t="str">
        <f t="shared" si="15"/>
        <v>〇</v>
      </c>
      <c r="AE113" s="559" t="str">
        <f t="shared" si="16"/>
        <v>〇</v>
      </c>
      <c r="AH113" s="378" t="s">
        <v>1193</v>
      </c>
      <c r="AI113" s="378" t="str">
        <f t="shared" si="17"/>
        <v>✕</v>
      </c>
      <c r="AJ113" s="378" t="s">
        <v>1496</v>
      </c>
      <c r="AK113" s="467" t="str">
        <f t="shared" si="18"/>
        <v>✕</v>
      </c>
      <c r="AL113" s="467"/>
      <c r="AM113" s="467"/>
      <c r="AN113" s="467"/>
      <c r="AO113" s="467"/>
    </row>
    <row r="114" spans="1:41" ht="21.75" customHeight="1">
      <c r="A114" s="347"/>
      <c r="B114" s="540">
        <v>110</v>
      </c>
      <c r="C114" s="538" t="s">
        <v>1498</v>
      </c>
      <c r="D114" s="527">
        <v>110</v>
      </c>
      <c r="E114" s="528" t="s">
        <v>727</v>
      </c>
      <c r="F114" s="528">
        <v>1210346</v>
      </c>
      <c r="G114" s="528" t="s">
        <v>1195</v>
      </c>
      <c r="H114" s="528" t="s">
        <v>1195</v>
      </c>
      <c r="I114" s="527" t="s">
        <v>1548</v>
      </c>
      <c r="J114" s="527" t="s">
        <v>1548</v>
      </c>
      <c r="K114" s="529"/>
      <c r="L114" s="530">
        <v>1061825</v>
      </c>
      <c r="M114" s="528" t="s">
        <v>1657</v>
      </c>
      <c r="N114" s="528" t="s">
        <v>931</v>
      </c>
      <c r="O114" s="528" t="s">
        <v>848</v>
      </c>
      <c r="P114" s="528" t="s">
        <v>930</v>
      </c>
      <c r="Q114" s="528" t="s">
        <v>931</v>
      </c>
      <c r="R114" s="528" t="s">
        <v>848</v>
      </c>
      <c r="S114" s="528" t="s">
        <v>930</v>
      </c>
      <c r="T114" s="531"/>
      <c r="U114" s="349" t="str">
        <f t="shared" si="10"/>
        <v>〇</v>
      </c>
      <c r="V114" s="349" t="str">
        <f t="shared" si="11"/>
        <v>〇</v>
      </c>
      <c r="W114" s="349" t="str">
        <f t="shared" si="12"/>
        <v>〇</v>
      </c>
      <c r="X114" s="559" t="s">
        <v>1498</v>
      </c>
      <c r="Y114" s="557" t="str">
        <f t="shared" si="13"/>
        <v>〇</v>
      </c>
      <c r="Z114" s="559" t="s">
        <v>931</v>
      </c>
      <c r="AA114" s="559" t="s">
        <v>848</v>
      </c>
      <c r="AB114" s="559" t="s">
        <v>930</v>
      </c>
      <c r="AC114" s="559" t="str">
        <f t="shared" si="14"/>
        <v>〇</v>
      </c>
      <c r="AD114" s="559" t="str">
        <f t="shared" si="15"/>
        <v>〇</v>
      </c>
      <c r="AE114" s="559" t="str">
        <f t="shared" si="16"/>
        <v>〇</v>
      </c>
      <c r="AH114" s="378" t="s">
        <v>1194</v>
      </c>
      <c r="AI114" s="378" t="str">
        <f t="shared" si="17"/>
        <v>✕</v>
      </c>
      <c r="AJ114" s="378" t="s">
        <v>1497</v>
      </c>
      <c r="AK114" s="467" t="str">
        <f t="shared" si="18"/>
        <v>✕</v>
      </c>
      <c r="AL114" s="467"/>
      <c r="AM114" s="467"/>
      <c r="AN114" s="467"/>
      <c r="AO114" s="467"/>
    </row>
    <row r="115" spans="1:41" ht="21.75" customHeight="1">
      <c r="A115" s="347"/>
      <c r="B115" s="540">
        <v>111</v>
      </c>
      <c r="C115" s="538" t="s">
        <v>1499</v>
      </c>
      <c r="D115" s="527">
        <v>111</v>
      </c>
      <c r="E115" s="528" t="s">
        <v>728</v>
      </c>
      <c r="F115" s="528">
        <v>1210347</v>
      </c>
      <c r="G115" s="528" t="s">
        <v>1196</v>
      </c>
      <c r="H115" s="528" t="s">
        <v>1196</v>
      </c>
      <c r="I115" s="527" t="s">
        <v>1548</v>
      </c>
      <c r="J115" s="527" t="s">
        <v>1548</v>
      </c>
      <c r="K115" s="529"/>
      <c r="L115" s="530">
        <v>1066516</v>
      </c>
      <c r="M115" s="528" t="s">
        <v>1660</v>
      </c>
      <c r="N115" s="528" t="s">
        <v>971</v>
      </c>
      <c r="O115" s="528" t="s">
        <v>848</v>
      </c>
      <c r="P115" s="528" t="s">
        <v>970</v>
      </c>
      <c r="Q115" s="528" t="s">
        <v>971</v>
      </c>
      <c r="R115" s="528" t="s">
        <v>848</v>
      </c>
      <c r="S115" s="528" t="s">
        <v>970</v>
      </c>
      <c r="T115" s="531"/>
      <c r="U115" s="349" t="str">
        <f t="shared" si="10"/>
        <v>〇</v>
      </c>
      <c r="V115" s="349" t="str">
        <f t="shared" si="11"/>
        <v>〇</v>
      </c>
      <c r="W115" s="349" t="str">
        <f t="shared" si="12"/>
        <v>〇</v>
      </c>
      <c r="X115" s="559" t="s">
        <v>1499</v>
      </c>
      <c r="Y115" s="557" t="str">
        <f t="shared" si="13"/>
        <v>〇</v>
      </c>
      <c r="Z115" s="559" t="s">
        <v>971</v>
      </c>
      <c r="AA115" s="559" t="s">
        <v>848</v>
      </c>
      <c r="AB115" s="559" t="s">
        <v>970</v>
      </c>
      <c r="AC115" s="559" t="str">
        <f t="shared" si="14"/>
        <v>〇</v>
      </c>
      <c r="AD115" s="559" t="str">
        <f t="shared" si="15"/>
        <v>〇</v>
      </c>
      <c r="AE115" s="559" t="str">
        <f t="shared" si="16"/>
        <v>〇</v>
      </c>
      <c r="AH115" s="378" t="s">
        <v>1195</v>
      </c>
      <c r="AI115" s="378" t="str">
        <f t="shared" si="17"/>
        <v>✕</v>
      </c>
      <c r="AJ115" s="378" t="s">
        <v>1498</v>
      </c>
      <c r="AK115" s="467" t="str">
        <f t="shared" si="18"/>
        <v>✕</v>
      </c>
      <c r="AL115" s="467"/>
      <c r="AM115" s="467"/>
      <c r="AN115" s="467"/>
      <c r="AO115" s="467"/>
    </row>
    <row r="116" spans="1:41" ht="21.75" customHeight="1">
      <c r="A116" s="347"/>
      <c r="B116" s="540">
        <v>112</v>
      </c>
      <c r="C116" s="538" t="s">
        <v>1500</v>
      </c>
      <c r="D116" s="527">
        <v>112</v>
      </c>
      <c r="E116" s="528" t="s">
        <v>729</v>
      </c>
      <c r="F116" s="528">
        <v>1210348</v>
      </c>
      <c r="G116" s="528" t="s">
        <v>1197</v>
      </c>
      <c r="H116" s="528" t="s">
        <v>1197</v>
      </c>
      <c r="I116" s="527" t="s">
        <v>1548</v>
      </c>
      <c r="J116" s="527" t="s">
        <v>1548</v>
      </c>
      <c r="K116" s="529"/>
      <c r="L116" s="530">
        <v>1064019</v>
      </c>
      <c r="M116" s="528" t="s">
        <v>1661</v>
      </c>
      <c r="N116" s="528" t="s">
        <v>978</v>
      </c>
      <c r="O116" s="528" t="s">
        <v>848</v>
      </c>
      <c r="P116" s="528" t="s">
        <v>977</v>
      </c>
      <c r="Q116" s="528" t="s">
        <v>978</v>
      </c>
      <c r="R116" s="528" t="s">
        <v>848</v>
      </c>
      <c r="S116" s="528" t="s">
        <v>977</v>
      </c>
      <c r="T116" s="531"/>
      <c r="U116" s="349" t="str">
        <f t="shared" si="10"/>
        <v>〇</v>
      </c>
      <c r="V116" s="349" t="str">
        <f t="shared" si="11"/>
        <v>〇</v>
      </c>
      <c r="W116" s="349" t="str">
        <f t="shared" si="12"/>
        <v>〇</v>
      </c>
      <c r="X116" s="559" t="s">
        <v>1500</v>
      </c>
      <c r="Y116" s="557" t="str">
        <f t="shared" si="13"/>
        <v>〇</v>
      </c>
      <c r="Z116" s="559" t="s">
        <v>978</v>
      </c>
      <c r="AA116" s="559" t="s">
        <v>848</v>
      </c>
      <c r="AB116" s="559" t="s">
        <v>977</v>
      </c>
      <c r="AC116" s="559" t="str">
        <f t="shared" si="14"/>
        <v>〇</v>
      </c>
      <c r="AD116" s="559" t="str">
        <f t="shared" si="15"/>
        <v>〇</v>
      </c>
      <c r="AE116" s="559" t="str">
        <f t="shared" si="16"/>
        <v>〇</v>
      </c>
      <c r="AH116" s="378" t="s">
        <v>1196</v>
      </c>
      <c r="AI116" s="378" t="str">
        <f t="shared" si="17"/>
        <v>✕</v>
      </c>
      <c r="AJ116" s="378" t="s">
        <v>1499</v>
      </c>
      <c r="AK116" s="467" t="str">
        <f t="shared" si="18"/>
        <v>✕</v>
      </c>
      <c r="AL116" s="467"/>
      <c r="AM116" s="467"/>
      <c r="AN116" s="467"/>
      <c r="AO116" s="467"/>
    </row>
    <row r="117" spans="1:41" ht="21.75" customHeight="1">
      <c r="A117" s="347"/>
      <c r="B117" s="540">
        <v>113</v>
      </c>
      <c r="C117" s="538" t="s">
        <v>1501</v>
      </c>
      <c r="D117" s="527">
        <v>113</v>
      </c>
      <c r="E117" s="528" t="s">
        <v>730</v>
      </c>
      <c r="F117" s="528">
        <v>1210352</v>
      </c>
      <c r="G117" s="528" t="s">
        <v>1198</v>
      </c>
      <c r="H117" s="528" t="s">
        <v>1198</v>
      </c>
      <c r="I117" s="527" t="s">
        <v>1548</v>
      </c>
      <c r="J117" s="527" t="s">
        <v>1548</v>
      </c>
      <c r="K117" s="529"/>
      <c r="L117" s="530">
        <v>1049868</v>
      </c>
      <c r="M117" s="528" t="s">
        <v>979</v>
      </c>
      <c r="N117" s="528" t="s">
        <v>981</v>
      </c>
      <c r="O117" s="528" t="s">
        <v>848</v>
      </c>
      <c r="P117" s="528" t="s">
        <v>980</v>
      </c>
      <c r="Q117" s="528" t="s">
        <v>981</v>
      </c>
      <c r="R117" s="528" t="s">
        <v>848</v>
      </c>
      <c r="S117" s="528" t="s">
        <v>980</v>
      </c>
      <c r="T117" s="531"/>
      <c r="U117" s="349" t="str">
        <f t="shared" si="10"/>
        <v>〇</v>
      </c>
      <c r="V117" s="349" t="str">
        <f t="shared" si="11"/>
        <v>〇</v>
      </c>
      <c r="W117" s="349" t="str">
        <f t="shared" si="12"/>
        <v>〇</v>
      </c>
      <c r="X117" s="559" t="s">
        <v>1501</v>
      </c>
      <c r="Y117" s="557" t="str">
        <f t="shared" si="13"/>
        <v>〇</v>
      </c>
      <c r="Z117" s="559" t="s">
        <v>981</v>
      </c>
      <c r="AA117" s="559" t="s">
        <v>848</v>
      </c>
      <c r="AB117" s="559" t="s">
        <v>980</v>
      </c>
      <c r="AC117" s="559" t="str">
        <f t="shared" si="14"/>
        <v>〇</v>
      </c>
      <c r="AD117" s="559" t="str">
        <f t="shared" si="15"/>
        <v>〇</v>
      </c>
      <c r="AE117" s="559" t="str">
        <f t="shared" si="16"/>
        <v>〇</v>
      </c>
      <c r="AH117" s="378" t="s">
        <v>1197</v>
      </c>
      <c r="AI117" s="378" t="str">
        <f t="shared" si="17"/>
        <v>✕</v>
      </c>
      <c r="AJ117" s="378" t="s">
        <v>1500</v>
      </c>
      <c r="AK117" s="467" t="str">
        <f t="shared" si="18"/>
        <v>✕</v>
      </c>
      <c r="AL117" s="467"/>
      <c r="AM117" s="467"/>
      <c r="AN117" s="467"/>
      <c r="AO117" s="467"/>
    </row>
    <row r="118" spans="1:41" ht="21.75" customHeight="1">
      <c r="A118" s="347"/>
      <c r="B118" s="540">
        <v>114</v>
      </c>
      <c r="C118" s="538" t="s">
        <v>591</v>
      </c>
      <c r="D118" s="527">
        <v>114</v>
      </c>
      <c r="E118" s="528" t="s">
        <v>731</v>
      </c>
      <c r="F118" s="528">
        <v>1210353</v>
      </c>
      <c r="G118" s="528" t="s">
        <v>1199</v>
      </c>
      <c r="H118" s="528" t="s">
        <v>1199</v>
      </c>
      <c r="I118" s="527" t="s">
        <v>1548</v>
      </c>
      <c r="J118" s="527" t="s">
        <v>1548</v>
      </c>
      <c r="K118" s="529"/>
      <c r="L118" s="530">
        <v>1064766</v>
      </c>
      <c r="M118" s="528" t="s">
        <v>1662</v>
      </c>
      <c r="N118" s="528" t="s">
        <v>983</v>
      </c>
      <c r="O118" s="528" t="s">
        <v>848</v>
      </c>
      <c r="P118" s="528" t="s">
        <v>982</v>
      </c>
      <c r="Q118" s="528" t="s">
        <v>983</v>
      </c>
      <c r="R118" s="528" t="s">
        <v>848</v>
      </c>
      <c r="S118" s="528" t="s">
        <v>982</v>
      </c>
      <c r="T118" s="531"/>
      <c r="U118" s="349" t="str">
        <f t="shared" si="10"/>
        <v>〇</v>
      </c>
      <c r="V118" s="349" t="str">
        <f t="shared" si="11"/>
        <v>〇</v>
      </c>
      <c r="W118" s="349" t="str">
        <f t="shared" si="12"/>
        <v>〇</v>
      </c>
      <c r="X118" s="559" t="s">
        <v>591</v>
      </c>
      <c r="Y118" s="557" t="str">
        <f t="shared" si="13"/>
        <v>〇</v>
      </c>
      <c r="Z118" s="559" t="s">
        <v>983</v>
      </c>
      <c r="AA118" s="559" t="s">
        <v>848</v>
      </c>
      <c r="AB118" s="559" t="s">
        <v>982</v>
      </c>
      <c r="AC118" s="559" t="str">
        <f t="shared" si="14"/>
        <v>〇</v>
      </c>
      <c r="AD118" s="559" t="str">
        <f t="shared" si="15"/>
        <v>〇</v>
      </c>
      <c r="AE118" s="559" t="str">
        <f t="shared" si="16"/>
        <v>〇</v>
      </c>
      <c r="AH118" s="378" t="s">
        <v>1198</v>
      </c>
      <c r="AI118" s="378" t="str">
        <f t="shared" si="17"/>
        <v>✕</v>
      </c>
      <c r="AJ118" s="378" t="s">
        <v>1501</v>
      </c>
      <c r="AK118" s="467" t="str">
        <f t="shared" si="18"/>
        <v>✕</v>
      </c>
      <c r="AL118" s="467"/>
      <c r="AM118" s="467"/>
      <c r="AN118" s="467"/>
      <c r="AO118" s="467"/>
    </row>
    <row r="119" spans="1:41" ht="21.75" customHeight="1">
      <c r="A119" s="347"/>
      <c r="B119" s="540">
        <v>115</v>
      </c>
      <c r="C119" s="538" t="s">
        <v>1973</v>
      </c>
      <c r="D119" s="527">
        <v>115</v>
      </c>
      <c r="E119" s="528" t="s">
        <v>732</v>
      </c>
      <c r="F119" s="528">
        <v>1210401</v>
      </c>
      <c r="G119" s="528" t="s">
        <v>1200</v>
      </c>
      <c r="H119" s="528" t="s">
        <v>1200</v>
      </c>
      <c r="I119" s="527" t="s">
        <v>1548</v>
      </c>
      <c r="J119" s="527" t="s">
        <v>1548</v>
      </c>
      <c r="K119" s="529"/>
      <c r="L119" s="530">
        <v>1075222</v>
      </c>
      <c r="M119" s="528" t="s">
        <v>2134</v>
      </c>
      <c r="N119" s="528" t="s">
        <v>2363</v>
      </c>
      <c r="O119" s="528" t="s">
        <v>848</v>
      </c>
      <c r="P119" s="528" t="s">
        <v>984</v>
      </c>
      <c r="Q119" s="528" t="s">
        <v>2363</v>
      </c>
      <c r="R119" s="528" t="s">
        <v>848</v>
      </c>
      <c r="S119" s="528" t="s">
        <v>984</v>
      </c>
      <c r="T119" s="531"/>
      <c r="U119" s="349" t="str">
        <f t="shared" si="10"/>
        <v>〇</v>
      </c>
      <c r="V119" s="349" t="str">
        <f t="shared" si="11"/>
        <v>〇</v>
      </c>
      <c r="W119" s="349" t="str">
        <f t="shared" si="12"/>
        <v>〇</v>
      </c>
      <c r="X119" s="559" t="s">
        <v>1973</v>
      </c>
      <c r="Y119" s="557" t="str">
        <f t="shared" si="13"/>
        <v>〇</v>
      </c>
      <c r="Z119" s="559" t="s">
        <v>1821</v>
      </c>
      <c r="AA119" s="559" t="s">
        <v>848</v>
      </c>
      <c r="AB119" s="559" t="s">
        <v>984</v>
      </c>
      <c r="AC119" s="559" t="str">
        <f t="shared" si="14"/>
        <v>✕</v>
      </c>
      <c r="AD119" s="559" t="str">
        <f t="shared" si="15"/>
        <v>〇</v>
      </c>
      <c r="AE119" s="559" t="str">
        <f t="shared" si="16"/>
        <v>〇</v>
      </c>
      <c r="AH119" s="378" t="s">
        <v>1199</v>
      </c>
      <c r="AI119" s="378" t="str">
        <f t="shared" si="17"/>
        <v>✕</v>
      </c>
      <c r="AJ119" s="378" t="s">
        <v>591</v>
      </c>
      <c r="AK119" s="467" t="str">
        <f t="shared" si="18"/>
        <v>✕</v>
      </c>
      <c r="AL119" s="467"/>
      <c r="AM119" s="467"/>
      <c r="AN119" s="467"/>
      <c r="AO119" s="467"/>
    </row>
    <row r="120" spans="1:41" ht="21.75" customHeight="1">
      <c r="A120" s="347"/>
      <c r="B120" s="540">
        <v>116</v>
      </c>
      <c r="C120" s="538" t="s">
        <v>586</v>
      </c>
      <c r="D120" s="527">
        <v>116</v>
      </c>
      <c r="E120" s="528" t="s">
        <v>733</v>
      </c>
      <c r="F120" s="528">
        <v>1210355</v>
      </c>
      <c r="G120" s="528" t="s">
        <v>1201</v>
      </c>
      <c r="H120" s="528" t="s">
        <v>1201</v>
      </c>
      <c r="I120" s="527" t="s">
        <v>1548</v>
      </c>
      <c r="J120" s="527" t="s">
        <v>1548</v>
      </c>
      <c r="K120" s="529"/>
      <c r="L120" s="530">
        <v>1041410</v>
      </c>
      <c r="M120" s="528" t="s">
        <v>839</v>
      </c>
      <c r="N120" s="528" t="s">
        <v>841</v>
      </c>
      <c r="O120" s="528" t="s">
        <v>768</v>
      </c>
      <c r="P120" s="528" t="s">
        <v>840</v>
      </c>
      <c r="Q120" s="528" t="s">
        <v>841</v>
      </c>
      <c r="R120" s="528" t="s">
        <v>768</v>
      </c>
      <c r="S120" s="528" t="s">
        <v>840</v>
      </c>
      <c r="T120" s="531"/>
      <c r="U120" s="349" t="str">
        <f t="shared" si="10"/>
        <v>〇</v>
      </c>
      <c r="V120" s="349" t="str">
        <f t="shared" si="11"/>
        <v>〇</v>
      </c>
      <c r="W120" s="349" t="str">
        <f t="shared" si="12"/>
        <v>〇</v>
      </c>
      <c r="X120" s="559" t="s">
        <v>586</v>
      </c>
      <c r="Y120" s="557" t="str">
        <f t="shared" si="13"/>
        <v>〇</v>
      </c>
      <c r="Z120" s="559" t="s">
        <v>841</v>
      </c>
      <c r="AA120" s="559" t="s">
        <v>768</v>
      </c>
      <c r="AB120" s="559" t="s">
        <v>840</v>
      </c>
      <c r="AC120" s="559" t="str">
        <f t="shared" si="14"/>
        <v>〇</v>
      </c>
      <c r="AD120" s="559" t="str">
        <f t="shared" si="15"/>
        <v>〇</v>
      </c>
      <c r="AE120" s="559" t="str">
        <f t="shared" si="16"/>
        <v>〇</v>
      </c>
      <c r="AH120" s="378" t="s">
        <v>1200</v>
      </c>
      <c r="AI120" s="378" t="str">
        <f t="shared" si="17"/>
        <v>✕</v>
      </c>
      <c r="AJ120" s="378" t="s">
        <v>555</v>
      </c>
      <c r="AK120" s="467" t="str">
        <f t="shared" si="18"/>
        <v>✕</v>
      </c>
      <c r="AL120" s="467"/>
      <c r="AM120" s="467"/>
      <c r="AN120" s="467"/>
      <c r="AO120" s="467"/>
    </row>
    <row r="121" spans="1:41" ht="21.75" customHeight="1">
      <c r="A121" s="347"/>
      <c r="B121" s="540">
        <v>117</v>
      </c>
      <c r="C121" s="538" t="s">
        <v>1502</v>
      </c>
      <c r="D121" s="527">
        <v>117</v>
      </c>
      <c r="E121" s="528" t="s">
        <v>734</v>
      </c>
      <c r="F121" s="528">
        <v>1210494</v>
      </c>
      <c r="G121" s="528" t="s">
        <v>1202</v>
      </c>
      <c r="H121" s="528" t="s">
        <v>1202</v>
      </c>
      <c r="I121" s="527" t="s">
        <v>1548</v>
      </c>
      <c r="J121" s="527" t="s">
        <v>1548</v>
      </c>
      <c r="K121" s="529"/>
      <c r="L121" s="530">
        <v>1017501</v>
      </c>
      <c r="M121" s="528" t="s">
        <v>823</v>
      </c>
      <c r="N121" s="528" t="s">
        <v>985</v>
      </c>
      <c r="O121" s="528" t="s">
        <v>768</v>
      </c>
      <c r="P121" s="528" t="s">
        <v>824</v>
      </c>
      <c r="Q121" s="528" t="s">
        <v>985</v>
      </c>
      <c r="R121" s="528" t="s">
        <v>768</v>
      </c>
      <c r="S121" s="528" t="s">
        <v>824</v>
      </c>
      <c r="T121" s="531"/>
      <c r="U121" s="349" t="str">
        <f t="shared" si="10"/>
        <v>〇</v>
      </c>
      <c r="V121" s="349" t="str">
        <f t="shared" si="11"/>
        <v>〇</v>
      </c>
      <c r="W121" s="349" t="str">
        <f t="shared" si="12"/>
        <v>〇</v>
      </c>
      <c r="X121" s="559" t="s">
        <v>1502</v>
      </c>
      <c r="Y121" s="557" t="str">
        <f t="shared" si="13"/>
        <v>〇</v>
      </c>
      <c r="Z121" s="559" t="s">
        <v>985</v>
      </c>
      <c r="AA121" s="559" t="s">
        <v>768</v>
      </c>
      <c r="AB121" s="559" t="s">
        <v>824</v>
      </c>
      <c r="AC121" s="559" t="str">
        <f t="shared" si="14"/>
        <v>〇</v>
      </c>
      <c r="AD121" s="559" t="str">
        <f t="shared" si="15"/>
        <v>〇</v>
      </c>
      <c r="AE121" s="559" t="str">
        <f t="shared" si="16"/>
        <v>〇</v>
      </c>
      <c r="AH121" s="378" t="s">
        <v>1201</v>
      </c>
      <c r="AI121" s="378" t="str">
        <f t="shared" si="17"/>
        <v>✕</v>
      </c>
      <c r="AJ121" s="378" t="s">
        <v>586</v>
      </c>
      <c r="AK121" s="467" t="str">
        <f t="shared" si="18"/>
        <v>✕</v>
      </c>
      <c r="AL121" s="467"/>
      <c r="AM121" s="467"/>
      <c r="AN121" s="467"/>
      <c r="AO121" s="467"/>
    </row>
    <row r="122" spans="1:41" ht="21.75" customHeight="1">
      <c r="A122" s="347"/>
      <c r="B122" s="540">
        <v>118</v>
      </c>
      <c r="C122" s="538" t="s">
        <v>1503</v>
      </c>
      <c r="D122" s="527">
        <v>118</v>
      </c>
      <c r="E122" s="528" t="s">
        <v>735</v>
      </c>
      <c r="F122" s="528">
        <v>1210495</v>
      </c>
      <c r="G122" s="528" t="s">
        <v>1203</v>
      </c>
      <c r="H122" s="528" t="s">
        <v>1203</v>
      </c>
      <c r="I122" s="527" t="s">
        <v>1548</v>
      </c>
      <c r="J122" s="527" t="s">
        <v>1548</v>
      </c>
      <c r="K122" s="529"/>
      <c r="L122" s="530">
        <v>1066516</v>
      </c>
      <c r="M122" s="528" t="s">
        <v>1660</v>
      </c>
      <c r="N122" s="528" t="s">
        <v>971</v>
      </c>
      <c r="O122" s="528" t="s">
        <v>848</v>
      </c>
      <c r="P122" s="528" t="s">
        <v>970</v>
      </c>
      <c r="Q122" s="528" t="s">
        <v>971</v>
      </c>
      <c r="R122" s="528" t="s">
        <v>848</v>
      </c>
      <c r="S122" s="528" t="s">
        <v>970</v>
      </c>
      <c r="T122" s="531"/>
      <c r="U122" s="349" t="str">
        <f t="shared" si="10"/>
        <v>〇</v>
      </c>
      <c r="V122" s="349" t="str">
        <f t="shared" si="11"/>
        <v>〇</v>
      </c>
      <c r="W122" s="349" t="str">
        <f t="shared" si="12"/>
        <v>〇</v>
      </c>
      <c r="X122" s="559" t="s">
        <v>1503</v>
      </c>
      <c r="Y122" s="557" t="str">
        <f t="shared" si="13"/>
        <v>〇</v>
      </c>
      <c r="Z122" s="559" t="s">
        <v>971</v>
      </c>
      <c r="AA122" s="559" t="s">
        <v>848</v>
      </c>
      <c r="AB122" s="559" t="s">
        <v>970</v>
      </c>
      <c r="AC122" s="559" t="str">
        <f t="shared" si="14"/>
        <v>〇</v>
      </c>
      <c r="AD122" s="559" t="str">
        <f t="shared" si="15"/>
        <v>〇</v>
      </c>
      <c r="AE122" s="559" t="str">
        <f t="shared" si="16"/>
        <v>〇</v>
      </c>
      <c r="AH122" s="378" t="s">
        <v>1202</v>
      </c>
      <c r="AI122" s="378" t="str">
        <f t="shared" si="17"/>
        <v>✕</v>
      </c>
      <c r="AJ122" s="378" t="s">
        <v>1502</v>
      </c>
      <c r="AK122" s="467" t="str">
        <f t="shared" si="18"/>
        <v>✕</v>
      </c>
      <c r="AL122" s="467"/>
      <c r="AM122" s="467"/>
      <c r="AN122" s="467"/>
      <c r="AO122" s="467"/>
    </row>
    <row r="123" spans="1:41" ht="21.75" customHeight="1">
      <c r="A123" s="347"/>
      <c r="B123" s="540">
        <v>119</v>
      </c>
      <c r="C123" s="538" t="s">
        <v>1504</v>
      </c>
      <c r="D123" s="527">
        <v>119</v>
      </c>
      <c r="E123" s="528" t="s">
        <v>736</v>
      </c>
      <c r="F123" s="528">
        <v>1210496</v>
      </c>
      <c r="G123" s="528" t="s">
        <v>1204</v>
      </c>
      <c r="H123" s="528" t="s">
        <v>1204</v>
      </c>
      <c r="I123" s="527" t="s">
        <v>1548</v>
      </c>
      <c r="J123" s="527" t="s">
        <v>1548</v>
      </c>
      <c r="K123" s="529"/>
      <c r="L123" s="530">
        <v>1069378</v>
      </c>
      <c r="M123" s="528" t="s">
        <v>986</v>
      </c>
      <c r="N123" s="528" t="s">
        <v>1868</v>
      </c>
      <c r="O123" s="528" t="s">
        <v>2168</v>
      </c>
      <c r="P123" s="528" t="s">
        <v>2169</v>
      </c>
      <c r="Q123" s="528" t="s">
        <v>2170</v>
      </c>
      <c r="R123" s="528" t="s">
        <v>1869</v>
      </c>
      <c r="S123" s="528" t="s">
        <v>1695</v>
      </c>
      <c r="T123" s="531" t="s">
        <v>2153</v>
      </c>
      <c r="U123" s="349" t="str">
        <f t="shared" si="10"/>
        <v>✕</v>
      </c>
      <c r="V123" s="349" t="str">
        <f t="shared" si="11"/>
        <v>✕</v>
      </c>
      <c r="W123" s="349" t="str">
        <f t="shared" si="12"/>
        <v>✕</v>
      </c>
      <c r="X123" s="559" t="s">
        <v>1504</v>
      </c>
      <c r="Y123" s="557" t="str">
        <f t="shared" si="13"/>
        <v>〇</v>
      </c>
      <c r="Z123" s="559" t="s">
        <v>1868</v>
      </c>
      <c r="AA123" s="559" t="s">
        <v>1869</v>
      </c>
      <c r="AB123" s="559" t="s">
        <v>1695</v>
      </c>
      <c r="AC123" s="559" t="str">
        <f t="shared" si="14"/>
        <v>✕</v>
      </c>
      <c r="AD123" s="559" t="str">
        <f t="shared" si="15"/>
        <v>〇</v>
      </c>
      <c r="AE123" s="559" t="str">
        <f t="shared" si="16"/>
        <v>〇</v>
      </c>
      <c r="AH123" s="378" t="s">
        <v>1203</v>
      </c>
      <c r="AI123" s="378" t="str">
        <f t="shared" si="17"/>
        <v>✕</v>
      </c>
      <c r="AJ123" s="378" t="s">
        <v>1503</v>
      </c>
      <c r="AK123" s="467" t="str">
        <f t="shared" si="18"/>
        <v>✕</v>
      </c>
      <c r="AL123" s="467"/>
      <c r="AM123" s="467"/>
      <c r="AN123" s="467"/>
      <c r="AO123" s="467"/>
    </row>
    <row r="124" spans="1:41" ht="21.75" customHeight="1">
      <c r="A124" s="347"/>
      <c r="B124" s="540">
        <v>120</v>
      </c>
      <c r="C124" s="538" t="s">
        <v>1505</v>
      </c>
      <c r="D124" s="527">
        <v>120</v>
      </c>
      <c r="E124" s="528" t="s">
        <v>737</v>
      </c>
      <c r="F124" s="528">
        <v>1210497</v>
      </c>
      <c r="G124" s="528" t="s">
        <v>1205</v>
      </c>
      <c r="H124" s="528" t="s">
        <v>1205</v>
      </c>
      <c r="I124" s="527" t="s">
        <v>1548</v>
      </c>
      <c r="J124" s="527" t="s">
        <v>1548</v>
      </c>
      <c r="K124" s="529"/>
      <c r="L124" s="530">
        <v>1059654</v>
      </c>
      <c r="M124" s="528" t="s">
        <v>972</v>
      </c>
      <c r="N124" s="528" t="s">
        <v>974</v>
      </c>
      <c r="O124" s="528" t="s">
        <v>848</v>
      </c>
      <c r="P124" s="528" t="s">
        <v>973</v>
      </c>
      <c r="Q124" s="528" t="s">
        <v>974</v>
      </c>
      <c r="R124" s="528" t="s">
        <v>848</v>
      </c>
      <c r="S124" s="528" t="s">
        <v>973</v>
      </c>
      <c r="T124" s="531"/>
      <c r="U124" s="349" t="str">
        <f t="shared" si="10"/>
        <v>〇</v>
      </c>
      <c r="V124" s="349" t="str">
        <f t="shared" si="11"/>
        <v>〇</v>
      </c>
      <c r="W124" s="349" t="str">
        <f t="shared" si="12"/>
        <v>〇</v>
      </c>
      <c r="X124" s="559" t="s">
        <v>1505</v>
      </c>
      <c r="Y124" s="557" t="str">
        <f t="shared" si="13"/>
        <v>〇</v>
      </c>
      <c r="Z124" s="559" t="s">
        <v>974</v>
      </c>
      <c r="AA124" s="559" t="s">
        <v>848</v>
      </c>
      <c r="AB124" s="559" t="s">
        <v>973</v>
      </c>
      <c r="AC124" s="559" t="str">
        <f t="shared" si="14"/>
        <v>〇</v>
      </c>
      <c r="AD124" s="559" t="str">
        <f t="shared" si="15"/>
        <v>〇</v>
      </c>
      <c r="AE124" s="559" t="str">
        <f t="shared" si="16"/>
        <v>〇</v>
      </c>
      <c r="AH124" s="378" t="s">
        <v>1204</v>
      </c>
      <c r="AI124" s="378" t="str">
        <f t="shared" si="17"/>
        <v>✕</v>
      </c>
      <c r="AJ124" s="378" t="s">
        <v>1504</v>
      </c>
      <c r="AK124" s="467" t="str">
        <f t="shared" si="18"/>
        <v>✕</v>
      </c>
      <c r="AL124" s="467"/>
      <c r="AM124" s="467"/>
      <c r="AN124" s="467"/>
      <c r="AO124" s="467"/>
    </row>
    <row r="125" spans="1:41" ht="21.75" customHeight="1">
      <c r="A125" s="347"/>
      <c r="B125" s="540">
        <v>121</v>
      </c>
      <c r="C125" s="538" t="s">
        <v>2376</v>
      </c>
      <c r="D125" s="527">
        <v>121</v>
      </c>
      <c r="E125" s="528" t="s">
        <v>738</v>
      </c>
      <c r="F125" s="528">
        <v>1210498</v>
      </c>
      <c r="G125" s="528" t="s">
        <v>1206</v>
      </c>
      <c r="H125" s="528" t="s">
        <v>1206</v>
      </c>
      <c r="I125" s="527" t="s">
        <v>1548</v>
      </c>
      <c r="J125" s="527" t="s">
        <v>1548</v>
      </c>
      <c r="K125" s="529"/>
      <c r="L125" s="530">
        <v>1075222</v>
      </c>
      <c r="M125" s="528" t="s">
        <v>2134</v>
      </c>
      <c r="N125" s="528" t="s">
        <v>2363</v>
      </c>
      <c r="O125" s="528" t="s">
        <v>848</v>
      </c>
      <c r="P125" s="528" t="s">
        <v>984</v>
      </c>
      <c r="Q125" s="528" t="s">
        <v>2363</v>
      </c>
      <c r="R125" s="528" t="s">
        <v>848</v>
      </c>
      <c r="S125" s="528" t="s">
        <v>984</v>
      </c>
      <c r="T125" s="531"/>
      <c r="U125" s="349" t="str">
        <f t="shared" si="10"/>
        <v>〇</v>
      </c>
      <c r="V125" s="349" t="str">
        <f t="shared" si="11"/>
        <v>〇</v>
      </c>
      <c r="W125" s="349" t="str">
        <f t="shared" si="12"/>
        <v>〇</v>
      </c>
      <c r="X125" s="559" t="s">
        <v>2376</v>
      </c>
      <c r="Y125" s="557" t="str">
        <f t="shared" si="13"/>
        <v>〇</v>
      </c>
      <c r="Z125" s="559" t="s">
        <v>1995</v>
      </c>
      <c r="AA125" s="559" t="s">
        <v>848</v>
      </c>
      <c r="AB125" s="559" t="s">
        <v>984</v>
      </c>
      <c r="AC125" s="559" t="str">
        <f t="shared" si="14"/>
        <v>✕</v>
      </c>
      <c r="AD125" s="559" t="str">
        <f t="shared" si="15"/>
        <v>〇</v>
      </c>
      <c r="AE125" s="559" t="str">
        <f t="shared" si="16"/>
        <v>〇</v>
      </c>
      <c r="AH125" s="378" t="s">
        <v>1205</v>
      </c>
      <c r="AI125" s="378" t="str">
        <f t="shared" si="17"/>
        <v>✕</v>
      </c>
      <c r="AJ125" s="378" t="s">
        <v>1505</v>
      </c>
      <c r="AK125" s="467" t="str">
        <f t="shared" si="18"/>
        <v>✕</v>
      </c>
      <c r="AL125" s="467"/>
      <c r="AM125" s="467"/>
      <c r="AN125" s="467"/>
      <c r="AO125" s="467"/>
    </row>
    <row r="126" spans="1:41" ht="21.75" customHeight="1">
      <c r="A126" s="347"/>
      <c r="B126" s="540">
        <v>122</v>
      </c>
      <c r="C126" s="538" t="s">
        <v>1507</v>
      </c>
      <c r="D126" s="527">
        <v>122</v>
      </c>
      <c r="E126" s="528" t="s">
        <v>739</v>
      </c>
      <c r="F126" s="528">
        <v>1210499</v>
      </c>
      <c r="G126" s="528" t="s">
        <v>1207</v>
      </c>
      <c r="H126" s="528" t="s">
        <v>1207</v>
      </c>
      <c r="I126" s="527" t="s">
        <v>1548</v>
      </c>
      <c r="J126" s="527" t="s">
        <v>1548</v>
      </c>
      <c r="K126" s="529"/>
      <c r="L126" s="530">
        <v>1061258</v>
      </c>
      <c r="M126" s="528" t="s">
        <v>1663</v>
      </c>
      <c r="N126" s="528" t="s">
        <v>988</v>
      </c>
      <c r="O126" s="528" t="s">
        <v>768</v>
      </c>
      <c r="P126" s="528" t="s">
        <v>987</v>
      </c>
      <c r="Q126" s="528" t="s">
        <v>988</v>
      </c>
      <c r="R126" s="528" t="s">
        <v>768</v>
      </c>
      <c r="S126" s="528" t="s">
        <v>987</v>
      </c>
      <c r="T126" s="531"/>
      <c r="U126" s="349" t="str">
        <f t="shared" si="10"/>
        <v>〇</v>
      </c>
      <c r="V126" s="349" t="str">
        <f t="shared" si="11"/>
        <v>〇</v>
      </c>
      <c r="W126" s="349" t="str">
        <f t="shared" si="12"/>
        <v>〇</v>
      </c>
      <c r="X126" s="559" t="s">
        <v>1507</v>
      </c>
      <c r="Y126" s="557" t="str">
        <f t="shared" si="13"/>
        <v>〇</v>
      </c>
      <c r="Z126" s="559" t="s">
        <v>988</v>
      </c>
      <c r="AA126" s="559" t="s">
        <v>768</v>
      </c>
      <c r="AB126" s="559" t="s">
        <v>987</v>
      </c>
      <c r="AC126" s="559" t="str">
        <f t="shared" si="14"/>
        <v>〇</v>
      </c>
      <c r="AD126" s="559" t="str">
        <f t="shared" si="15"/>
        <v>〇</v>
      </c>
      <c r="AE126" s="559" t="str">
        <f t="shared" si="16"/>
        <v>〇</v>
      </c>
      <c r="AH126" s="378" t="s">
        <v>1206</v>
      </c>
      <c r="AI126" s="378" t="str">
        <f t="shared" si="17"/>
        <v>✕</v>
      </c>
      <c r="AJ126" s="378" t="s">
        <v>1506</v>
      </c>
      <c r="AK126" s="467" t="str">
        <f t="shared" si="18"/>
        <v>✕</v>
      </c>
      <c r="AL126" s="467"/>
      <c r="AM126" s="467"/>
      <c r="AN126" s="467"/>
      <c r="AO126" s="467"/>
    </row>
    <row r="127" spans="1:41" ht="21.75" customHeight="1">
      <c r="A127" s="347"/>
      <c r="B127" s="540">
        <v>123</v>
      </c>
      <c r="C127" s="538" t="s">
        <v>1508</v>
      </c>
      <c r="D127" s="527">
        <v>123</v>
      </c>
      <c r="E127" s="528" t="s">
        <v>740</v>
      </c>
      <c r="F127" s="528">
        <v>1210500</v>
      </c>
      <c r="G127" s="528" t="s">
        <v>1208</v>
      </c>
      <c r="H127" s="528" t="s">
        <v>1208</v>
      </c>
      <c r="I127" s="527" t="s">
        <v>1548</v>
      </c>
      <c r="J127" s="527" t="s">
        <v>1548</v>
      </c>
      <c r="K127" s="529"/>
      <c r="L127" s="530">
        <v>1057772</v>
      </c>
      <c r="M127" s="528" t="s">
        <v>892</v>
      </c>
      <c r="N127" s="528" t="s">
        <v>989</v>
      </c>
      <c r="O127" s="528" t="s">
        <v>848</v>
      </c>
      <c r="P127" s="528" t="s">
        <v>893</v>
      </c>
      <c r="Q127" s="528" t="s">
        <v>989</v>
      </c>
      <c r="R127" s="528" t="s">
        <v>848</v>
      </c>
      <c r="S127" s="528" t="s">
        <v>893</v>
      </c>
      <c r="T127" s="531"/>
      <c r="U127" s="349" t="str">
        <f t="shared" si="10"/>
        <v>〇</v>
      </c>
      <c r="V127" s="349" t="str">
        <f t="shared" si="11"/>
        <v>〇</v>
      </c>
      <c r="W127" s="349" t="str">
        <f t="shared" si="12"/>
        <v>〇</v>
      </c>
      <c r="X127" s="559" t="s">
        <v>1508</v>
      </c>
      <c r="Y127" s="557" t="str">
        <f t="shared" si="13"/>
        <v>〇</v>
      </c>
      <c r="Z127" s="559" t="s">
        <v>989</v>
      </c>
      <c r="AA127" s="559" t="s">
        <v>848</v>
      </c>
      <c r="AB127" s="559" t="s">
        <v>893</v>
      </c>
      <c r="AC127" s="559" t="str">
        <f t="shared" si="14"/>
        <v>〇</v>
      </c>
      <c r="AD127" s="559" t="str">
        <f t="shared" si="15"/>
        <v>〇</v>
      </c>
      <c r="AE127" s="559" t="str">
        <f t="shared" si="16"/>
        <v>〇</v>
      </c>
      <c r="AH127" s="378" t="s">
        <v>1207</v>
      </c>
      <c r="AI127" s="378" t="str">
        <f t="shared" si="17"/>
        <v>✕</v>
      </c>
      <c r="AJ127" s="378" t="s">
        <v>1507</v>
      </c>
      <c r="AK127" s="467" t="str">
        <f t="shared" si="18"/>
        <v>✕</v>
      </c>
      <c r="AL127" s="467"/>
      <c r="AM127" s="467"/>
      <c r="AN127" s="467"/>
      <c r="AO127" s="467"/>
    </row>
    <row r="128" spans="1:41" ht="21.75" customHeight="1">
      <c r="A128" s="347"/>
      <c r="B128" s="540">
        <v>124</v>
      </c>
      <c r="C128" s="538" t="s">
        <v>1509</v>
      </c>
      <c r="D128" s="527">
        <v>124</v>
      </c>
      <c r="E128" s="528" t="s">
        <v>741</v>
      </c>
      <c r="F128" s="528">
        <v>1210501</v>
      </c>
      <c r="G128" s="528" t="s">
        <v>1209</v>
      </c>
      <c r="H128" s="528" t="s">
        <v>1209</v>
      </c>
      <c r="I128" s="527" t="s">
        <v>1548</v>
      </c>
      <c r="J128" s="527" t="s">
        <v>1548</v>
      </c>
      <c r="K128" s="529"/>
      <c r="L128" s="530">
        <v>1064019</v>
      </c>
      <c r="M128" s="528" t="s">
        <v>1661</v>
      </c>
      <c r="N128" s="528" t="s">
        <v>978</v>
      </c>
      <c r="O128" s="528" t="s">
        <v>848</v>
      </c>
      <c r="P128" s="528" t="s">
        <v>977</v>
      </c>
      <c r="Q128" s="528" t="s">
        <v>978</v>
      </c>
      <c r="R128" s="528" t="s">
        <v>848</v>
      </c>
      <c r="S128" s="528" t="s">
        <v>977</v>
      </c>
      <c r="T128" s="531"/>
      <c r="U128" s="349" t="str">
        <f t="shared" si="10"/>
        <v>〇</v>
      </c>
      <c r="V128" s="349" t="str">
        <f t="shared" si="11"/>
        <v>〇</v>
      </c>
      <c r="W128" s="349" t="str">
        <f t="shared" si="12"/>
        <v>〇</v>
      </c>
      <c r="X128" s="559" t="s">
        <v>1509</v>
      </c>
      <c r="Y128" s="557" t="str">
        <f t="shared" si="13"/>
        <v>〇</v>
      </c>
      <c r="Z128" s="559" t="s">
        <v>978</v>
      </c>
      <c r="AA128" s="559" t="s">
        <v>848</v>
      </c>
      <c r="AB128" s="559" t="s">
        <v>977</v>
      </c>
      <c r="AC128" s="559" t="str">
        <f t="shared" si="14"/>
        <v>〇</v>
      </c>
      <c r="AD128" s="559" t="str">
        <f t="shared" si="15"/>
        <v>〇</v>
      </c>
      <c r="AE128" s="559" t="str">
        <f t="shared" si="16"/>
        <v>〇</v>
      </c>
      <c r="AH128" s="378" t="s">
        <v>1208</v>
      </c>
      <c r="AI128" s="378" t="str">
        <f t="shared" si="17"/>
        <v>✕</v>
      </c>
      <c r="AJ128" s="378" t="s">
        <v>1508</v>
      </c>
      <c r="AK128" s="467" t="str">
        <f t="shared" si="18"/>
        <v>✕</v>
      </c>
      <c r="AL128" s="467"/>
      <c r="AM128" s="467"/>
      <c r="AN128" s="467"/>
      <c r="AO128" s="467"/>
    </row>
    <row r="129" spans="1:41" ht="21.75" customHeight="1">
      <c r="A129" s="347"/>
      <c r="B129" s="540">
        <v>125</v>
      </c>
      <c r="C129" s="538" t="s">
        <v>1510</v>
      </c>
      <c r="D129" s="527">
        <v>125</v>
      </c>
      <c r="E129" s="528" t="s">
        <v>742</v>
      </c>
      <c r="F129" s="528">
        <v>1210502</v>
      </c>
      <c r="G129" s="528" t="s">
        <v>1210</v>
      </c>
      <c r="H129" s="528" t="s">
        <v>1210</v>
      </c>
      <c r="I129" s="527" t="s">
        <v>1548</v>
      </c>
      <c r="J129" s="527" t="s">
        <v>1548</v>
      </c>
      <c r="K129" s="529"/>
      <c r="L129" s="530">
        <v>1068745</v>
      </c>
      <c r="M129" s="528" t="s">
        <v>864</v>
      </c>
      <c r="N129" s="528" t="s">
        <v>990</v>
      </c>
      <c r="O129" s="528" t="s">
        <v>768</v>
      </c>
      <c r="P129" s="528" t="s">
        <v>865</v>
      </c>
      <c r="Q129" s="528" t="s">
        <v>990</v>
      </c>
      <c r="R129" s="528" t="s">
        <v>768</v>
      </c>
      <c r="S129" s="528" t="s">
        <v>865</v>
      </c>
      <c r="T129" s="531"/>
      <c r="U129" s="349" t="str">
        <f t="shared" si="10"/>
        <v>〇</v>
      </c>
      <c r="V129" s="349" t="str">
        <f t="shared" si="11"/>
        <v>〇</v>
      </c>
      <c r="W129" s="349" t="str">
        <f t="shared" si="12"/>
        <v>〇</v>
      </c>
      <c r="X129" s="559" t="s">
        <v>1510</v>
      </c>
      <c r="Y129" s="557" t="str">
        <f t="shared" si="13"/>
        <v>〇</v>
      </c>
      <c r="Z129" s="559" t="s">
        <v>990</v>
      </c>
      <c r="AA129" s="559" t="s">
        <v>768</v>
      </c>
      <c r="AB129" s="559" t="s">
        <v>865</v>
      </c>
      <c r="AC129" s="559" t="str">
        <f t="shared" si="14"/>
        <v>〇</v>
      </c>
      <c r="AD129" s="559" t="str">
        <f t="shared" si="15"/>
        <v>〇</v>
      </c>
      <c r="AE129" s="559" t="str">
        <f t="shared" si="16"/>
        <v>〇</v>
      </c>
      <c r="AH129" s="378" t="s">
        <v>1209</v>
      </c>
      <c r="AI129" s="378" t="str">
        <f t="shared" si="17"/>
        <v>✕</v>
      </c>
      <c r="AJ129" s="378" t="s">
        <v>1509</v>
      </c>
      <c r="AK129" s="467" t="str">
        <f t="shared" si="18"/>
        <v>✕</v>
      </c>
      <c r="AL129" s="467"/>
      <c r="AM129" s="467"/>
      <c r="AN129" s="467"/>
      <c r="AO129" s="467"/>
    </row>
    <row r="130" spans="1:41" ht="21.75" customHeight="1">
      <c r="A130" s="347"/>
      <c r="B130" s="540">
        <v>126</v>
      </c>
      <c r="C130" s="538" t="s">
        <v>1511</v>
      </c>
      <c r="D130" s="527">
        <v>126</v>
      </c>
      <c r="E130" s="528" t="s">
        <v>743</v>
      </c>
      <c r="F130" s="528">
        <v>1210503</v>
      </c>
      <c r="G130" s="528" t="s">
        <v>1211</v>
      </c>
      <c r="H130" s="528" t="s">
        <v>1211</v>
      </c>
      <c r="I130" s="527" t="s">
        <v>1548</v>
      </c>
      <c r="J130" s="527" t="s">
        <v>1548</v>
      </c>
      <c r="K130" s="529"/>
      <c r="L130" s="530">
        <v>1061825</v>
      </c>
      <c r="M130" s="528" t="s">
        <v>1657</v>
      </c>
      <c r="N130" s="528" t="s">
        <v>991</v>
      </c>
      <c r="O130" s="528" t="s">
        <v>848</v>
      </c>
      <c r="P130" s="528" t="s">
        <v>930</v>
      </c>
      <c r="Q130" s="528" t="s">
        <v>991</v>
      </c>
      <c r="R130" s="528" t="s">
        <v>848</v>
      </c>
      <c r="S130" s="528" t="s">
        <v>930</v>
      </c>
      <c r="T130" s="531"/>
      <c r="U130" s="349" t="str">
        <f t="shared" si="10"/>
        <v>〇</v>
      </c>
      <c r="V130" s="349" t="str">
        <f t="shared" si="11"/>
        <v>〇</v>
      </c>
      <c r="W130" s="349" t="str">
        <f t="shared" si="12"/>
        <v>〇</v>
      </c>
      <c r="X130" s="559" t="s">
        <v>1511</v>
      </c>
      <c r="Y130" s="557" t="str">
        <f t="shared" si="13"/>
        <v>〇</v>
      </c>
      <c r="Z130" s="559" t="s">
        <v>991</v>
      </c>
      <c r="AA130" s="559" t="s">
        <v>848</v>
      </c>
      <c r="AB130" s="559" t="s">
        <v>930</v>
      </c>
      <c r="AC130" s="559" t="str">
        <f t="shared" si="14"/>
        <v>〇</v>
      </c>
      <c r="AD130" s="559" t="str">
        <f t="shared" si="15"/>
        <v>〇</v>
      </c>
      <c r="AE130" s="559" t="str">
        <f t="shared" si="16"/>
        <v>〇</v>
      </c>
      <c r="AH130" s="378" t="s">
        <v>1210</v>
      </c>
      <c r="AI130" s="378" t="str">
        <f t="shared" si="17"/>
        <v>✕</v>
      </c>
      <c r="AJ130" s="378" t="s">
        <v>1510</v>
      </c>
      <c r="AK130" s="467" t="str">
        <f t="shared" si="18"/>
        <v>✕</v>
      </c>
      <c r="AL130" s="467"/>
      <c r="AM130" s="467"/>
      <c r="AN130" s="467"/>
      <c r="AO130" s="467"/>
    </row>
    <row r="131" spans="1:41" ht="21.75" customHeight="1">
      <c r="A131" s="347"/>
      <c r="B131" s="540">
        <v>127</v>
      </c>
      <c r="C131" s="538" t="s">
        <v>1512</v>
      </c>
      <c r="D131" s="527">
        <v>127</v>
      </c>
      <c r="E131" s="528" t="s">
        <v>744</v>
      </c>
      <c r="F131" s="528">
        <v>1210504</v>
      </c>
      <c r="G131" s="528" t="s">
        <v>1212</v>
      </c>
      <c r="H131" s="528" t="s">
        <v>1212</v>
      </c>
      <c r="I131" s="527" t="s">
        <v>1548</v>
      </c>
      <c r="J131" s="527" t="s">
        <v>1548</v>
      </c>
      <c r="K131" s="529"/>
      <c r="L131" s="530">
        <v>1051634</v>
      </c>
      <c r="M131" s="528" t="s">
        <v>870</v>
      </c>
      <c r="N131" s="528" t="s">
        <v>2357</v>
      </c>
      <c r="O131" s="528" t="s">
        <v>768</v>
      </c>
      <c r="P131" s="528" t="s">
        <v>871</v>
      </c>
      <c r="Q131" s="528" t="s">
        <v>2357</v>
      </c>
      <c r="R131" s="528" t="s">
        <v>768</v>
      </c>
      <c r="S131" s="528" t="s">
        <v>871</v>
      </c>
      <c r="T131" s="531"/>
      <c r="U131" s="349" t="str">
        <f t="shared" si="10"/>
        <v>〇</v>
      </c>
      <c r="V131" s="349" t="str">
        <f t="shared" si="11"/>
        <v>〇</v>
      </c>
      <c r="W131" s="349" t="str">
        <f t="shared" si="12"/>
        <v>〇</v>
      </c>
      <c r="X131" s="559" t="s">
        <v>1512</v>
      </c>
      <c r="Y131" s="557" t="str">
        <f t="shared" si="13"/>
        <v>〇</v>
      </c>
      <c r="Z131" s="559" t="s">
        <v>992</v>
      </c>
      <c r="AA131" s="559" t="s">
        <v>768</v>
      </c>
      <c r="AB131" s="559" t="s">
        <v>871</v>
      </c>
      <c r="AC131" s="559" t="str">
        <f t="shared" si="14"/>
        <v>✕</v>
      </c>
      <c r="AD131" s="559" t="str">
        <f t="shared" si="15"/>
        <v>〇</v>
      </c>
      <c r="AE131" s="559" t="str">
        <f t="shared" si="16"/>
        <v>〇</v>
      </c>
      <c r="AH131" s="378" t="s">
        <v>1211</v>
      </c>
      <c r="AI131" s="378" t="str">
        <f t="shared" si="17"/>
        <v>✕</v>
      </c>
      <c r="AJ131" s="378" t="s">
        <v>1511</v>
      </c>
      <c r="AK131" s="467" t="str">
        <f t="shared" si="18"/>
        <v>✕</v>
      </c>
      <c r="AL131" s="467"/>
      <c r="AM131" s="467"/>
      <c r="AN131" s="467"/>
      <c r="AO131" s="467"/>
    </row>
    <row r="132" spans="1:41" ht="21.75" customHeight="1">
      <c r="A132" s="347"/>
      <c r="B132" s="540">
        <v>128</v>
      </c>
      <c r="C132" s="538" t="s">
        <v>1513</v>
      </c>
      <c r="D132" s="527">
        <v>128</v>
      </c>
      <c r="E132" s="528" t="s">
        <v>745</v>
      </c>
      <c r="F132" s="528">
        <v>1210505</v>
      </c>
      <c r="G132" s="528" t="s">
        <v>1213</v>
      </c>
      <c r="H132" s="528" t="s">
        <v>1213</v>
      </c>
      <c r="I132" s="527" t="s">
        <v>1548</v>
      </c>
      <c r="J132" s="527" t="s">
        <v>1548</v>
      </c>
      <c r="K132" s="529"/>
      <c r="L132" s="530">
        <v>1063669</v>
      </c>
      <c r="M132" s="528" t="s">
        <v>1658</v>
      </c>
      <c r="N132" s="528" t="s">
        <v>993</v>
      </c>
      <c r="O132" s="528" t="s">
        <v>848</v>
      </c>
      <c r="P132" s="528" t="s">
        <v>933</v>
      </c>
      <c r="Q132" s="528" t="s">
        <v>993</v>
      </c>
      <c r="R132" s="528" t="s">
        <v>848</v>
      </c>
      <c r="S132" s="528" t="s">
        <v>933</v>
      </c>
      <c r="T132" s="531"/>
      <c r="U132" s="349" t="str">
        <f t="shared" si="10"/>
        <v>〇</v>
      </c>
      <c r="V132" s="349" t="str">
        <f t="shared" si="11"/>
        <v>〇</v>
      </c>
      <c r="W132" s="349" t="str">
        <f t="shared" si="12"/>
        <v>〇</v>
      </c>
      <c r="X132" s="559" t="s">
        <v>1513</v>
      </c>
      <c r="Y132" s="557" t="str">
        <f t="shared" si="13"/>
        <v>〇</v>
      </c>
      <c r="Z132" s="559" t="s">
        <v>993</v>
      </c>
      <c r="AA132" s="559" t="s">
        <v>848</v>
      </c>
      <c r="AB132" s="559" t="s">
        <v>933</v>
      </c>
      <c r="AC132" s="559" t="str">
        <f t="shared" si="14"/>
        <v>〇</v>
      </c>
      <c r="AD132" s="559" t="str">
        <f t="shared" si="15"/>
        <v>〇</v>
      </c>
      <c r="AE132" s="559" t="str">
        <f t="shared" si="16"/>
        <v>〇</v>
      </c>
      <c r="AH132" s="378" t="s">
        <v>1212</v>
      </c>
      <c r="AI132" s="378" t="str">
        <f t="shared" si="17"/>
        <v>✕</v>
      </c>
      <c r="AJ132" s="378" t="s">
        <v>1512</v>
      </c>
      <c r="AK132" s="467" t="str">
        <f t="shared" si="18"/>
        <v>✕</v>
      </c>
      <c r="AL132" s="467"/>
      <c r="AM132" s="467"/>
      <c r="AN132" s="467"/>
      <c r="AO132" s="467"/>
    </row>
    <row r="133" spans="1:41" ht="21.75" customHeight="1">
      <c r="A133" s="347"/>
      <c r="B133" s="540">
        <v>129</v>
      </c>
      <c r="C133" s="538" t="s">
        <v>1514</v>
      </c>
      <c r="D133" s="527">
        <v>129</v>
      </c>
      <c r="E133" s="528" t="s">
        <v>746</v>
      </c>
      <c r="F133" s="528">
        <v>1210506</v>
      </c>
      <c r="G133" s="528" t="s">
        <v>1214</v>
      </c>
      <c r="H133" s="528" t="s">
        <v>1214</v>
      </c>
      <c r="I133" s="527" t="s">
        <v>1548</v>
      </c>
      <c r="J133" s="527" t="s">
        <v>1548</v>
      </c>
      <c r="K133" s="529"/>
      <c r="L133" s="530">
        <v>1063233</v>
      </c>
      <c r="M133" s="528" t="s">
        <v>1013</v>
      </c>
      <c r="N133" s="528" t="s">
        <v>995</v>
      </c>
      <c r="O133" s="528" t="s">
        <v>848</v>
      </c>
      <c r="P133" s="528" t="s">
        <v>994</v>
      </c>
      <c r="Q133" s="528" t="s">
        <v>995</v>
      </c>
      <c r="R133" s="528" t="s">
        <v>848</v>
      </c>
      <c r="S133" s="528" t="s">
        <v>994</v>
      </c>
      <c r="T133" s="531"/>
      <c r="U133" s="349" t="str">
        <f t="shared" ref="U133:U166" si="19">IF(N133=Q133,"〇","✕")</f>
        <v>〇</v>
      </c>
      <c r="V133" s="349" t="str">
        <f t="shared" ref="V133:V166" si="20">IF(O133=R133,"〇","✕")</f>
        <v>〇</v>
      </c>
      <c r="W133" s="349" t="str">
        <f t="shared" ref="W133:W166" si="21">IF(P133=S133,"〇","✕")</f>
        <v>〇</v>
      </c>
      <c r="X133" s="559" t="s">
        <v>1514</v>
      </c>
      <c r="Y133" s="557" t="str">
        <f t="shared" si="13"/>
        <v>〇</v>
      </c>
      <c r="Z133" s="559" t="s">
        <v>995</v>
      </c>
      <c r="AA133" s="559" t="s">
        <v>848</v>
      </c>
      <c r="AB133" s="559" t="s">
        <v>994</v>
      </c>
      <c r="AC133" s="559" t="str">
        <f t="shared" si="14"/>
        <v>〇</v>
      </c>
      <c r="AD133" s="559" t="str">
        <f t="shared" si="15"/>
        <v>〇</v>
      </c>
      <c r="AE133" s="559" t="str">
        <f t="shared" si="16"/>
        <v>〇</v>
      </c>
      <c r="AH133" s="378" t="s">
        <v>1213</v>
      </c>
      <c r="AI133" s="378" t="str">
        <f t="shared" si="17"/>
        <v>✕</v>
      </c>
      <c r="AJ133" s="378" t="s">
        <v>1513</v>
      </c>
      <c r="AK133" s="467" t="str">
        <f t="shared" si="18"/>
        <v>✕</v>
      </c>
      <c r="AL133" s="467"/>
      <c r="AM133" s="467"/>
      <c r="AN133" s="467"/>
      <c r="AO133" s="467"/>
    </row>
    <row r="134" spans="1:41" ht="21.75" customHeight="1">
      <c r="A134" s="347"/>
      <c r="B134" s="540">
        <v>130</v>
      </c>
      <c r="C134" s="538" t="s">
        <v>594</v>
      </c>
      <c r="D134" s="527">
        <v>130</v>
      </c>
      <c r="E134" s="528" t="s">
        <v>747</v>
      </c>
      <c r="F134" s="528">
        <v>1210507</v>
      </c>
      <c r="G134" s="528" t="s">
        <v>1215</v>
      </c>
      <c r="H134" s="528" t="s">
        <v>1215</v>
      </c>
      <c r="I134" s="527" t="s">
        <v>1548</v>
      </c>
      <c r="J134" s="527" t="s">
        <v>1548</v>
      </c>
      <c r="K134" s="529"/>
      <c r="L134" s="530">
        <v>1064826</v>
      </c>
      <c r="M134" s="528" t="s">
        <v>996</v>
      </c>
      <c r="N134" s="528" t="s">
        <v>998</v>
      </c>
      <c r="O134" s="528" t="s">
        <v>848</v>
      </c>
      <c r="P134" s="528" t="s">
        <v>997</v>
      </c>
      <c r="Q134" s="528" t="s">
        <v>998</v>
      </c>
      <c r="R134" s="528" t="s">
        <v>848</v>
      </c>
      <c r="S134" s="528" t="s">
        <v>997</v>
      </c>
      <c r="T134" s="531"/>
      <c r="U134" s="349" t="str">
        <f t="shared" si="19"/>
        <v>〇</v>
      </c>
      <c r="V134" s="349" t="str">
        <f t="shared" si="20"/>
        <v>〇</v>
      </c>
      <c r="W134" s="349" t="str">
        <f t="shared" si="21"/>
        <v>〇</v>
      </c>
      <c r="X134" s="559" t="s">
        <v>594</v>
      </c>
      <c r="Y134" s="557" t="str">
        <f t="shared" ref="Y134:Y179" si="22">IF(C134=X134,"〇","✕")</f>
        <v>〇</v>
      </c>
      <c r="Z134" s="559" t="s">
        <v>998</v>
      </c>
      <c r="AA134" s="559" t="s">
        <v>848</v>
      </c>
      <c r="AB134" s="559" t="s">
        <v>997</v>
      </c>
      <c r="AC134" s="559" t="str">
        <f t="shared" ref="AC134:AC178" si="23">IF(Q134=Z134,"〇","✕")</f>
        <v>〇</v>
      </c>
      <c r="AD134" s="559" t="str">
        <f t="shared" ref="AD134:AD178" si="24">IF(R134=AA134,"〇","✕")</f>
        <v>〇</v>
      </c>
      <c r="AE134" s="559" t="str">
        <f t="shared" ref="AE134:AE178" si="25">IF(S134=AB134,"〇","✕")</f>
        <v>〇</v>
      </c>
      <c r="AH134" s="378" t="s">
        <v>1214</v>
      </c>
      <c r="AI134" s="378" t="str">
        <f t="shared" ref="AI134:AI166" si="26">IF(AH134=G134,"〇","✕")</f>
        <v>✕</v>
      </c>
      <c r="AJ134" s="378" t="s">
        <v>1514</v>
      </c>
      <c r="AK134" s="467" t="str">
        <f t="shared" ref="AK134:AK166" si="27">IF(AJ134=C134,"〇","✕")</f>
        <v>✕</v>
      </c>
      <c r="AL134" s="467"/>
      <c r="AM134" s="467"/>
      <c r="AN134" s="467"/>
      <c r="AO134" s="467"/>
    </row>
    <row r="135" spans="1:41" ht="21.75" customHeight="1">
      <c r="A135" s="347"/>
      <c r="B135" s="540">
        <v>131</v>
      </c>
      <c r="C135" s="538" t="s">
        <v>1515</v>
      </c>
      <c r="D135" s="527">
        <v>131</v>
      </c>
      <c r="E135" s="528" t="s">
        <v>748</v>
      </c>
      <c r="F135" s="528">
        <v>1210508</v>
      </c>
      <c r="G135" s="528" t="s">
        <v>1216</v>
      </c>
      <c r="H135" s="528" t="s">
        <v>1216</v>
      </c>
      <c r="I135" s="527" t="s">
        <v>1548</v>
      </c>
      <c r="J135" s="527" t="s">
        <v>1548</v>
      </c>
      <c r="K135" s="529"/>
      <c r="L135" s="530">
        <v>1061825</v>
      </c>
      <c r="M135" s="528" t="s">
        <v>1657</v>
      </c>
      <c r="N135" s="528" t="s">
        <v>991</v>
      </c>
      <c r="O135" s="528" t="s">
        <v>848</v>
      </c>
      <c r="P135" s="528" t="s">
        <v>930</v>
      </c>
      <c r="Q135" s="528" t="s">
        <v>991</v>
      </c>
      <c r="R135" s="528" t="s">
        <v>848</v>
      </c>
      <c r="S135" s="528" t="s">
        <v>930</v>
      </c>
      <c r="T135" s="531"/>
      <c r="U135" s="349" t="str">
        <f t="shared" si="19"/>
        <v>〇</v>
      </c>
      <c r="V135" s="349" t="str">
        <f t="shared" si="20"/>
        <v>〇</v>
      </c>
      <c r="W135" s="349" t="str">
        <f t="shared" si="21"/>
        <v>〇</v>
      </c>
      <c r="X135" s="559" t="s">
        <v>1515</v>
      </c>
      <c r="Y135" s="557" t="str">
        <f t="shared" si="22"/>
        <v>〇</v>
      </c>
      <c r="Z135" s="559" t="s">
        <v>991</v>
      </c>
      <c r="AA135" s="559" t="s">
        <v>848</v>
      </c>
      <c r="AB135" s="559" t="s">
        <v>930</v>
      </c>
      <c r="AC135" s="559" t="str">
        <f t="shared" si="23"/>
        <v>〇</v>
      </c>
      <c r="AD135" s="559" t="str">
        <f t="shared" si="24"/>
        <v>〇</v>
      </c>
      <c r="AE135" s="559" t="str">
        <f t="shared" si="25"/>
        <v>〇</v>
      </c>
      <c r="AH135" s="378" t="s">
        <v>1215</v>
      </c>
      <c r="AI135" s="378" t="str">
        <f t="shared" si="26"/>
        <v>✕</v>
      </c>
      <c r="AJ135" s="378" t="s">
        <v>594</v>
      </c>
      <c r="AK135" s="467" t="str">
        <f t="shared" si="27"/>
        <v>✕</v>
      </c>
      <c r="AL135" s="467"/>
      <c r="AM135" s="467"/>
      <c r="AN135" s="467"/>
      <c r="AO135" s="467"/>
    </row>
    <row r="136" spans="1:41" ht="21.75" customHeight="1">
      <c r="A136" s="347"/>
      <c r="B136" s="540">
        <v>132</v>
      </c>
      <c r="C136" s="538" t="s">
        <v>1517</v>
      </c>
      <c r="D136" s="527">
        <v>132</v>
      </c>
      <c r="E136" s="528" t="s">
        <v>749</v>
      </c>
      <c r="F136" s="528">
        <v>1210510</v>
      </c>
      <c r="G136" s="528" t="s">
        <v>1218</v>
      </c>
      <c r="H136" s="528" t="s">
        <v>1218</v>
      </c>
      <c r="I136" s="527" t="s">
        <v>1548</v>
      </c>
      <c r="J136" s="527" t="s">
        <v>1548</v>
      </c>
      <c r="K136" s="529"/>
      <c r="L136" s="530">
        <v>1065085</v>
      </c>
      <c r="M136" s="528" t="s">
        <v>999</v>
      </c>
      <c r="N136" s="528" t="s">
        <v>969</v>
      </c>
      <c r="O136" s="528" t="s">
        <v>848</v>
      </c>
      <c r="P136" s="528" t="s">
        <v>1613</v>
      </c>
      <c r="Q136" s="528" t="s">
        <v>969</v>
      </c>
      <c r="R136" s="528" t="s">
        <v>848</v>
      </c>
      <c r="S136" s="528" t="s">
        <v>1613</v>
      </c>
      <c r="T136" s="531"/>
      <c r="U136" s="349" t="str">
        <f t="shared" si="19"/>
        <v>〇</v>
      </c>
      <c r="V136" s="349" t="str">
        <f t="shared" si="20"/>
        <v>〇</v>
      </c>
      <c r="W136" s="349" t="str">
        <f t="shared" si="21"/>
        <v>〇</v>
      </c>
      <c r="X136" s="559" t="s">
        <v>1517</v>
      </c>
      <c r="Y136" s="557" t="str">
        <f t="shared" si="22"/>
        <v>〇</v>
      </c>
      <c r="Z136" s="559" t="s">
        <v>989</v>
      </c>
      <c r="AA136" s="559" t="s">
        <v>848</v>
      </c>
      <c r="AB136" s="559" t="s">
        <v>893</v>
      </c>
      <c r="AC136" s="559" t="str">
        <f t="shared" si="23"/>
        <v>✕</v>
      </c>
      <c r="AD136" s="559" t="str">
        <f t="shared" si="24"/>
        <v>〇</v>
      </c>
      <c r="AE136" s="559" t="str">
        <f t="shared" si="25"/>
        <v>✕</v>
      </c>
      <c r="AH136" s="378" t="s">
        <v>1216</v>
      </c>
      <c r="AI136" s="378" t="str">
        <f t="shared" si="26"/>
        <v>✕</v>
      </c>
      <c r="AJ136" s="378" t="s">
        <v>1515</v>
      </c>
      <c r="AK136" s="467" t="str">
        <f t="shared" si="27"/>
        <v>✕</v>
      </c>
      <c r="AL136" s="467"/>
      <c r="AM136" s="467"/>
      <c r="AN136" s="467"/>
      <c r="AO136" s="467"/>
    </row>
    <row r="137" spans="1:41" ht="21.75" customHeight="1">
      <c r="A137" s="347"/>
      <c r="B137" s="540">
        <v>133</v>
      </c>
      <c r="C137" s="538" t="s">
        <v>1777</v>
      </c>
      <c r="D137" s="527">
        <v>133</v>
      </c>
      <c r="E137" s="528" t="s">
        <v>750</v>
      </c>
      <c r="F137" s="528">
        <v>1210532</v>
      </c>
      <c r="G137" s="528" t="s">
        <v>1219</v>
      </c>
      <c r="H137" s="528" t="s">
        <v>1219</v>
      </c>
      <c r="I137" s="527" t="s">
        <v>1548</v>
      </c>
      <c r="J137" s="527" t="s">
        <v>1548</v>
      </c>
      <c r="K137" s="529"/>
      <c r="L137" s="530">
        <v>1069075</v>
      </c>
      <c r="M137" s="528" t="s">
        <v>1693</v>
      </c>
      <c r="N137" s="528" t="s">
        <v>907</v>
      </c>
      <c r="O137" s="528" t="s">
        <v>848</v>
      </c>
      <c r="P137" s="528" t="s">
        <v>906</v>
      </c>
      <c r="Q137" s="528" t="s">
        <v>907</v>
      </c>
      <c r="R137" s="528" t="s">
        <v>848</v>
      </c>
      <c r="S137" s="528" t="s">
        <v>906</v>
      </c>
      <c r="T137" s="531"/>
      <c r="U137" s="349" t="str">
        <f t="shared" si="19"/>
        <v>〇</v>
      </c>
      <c r="V137" s="349" t="str">
        <f t="shared" si="20"/>
        <v>〇</v>
      </c>
      <c r="W137" s="349" t="str">
        <f t="shared" si="21"/>
        <v>〇</v>
      </c>
      <c r="X137" s="559" t="s">
        <v>1777</v>
      </c>
      <c r="Y137" s="557" t="str">
        <f t="shared" si="22"/>
        <v>〇</v>
      </c>
      <c r="Z137" s="559" t="s">
        <v>969</v>
      </c>
      <c r="AA137" s="559" t="s">
        <v>848</v>
      </c>
      <c r="AB137" s="559" t="s">
        <v>1613</v>
      </c>
      <c r="AC137" s="559" t="str">
        <f t="shared" si="23"/>
        <v>✕</v>
      </c>
      <c r="AD137" s="559" t="str">
        <f t="shared" si="24"/>
        <v>〇</v>
      </c>
      <c r="AE137" s="559" t="str">
        <f t="shared" si="25"/>
        <v>✕</v>
      </c>
      <c r="AH137" s="378" t="s">
        <v>1217</v>
      </c>
      <c r="AI137" s="378" t="str">
        <f t="shared" si="26"/>
        <v>✕</v>
      </c>
      <c r="AJ137" s="378" t="s">
        <v>1516</v>
      </c>
      <c r="AK137" s="467" t="str">
        <f t="shared" si="27"/>
        <v>✕</v>
      </c>
      <c r="AL137" s="467"/>
      <c r="AM137" s="467"/>
      <c r="AN137" s="467"/>
      <c r="AO137" s="467"/>
    </row>
    <row r="138" spans="1:41" ht="21.75" customHeight="1">
      <c r="A138" s="347"/>
      <c r="B138" s="540">
        <v>134</v>
      </c>
      <c r="C138" s="538" t="s">
        <v>1518</v>
      </c>
      <c r="D138" s="527">
        <v>134</v>
      </c>
      <c r="E138" s="528" t="s">
        <v>751</v>
      </c>
      <c r="F138" s="528">
        <v>1210512</v>
      </c>
      <c r="G138" s="528" t="s">
        <v>1220</v>
      </c>
      <c r="H138" s="528" t="s">
        <v>1220</v>
      </c>
      <c r="I138" s="527" t="s">
        <v>1548</v>
      </c>
      <c r="J138" s="527" t="s">
        <v>1548</v>
      </c>
      <c r="K138" s="529"/>
      <c r="L138" s="530">
        <v>1068990</v>
      </c>
      <c r="M138" s="528" t="s">
        <v>2135</v>
      </c>
      <c r="N138" s="528" t="s">
        <v>1822</v>
      </c>
      <c r="O138" s="528" t="s">
        <v>848</v>
      </c>
      <c r="P138" s="528" t="s">
        <v>1000</v>
      </c>
      <c r="Q138" s="528" t="s">
        <v>1822</v>
      </c>
      <c r="R138" s="528" t="s">
        <v>848</v>
      </c>
      <c r="S138" s="528" t="s">
        <v>1000</v>
      </c>
      <c r="T138" s="531"/>
      <c r="U138" s="349" t="str">
        <f t="shared" si="19"/>
        <v>〇</v>
      </c>
      <c r="V138" s="349" t="str">
        <f t="shared" si="20"/>
        <v>〇</v>
      </c>
      <c r="W138" s="349" t="str">
        <f t="shared" si="21"/>
        <v>〇</v>
      </c>
      <c r="X138" s="559" t="s">
        <v>1518</v>
      </c>
      <c r="Y138" s="557" t="str">
        <f t="shared" si="22"/>
        <v>〇</v>
      </c>
      <c r="Z138" s="559" t="s">
        <v>907</v>
      </c>
      <c r="AA138" s="559" t="s">
        <v>848</v>
      </c>
      <c r="AB138" s="559" t="s">
        <v>906</v>
      </c>
      <c r="AC138" s="559" t="str">
        <f t="shared" si="23"/>
        <v>✕</v>
      </c>
      <c r="AD138" s="559" t="str">
        <f t="shared" si="24"/>
        <v>〇</v>
      </c>
      <c r="AE138" s="559" t="str">
        <f t="shared" si="25"/>
        <v>✕</v>
      </c>
      <c r="AH138" s="378" t="s">
        <v>1218</v>
      </c>
      <c r="AI138" s="378" t="str">
        <f t="shared" si="26"/>
        <v>✕</v>
      </c>
      <c r="AJ138" s="378" t="s">
        <v>1517</v>
      </c>
      <c r="AK138" s="467" t="str">
        <f t="shared" si="27"/>
        <v>✕</v>
      </c>
      <c r="AL138" s="467"/>
      <c r="AM138" s="467"/>
      <c r="AN138" s="467"/>
      <c r="AO138" s="467"/>
    </row>
    <row r="139" spans="1:41" ht="21.75" customHeight="1">
      <c r="A139" s="347"/>
      <c r="B139" s="540">
        <v>135</v>
      </c>
      <c r="C139" s="538" t="s">
        <v>1519</v>
      </c>
      <c r="D139" s="527">
        <v>135</v>
      </c>
      <c r="E139" s="528" t="s">
        <v>752</v>
      </c>
      <c r="F139" s="528">
        <v>1210535</v>
      </c>
      <c r="G139" s="528" t="s">
        <v>1221</v>
      </c>
      <c r="H139" s="528" t="s">
        <v>1221</v>
      </c>
      <c r="I139" s="527" t="s">
        <v>1548</v>
      </c>
      <c r="J139" s="527" t="s">
        <v>1548</v>
      </c>
      <c r="K139" s="529"/>
      <c r="L139" s="530">
        <v>1058272</v>
      </c>
      <c r="M139" s="528" t="s">
        <v>2136</v>
      </c>
      <c r="N139" s="528" t="s">
        <v>1552</v>
      </c>
      <c r="O139" s="528" t="s">
        <v>848</v>
      </c>
      <c r="P139" s="528" t="s">
        <v>1001</v>
      </c>
      <c r="Q139" s="528" t="s">
        <v>1552</v>
      </c>
      <c r="R139" s="528" t="s">
        <v>848</v>
      </c>
      <c r="S139" s="528" t="s">
        <v>1001</v>
      </c>
      <c r="T139" s="531"/>
      <c r="U139" s="349" t="str">
        <f t="shared" si="19"/>
        <v>〇</v>
      </c>
      <c r="V139" s="349" t="str">
        <f t="shared" si="20"/>
        <v>〇</v>
      </c>
      <c r="W139" s="349" t="str">
        <f t="shared" si="21"/>
        <v>〇</v>
      </c>
      <c r="X139" s="559" t="s">
        <v>1519</v>
      </c>
      <c r="Y139" s="557" t="str">
        <f t="shared" si="22"/>
        <v>〇</v>
      </c>
      <c r="Z139" s="559" t="s">
        <v>1822</v>
      </c>
      <c r="AA139" s="559" t="s">
        <v>848</v>
      </c>
      <c r="AB139" s="559" t="s">
        <v>1000</v>
      </c>
      <c r="AC139" s="559" t="str">
        <f t="shared" si="23"/>
        <v>✕</v>
      </c>
      <c r="AD139" s="559" t="str">
        <f t="shared" si="24"/>
        <v>〇</v>
      </c>
      <c r="AE139" s="559" t="str">
        <f t="shared" si="25"/>
        <v>✕</v>
      </c>
      <c r="AH139" s="378" t="s">
        <v>1219</v>
      </c>
      <c r="AI139" s="378" t="str">
        <f t="shared" si="26"/>
        <v>✕</v>
      </c>
      <c r="AJ139" s="378" t="s">
        <v>1777</v>
      </c>
      <c r="AK139" s="467" t="str">
        <f t="shared" si="27"/>
        <v>✕</v>
      </c>
      <c r="AL139" s="467"/>
      <c r="AM139" s="467"/>
      <c r="AN139" s="467"/>
      <c r="AO139" s="467"/>
    </row>
    <row r="140" spans="1:41" ht="21.75" customHeight="1">
      <c r="A140" s="347"/>
      <c r="B140" s="540">
        <v>136</v>
      </c>
      <c r="C140" s="538" t="s">
        <v>1520</v>
      </c>
      <c r="D140" s="527">
        <v>136</v>
      </c>
      <c r="E140" s="528" t="s">
        <v>753</v>
      </c>
      <c r="F140" s="528">
        <v>1210581</v>
      </c>
      <c r="G140" s="528" t="s">
        <v>1222</v>
      </c>
      <c r="H140" s="528" t="s">
        <v>1222</v>
      </c>
      <c r="I140" s="527" t="s">
        <v>1548</v>
      </c>
      <c r="J140" s="527" t="s">
        <v>1548</v>
      </c>
      <c r="K140" s="529"/>
      <c r="L140" s="530">
        <v>1060101</v>
      </c>
      <c r="M140" s="528" t="s">
        <v>2137</v>
      </c>
      <c r="N140" s="528" t="s">
        <v>1003</v>
      </c>
      <c r="O140" s="528" t="s">
        <v>848</v>
      </c>
      <c r="P140" s="528" t="s">
        <v>1002</v>
      </c>
      <c r="Q140" s="528" t="s">
        <v>1003</v>
      </c>
      <c r="R140" s="528" t="s">
        <v>848</v>
      </c>
      <c r="S140" s="528" t="s">
        <v>1002</v>
      </c>
      <c r="T140" s="531"/>
      <c r="U140" s="349" t="str">
        <f t="shared" si="19"/>
        <v>〇</v>
      </c>
      <c r="V140" s="349" t="str">
        <f t="shared" si="20"/>
        <v>〇</v>
      </c>
      <c r="W140" s="349" t="str">
        <f t="shared" si="21"/>
        <v>〇</v>
      </c>
      <c r="X140" s="559" t="s">
        <v>1520</v>
      </c>
      <c r="Y140" s="557" t="str">
        <f t="shared" si="22"/>
        <v>〇</v>
      </c>
      <c r="Z140" s="559" t="s">
        <v>1552</v>
      </c>
      <c r="AA140" s="559" t="s">
        <v>848</v>
      </c>
      <c r="AB140" s="559" t="s">
        <v>1001</v>
      </c>
      <c r="AC140" s="559" t="str">
        <f t="shared" si="23"/>
        <v>✕</v>
      </c>
      <c r="AD140" s="559" t="str">
        <f t="shared" si="24"/>
        <v>〇</v>
      </c>
      <c r="AE140" s="559" t="str">
        <f t="shared" si="25"/>
        <v>✕</v>
      </c>
      <c r="AH140" s="378" t="s">
        <v>1220</v>
      </c>
      <c r="AI140" s="378" t="str">
        <f t="shared" si="26"/>
        <v>✕</v>
      </c>
      <c r="AJ140" s="378" t="s">
        <v>1518</v>
      </c>
      <c r="AK140" s="467" t="str">
        <f t="shared" si="27"/>
        <v>✕</v>
      </c>
      <c r="AL140" s="467"/>
      <c r="AM140" s="467"/>
      <c r="AN140" s="467"/>
      <c r="AO140" s="467"/>
    </row>
    <row r="141" spans="1:41" ht="21.75" customHeight="1">
      <c r="A141" s="347"/>
      <c r="B141" s="540">
        <v>137</v>
      </c>
      <c r="C141" s="538" t="s">
        <v>1521</v>
      </c>
      <c r="D141" s="527">
        <v>137</v>
      </c>
      <c r="E141" s="528" t="s">
        <v>754</v>
      </c>
      <c r="F141" s="528">
        <v>1210582</v>
      </c>
      <c r="G141" s="528" t="s">
        <v>1223</v>
      </c>
      <c r="H141" s="528" t="s">
        <v>1223</v>
      </c>
      <c r="I141" s="527" t="s">
        <v>1548</v>
      </c>
      <c r="J141" s="527" t="s">
        <v>1548</v>
      </c>
      <c r="K141" s="529"/>
      <c r="L141" s="530">
        <v>1071410</v>
      </c>
      <c r="M141" s="528" t="s">
        <v>2138</v>
      </c>
      <c r="N141" s="528" t="s">
        <v>1014</v>
      </c>
      <c r="O141" s="528" t="s">
        <v>848</v>
      </c>
      <c r="P141" s="528" t="s">
        <v>1015</v>
      </c>
      <c r="Q141" s="528" t="s">
        <v>1014</v>
      </c>
      <c r="R141" s="528" t="s">
        <v>848</v>
      </c>
      <c r="S141" s="528" t="s">
        <v>1015</v>
      </c>
      <c r="T141" s="531"/>
      <c r="U141" s="349" t="str">
        <f t="shared" si="19"/>
        <v>〇</v>
      </c>
      <c r="V141" s="349" t="str">
        <f t="shared" si="20"/>
        <v>〇</v>
      </c>
      <c r="W141" s="349" t="str">
        <f t="shared" si="21"/>
        <v>〇</v>
      </c>
      <c r="X141" s="559" t="s">
        <v>1521</v>
      </c>
      <c r="Y141" s="557" t="str">
        <f t="shared" si="22"/>
        <v>〇</v>
      </c>
      <c r="Z141" s="559" t="s">
        <v>1003</v>
      </c>
      <c r="AA141" s="559" t="s">
        <v>848</v>
      </c>
      <c r="AB141" s="559" t="s">
        <v>1002</v>
      </c>
      <c r="AC141" s="559" t="str">
        <f t="shared" si="23"/>
        <v>✕</v>
      </c>
      <c r="AD141" s="559" t="str">
        <f t="shared" si="24"/>
        <v>〇</v>
      </c>
      <c r="AE141" s="559" t="str">
        <f t="shared" si="25"/>
        <v>✕</v>
      </c>
      <c r="AH141" s="378" t="s">
        <v>1221</v>
      </c>
      <c r="AI141" s="378" t="str">
        <f t="shared" si="26"/>
        <v>✕</v>
      </c>
      <c r="AJ141" s="378" t="s">
        <v>1519</v>
      </c>
      <c r="AK141" s="467" t="str">
        <f t="shared" si="27"/>
        <v>✕</v>
      </c>
      <c r="AL141" s="467"/>
      <c r="AM141" s="467"/>
      <c r="AN141" s="467"/>
      <c r="AO141" s="467"/>
    </row>
    <row r="142" spans="1:41" ht="21.75" customHeight="1">
      <c r="A142" s="347"/>
      <c r="B142" s="540">
        <v>138</v>
      </c>
      <c r="C142" s="538" t="s">
        <v>1522</v>
      </c>
      <c r="D142" s="527">
        <v>138</v>
      </c>
      <c r="E142" s="528" t="s">
        <v>755</v>
      </c>
      <c r="F142" s="528">
        <v>1210583</v>
      </c>
      <c r="G142" s="528" t="s">
        <v>1224</v>
      </c>
      <c r="H142" s="528" t="s">
        <v>1224</v>
      </c>
      <c r="I142" s="527" t="s">
        <v>1548</v>
      </c>
      <c r="J142" s="527" t="s">
        <v>1548</v>
      </c>
      <c r="K142" s="529"/>
      <c r="L142" s="530">
        <v>1074833</v>
      </c>
      <c r="M142" s="528" t="s">
        <v>2133</v>
      </c>
      <c r="N142" s="528" t="s">
        <v>1820</v>
      </c>
      <c r="O142" s="528" t="s">
        <v>848</v>
      </c>
      <c r="P142" s="528" t="s">
        <v>1819</v>
      </c>
      <c r="Q142" s="528" t="s">
        <v>1820</v>
      </c>
      <c r="R142" s="528" t="s">
        <v>848</v>
      </c>
      <c r="S142" s="528" t="s">
        <v>1819</v>
      </c>
      <c r="T142" s="531"/>
      <c r="U142" s="349" t="str">
        <f t="shared" si="19"/>
        <v>〇</v>
      </c>
      <c r="V142" s="349" t="str">
        <f t="shared" si="20"/>
        <v>〇</v>
      </c>
      <c r="W142" s="349" t="str">
        <f t="shared" si="21"/>
        <v>〇</v>
      </c>
      <c r="X142" s="559" t="s">
        <v>1522</v>
      </c>
      <c r="Y142" s="557" t="str">
        <f t="shared" si="22"/>
        <v>〇</v>
      </c>
      <c r="Z142" s="559" t="s">
        <v>1014</v>
      </c>
      <c r="AA142" s="559" t="s">
        <v>848</v>
      </c>
      <c r="AB142" s="559" t="s">
        <v>1015</v>
      </c>
      <c r="AC142" s="559" t="str">
        <f t="shared" si="23"/>
        <v>✕</v>
      </c>
      <c r="AD142" s="559" t="str">
        <f t="shared" si="24"/>
        <v>〇</v>
      </c>
      <c r="AE142" s="559" t="str">
        <f t="shared" si="25"/>
        <v>✕</v>
      </c>
      <c r="AH142" s="378" t="s">
        <v>1222</v>
      </c>
      <c r="AI142" s="378" t="str">
        <f t="shared" si="26"/>
        <v>✕</v>
      </c>
      <c r="AJ142" s="378" t="s">
        <v>1520</v>
      </c>
      <c r="AK142" s="467" t="str">
        <f t="shared" si="27"/>
        <v>✕</v>
      </c>
      <c r="AL142" s="467"/>
      <c r="AM142" s="467"/>
      <c r="AN142" s="467"/>
      <c r="AO142" s="467"/>
    </row>
    <row r="143" spans="1:41" ht="21.75" customHeight="1">
      <c r="A143" s="347"/>
      <c r="B143" s="540">
        <v>139</v>
      </c>
      <c r="C143" s="538" t="s">
        <v>1523</v>
      </c>
      <c r="D143" s="527">
        <v>139</v>
      </c>
      <c r="E143" s="528" t="s">
        <v>756</v>
      </c>
      <c r="F143" s="528">
        <v>1210584</v>
      </c>
      <c r="G143" s="528" t="s">
        <v>1225</v>
      </c>
      <c r="H143" s="528" t="s">
        <v>1225</v>
      </c>
      <c r="I143" s="527" t="s">
        <v>1548</v>
      </c>
      <c r="J143" s="527" t="s">
        <v>1548</v>
      </c>
      <c r="K143" s="529"/>
      <c r="L143" s="530">
        <v>1059654</v>
      </c>
      <c r="M143" s="528" t="s">
        <v>2139</v>
      </c>
      <c r="N143" s="528" t="s">
        <v>1016</v>
      </c>
      <c r="O143" s="528" t="s">
        <v>848</v>
      </c>
      <c r="P143" s="528" t="s">
        <v>973</v>
      </c>
      <c r="Q143" s="528" t="s">
        <v>1016</v>
      </c>
      <c r="R143" s="528" t="s">
        <v>848</v>
      </c>
      <c r="S143" s="528" t="s">
        <v>973</v>
      </c>
      <c r="T143" s="531"/>
      <c r="U143" s="349" t="str">
        <f t="shared" si="19"/>
        <v>〇</v>
      </c>
      <c r="V143" s="349" t="str">
        <f t="shared" si="20"/>
        <v>〇</v>
      </c>
      <c r="W143" s="349" t="str">
        <f t="shared" si="21"/>
        <v>〇</v>
      </c>
      <c r="X143" s="559" t="s">
        <v>1523</v>
      </c>
      <c r="Y143" s="557" t="str">
        <f t="shared" si="22"/>
        <v>〇</v>
      </c>
      <c r="Z143" s="559" t="s">
        <v>1820</v>
      </c>
      <c r="AA143" s="559" t="s">
        <v>848</v>
      </c>
      <c r="AB143" s="559" t="s">
        <v>1819</v>
      </c>
      <c r="AC143" s="559" t="str">
        <f t="shared" si="23"/>
        <v>✕</v>
      </c>
      <c r="AD143" s="559" t="str">
        <f t="shared" si="24"/>
        <v>〇</v>
      </c>
      <c r="AE143" s="559" t="str">
        <f t="shared" si="25"/>
        <v>✕</v>
      </c>
      <c r="AH143" s="378" t="s">
        <v>1223</v>
      </c>
      <c r="AI143" s="378" t="str">
        <f t="shared" si="26"/>
        <v>✕</v>
      </c>
      <c r="AJ143" s="378" t="s">
        <v>1521</v>
      </c>
      <c r="AK143" s="467" t="str">
        <f t="shared" si="27"/>
        <v>✕</v>
      </c>
      <c r="AL143" s="467"/>
      <c r="AM143" s="467"/>
      <c r="AN143" s="467"/>
      <c r="AO143" s="467"/>
    </row>
    <row r="144" spans="1:41" ht="21.75" customHeight="1">
      <c r="A144" s="347"/>
      <c r="B144" s="540">
        <v>140</v>
      </c>
      <c r="C144" s="538" t="s">
        <v>1524</v>
      </c>
      <c r="D144" s="527">
        <v>140</v>
      </c>
      <c r="E144" s="528" t="s">
        <v>757</v>
      </c>
      <c r="F144" s="528">
        <v>1210585</v>
      </c>
      <c r="G144" s="528" t="s">
        <v>1226</v>
      </c>
      <c r="H144" s="528" t="s">
        <v>1226</v>
      </c>
      <c r="I144" s="527" t="s">
        <v>1548</v>
      </c>
      <c r="J144" s="527" t="s">
        <v>1548</v>
      </c>
      <c r="K144" s="529"/>
      <c r="L144" s="535">
        <v>1059654</v>
      </c>
      <c r="M144" s="536" t="s">
        <v>2139</v>
      </c>
      <c r="N144" s="536" t="s">
        <v>1016</v>
      </c>
      <c r="O144" s="537" t="s">
        <v>848</v>
      </c>
      <c r="P144" s="536" t="s">
        <v>973</v>
      </c>
      <c r="Q144" s="528" t="s">
        <v>1016</v>
      </c>
      <c r="R144" s="528" t="s">
        <v>848</v>
      </c>
      <c r="S144" s="528" t="s">
        <v>973</v>
      </c>
      <c r="T144" s="531"/>
      <c r="U144" s="349" t="str">
        <f t="shared" si="19"/>
        <v>〇</v>
      </c>
      <c r="V144" s="349" t="str">
        <f t="shared" si="20"/>
        <v>〇</v>
      </c>
      <c r="W144" s="349" t="str">
        <f t="shared" si="21"/>
        <v>〇</v>
      </c>
      <c r="X144" s="559" t="s">
        <v>1524</v>
      </c>
      <c r="Y144" s="557" t="str">
        <f t="shared" si="22"/>
        <v>〇</v>
      </c>
      <c r="Z144" s="559" t="s">
        <v>1016</v>
      </c>
      <c r="AA144" s="559" t="s">
        <v>848</v>
      </c>
      <c r="AB144" s="559" t="s">
        <v>973</v>
      </c>
      <c r="AC144" s="559" t="str">
        <f t="shared" si="23"/>
        <v>〇</v>
      </c>
      <c r="AD144" s="559" t="str">
        <f t="shared" si="24"/>
        <v>〇</v>
      </c>
      <c r="AE144" s="559" t="str">
        <f t="shared" si="25"/>
        <v>〇</v>
      </c>
      <c r="AH144" s="378" t="s">
        <v>1224</v>
      </c>
      <c r="AI144" s="378" t="str">
        <f t="shared" si="26"/>
        <v>✕</v>
      </c>
      <c r="AJ144" s="378" t="s">
        <v>1522</v>
      </c>
      <c r="AK144" s="467" t="str">
        <f t="shared" si="27"/>
        <v>✕</v>
      </c>
      <c r="AL144" s="467"/>
      <c r="AM144" s="467"/>
      <c r="AN144" s="467"/>
      <c r="AO144" s="467"/>
    </row>
    <row r="145" spans="1:41" ht="21.75" customHeight="1">
      <c r="A145" s="347"/>
      <c r="B145" s="540">
        <v>141</v>
      </c>
      <c r="C145" s="538" t="s">
        <v>1525</v>
      </c>
      <c r="D145" s="527">
        <v>141</v>
      </c>
      <c r="E145" s="528" t="s">
        <v>758</v>
      </c>
      <c r="F145" s="528">
        <v>1210586</v>
      </c>
      <c r="G145" s="528" t="s">
        <v>1227</v>
      </c>
      <c r="H145" s="528" t="s">
        <v>1227</v>
      </c>
      <c r="I145" s="527" t="s">
        <v>1548</v>
      </c>
      <c r="J145" s="527" t="s">
        <v>1548</v>
      </c>
      <c r="K145" s="529"/>
      <c r="L145" s="530">
        <v>1070766</v>
      </c>
      <c r="M145" s="528" t="s">
        <v>2140</v>
      </c>
      <c r="N145" s="528" t="s">
        <v>1017</v>
      </c>
      <c r="O145" s="528" t="s">
        <v>768</v>
      </c>
      <c r="P145" s="528" t="s">
        <v>896</v>
      </c>
      <c r="Q145" s="528" t="s">
        <v>1017</v>
      </c>
      <c r="R145" s="528" t="s">
        <v>768</v>
      </c>
      <c r="S145" s="528" t="s">
        <v>896</v>
      </c>
      <c r="T145" s="531"/>
      <c r="U145" s="349" t="str">
        <f t="shared" si="19"/>
        <v>〇</v>
      </c>
      <c r="V145" s="349" t="str">
        <f t="shared" si="20"/>
        <v>〇</v>
      </c>
      <c r="W145" s="349" t="str">
        <f t="shared" si="21"/>
        <v>〇</v>
      </c>
      <c r="X145" s="559" t="s">
        <v>1525</v>
      </c>
      <c r="Y145" s="557" t="str">
        <f t="shared" si="22"/>
        <v>〇</v>
      </c>
      <c r="Z145" s="559" t="s">
        <v>1016</v>
      </c>
      <c r="AA145" s="559" t="s">
        <v>848</v>
      </c>
      <c r="AB145" s="559" t="s">
        <v>973</v>
      </c>
      <c r="AC145" s="559" t="str">
        <f t="shared" si="23"/>
        <v>✕</v>
      </c>
      <c r="AD145" s="559" t="str">
        <f t="shared" si="24"/>
        <v>✕</v>
      </c>
      <c r="AE145" s="559" t="str">
        <f t="shared" si="25"/>
        <v>✕</v>
      </c>
      <c r="AH145" s="378" t="s">
        <v>1225</v>
      </c>
      <c r="AI145" s="378" t="str">
        <f t="shared" si="26"/>
        <v>✕</v>
      </c>
      <c r="AJ145" s="378" t="s">
        <v>1523</v>
      </c>
      <c r="AK145" s="467" t="str">
        <f t="shared" si="27"/>
        <v>✕</v>
      </c>
      <c r="AL145" s="467"/>
      <c r="AM145" s="467"/>
      <c r="AN145" s="467"/>
      <c r="AO145" s="467"/>
    </row>
    <row r="146" spans="1:41" ht="21.75" customHeight="1">
      <c r="A146" s="347"/>
      <c r="B146" s="540">
        <v>142</v>
      </c>
      <c r="C146" s="538" t="s">
        <v>1526</v>
      </c>
      <c r="D146" s="527">
        <v>142</v>
      </c>
      <c r="E146" s="528" t="s">
        <v>759</v>
      </c>
      <c r="F146" s="528">
        <v>1210587</v>
      </c>
      <c r="G146" s="528" t="s">
        <v>1228</v>
      </c>
      <c r="H146" s="528" t="s">
        <v>1228</v>
      </c>
      <c r="I146" s="527" t="s">
        <v>1548</v>
      </c>
      <c r="J146" s="527" t="s">
        <v>1548</v>
      </c>
      <c r="K146" s="529"/>
      <c r="L146" s="530">
        <v>1061839</v>
      </c>
      <c r="M146" s="528" t="s">
        <v>2141</v>
      </c>
      <c r="N146" s="528" t="s">
        <v>1551</v>
      </c>
      <c r="O146" s="528" t="s">
        <v>848</v>
      </c>
      <c r="P146" s="528" t="s">
        <v>919</v>
      </c>
      <c r="Q146" s="528" t="s">
        <v>1551</v>
      </c>
      <c r="R146" s="528" t="s">
        <v>848</v>
      </c>
      <c r="S146" s="528" t="s">
        <v>919</v>
      </c>
      <c r="T146" s="531"/>
      <c r="U146" s="349" t="str">
        <f t="shared" si="19"/>
        <v>〇</v>
      </c>
      <c r="V146" s="349" t="str">
        <f t="shared" si="20"/>
        <v>〇</v>
      </c>
      <c r="W146" s="349" t="str">
        <f t="shared" si="21"/>
        <v>〇</v>
      </c>
      <c r="X146" s="559" t="s">
        <v>1526</v>
      </c>
      <c r="Y146" s="557" t="str">
        <f t="shared" si="22"/>
        <v>〇</v>
      </c>
      <c r="Z146" s="559" t="s">
        <v>1017</v>
      </c>
      <c r="AA146" s="559" t="s">
        <v>768</v>
      </c>
      <c r="AB146" s="559" t="s">
        <v>896</v>
      </c>
      <c r="AC146" s="559" t="str">
        <f t="shared" si="23"/>
        <v>✕</v>
      </c>
      <c r="AD146" s="559" t="str">
        <f t="shared" si="24"/>
        <v>✕</v>
      </c>
      <c r="AE146" s="559" t="str">
        <f t="shared" si="25"/>
        <v>✕</v>
      </c>
      <c r="AH146" s="378" t="s">
        <v>1226</v>
      </c>
      <c r="AI146" s="378" t="str">
        <f t="shared" si="26"/>
        <v>✕</v>
      </c>
      <c r="AJ146" s="378" t="s">
        <v>1524</v>
      </c>
      <c r="AK146" s="467" t="str">
        <f t="shared" si="27"/>
        <v>✕</v>
      </c>
      <c r="AL146" s="467"/>
      <c r="AM146" s="467"/>
      <c r="AN146" s="467"/>
      <c r="AO146" s="467"/>
    </row>
    <row r="147" spans="1:41" ht="21.75" customHeight="1">
      <c r="A147" s="347"/>
      <c r="B147" s="540">
        <v>143</v>
      </c>
      <c r="C147" s="538" t="s">
        <v>1527</v>
      </c>
      <c r="D147" s="527">
        <v>143</v>
      </c>
      <c r="E147" s="528" t="s">
        <v>760</v>
      </c>
      <c r="F147" s="528">
        <v>1210588</v>
      </c>
      <c r="G147" s="528" t="s">
        <v>1229</v>
      </c>
      <c r="H147" s="528" t="s">
        <v>1229</v>
      </c>
      <c r="I147" s="527" t="s">
        <v>1548</v>
      </c>
      <c r="J147" s="527" t="s">
        <v>1548</v>
      </c>
      <c r="K147" s="529"/>
      <c r="L147" s="530">
        <v>1071405</v>
      </c>
      <c r="M147" s="528" t="s">
        <v>2142</v>
      </c>
      <c r="N147" s="528" t="s">
        <v>1823</v>
      </c>
      <c r="O147" s="528" t="s">
        <v>848</v>
      </c>
      <c r="P147" s="528" t="s">
        <v>1018</v>
      </c>
      <c r="Q147" s="528" t="s">
        <v>1823</v>
      </c>
      <c r="R147" s="528" t="s">
        <v>848</v>
      </c>
      <c r="S147" s="528" t="s">
        <v>1018</v>
      </c>
      <c r="T147" s="531"/>
      <c r="U147" s="349" t="str">
        <f t="shared" si="19"/>
        <v>〇</v>
      </c>
      <c r="V147" s="349" t="str">
        <f t="shared" si="20"/>
        <v>〇</v>
      </c>
      <c r="W147" s="349" t="str">
        <f t="shared" si="21"/>
        <v>〇</v>
      </c>
      <c r="X147" s="559" t="s">
        <v>1527</v>
      </c>
      <c r="Y147" s="557" t="str">
        <f t="shared" si="22"/>
        <v>〇</v>
      </c>
      <c r="Z147" s="559" t="s">
        <v>1551</v>
      </c>
      <c r="AA147" s="559" t="s">
        <v>848</v>
      </c>
      <c r="AB147" s="559" t="s">
        <v>919</v>
      </c>
      <c r="AC147" s="559" t="str">
        <f t="shared" si="23"/>
        <v>✕</v>
      </c>
      <c r="AD147" s="559" t="str">
        <f t="shared" si="24"/>
        <v>〇</v>
      </c>
      <c r="AE147" s="559" t="str">
        <f t="shared" si="25"/>
        <v>✕</v>
      </c>
      <c r="AH147" s="378" t="s">
        <v>1227</v>
      </c>
      <c r="AI147" s="378" t="str">
        <f t="shared" si="26"/>
        <v>✕</v>
      </c>
      <c r="AJ147" s="378" t="s">
        <v>1525</v>
      </c>
      <c r="AK147" s="467" t="str">
        <f t="shared" si="27"/>
        <v>✕</v>
      </c>
      <c r="AL147" s="467"/>
      <c r="AM147" s="467"/>
      <c r="AN147" s="467"/>
      <c r="AO147" s="467"/>
    </row>
    <row r="148" spans="1:41" ht="21.75" customHeight="1">
      <c r="A148" s="347"/>
      <c r="B148" s="540">
        <v>144</v>
      </c>
      <c r="C148" s="538" t="s">
        <v>1528</v>
      </c>
      <c r="D148" s="527">
        <v>144</v>
      </c>
      <c r="E148" s="528" t="s">
        <v>761</v>
      </c>
      <c r="F148" s="528">
        <v>1210608</v>
      </c>
      <c r="G148" s="528" t="s">
        <v>1230</v>
      </c>
      <c r="H148" s="528" t="s">
        <v>1230</v>
      </c>
      <c r="I148" s="527" t="s">
        <v>1548</v>
      </c>
      <c r="J148" s="527" t="s">
        <v>1548</v>
      </c>
      <c r="K148" s="529"/>
      <c r="L148" s="530">
        <v>1065085</v>
      </c>
      <c r="M148" s="528" t="s">
        <v>2143</v>
      </c>
      <c r="N148" s="528" t="s">
        <v>969</v>
      </c>
      <c r="O148" s="528" t="s">
        <v>848</v>
      </c>
      <c r="P148" s="528" t="s">
        <v>1613</v>
      </c>
      <c r="Q148" s="528" t="s">
        <v>969</v>
      </c>
      <c r="R148" s="528" t="s">
        <v>848</v>
      </c>
      <c r="S148" s="528" t="s">
        <v>1613</v>
      </c>
      <c r="T148" s="531"/>
      <c r="U148" s="349" t="str">
        <f t="shared" si="19"/>
        <v>〇</v>
      </c>
      <c r="V148" s="349" t="str">
        <f t="shared" si="20"/>
        <v>〇</v>
      </c>
      <c r="W148" s="349" t="str">
        <f t="shared" si="21"/>
        <v>〇</v>
      </c>
      <c r="X148" s="559" t="s">
        <v>1528</v>
      </c>
      <c r="Y148" s="557" t="str">
        <f t="shared" si="22"/>
        <v>〇</v>
      </c>
      <c r="Z148" s="559" t="s">
        <v>1823</v>
      </c>
      <c r="AA148" s="559" t="s">
        <v>848</v>
      </c>
      <c r="AB148" s="559" t="s">
        <v>1018</v>
      </c>
      <c r="AC148" s="559" t="str">
        <f t="shared" si="23"/>
        <v>✕</v>
      </c>
      <c r="AD148" s="559" t="str">
        <f t="shared" si="24"/>
        <v>〇</v>
      </c>
      <c r="AE148" s="559" t="str">
        <f t="shared" si="25"/>
        <v>✕</v>
      </c>
      <c r="AH148" s="378" t="s">
        <v>1228</v>
      </c>
      <c r="AI148" s="378" t="str">
        <f t="shared" si="26"/>
        <v>✕</v>
      </c>
      <c r="AJ148" s="378" t="s">
        <v>1526</v>
      </c>
      <c r="AK148" s="467" t="str">
        <f t="shared" si="27"/>
        <v>✕</v>
      </c>
      <c r="AL148" s="467"/>
      <c r="AM148" s="467"/>
      <c r="AN148" s="467"/>
      <c r="AO148" s="467"/>
    </row>
    <row r="149" spans="1:41" ht="21.75" customHeight="1">
      <c r="A149" s="347"/>
      <c r="B149" s="540">
        <v>145</v>
      </c>
      <c r="C149" s="538" t="s">
        <v>1529</v>
      </c>
      <c r="D149" s="527">
        <v>145</v>
      </c>
      <c r="E149" s="528" t="s">
        <v>762</v>
      </c>
      <c r="F149" s="528">
        <v>1210675</v>
      </c>
      <c r="G149" s="528" t="s">
        <v>1231</v>
      </c>
      <c r="H149" s="528" t="s">
        <v>1231</v>
      </c>
      <c r="I149" s="527" t="s">
        <v>1548</v>
      </c>
      <c r="J149" s="527" t="s">
        <v>1548</v>
      </c>
      <c r="K149" s="529"/>
      <c r="L149" s="530">
        <v>1064046</v>
      </c>
      <c r="M149" s="528" t="s">
        <v>2144</v>
      </c>
      <c r="N149" s="528" t="s">
        <v>1019</v>
      </c>
      <c r="O149" s="528" t="s">
        <v>848</v>
      </c>
      <c r="P149" s="528" t="s">
        <v>2371</v>
      </c>
      <c r="Q149" s="528" t="s">
        <v>1019</v>
      </c>
      <c r="R149" s="528" t="s">
        <v>848</v>
      </c>
      <c r="S149" s="528" t="s">
        <v>2371</v>
      </c>
      <c r="T149" s="531"/>
      <c r="U149" s="349" t="str">
        <f t="shared" si="19"/>
        <v>〇</v>
      </c>
      <c r="V149" s="349" t="str">
        <f t="shared" si="20"/>
        <v>〇</v>
      </c>
      <c r="W149" s="349" t="str">
        <f t="shared" si="21"/>
        <v>〇</v>
      </c>
      <c r="X149" s="559" t="s">
        <v>1529</v>
      </c>
      <c r="Y149" s="557" t="str">
        <f t="shared" si="22"/>
        <v>〇</v>
      </c>
      <c r="Z149" s="559" t="s">
        <v>969</v>
      </c>
      <c r="AA149" s="559" t="s">
        <v>848</v>
      </c>
      <c r="AB149" s="559" t="s">
        <v>1613</v>
      </c>
      <c r="AC149" s="559" t="str">
        <f t="shared" si="23"/>
        <v>✕</v>
      </c>
      <c r="AD149" s="559" t="str">
        <f t="shared" si="24"/>
        <v>〇</v>
      </c>
      <c r="AE149" s="559" t="str">
        <f t="shared" si="25"/>
        <v>✕</v>
      </c>
      <c r="AH149" s="378" t="s">
        <v>1229</v>
      </c>
      <c r="AI149" s="378" t="str">
        <f t="shared" si="26"/>
        <v>✕</v>
      </c>
      <c r="AJ149" s="378" t="s">
        <v>1527</v>
      </c>
      <c r="AK149" s="467" t="str">
        <f t="shared" si="27"/>
        <v>✕</v>
      </c>
      <c r="AL149" s="467"/>
      <c r="AM149" s="467"/>
      <c r="AN149" s="467"/>
      <c r="AO149" s="467"/>
    </row>
    <row r="150" spans="1:41" ht="21.75" customHeight="1">
      <c r="A150" s="347"/>
      <c r="B150" s="540">
        <v>146</v>
      </c>
      <c r="C150" s="538" t="s">
        <v>1827</v>
      </c>
      <c r="D150" s="527">
        <v>146</v>
      </c>
      <c r="E150" s="580">
        <v>1210829</v>
      </c>
      <c r="F150" s="528">
        <v>1210829</v>
      </c>
      <c r="G150" s="528" t="s">
        <v>1234</v>
      </c>
      <c r="H150" s="528" t="s">
        <v>1234</v>
      </c>
      <c r="I150" s="527" t="s">
        <v>1548</v>
      </c>
      <c r="J150" s="527" t="s">
        <v>1548</v>
      </c>
      <c r="K150" s="529"/>
      <c r="L150" s="530">
        <v>1067026</v>
      </c>
      <c r="M150" s="528" t="s">
        <v>2145</v>
      </c>
      <c r="N150" s="528" t="s">
        <v>1824</v>
      </c>
      <c r="O150" s="528" t="s">
        <v>768</v>
      </c>
      <c r="P150" s="528" t="s">
        <v>1608</v>
      </c>
      <c r="Q150" s="528" t="s">
        <v>1824</v>
      </c>
      <c r="R150" s="528" t="s">
        <v>768</v>
      </c>
      <c r="S150" s="528" t="s">
        <v>1608</v>
      </c>
      <c r="T150" s="531"/>
      <c r="U150" s="349" t="str">
        <f t="shared" si="19"/>
        <v>〇</v>
      </c>
      <c r="V150" s="349" t="str">
        <f t="shared" si="20"/>
        <v>〇</v>
      </c>
      <c r="W150" s="349" t="str">
        <f t="shared" si="21"/>
        <v>〇</v>
      </c>
      <c r="X150" s="559" t="s">
        <v>1827</v>
      </c>
      <c r="Y150" s="557" t="str">
        <f t="shared" si="22"/>
        <v>〇</v>
      </c>
      <c r="Z150" s="559" t="s">
        <v>1019</v>
      </c>
      <c r="AA150" s="559" t="s">
        <v>848</v>
      </c>
      <c r="AB150" s="559" t="s">
        <v>945</v>
      </c>
      <c r="AC150" s="559" t="str">
        <f t="shared" si="23"/>
        <v>✕</v>
      </c>
      <c r="AD150" s="559" t="str">
        <f t="shared" si="24"/>
        <v>✕</v>
      </c>
      <c r="AE150" s="559" t="str">
        <f t="shared" si="25"/>
        <v>✕</v>
      </c>
      <c r="AH150" s="378" t="s">
        <v>1230</v>
      </c>
      <c r="AI150" s="378" t="str">
        <f t="shared" si="26"/>
        <v>✕</v>
      </c>
      <c r="AJ150" s="378" t="s">
        <v>1528</v>
      </c>
      <c r="AK150" s="467" t="str">
        <f t="shared" si="27"/>
        <v>✕</v>
      </c>
      <c r="AL150" s="467"/>
      <c r="AM150" s="467"/>
      <c r="AN150" s="467"/>
      <c r="AO150" s="467"/>
    </row>
    <row r="151" spans="1:41" ht="21.75" customHeight="1">
      <c r="A151" s="347"/>
      <c r="B151" s="540">
        <v>147</v>
      </c>
      <c r="C151" s="538" t="s">
        <v>1828</v>
      </c>
      <c r="D151" s="527">
        <v>147</v>
      </c>
      <c r="E151" s="580">
        <v>1220001</v>
      </c>
      <c r="F151" s="528">
        <v>1220001</v>
      </c>
      <c r="G151" s="528" t="s">
        <v>1236</v>
      </c>
      <c r="H151" s="528" t="s">
        <v>1236</v>
      </c>
      <c r="I151" s="527" t="s">
        <v>1548</v>
      </c>
      <c r="J151" s="527" t="s">
        <v>1548</v>
      </c>
      <c r="K151" s="529"/>
      <c r="L151" s="530">
        <v>1071805</v>
      </c>
      <c r="M151" s="528" t="s">
        <v>2146</v>
      </c>
      <c r="N151" s="528" t="s">
        <v>1642</v>
      </c>
      <c r="O151" s="528" t="s">
        <v>848</v>
      </c>
      <c r="P151" s="528" t="s">
        <v>1594</v>
      </c>
      <c r="Q151" s="528" t="s">
        <v>1642</v>
      </c>
      <c r="R151" s="528" t="s">
        <v>848</v>
      </c>
      <c r="S151" s="528" t="s">
        <v>1594</v>
      </c>
      <c r="T151" s="531"/>
      <c r="U151" s="349" t="str">
        <f t="shared" si="19"/>
        <v>〇</v>
      </c>
      <c r="V151" s="349" t="str">
        <f t="shared" si="20"/>
        <v>〇</v>
      </c>
      <c r="W151" s="349" t="str">
        <f t="shared" si="21"/>
        <v>〇</v>
      </c>
      <c r="X151" s="559" t="s">
        <v>1828</v>
      </c>
      <c r="Y151" s="557" t="str">
        <f t="shared" si="22"/>
        <v>〇</v>
      </c>
      <c r="Z151" s="559" t="s">
        <v>1824</v>
      </c>
      <c r="AA151" s="559" t="s">
        <v>768</v>
      </c>
      <c r="AB151" s="559" t="s">
        <v>1608</v>
      </c>
      <c r="AC151" s="559" t="str">
        <f t="shared" si="23"/>
        <v>✕</v>
      </c>
      <c r="AD151" s="559" t="str">
        <f t="shared" si="24"/>
        <v>✕</v>
      </c>
      <c r="AE151" s="559" t="str">
        <f t="shared" si="25"/>
        <v>✕</v>
      </c>
      <c r="AH151" s="378" t="s">
        <v>1231</v>
      </c>
      <c r="AI151" s="378" t="str">
        <f t="shared" si="26"/>
        <v>✕</v>
      </c>
      <c r="AJ151" s="378" t="s">
        <v>1529</v>
      </c>
      <c r="AK151" s="467" t="str">
        <f t="shared" si="27"/>
        <v>✕</v>
      </c>
      <c r="AL151" s="467"/>
      <c r="AM151" s="467"/>
      <c r="AN151" s="467"/>
      <c r="AO151" s="467"/>
    </row>
    <row r="152" spans="1:41" ht="21.75" customHeight="1">
      <c r="A152" s="347"/>
      <c r="B152" s="540">
        <v>148</v>
      </c>
      <c r="C152" s="539" t="s">
        <v>1614</v>
      </c>
      <c r="D152" s="527">
        <v>148</v>
      </c>
      <c r="E152" s="580">
        <v>1220002</v>
      </c>
      <c r="F152" s="528">
        <v>1220002</v>
      </c>
      <c r="G152" s="528" t="s">
        <v>1233</v>
      </c>
      <c r="H152" s="528" t="s">
        <v>1233</v>
      </c>
      <c r="I152" s="527" t="s">
        <v>1548</v>
      </c>
      <c r="J152" s="527" t="s">
        <v>1548</v>
      </c>
      <c r="K152" s="529"/>
      <c r="L152" s="530">
        <v>1061258</v>
      </c>
      <c r="M152" s="528" t="s">
        <v>1663</v>
      </c>
      <c r="N152" s="528" t="s">
        <v>988</v>
      </c>
      <c r="O152" s="528" t="s">
        <v>768</v>
      </c>
      <c r="P152" s="528" t="s">
        <v>987</v>
      </c>
      <c r="Q152" s="528" t="s">
        <v>988</v>
      </c>
      <c r="R152" s="528" t="s">
        <v>768</v>
      </c>
      <c r="S152" s="528" t="s">
        <v>987</v>
      </c>
      <c r="T152" s="531"/>
      <c r="U152" s="349" t="str">
        <f t="shared" si="19"/>
        <v>〇</v>
      </c>
      <c r="V152" s="349" t="str">
        <f t="shared" si="20"/>
        <v>〇</v>
      </c>
      <c r="W152" s="349" t="str">
        <f t="shared" si="21"/>
        <v>〇</v>
      </c>
      <c r="X152" s="559" t="s">
        <v>1614</v>
      </c>
      <c r="Y152" s="557" t="str">
        <f t="shared" si="22"/>
        <v>〇</v>
      </c>
      <c r="Z152" s="559" t="s">
        <v>1642</v>
      </c>
      <c r="AA152" s="559" t="s">
        <v>848</v>
      </c>
      <c r="AB152" s="559" t="s">
        <v>1594</v>
      </c>
      <c r="AC152" s="559" t="str">
        <f t="shared" si="23"/>
        <v>✕</v>
      </c>
      <c r="AD152" s="559" t="str">
        <f t="shared" si="24"/>
        <v>✕</v>
      </c>
      <c r="AE152" s="559" t="str">
        <f t="shared" si="25"/>
        <v>✕</v>
      </c>
      <c r="AH152" s="378" t="s">
        <v>1234</v>
      </c>
      <c r="AI152" s="378" t="str">
        <f t="shared" si="26"/>
        <v>✕</v>
      </c>
      <c r="AJ152" s="378" t="s">
        <v>1827</v>
      </c>
      <c r="AK152" s="467" t="str">
        <f t="shared" si="27"/>
        <v>✕</v>
      </c>
      <c r="AL152" s="467"/>
      <c r="AM152" s="467"/>
      <c r="AN152" s="467"/>
      <c r="AO152" s="467"/>
    </row>
    <row r="153" spans="1:41" ht="21.75" customHeight="1">
      <c r="A153" s="347"/>
      <c r="B153" s="540">
        <v>149</v>
      </c>
      <c r="C153" s="541" t="s">
        <v>1615</v>
      </c>
      <c r="D153" s="527">
        <v>149</v>
      </c>
      <c r="E153" s="580">
        <v>1220003</v>
      </c>
      <c r="F153" s="528">
        <v>1220003</v>
      </c>
      <c r="G153" s="528" t="s">
        <v>1235</v>
      </c>
      <c r="H153" s="528" t="s">
        <v>1235</v>
      </c>
      <c r="I153" s="527" t="s">
        <v>1548</v>
      </c>
      <c r="J153" s="527" t="s">
        <v>1548</v>
      </c>
      <c r="K153" s="529"/>
      <c r="L153" s="530">
        <v>1066221</v>
      </c>
      <c r="M153" s="528" t="s">
        <v>1595</v>
      </c>
      <c r="N153" s="528" t="s">
        <v>1596</v>
      </c>
      <c r="O153" s="528" t="s">
        <v>848</v>
      </c>
      <c r="P153" s="528" t="s">
        <v>1597</v>
      </c>
      <c r="Q153" s="528" t="s">
        <v>1596</v>
      </c>
      <c r="R153" s="528" t="s">
        <v>848</v>
      </c>
      <c r="S153" s="528" t="s">
        <v>1597</v>
      </c>
      <c r="T153" s="531"/>
      <c r="U153" s="349" t="str">
        <f t="shared" si="19"/>
        <v>〇</v>
      </c>
      <c r="V153" s="349" t="str">
        <f t="shared" si="20"/>
        <v>〇</v>
      </c>
      <c r="W153" s="349" t="str">
        <f t="shared" si="21"/>
        <v>〇</v>
      </c>
      <c r="X153" s="559" t="s">
        <v>1615</v>
      </c>
      <c r="Y153" s="557" t="str">
        <f t="shared" si="22"/>
        <v>〇</v>
      </c>
      <c r="Z153" s="559" t="s">
        <v>988</v>
      </c>
      <c r="AA153" s="559" t="s">
        <v>768</v>
      </c>
      <c r="AB153" s="559" t="s">
        <v>987</v>
      </c>
      <c r="AC153" s="559" t="str">
        <f t="shared" si="23"/>
        <v>✕</v>
      </c>
      <c r="AD153" s="559" t="str">
        <f t="shared" si="24"/>
        <v>✕</v>
      </c>
      <c r="AE153" s="559" t="str">
        <f t="shared" si="25"/>
        <v>✕</v>
      </c>
      <c r="AH153" s="378" t="s">
        <v>1236</v>
      </c>
      <c r="AI153" s="378" t="str">
        <f t="shared" si="26"/>
        <v>✕</v>
      </c>
      <c r="AJ153" s="378" t="s">
        <v>1828</v>
      </c>
      <c r="AK153" s="467" t="str">
        <f t="shared" si="27"/>
        <v>✕</v>
      </c>
      <c r="AL153" s="467"/>
      <c r="AM153" s="467"/>
      <c r="AN153" s="467"/>
      <c r="AO153" s="467"/>
    </row>
    <row r="154" spans="1:41" ht="21.75" customHeight="1">
      <c r="A154" s="347"/>
      <c r="B154" s="540">
        <v>150</v>
      </c>
      <c r="C154" s="528" t="s">
        <v>1616</v>
      </c>
      <c r="D154" s="527">
        <v>150</v>
      </c>
      <c r="E154" s="580">
        <v>1220004</v>
      </c>
      <c r="F154" s="528">
        <v>1220004</v>
      </c>
      <c r="G154" s="528" t="s">
        <v>1592</v>
      </c>
      <c r="H154" s="528" t="s">
        <v>1592</v>
      </c>
      <c r="I154" s="527" t="s">
        <v>1548</v>
      </c>
      <c r="J154" s="527" t="s">
        <v>1548</v>
      </c>
      <c r="K154" s="529"/>
      <c r="L154" s="530">
        <v>1073193</v>
      </c>
      <c r="M154" s="528" t="s">
        <v>2147</v>
      </c>
      <c r="N154" s="528" t="s">
        <v>1996</v>
      </c>
      <c r="O154" s="528" t="s">
        <v>768</v>
      </c>
      <c r="P154" s="528" t="s">
        <v>1598</v>
      </c>
      <c r="Q154" s="528" t="s">
        <v>1996</v>
      </c>
      <c r="R154" s="528" t="s">
        <v>768</v>
      </c>
      <c r="S154" s="528" t="s">
        <v>1598</v>
      </c>
      <c r="T154" s="531"/>
      <c r="U154" s="349" t="str">
        <f t="shared" si="19"/>
        <v>〇</v>
      </c>
      <c r="V154" s="349" t="str">
        <f t="shared" si="20"/>
        <v>〇</v>
      </c>
      <c r="W154" s="349" t="str">
        <f t="shared" si="21"/>
        <v>〇</v>
      </c>
      <c r="X154" s="559" t="s">
        <v>1616</v>
      </c>
      <c r="Y154" s="557" t="str">
        <f t="shared" si="22"/>
        <v>〇</v>
      </c>
      <c r="Z154" s="559" t="s">
        <v>1596</v>
      </c>
      <c r="AA154" s="559" t="s">
        <v>848</v>
      </c>
      <c r="AB154" s="559" t="s">
        <v>1597</v>
      </c>
      <c r="AC154" s="559" t="str">
        <f t="shared" si="23"/>
        <v>✕</v>
      </c>
      <c r="AD154" s="559" t="str">
        <f t="shared" si="24"/>
        <v>✕</v>
      </c>
      <c r="AE154" s="559" t="str">
        <f t="shared" si="25"/>
        <v>✕</v>
      </c>
      <c r="AH154" s="378" t="s">
        <v>1233</v>
      </c>
      <c r="AI154" s="378" t="str">
        <f t="shared" si="26"/>
        <v>✕</v>
      </c>
      <c r="AJ154" s="378" t="s">
        <v>1614</v>
      </c>
      <c r="AK154" s="467" t="str">
        <f t="shared" si="27"/>
        <v>✕</v>
      </c>
      <c r="AL154" s="467"/>
      <c r="AM154" s="467"/>
      <c r="AN154" s="467"/>
      <c r="AO154" s="467"/>
    </row>
    <row r="155" spans="1:41" ht="21.75" customHeight="1">
      <c r="A155" s="347"/>
      <c r="B155" s="540">
        <v>151</v>
      </c>
      <c r="C155" s="528" t="s">
        <v>1829</v>
      </c>
      <c r="D155" s="527">
        <v>151</v>
      </c>
      <c r="E155" s="580">
        <v>1220005</v>
      </c>
      <c r="F155" s="528">
        <v>1220005</v>
      </c>
      <c r="G155" s="528" t="s">
        <v>1588</v>
      </c>
      <c r="H155" s="528" t="s">
        <v>1588</v>
      </c>
      <c r="I155" s="527" t="s">
        <v>1548</v>
      </c>
      <c r="J155" s="527" t="s">
        <v>1548</v>
      </c>
      <c r="K155" s="529"/>
      <c r="L155" s="530">
        <v>1066464</v>
      </c>
      <c r="M155" s="528" t="s">
        <v>1830</v>
      </c>
      <c r="N155" s="528" t="s">
        <v>2150</v>
      </c>
      <c r="O155" s="528" t="s">
        <v>848</v>
      </c>
      <c r="P155" s="528" t="s">
        <v>1533</v>
      </c>
      <c r="Q155" s="528" t="s">
        <v>2150</v>
      </c>
      <c r="R155" s="528" t="s">
        <v>848</v>
      </c>
      <c r="S155" s="528" t="s">
        <v>1533</v>
      </c>
      <c r="T155" s="531"/>
      <c r="U155" s="349" t="str">
        <f t="shared" si="19"/>
        <v>〇</v>
      </c>
      <c r="V155" s="349" t="str">
        <f t="shared" si="20"/>
        <v>〇</v>
      </c>
      <c r="W155" s="349" t="str">
        <f t="shared" si="21"/>
        <v>〇</v>
      </c>
      <c r="X155" s="559" t="s">
        <v>1829</v>
      </c>
      <c r="Y155" s="557" t="str">
        <f t="shared" si="22"/>
        <v>〇</v>
      </c>
      <c r="Z155" s="559" t="s">
        <v>1996</v>
      </c>
      <c r="AA155" s="559" t="s">
        <v>768</v>
      </c>
      <c r="AB155" s="559" t="s">
        <v>1598</v>
      </c>
      <c r="AC155" s="559" t="str">
        <f t="shared" si="23"/>
        <v>✕</v>
      </c>
      <c r="AD155" s="559" t="str">
        <f t="shared" si="24"/>
        <v>✕</v>
      </c>
      <c r="AE155" s="559" t="str">
        <f t="shared" si="25"/>
        <v>✕</v>
      </c>
      <c r="AH155" s="378" t="s">
        <v>1235</v>
      </c>
      <c r="AI155" s="378" t="str">
        <f t="shared" si="26"/>
        <v>✕</v>
      </c>
      <c r="AJ155" s="378" t="s">
        <v>1615</v>
      </c>
      <c r="AK155" s="467" t="str">
        <f t="shared" si="27"/>
        <v>✕</v>
      </c>
      <c r="AL155" s="467"/>
      <c r="AM155" s="467"/>
      <c r="AN155" s="467"/>
      <c r="AO155" s="467"/>
    </row>
    <row r="156" spans="1:41" ht="21.75" customHeight="1">
      <c r="A156" s="347"/>
      <c r="B156" s="540">
        <v>152</v>
      </c>
      <c r="C156" s="528" t="s">
        <v>1618</v>
      </c>
      <c r="D156" s="527">
        <v>152</v>
      </c>
      <c r="E156" s="580">
        <v>1220006</v>
      </c>
      <c r="F156" s="528">
        <v>1220006</v>
      </c>
      <c r="G156" s="528" t="s">
        <v>1590</v>
      </c>
      <c r="H156" s="528" t="s">
        <v>1590</v>
      </c>
      <c r="I156" s="527" t="s">
        <v>1548</v>
      </c>
      <c r="J156" s="527" t="s">
        <v>1548</v>
      </c>
      <c r="K156" s="529"/>
      <c r="L156" s="530">
        <v>1071805</v>
      </c>
      <c r="M156" s="528" t="s">
        <v>2146</v>
      </c>
      <c r="N156" s="528" t="s">
        <v>1642</v>
      </c>
      <c r="O156" s="528" t="s">
        <v>848</v>
      </c>
      <c r="P156" s="528" t="s">
        <v>1594</v>
      </c>
      <c r="Q156" s="528" t="s">
        <v>1642</v>
      </c>
      <c r="R156" s="528" t="s">
        <v>848</v>
      </c>
      <c r="S156" s="528" t="s">
        <v>1594</v>
      </c>
      <c r="T156" s="531"/>
      <c r="U156" s="349" t="str">
        <f t="shared" si="19"/>
        <v>〇</v>
      </c>
      <c r="V156" s="349" t="str">
        <f t="shared" si="20"/>
        <v>〇</v>
      </c>
      <c r="W156" s="349" t="str">
        <f t="shared" si="21"/>
        <v>〇</v>
      </c>
      <c r="X156" s="559" t="s">
        <v>1618</v>
      </c>
      <c r="Y156" s="557" t="str">
        <f t="shared" si="22"/>
        <v>〇</v>
      </c>
      <c r="Z156" s="559" t="s">
        <v>2150</v>
      </c>
      <c r="AA156" s="559" t="s">
        <v>848</v>
      </c>
      <c r="AB156" s="559" t="s">
        <v>1533</v>
      </c>
      <c r="AC156" s="559" t="str">
        <f t="shared" si="23"/>
        <v>✕</v>
      </c>
      <c r="AD156" s="559" t="str">
        <f t="shared" si="24"/>
        <v>〇</v>
      </c>
      <c r="AE156" s="559" t="str">
        <f t="shared" si="25"/>
        <v>✕</v>
      </c>
      <c r="AH156" s="378" t="s">
        <v>1592</v>
      </c>
      <c r="AI156" s="378" t="str">
        <f t="shared" si="26"/>
        <v>✕</v>
      </c>
      <c r="AJ156" s="378" t="s">
        <v>1616</v>
      </c>
      <c r="AK156" s="467" t="str">
        <f t="shared" si="27"/>
        <v>✕</v>
      </c>
      <c r="AL156" s="467"/>
      <c r="AM156" s="467"/>
      <c r="AN156" s="467"/>
      <c r="AO156" s="467"/>
    </row>
    <row r="157" spans="1:41" ht="21.75" customHeight="1">
      <c r="A157" s="347"/>
      <c r="B157" s="540">
        <v>153</v>
      </c>
      <c r="C157" s="528" t="s">
        <v>1619</v>
      </c>
      <c r="D157" s="527">
        <v>153</v>
      </c>
      <c r="E157" s="580">
        <v>1220007</v>
      </c>
      <c r="F157" s="528">
        <v>1220007</v>
      </c>
      <c r="G157" s="528" t="s">
        <v>1591</v>
      </c>
      <c r="H157" s="528" t="s">
        <v>1591</v>
      </c>
      <c r="I157" s="527" t="s">
        <v>1548</v>
      </c>
      <c r="J157" s="527" t="s">
        <v>1548</v>
      </c>
      <c r="K157" s="529"/>
      <c r="L157" s="530">
        <v>1065085</v>
      </c>
      <c r="M157" s="528" t="s">
        <v>2143</v>
      </c>
      <c r="N157" s="528" t="s">
        <v>969</v>
      </c>
      <c r="O157" s="528" t="s">
        <v>848</v>
      </c>
      <c r="P157" s="528" t="s">
        <v>1613</v>
      </c>
      <c r="Q157" s="528" t="s">
        <v>969</v>
      </c>
      <c r="R157" s="528" t="s">
        <v>848</v>
      </c>
      <c r="S157" s="528" t="s">
        <v>1613</v>
      </c>
      <c r="T157" s="531"/>
      <c r="U157" s="349" t="str">
        <f t="shared" si="19"/>
        <v>〇</v>
      </c>
      <c r="V157" s="349" t="str">
        <f t="shared" si="20"/>
        <v>〇</v>
      </c>
      <c r="W157" s="349" t="str">
        <f t="shared" si="21"/>
        <v>〇</v>
      </c>
      <c r="X157" s="559" t="s">
        <v>1619</v>
      </c>
      <c r="Y157" s="557" t="str">
        <f t="shared" si="22"/>
        <v>〇</v>
      </c>
      <c r="Z157" s="559" t="s">
        <v>1642</v>
      </c>
      <c r="AA157" s="559" t="s">
        <v>848</v>
      </c>
      <c r="AB157" s="559" t="s">
        <v>1594</v>
      </c>
      <c r="AC157" s="559" t="str">
        <f t="shared" si="23"/>
        <v>✕</v>
      </c>
      <c r="AD157" s="559" t="str">
        <f t="shared" si="24"/>
        <v>〇</v>
      </c>
      <c r="AE157" s="559" t="str">
        <f t="shared" si="25"/>
        <v>✕</v>
      </c>
      <c r="AH157" s="378" t="s">
        <v>1588</v>
      </c>
      <c r="AI157" s="378" t="str">
        <f t="shared" si="26"/>
        <v>✕</v>
      </c>
      <c r="AJ157" s="378" t="s">
        <v>1829</v>
      </c>
      <c r="AK157" s="467" t="str">
        <f t="shared" si="27"/>
        <v>✕</v>
      </c>
      <c r="AL157" s="467"/>
      <c r="AM157" s="467"/>
      <c r="AN157" s="467"/>
      <c r="AO157" s="467"/>
    </row>
    <row r="158" spans="1:41" ht="21.75" customHeight="1">
      <c r="A158" s="347"/>
      <c r="B158" s="540">
        <v>154</v>
      </c>
      <c r="C158" s="528" t="s">
        <v>1831</v>
      </c>
      <c r="D158" s="527">
        <v>154</v>
      </c>
      <c r="E158" s="580">
        <v>1220008</v>
      </c>
      <c r="F158" s="528">
        <v>1220008</v>
      </c>
      <c r="G158" s="528" t="s">
        <v>1589</v>
      </c>
      <c r="H158" s="528" t="s">
        <v>1589</v>
      </c>
      <c r="I158" s="527" t="s">
        <v>1548</v>
      </c>
      <c r="J158" s="527" t="s">
        <v>1548</v>
      </c>
      <c r="K158" s="529"/>
      <c r="L158" s="530">
        <v>1071410</v>
      </c>
      <c r="M158" s="528" t="s">
        <v>2138</v>
      </c>
      <c r="N158" s="528" t="s">
        <v>1014</v>
      </c>
      <c r="O158" s="528" t="s">
        <v>848</v>
      </c>
      <c r="P158" s="528" t="s">
        <v>1015</v>
      </c>
      <c r="Q158" s="528" t="s">
        <v>1014</v>
      </c>
      <c r="R158" s="528" t="s">
        <v>848</v>
      </c>
      <c r="S158" s="528" t="s">
        <v>1015</v>
      </c>
      <c r="T158" s="531"/>
      <c r="U158" s="349" t="str">
        <f t="shared" si="19"/>
        <v>〇</v>
      </c>
      <c r="V158" s="349" t="str">
        <f t="shared" si="20"/>
        <v>〇</v>
      </c>
      <c r="W158" s="349" t="str">
        <f t="shared" si="21"/>
        <v>〇</v>
      </c>
      <c r="X158" s="559" t="s">
        <v>1831</v>
      </c>
      <c r="Y158" s="557" t="str">
        <f t="shared" si="22"/>
        <v>〇</v>
      </c>
      <c r="Z158" s="559" t="s">
        <v>969</v>
      </c>
      <c r="AA158" s="559" t="s">
        <v>848</v>
      </c>
      <c r="AB158" s="559" t="s">
        <v>1613</v>
      </c>
      <c r="AC158" s="559" t="str">
        <f t="shared" si="23"/>
        <v>✕</v>
      </c>
      <c r="AD158" s="559" t="str">
        <f t="shared" si="24"/>
        <v>〇</v>
      </c>
      <c r="AE158" s="559" t="str">
        <f t="shared" si="25"/>
        <v>✕</v>
      </c>
      <c r="AH158" s="378" t="s">
        <v>1590</v>
      </c>
      <c r="AI158" s="378" t="str">
        <f t="shared" si="26"/>
        <v>✕</v>
      </c>
      <c r="AJ158" s="378" t="s">
        <v>1618</v>
      </c>
      <c r="AK158" s="467" t="str">
        <f t="shared" si="27"/>
        <v>✕</v>
      </c>
      <c r="AL158" s="467"/>
      <c r="AM158" s="467"/>
      <c r="AN158" s="467"/>
      <c r="AO158" s="467"/>
    </row>
    <row r="159" spans="1:41" ht="21.75" customHeight="1">
      <c r="A159" s="347"/>
      <c r="B159" s="540">
        <v>155</v>
      </c>
      <c r="C159" s="528" t="s">
        <v>1832</v>
      </c>
      <c r="D159" s="527">
        <v>155</v>
      </c>
      <c r="E159" s="580">
        <v>1220009</v>
      </c>
      <c r="F159" s="528">
        <v>1220009</v>
      </c>
      <c r="G159" s="528" t="s">
        <v>1587</v>
      </c>
      <c r="H159" s="528" t="s">
        <v>1587</v>
      </c>
      <c r="I159" s="527" t="s">
        <v>1548</v>
      </c>
      <c r="J159" s="527" t="s">
        <v>1548</v>
      </c>
      <c r="K159" s="529"/>
      <c r="L159" s="530">
        <v>1066783</v>
      </c>
      <c r="M159" s="528" t="s">
        <v>1534</v>
      </c>
      <c r="N159" s="528" t="s">
        <v>1535</v>
      </c>
      <c r="O159" s="528" t="s">
        <v>844</v>
      </c>
      <c r="P159" s="528" t="s">
        <v>1990</v>
      </c>
      <c r="Q159" s="528" t="s">
        <v>1535</v>
      </c>
      <c r="R159" s="528" t="s">
        <v>844</v>
      </c>
      <c r="S159" s="528" t="s">
        <v>1990</v>
      </c>
      <c r="T159" s="531"/>
      <c r="U159" s="349" t="str">
        <f t="shared" si="19"/>
        <v>〇</v>
      </c>
      <c r="V159" s="349" t="str">
        <f t="shared" si="20"/>
        <v>〇</v>
      </c>
      <c r="W159" s="349" t="str">
        <f t="shared" si="21"/>
        <v>〇</v>
      </c>
      <c r="X159" s="559" t="s">
        <v>1832</v>
      </c>
      <c r="Y159" s="557" t="str">
        <f t="shared" si="22"/>
        <v>〇</v>
      </c>
      <c r="Z159" s="559" t="s">
        <v>1014</v>
      </c>
      <c r="AA159" s="559" t="s">
        <v>848</v>
      </c>
      <c r="AB159" s="559" t="s">
        <v>1015</v>
      </c>
      <c r="AC159" s="559" t="str">
        <f t="shared" si="23"/>
        <v>✕</v>
      </c>
      <c r="AD159" s="559" t="str">
        <f t="shared" si="24"/>
        <v>✕</v>
      </c>
      <c r="AE159" s="559" t="str">
        <f t="shared" si="25"/>
        <v>✕</v>
      </c>
      <c r="AH159" s="378" t="s">
        <v>1591</v>
      </c>
      <c r="AI159" s="378" t="str">
        <f t="shared" si="26"/>
        <v>✕</v>
      </c>
      <c r="AJ159" s="378" t="s">
        <v>1619</v>
      </c>
      <c r="AK159" s="467" t="str">
        <f t="shared" si="27"/>
        <v>✕</v>
      </c>
      <c r="AL159" s="467"/>
      <c r="AM159" s="467"/>
      <c r="AN159" s="467"/>
      <c r="AO159" s="467"/>
    </row>
    <row r="160" spans="1:41" ht="21.75" customHeight="1">
      <c r="A160" s="347"/>
      <c r="B160" s="540">
        <v>156</v>
      </c>
      <c r="C160" s="528" t="s">
        <v>1775</v>
      </c>
      <c r="D160" s="527">
        <v>156</v>
      </c>
      <c r="E160" s="580">
        <v>1220012</v>
      </c>
      <c r="F160" s="528">
        <v>1220012</v>
      </c>
      <c r="G160" s="528" t="s">
        <v>1857</v>
      </c>
      <c r="H160" s="528" t="s">
        <v>1857</v>
      </c>
      <c r="I160" s="527" t="s">
        <v>1548</v>
      </c>
      <c r="J160" s="527" t="s">
        <v>1548</v>
      </c>
      <c r="K160" s="529"/>
      <c r="L160" s="530">
        <v>1066516</v>
      </c>
      <c r="M160" s="528" t="s">
        <v>1660</v>
      </c>
      <c r="N160" s="528" t="s">
        <v>971</v>
      </c>
      <c r="O160" s="528" t="s">
        <v>848</v>
      </c>
      <c r="P160" s="528" t="s">
        <v>970</v>
      </c>
      <c r="Q160" s="528" t="s">
        <v>971</v>
      </c>
      <c r="R160" s="528" t="s">
        <v>848</v>
      </c>
      <c r="S160" s="528" t="s">
        <v>970</v>
      </c>
      <c r="T160" s="531"/>
      <c r="U160" s="349" t="str">
        <f t="shared" si="19"/>
        <v>〇</v>
      </c>
      <c r="V160" s="349" t="str">
        <f t="shared" si="20"/>
        <v>〇</v>
      </c>
      <c r="W160" s="349" t="str">
        <f t="shared" si="21"/>
        <v>〇</v>
      </c>
      <c r="X160" s="559" t="s">
        <v>1775</v>
      </c>
      <c r="Y160" s="557" t="str">
        <f t="shared" si="22"/>
        <v>〇</v>
      </c>
      <c r="Z160" s="559" t="s">
        <v>1535</v>
      </c>
      <c r="AA160" s="559" t="s">
        <v>844</v>
      </c>
      <c r="AB160" s="559" t="s">
        <v>1990</v>
      </c>
      <c r="AC160" s="559" t="str">
        <f t="shared" si="23"/>
        <v>✕</v>
      </c>
      <c r="AD160" s="559" t="str">
        <f t="shared" si="24"/>
        <v>✕</v>
      </c>
      <c r="AE160" s="559" t="str">
        <f t="shared" si="25"/>
        <v>✕</v>
      </c>
      <c r="AH160" s="378" t="s">
        <v>1589</v>
      </c>
      <c r="AI160" s="378" t="str">
        <f t="shared" si="26"/>
        <v>✕</v>
      </c>
      <c r="AJ160" s="378" t="s">
        <v>1831</v>
      </c>
      <c r="AK160" s="467" t="str">
        <f t="shared" si="27"/>
        <v>✕</v>
      </c>
      <c r="AL160" s="467"/>
      <c r="AM160" s="467"/>
      <c r="AN160" s="467"/>
      <c r="AO160" s="467"/>
    </row>
    <row r="161" spans="1:41" ht="21.75" customHeight="1">
      <c r="A161" s="347"/>
      <c r="B161" s="540">
        <v>157</v>
      </c>
      <c r="C161" s="528" t="s">
        <v>1833</v>
      </c>
      <c r="D161" s="527">
        <v>157</v>
      </c>
      <c r="E161" s="580">
        <v>1220013</v>
      </c>
      <c r="F161" s="528">
        <v>1220013</v>
      </c>
      <c r="G161" s="528" t="s">
        <v>1237</v>
      </c>
      <c r="H161" s="528" t="s">
        <v>1237</v>
      </c>
      <c r="I161" s="527" t="s">
        <v>1548</v>
      </c>
      <c r="J161" s="527" t="s">
        <v>1548</v>
      </c>
      <c r="K161" s="529"/>
      <c r="L161" s="528">
        <v>1066992</v>
      </c>
      <c r="M161" s="530" t="s">
        <v>1834</v>
      </c>
      <c r="N161" s="528" t="s">
        <v>1537</v>
      </c>
      <c r="O161" s="528" t="s">
        <v>848</v>
      </c>
      <c r="P161" s="528" t="s">
        <v>1536</v>
      </c>
      <c r="Q161" s="528" t="s">
        <v>1537</v>
      </c>
      <c r="R161" s="528" t="s">
        <v>848</v>
      </c>
      <c r="S161" s="528" t="s">
        <v>1536</v>
      </c>
      <c r="T161" s="531"/>
      <c r="U161" s="349" t="str">
        <f t="shared" si="19"/>
        <v>〇</v>
      </c>
      <c r="V161" s="349" t="str">
        <f t="shared" si="20"/>
        <v>〇</v>
      </c>
      <c r="W161" s="349" t="str">
        <f t="shared" si="21"/>
        <v>〇</v>
      </c>
      <c r="X161" s="559" t="s">
        <v>1833</v>
      </c>
      <c r="Y161" s="557" t="str">
        <f t="shared" si="22"/>
        <v>〇</v>
      </c>
      <c r="Z161" s="559" t="s">
        <v>971</v>
      </c>
      <c r="AA161" s="559" t="s">
        <v>848</v>
      </c>
      <c r="AB161" s="559" t="s">
        <v>970</v>
      </c>
      <c r="AC161" s="559" t="str">
        <f t="shared" si="23"/>
        <v>✕</v>
      </c>
      <c r="AD161" s="559" t="str">
        <f t="shared" si="24"/>
        <v>〇</v>
      </c>
      <c r="AE161" s="559" t="str">
        <f t="shared" si="25"/>
        <v>✕</v>
      </c>
      <c r="AH161" s="378" t="s">
        <v>1587</v>
      </c>
      <c r="AI161" s="378" t="str">
        <f t="shared" si="26"/>
        <v>✕</v>
      </c>
      <c r="AJ161" s="378" t="s">
        <v>1832</v>
      </c>
      <c r="AK161" s="467" t="str">
        <f t="shared" si="27"/>
        <v>✕</v>
      </c>
      <c r="AL161" s="467"/>
      <c r="AM161" s="467"/>
      <c r="AN161" s="467"/>
      <c r="AO161" s="467"/>
    </row>
    <row r="162" spans="1:41" ht="21.75" customHeight="1">
      <c r="A162" s="347"/>
      <c r="B162" s="540">
        <v>158</v>
      </c>
      <c r="C162" s="528" t="s">
        <v>1835</v>
      </c>
      <c r="D162" s="527">
        <v>158</v>
      </c>
      <c r="E162" s="580">
        <v>1220014</v>
      </c>
      <c r="F162" s="528">
        <v>1220014</v>
      </c>
      <c r="G162" s="528" t="s">
        <v>1238</v>
      </c>
      <c r="H162" s="528" t="s">
        <v>1238</v>
      </c>
      <c r="I162" s="527" t="s">
        <v>1548</v>
      </c>
      <c r="J162" s="527" t="s">
        <v>1548</v>
      </c>
      <c r="K162" s="529"/>
      <c r="L162" s="528">
        <v>1071520</v>
      </c>
      <c r="M162" s="530" t="s">
        <v>1538</v>
      </c>
      <c r="N162" s="528" t="s">
        <v>1539</v>
      </c>
      <c r="O162" s="528" t="s">
        <v>848</v>
      </c>
      <c r="P162" s="528" t="s">
        <v>1553</v>
      </c>
      <c r="Q162" s="528" t="s">
        <v>1539</v>
      </c>
      <c r="R162" s="528" t="s">
        <v>848</v>
      </c>
      <c r="S162" s="528" t="s">
        <v>1553</v>
      </c>
      <c r="T162" s="531"/>
      <c r="U162" s="349" t="str">
        <f t="shared" si="19"/>
        <v>〇</v>
      </c>
      <c r="V162" s="349" t="str">
        <f t="shared" si="20"/>
        <v>〇</v>
      </c>
      <c r="W162" s="349" t="str">
        <f t="shared" si="21"/>
        <v>〇</v>
      </c>
      <c r="X162" s="559" t="s">
        <v>1835</v>
      </c>
      <c r="Y162" s="557" t="str">
        <f t="shared" si="22"/>
        <v>〇</v>
      </c>
      <c r="Z162" s="559" t="s">
        <v>1537</v>
      </c>
      <c r="AA162" s="559" t="s">
        <v>848</v>
      </c>
      <c r="AB162" s="559" t="s">
        <v>1536</v>
      </c>
      <c r="AC162" s="559" t="str">
        <f t="shared" si="23"/>
        <v>✕</v>
      </c>
      <c r="AD162" s="559" t="str">
        <f t="shared" si="24"/>
        <v>〇</v>
      </c>
      <c r="AE162" s="559" t="str">
        <f t="shared" si="25"/>
        <v>✕</v>
      </c>
      <c r="AH162" s="378" t="s">
        <v>1857</v>
      </c>
      <c r="AI162" s="378" t="str">
        <f t="shared" si="26"/>
        <v>✕</v>
      </c>
      <c r="AJ162" s="378" t="s">
        <v>1775</v>
      </c>
      <c r="AK162" s="467" t="str">
        <f t="shared" si="27"/>
        <v>✕</v>
      </c>
      <c r="AL162" s="467"/>
      <c r="AM162" s="467"/>
      <c r="AN162" s="467"/>
      <c r="AO162" s="467"/>
    </row>
    <row r="163" spans="1:41" ht="21.75" customHeight="1">
      <c r="A163" s="347"/>
      <c r="B163" s="540">
        <v>159</v>
      </c>
      <c r="C163" s="528" t="s">
        <v>1836</v>
      </c>
      <c r="D163" s="527">
        <v>159</v>
      </c>
      <c r="E163" s="580">
        <v>1220016</v>
      </c>
      <c r="F163" s="528">
        <v>1220016</v>
      </c>
      <c r="G163" s="528" t="s">
        <v>1240</v>
      </c>
      <c r="H163" s="528" t="s">
        <v>1240</v>
      </c>
      <c r="I163" s="527" t="s">
        <v>1548</v>
      </c>
      <c r="J163" s="527" t="s">
        <v>1548</v>
      </c>
      <c r="K163" s="529"/>
      <c r="L163" s="528">
        <v>1071460</v>
      </c>
      <c r="M163" s="530" t="s">
        <v>1542</v>
      </c>
      <c r="N163" s="528" t="s">
        <v>1543</v>
      </c>
      <c r="O163" s="528" t="s">
        <v>848</v>
      </c>
      <c r="P163" s="528" t="s">
        <v>1544</v>
      </c>
      <c r="Q163" s="528" t="s">
        <v>1543</v>
      </c>
      <c r="R163" s="528" t="s">
        <v>848</v>
      </c>
      <c r="S163" s="528" t="s">
        <v>1544</v>
      </c>
      <c r="T163" s="531"/>
      <c r="U163" s="349" t="str">
        <f t="shared" si="19"/>
        <v>〇</v>
      </c>
      <c r="V163" s="349" t="str">
        <f t="shared" si="20"/>
        <v>〇</v>
      </c>
      <c r="W163" s="349" t="str">
        <f t="shared" si="21"/>
        <v>〇</v>
      </c>
      <c r="X163" s="559" t="s">
        <v>1836</v>
      </c>
      <c r="Y163" s="557" t="str">
        <f t="shared" si="22"/>
        <v>〇</v>
      </c>
      <c r="Z163" s="559" t="s">
        <v>1539</v>
      </c>
      <c r="AA163" s="559" t="s">
        <v>848</v>
      </c>
      <c r="AB163" s="559" t="s">
        <v>1553</v>
      </c>
      <c r="AC163" s="559" t="str">
        <f t="shared" si="23"/>
        <v>✕</v>
      </c>
      <c r="AD163" s="559" t="str">
        <f t="shared" si="24"/>
        <v>〇</v>
      </c>
      <c r="AE163" s="559" t="str">
        <f t="shared" si="25"/>
        <v>✕</v>
      </c>
      <c r="AH163" s="378" t="s">
        <v>1237</v>
      </c>
      <c r="AI163" s="378" t="str">
        <f t="shared" si="26"/>
        <v>✕</v>
      </c>
      <c r="AJ163" s="378" t="s">
        <v>1833</v>
      </c>
      <c r="AK163" s="467" t="str">
        <f t="shared" si="27"/>
        <v>✕</v>
      </c>
      <c r="AL163" s="467"/>
      <c r="AM163" s="467"/>
      <c r="AN163" s="467"/>
      <c r="AO163" s="467"/>
    </row>
    <row r="164" spans="1:41" ht="21.75" customHeight="1">
      <c r="A164" s="347"/>
      <c r="B164" s="540">
        <v>160</v>
      </c>
      <c r="C164" s="528" t="s">
        <v>1837</v>
      </c>
      <c r="D164" s="527">
        <v>160</v>
      </c>
      <c r="E164" s="580">
        <v>1220017</v>
      </c>
      <c r="F164" s="528">
        <v>1220017</v>
      </c>
      <c r="G164" s="528" t="s">
        <v>1239</v>
      </c>
      <c r="H164" s="528" t="s">
        <v>1239</v>
      </c>
      <c r="I164" s="527" t="s">
        <v>1548</v>
      </c>
      <c r="J164" s="527" t="s">
        <v>1548</v>
      </c>
      <c r="K164" s="529"/>
      <c r="L164" s="528">
        <v>1071548</v>
      </c>
      <c r="M164" s="530" t="s">
        <v>1540</v>
      </c>
      <c r="N164" s="528" t="s">
        <v>1541</v>
      </c>
      <c r="O164" s="528" t="s">
        <v>848</v>
      </c>
      <c r="P164" s="528" t="s">
        <v>977</v>
      </c>
      <c r="Q164" s="528" t="s">
        <v>1541</v>
      </c>
      <c r="R164" s="528" t="s">
        <v>848</v>
      </c>
      <c r="S164" s="528" t="s">
        <v>977</v>
      </c>
      <c r="T164" s="531"/>
      <c r="U164" s="349" t="str">
        <f t="shared" si="19"/>
        <v>〇</v>
      </c>
      <c r="V164" s="349" t="str">
        <f t="shared" si="20"/>
        <v>〇</v>
      </c>
      <c r="W164" s="349" t="str">
        <f t="shared" si="21"/>
        <v>〇</v>
      </c>
      <c r="X164" s="559" t="s">
        <v>1837</v>
      </c>
      <c r="Y164" s="557" t="str">
        <f t="shared" si="22"/>
        <v>〇</v>
      </c>
      <c r="Z164" s="559" t="s">
        <v>1543</v>
      </c>
      <c r="AA164" s="559" t="s">
        <v>848</v>
      </c>
      <c r="AB164" s="559" t="s">
        <v>1544</v>
      </c>
      <c r="AC164" s="559" t="str">
        <f t="shared" si="23"/>
        <v>✕</v>
      </c>
      <c r="AD164" s="559" t="str">
        <f t="shared" si="24"/>
        <v>〇</v>
      </c>
      <c r="AE164" s="559" t="str">
        <f t="shared" si="25"/>
        <v>✕</v>
      </c>
      <c r="AH164" s="378" t="s">
        <v>1238</v>
      </c>
      <c r="AI164" s="378" t="str">
        <f t="shared" si="26"/>
        <v>✕</v>
      </c>
      <c r="AJ164" s="378" t="s">
        <v>1835</v>
      </c>
      <c r="AK164" s="467" t="str">
        <f t="shared" si="27"/>
        <v>✕</v>
      </c>
      <c r="AL164" s="467"/>
      <c r="AM164" s="467"/>
      <c r="AN164" s="467"/>
      <c r="AO164" s="467"/>
    </row>
    <row r="165" spans="1:41" ht="21.75" customHeight="1">
      <c r="A165" s="347"/>
      <c r="B165" s="540">
        <v>161</v>
      </c>
      <c r="C165" s="528" t="s">
        <v>1912</v>
      </c>
      <c r="D165" s="527">
        <v>161</v>
      </c>
      <c r="E165" s="580">
        <v>1220019</v>
      </c>
      <c r="F165" s="528">
        <v>1220019</v>
      </c>
      <c r="G165" s="528" t="s">
        <v>1925</v>
      </c>
      <c r="H165" s="528" t="s">
        <v>1925</v>
      </c>
      <c r="I165" s="527" t="s">
        <v>1548</v>
      </c>
      <c r="J165" s="527" t="s">
        <v>1548</v>
      </c>
      <c r="K165" s="529"/>
      <c r="L165" s="528">
        <v>1076470</v>
      </c>
      <c r="M165" s="530" t="s">
        <v>2148</v>
      </c>
      <c r="N165" s="528" t="s">
        <v>1926</v>
      </c>
      <c r="O165" s="528" t="s">
        <v>848</v>
      </c>
      <c r="P165" s="528" t="s">
        <v>1927</v>
      </c>
      <c r="Q165" s="528" t="s">
        <v>1926</v>
      </c>
      <c r="R165" s="528" t="s">
        <v>848</v>
      </c>
      <c r="S165" s="528" t="s">
        <v>1927</v>
      </c>
      <c r="T165" s="531"/>
      <c r="U165" s="349" t="str">
        <f t="shared" si="19"/>
        <v>〇</v>
      </c>
      <c r="V165" s="349" t="str">
        <f t="shared" si="20"/>
        <v>〇</v>
      </c>
      <c r="W165" s="349" t="str">
        <f t="shared" si="21"/>
        <v>〇</v>
      </c>
      <c r="X165" s="559" t="s">
        <v>1912</v>
      </c>
      <c r="Y165" s="557" t="str">
        <f t="shared" si="22"/>
        <v>〇</v>
      </c>
      <c r="Z165" s="559" t="s">
        <v>1541</v>
      </c>
      <c r="AA165" s="559" t="s">
        <v>848</v>
      </c>
      <c r="AB165" s="559" t="s">
        <v>977</v>
      </c>
      <c r="AC165" s="559" t="str">
        <f t="shared" si="23"/>
        <v>✕</v>
      </c>
      <c r="AD165" s="559" t="str">
        <f t="shared" si="24"/>
        <v>〇</v>
      </c>
      <c r="AE165" s="559" t="str">
        <f t="shared" si="25"/>
        <v>✕</v>
      </c>
      <c r="AH165" s="378" t="s">
        <v>1240</v>
      </c>
      <c r="AI165" s="378" t="str">
        <f t="shared" si="26"/>
        <v>✕</v>
      </c>
      <c r="AJ165" s="378" t="s">
        <v>1836</v>
      </c>
      <c r="AK165" s="467" t="str">
        <f t="shared" si="27"/>
        <v>✕</v>
      </c>
      <c r="AL165" s="467"/>
      <c r="AM165" s="467"/>
      <c r="AN165" s="467"/>
      <c r="AO165" s="467"/>
    </row>
    <row r="166" spans="1:41" ht="21.75" customHeight="1">
      <c r="A166" s="347"/>
      <c r="B166" s="540">
        <v>162</v>
      </c>
      <c r="C166" s="528" t="s">
        <v>1913</v>
      </c>
      <c r="D166" s="527">
        <v>162</v>
      </c>
      <c r="E166" s="580">
        <v>1220020</v>
      </c>
      <c r="F166" s="528">
        <v>1220020</v>
      </c>
      <c r="G166" s="528" t="s">
        <v>1928</v>
      </c>
      <c r="H166" s="528" t="s">
        <v>1928</v>
      </c>
      <c r="I166" s="527" t="s">
        <v>1548</v>
      </c>
      <c r="J166" s="527" t="s">
        <v>1548</v>
      </c>
      <c r="K166" s="529"/>
      <c r="L166" s="528">
        <v>1059654</v>
      </c>
      <c r="M166" s="530" t="s">
        <v>972</v>
      </c>
      <c r="N166" s="528" t="s">
        <v>1016</v>
      </c>
      <c r="O166" s="528" t="s">
        <v>848</v>
      </c>
      <c r="P166" s="528" t="s">
        <v>973</v>
      </c>
      <c r="Q166" s="528" t="s">
        <v>1016</v>
      </c>
      <c r="R166" s="528" t="s">
        <v>848</v>
      </c>
      <c r="S166" s="528" t="s">
        <v>973</v>
      </c>
      <c r="T166" s="531"/>
      <c r="U166" s="349" t="str">
        <f t="shared" si="19"/>
        <v>〇</v>
      </c>
      <c r="V166" s="349" t="str">
        <f t="shared" si="20"/>
        <v>〇</v>
      </c>
      <c r="W166" s="349" t="str">
        <f t="shared" si="21"/>
        <v>〇</v>
      </c>
      <c r="X166" s="559" t="s">
        <v>1913</v>
      </c>
      <c r="Y166" s="557" t="str">
        <f t="shared" si="22"/>
        <v>〇</v>
      </c>
      <c r="Z166" s="559" t="s">
        <v>1926</v>
      </c>
      <c r="AA166" s="559" t="s">
        <v>848</v>
      </c>
      <c r="AB166" s="559" t="s">
        <v>1927</v>
      </c>
      <c r="AC166" s="559" t="str">
        <f t="shared" si="23"/>
        <v>✕</v>
      </c>
      <c r="AD166" s="559" t="str">
        <f t="shared" si="24"/>
        <v>〇</v>
      </c>
      <c r="AE166" s="559" t="str">
        <f t="shared" si="25"/>
        <v>✕</v>
      </c>
      <c r="AH166" s="378" t="s">
        <v>1239</v>
      </c>
      <c r="AI166" s="378" t="str">
        <f t="shared" si="26"/>
        <v>✕</v>
      </c>
      <c r="AJ166" s="378" t="s">
        <v>1837</v>
      </c>
      <c r="AK166" s="467" t="str">
        <f t="shared" si="27"/>
        <v>✕</v>
      </c>
      <c r="AL166" s="467"/>
      <c r="AM166" s="467"/>
      <c r="AN166" s="467"/>
      <c r="AO166" s="467"/>
    </row>
    <row r="167" spans="1:41" ht="21.75" customHeight="1">
      <c r="A167" s="347"/>
      <c r="B167" s="540">
        <v>163</v>
      </c>
      <c r="C167" s="528" t="s">
        <v>1915</v>
      </c>
      <c r="D167" s="527">
        <v>163</v>
      </c>
      <c r="E167" s="580">
        <v>1220021</v>
      </c>
      <c r="F167" s="528">
        <v>1220021</v>
      </c>
      <c r="G167" s="528" t="s">
        <v>1929</v>
      </c>
      <c r="H167" s="528" t="s">
        <v>1929</v>
      </c>
      <c r="I167" s="527" t="s">
        <v>1548</v>
      </c>
      <c r="J167" s="527" t="s">
        <v>1548</v>
      </c>
      <c r="K167" s="529"/>
      <c r="L167" s="528">
        <v>1071805</v>
      </c>
      <c r="M167" s="530" t="s">
        <v>1921</v>
      </c>
      <c r="N167" s="528" t="s">
        <v>1642</v>
      </c>
      <c r="O167" s="528" t="s">
        <v>848</v>
      </c>
      <c r="P167" s="528" t="s">
        <v>1594</v>
      </c>
      <c r="Q167" s="528" t="s">
        <v>1642</v>
      </c>
      <c r="R167" s="528" t="s">
        <v>848</v>
      </c>
      <c r="S167" s="528" t="s">
        <v>1594</v>
      </c>
      <c r="T167" s="531"/>
      <c r="W167" s="349"/>
      <c r="X167" s="559" t="s">
        <v>1915</v>
      </c>
      <c r="Y167" s="557" t="str">
        <f t="shared" si="22"/>
        <v>〇</v>
      </c>
      <c r="Z167" s="559" t="s">
        <v>1016</v>
      </c>
      <c r="AA167" s="559" t="s">
        <v>848</v>
      </c>
      <c r="AB167" s="559" t="s">
        <v>973</v>
      </c>
      <c r="AC167" s="559" t="str">
        <f t="shared" si="23"/>
        <v>✕</v>
      </c>
      <c r="AD167" s="559" t="str">
        <f t="shared" si="24"/>
        <v>〇</v>
      </c>
      <c r="AE167" s="559" t="str">
        <f t="shared" si="25"/>
        <v>✕</v>
      </c>
      <c r="AH167" s="378"/>
      <c r="AI167" s="378"/>
      <c r="AJ167" s="378"/>
      <c r="AK167" s="467"/>
      <c r="AL167" s="467"/>
      <c r="AM167" s="467"/>
      <c r="AN167" s="467"/>
      <c r="AO167" s="467"/>
    </row>
    <row r="168" spans="1:41" ht="21.75" customHeight="1">
      <c r="A168" s="347"/>
      <c r="B168" s="540">
        <v>164</v>
      </c>
      <c r="C168" s="528" t="s">
        <v>1914</v>
      </c>
      <c r="D168" s="527">
        <v>164</v>
      </c>
      <c r="E168" s="580">
        <v>1220022</v>
      </c>
      <c r="F168" s="528">
        <v>1220022</v>
      </c>
      <c r="G168" s="528" t="s">
        <v>1930</v>
      </c>
      <c r="H168" s="528" t="s">
        <v>1930</v>
      </c>
      <c r="I168" s="527" t="s">
        <v>1548</v>
      </c>
      <c r="J168" s="527" t="s">
        <v>1548</v>
      </c>
      <c r="K168" s="529"/>
      <c r="L168" s="528">
        <v>1075391</v>
      </c>
      <c r="M168" s="530" t="s">
        <v>1931</v>
      </c>
      <c r="N168" s="528" t="s">
        <v>1997</v>
      </c>
      <c r="O168" s="528" t="s">
        <v>768</v>
      </c>
      <c r="P168" s="528" t="s">
        <v>1530</v>
      </c>
      <c r="Q168" s="528" t="s">
        <v>1997</v>
      </c>
      <c r="R168" s="528" t="s">
        <v>768</v>
      </c>
      <c r="S168" s="528" t="s">
        <v>1530</v>
      </c>
      <c r="T168" s="531"/>
      <c r="W168" s="349"/>
      <c r="X168" s="559" t="s">
        <v>1914</v>
      </c>
      <c r="Y168" s="557" t="str">
        <f t="shared" si="22"/>
        <v>〇</v>
      </c>
      <c r="Z168" s="559" t="s">
        <v>1642</v>
      </c>
      <c r="AA168" s="559" t="s">
        <v>848</v>
      </c>
      <c r="AB168" s="559" t="s">
        <v>1594</v>
      </c>
      <c r="AC168" s="559" t="str">
        <f t="shared" si="23"/>
        <v>✕</v>
      </c>
      <c r="AD168" s="559" t="str">
        <f t="shared" si="24"/>
        <v>✕</v>
      </c>
      <c r="AE168" s="559" t="str">
        <f t="shared" si="25"/>
        <v>✕</v>
      </c>
      <c r="AH168" s="378"/>
      <c r="AI168" s="378"/>
      <c r="AJ168" s="378"/>
      <c r="AK168" s="467"/>
      <c r="AL168" s="467"/>
      <c r="AM168" s="467"/>
      <c r="AN168" s="467"/>
      <c r="AO168" s="467"/>
    </row>
    <row r="169" spans="1:41" ht="21.75" customHeight="1">
      <c r="A169" s="347"/>
      <c r="B169" s="540">
        <v>165</v>
      </c>
      <c r="C169" s="528" t="s">
        <v>1910</v>
      </c>
      <c r="D169" s="527">
        <v>165</v>
      </c>
      <c r="E169" s="580">
        <v>1220023</v>
      </c>
      <c r="F169" s="528">
        <v>1220023</v>
      </c>
      <c r="G169" s="528" t="s">
        <v>1932</v>
      </c>
      <c r="H169" s="528" t="s">
        <v>1932</v>
      </c>
      <c r="I169" s="527" t="s">
        <v>1548</v>
      </c>
      <c r="J169" s="527" t="s">
        <v>1548</v>
      </c>
      <c r="K169" s="529"/>
      <c r="L169" s="528">
        <v>1075163</v>
      </c>
      <c r="M169" s="530" t="s">
        <v>1933</v>
      </c>
      <c r="N169" s="528" t="s">
        <v>2357</v>
      </c>
      <c r="O169" s="528" t="s">
        <v>768</v>
      </c>
      <c r="P169" s="528" t="s">
        <v>871</v>
      </c>
      <c r="Q169" s="528" t="s">
        <v>2357</v>
      </c>
      <c r="R169" s="528" t="s">
        <v>768</v>
      </c>
      <c r="S169" s="528" t="s">
        <v>871</v>
      </c>
      <c r="T169" s="531"/>
      <c r="W169" s="349"/>
      <c r="X169" s="559" t="s">
        <v>1910</v>
      </c>
      <c r="Y169" s="557" t="str">
        <f t="shared" si="22"/>
        <v>〇</v>
      </c>
      <c r="Z169" s="559" t="s">
        <v>1997</v>
      </c>
      <c r="AA169" s="559" t="s">
        <v>768</v>
      </c>
      <c r="AB169" s="559" t="s">
        <v>1530</v>
      </c>
      <c r="AC169" s="559" t="str">
        <f t="shared" si="23"/>
        <v>✕</v>
      </c>
      <c r="AD169" s="559" t="str">
        <f t="shared" si="24"/>
        <v>〇</v>
      </c>
      <c r="AE169" s="559" t="str">
        <f t="shared" si="25"/>
        <v>✕</v>
      </c>
      <c r="AH169" s="378"/>
      <c r="AI169" s="378"/>
      <c r="AJ169" s="378"/>
      <c r="AK169" s="467"/>
      <c r="AL169" s="467"/>
      <c r="AM169" s="467"/>
      <c r="AN169" s="467"/>
      <c r="AO169" s="467"/>
    </row>
    <row r="170" spans="1:41" ht="21.75" customHeight="1">
      <c r="A170" s="347"/>
      <c r="B170" s="540">
        <v>166</v>
      </c>
      <c r="C170" s="528" t="s">
        <v>1916</v>
      </c>
      <c r="D170" s="527">
        <v>166</v>
      </c>
      <c r="E170" s="580">
        <v>1220024</v>
      </c>
      <c r="F170" s="528">
        <v>1220024</v>
      </c>
      <c r="G170" s="528" t="s">
        <v>1593</v>
      </c>
      <c r="H170" s="528" t="s">
        <v>1593</v>
      </c>
      <c r="I170" s="527" t="s">
        <v>1548</v>
      </c>
      <c r="J170" s="527" t="s">
        <v>1548</v>
      </c>
      <c r="K170" s="529"/>
      <c r="L170" s="528">
        <v>1031259</v>
      </c>
      <c r="M170" s="530" t="s">
        <v>829</v>
      </c>
      <c r="N170" s="528" t="s">
        <v>1532</v>
      </c>
      <c r="O170" s="528" t="s">
        <v>768</v>
      </c>
      <c r="P170" s="528" t="s">
        <v>830</v>
      </c>
      <c r="Q170" s="528" t="s">
        <v>1532</v>
      </c>
      <c r="R170" s="528" t="s">
        <v>768</v>
      </c>
      <c r="S170" s="528" t="s">
        <v>830</v>
      </c>
      <c r="T170" s="531"/>
      <c r="W170" s="349"/>
      <c r="X170" s="559" t="s">
        <v>1916</v>
      </c>
      <c r="Y170" s="557" t="str">
        <f t="shared" si="22"/>
        <v>〇</v>
      </c>
      <c r="Z170" s="559"/>
      <c r="AA170" s="559"/>
      <c r="AB170" s="559"/>
      <c r="AC170" s="559"/>
      <c r="AD170" s="559"/>
      <c r="AE170" s="559"/>
      <c r="AH170" s="378"/>
      <c r="AI170" s="378"/>
      <c r="AJ170" s="378"/>
      <c r="AK170" s="467"/>
      <c r="AL170" s="467"/>
      <c r="AM170" s="467"/>
      <c r="AN170" s="467"/>
      <c r="AO170" s="467"/>
    </row>
    <row r="171" spans="1:41" ht="21.75" customHeight="1">
      <c r="A171" s="347"/>
      <c r="B171" s="540">
        <v>167</v>
      </c>
      <c r="C171" s="528" t="s">
        <v>1983</v>
      </c>
      <c r="D171" s="527">
        <v>167</v>
      </c>
      <c r="E171" s="580">
        <v>1220025</v>
      </c>
      <c r="F171" s="528">
        <v>1220025</v>
      </c>
      <c r="G171" s="528" t="s">
        <v>1934</v>
      </c>
      <c r="H171" s="528" t="s">
        <v>1934</v>
      </c>
      <c r="I171" s="527" t="s">
        <v>1548</v>
      </c>
      <c r="J171" s="527" t="s">
        <v>1548</v>
      </c>
      <c r="K171" s="529"/>
      <c r="L171" s="528">
        <v>1071805</v>
      </c>
      <c r="M171" s="530" t="s">
        <v>1921</v>
      </c>
      <c r="N171" s="528" t="s">
        <v>1642</v>
      </c>
      <c r="O171" s="528" t="s">
        <v>848</v>
      </c>
      <c r="P171" s="528" t="s">
        <v>1594</v>
      </c>
      <c r="Q171" s="528" t="s">
        <v>1642</v>
      </c>
      <c r="R171" s="528" t="s">
        <v>848</v>
      </c>
      <c r="S171" s="528" t="s">
        <v>1594</v>
      </c>
      <c r="T171" s="531"/>
      <c r="W171" s="349"/>
      <c r="X171" s="559" t="s">
        <v>1983</v>
      </c>
      <c r="Y171" s="557" t="str">
        <f t="shared" si="22"/>
        <v>〇</v>
      </c>
      <c r="Z171" s="559"/>
      <c r="AA171" s="559"/>
      <c r="AB171" s="559"/>
      <c r="AC171" s="559"/>
      <c r="AD171" s="559"/>
      <c r="AE171" s="559"/>
      <c r="AH171" s="378"/>
      <c r="AI171" s="378"/>
      <c r="AJ171" s="378"/>
      <c r="AK171" s="467"/>
      <c r="AL171" s="467"/>
      <c r="AM171" s="467"/>
      <c r="AN171" s="467"/>
      <c r="AO171" s="467"/>
    </row>
    <row r="172" spans="1:41" ht="21.75" customHeight="1">
      <c r="A172" s="347"/>
      <c r="B172" s="540">
        <v>168</v>
      </c>
      <c r="C172" s="528" t="s">
        <v>1911</v>
      </c>
      <c r="D172" s="527">
        <v>168</v>
      </c>
      <c r="E172" s="580">
        <v>1220026</v>
      </c>
      <c r="F172" s="528">
        <v>1220026</v>
      </c>
      <c r="G172" s="528" t="s">
        <v>1935</v>
      </c>
      <c r="H172" s="528" t="s">
        <v>1935</v>
      </c>
      <c r="I172" s="527" t="s">
        <v>1548</v>
      </c>
      <c r="J172" s="527" t="s">
        <v>1548</v>
      </c>
      <c r="K172" s="529"/>
      <c r="L172" s="528">
        <v>1066783</v>
      </c>
      <c r="M172" s="530" t="s">
        <v>1534</v>
      </c>
      <c r="N172" s="528" t="s">
        <v>1535</v>
      </c>
      <c r="O172" s="528" t="s">
        <v>844</v>
      </c>
      <c r="P172" s="528" t="s">
        <v>1990</v>
      </c>
      <c r="Q172" s="528" t="s">
        <v>1535</v>
      </c>
      <c r="R172" s="528" t="s">
        <v>844</v>
      </c>
      <c r="S172" s="528" t="s">
        <v>1990</v>
      </c>
      <c r="T172" s="531"/>
      <c r="W172" s="349"/>
      <c r="X172" s="559" t="s">
        <v>1911</v>
      </c>
      <c r="Y172" s="557" t="str">
        <f t="shared" si="22"/>
        <v>〇</v>
      </c>
      <c r="Z172" s="559"/>
      <c r="AA172" s="559"/>
      <c r="AB172" s="559"/>
      <c r="AC172" s="559"/>
      <c r="AD172" s="559"/>
      <c r="AE172" s="559"/>
      <c r="AH172" s="378"/>
      <c r="AI172" s="378"/>
      <c r="AJ172" s="378"/>
      <c r="AK172" s="467"/>
      <c r="AL172" s="467"/>
      <c r="AM172" s="467"/>
      <c r="AN172" s="467"/>
      <c r="AO172" s="467"/>
    </row>
    <row r="173" spans="1:41" ht="21.75" customHeight="1">
      <c r="A173" s="347"/>
      <c r="B173" s="540">
        <v>169</v>
      </c>
      <c r="C173" s="528" t="s">
        <v>1917</v>
      </c>
      <c r="D173" s="527">
        <v>169</v>
      </c>
      <c r="E173" s="580">
        <v>1220027</v>
      </c>
      <c r="F173" s="528">
        <v>1220027</v>
      </c>
      <c r="G173" s="528" t="s">
        <v>1936</v>
      </c>
      <c r="H173" s="528" t="s">
        <v>1936</v>
      </c>
      <c r="I173" s="527" t="s">
        <v>1548</v>
      </c>
      <c r="J173" s="527" t="s">
        <v>1548</v>
      </c>
      <c r="K173" s="529"/>
      <c r="L173" s="528">
        <v>1076454</v>
      </c>
      <c r="M173" s="530" t="s">
        <v>2149</v>
      </c>
      <c r="N173" s="528" t="s">
        <v>1937</v>
      </c>
      <c r="O173" s="528" t="s">
        <v>848</v>
      </c>
      <c r="P173" s="528" t="s">
        <v>1938</v>
      </c>
      <c r="Q173" s="528" t="s">
        <v>1937</v>
      </c>
      <c r="R173" s="528" t="s">
        <v>848</v>
      </c>
      <c r="S173" s="528" t="s">
        <v>1938</v>
      </c>
      <c r="T173" s="531"/>
      <c r="W173" s="349"/>
      <c r="X173" s="559" t="s">
        <v>1917</v>
      </c>
      <c r="Y173" s="557" t="str">
        <f t="shared" si="22"/>
        <v>〇</v>
      </c>
      <c r="Z173" s="559"/>
      <c r="AA173" s="559"/>
      <c r="AB173" s="559"/>
      <c r="AC173" s="559"/>
      <c r="AD173" s="559"/>
      <c r="AE173" s="559"/>
      <c r="AH173" s="378"/>
      <c r="AI173" s="378"/>
      <c r="AJ173" s="378"/>
      <c r="AK173" s="467"/>
      <c r="AL173" s="467"/>
      <c r="AM173" s="467"/>
      <c r="AN173" s="467"/>
      <c r="AO173" s="467"/>
    </row>
    <row r="174" spans="1:41" ht="21.75" customHeight="1">
      <c r="A174" s="347"/>
      <c r="B174" s="540">
        <v>170</v>
      </c>
      <c r="C174" s="528" t="s">
        <v>2323</v>
      </c>
      <c r="D174" s="527">
        <v>170</v>
      </c>
      <c r="E174" s="580">
        <v>1220028</v>
      </c>
      <c r="F174" s="528">
        <v>1220028</v>
      </c>
      <c r="G174" s="528" t="s">
        <v>2324</v>
      </c>
      <c r="H174" s="528" t="s">
        <v>2324</v>
      </c>
      <c r="I174" s="527" t="s">
        <v>1548</v>
      </c>
      <c r="J174" s="527" t="s">
        <v>1548</v>
      </c>
      <c r="K174" s="529"/>
      <c r="L174" s="528">
        <v>1064017</v>
      </c>
      <c r="M174" s="530" t="s">
        <v>2334</v>
      </c>
      <c r="N174" s="528" t="s">
        <v>2340</v>
      </c>
      <c r="O174" s="528" t="s">
        <v>768</v>
      </c>
      <c r="P174" s="528" t="s">
        <v>939</v>
      </c>
      <c r="Q174" s="528" t="s">
        <v>2340</v>
      </c>
      <c r="R174" s="528" t="s">
        <v>768</v>
      </c>
      <c r="S174" s="528" t="s">
        <v>939</v>
      </c>
      <c r="T174" s="531"/>
      <c r="W174" s="349"/>
      <c r="X174" s="559" t="s">
        <v>2323</v>
      </c>
      <c r="Y174" s="557" t="str">
        <f t="shared" si="22"/>
        <v>〇</v>
      </c>
      <c r="Z174" s="559"/>
      <c r="AA174" s="559"/>
      <c r="AB174" s="559"/>
      <c r="AC174" s="559"/>
      <c r="AD174" s="559"/>
      <c r="AE174" s="559"/>
      <c r="AH174" s="378"/>
      <c r="AI174" s="378"/>
      <c r="AJ174" s="378"/>
      <c r="AK174" s="467"/>
      <c r="AL174" s="467"/>
      <c r="AM174" s="467"/>
      <c r="AN174" s="467"/>
      <c r="AO174" s="467"/>
    </row>
    <row r="175" spans="1:41" ht="21.75" customHeight="1">
      <c r="A175" s="347"/>
      <c r="B175" s="540">
        <v>171</v>
      </c>
      <c r="C175" s="528" t="s">
        <v>2325</v>
      </c>
      <c r="D175" s="527">
        <v>171</v>
      </c>
      <c r="E175" s="580">
        <v>1220029</v>
      </c>
      <c r="F175" s="528">
        <v>1220029</v>
      </c>
      <c r="G175" s="528" t="s">
        <v>1232</v>
      </c>
      <c r="H175" s="528" t="s">
        <v>1232</v>
      </c>
      <c r="I175" s="527" t="s">
        <v>1548</v>
      </c>
      <c r="J175" s="527" t="s">
        <v>1548</v>
      </c>
      <c r="K175" s="529"/>
      <c r="L175" s="528">
        <v>1060109</v>
      </c>
      <c r="M175" s="530" t="s">
        <v>2335</v>
      </c>
      <c r="N175" s="528" t="s">
        <v>1531</v>
      </c>
      <c r="O175" s="528" t="s">
        <v>848</v>
      </c>
      <c r="P175" s="528" t="s">
        <v>2338</v>
      </c>
      <c r="Q175" s="528" t="s">
        <v>1531</v>
      </c>
      <c r="R175" s="528" t="s">
        <v>848</v>
      </c>
      <c r="S175" s="528" t="s">
        <v>2338</v>
      </c>
      <c r="T175" s="531"/>
      <c r="W175" s="349"/>
      <c r="X175" s="559" t="s">
        <v>2325</v>
      </c>
      <c r="Y175" s="557" t="str">
        <f t="shared" si="22"/>
        <v>〇</v>
      </c>
      <c r="Z175" s="559" t="s">
        <v>872</v>
      </c>
      <c r="AA175" s="559" t="s">
        <v>768</v>
      </c>
      <c r="AB175" s="559" t="s">
        <v>871</v>
      </c>
      <c r="AC175" s="559" t="str">
        <f t="shared" si="23"/>
        <v>✕</v>
      </c>
      <c r="AD175" s="559" t="str">
        <f t="shared" si="24"/>
        <v>✕</v>
      </c>
      <c r="AE175" s="559" t="str">
        <f t="shared" si="25"/>
        <v>✕</v>
      </c>
      <c r="AH175" s="378"/>
      <c r="AI175" s="378"/>
      <c r="AJ175" s="378"/>
      <c r="AK175" s="467"/>
      <c r="AL175" s="467"/>
      <c r="AM175" s="467"/>
      <c r="AN175" s="467"/>
      <c r="AO175" s="467"/>
    </row>
    <row r="176" spans="1:41" ht="21.75" customHeight="1">
      <c r="A176" s="347"/>
      <c r="B176" s="540">
        <v>172</v>
      </c>
      <c r="C176" s="528" t="s">
        <v>2326</v>
      </c>
      <c r="D176" s="527">
        <v>172</v>
      </c>
      <c r="E176" s="580">
        <v>1220030</v>
      </c>
      <c r="F176" s="528">
        <v>1220030</v>
      </c>
      <c r="G176" s="528" t="s">
        <v>2327</v>
      </c>
      <c r="H176" s="528" t="s">
        <v>2327</v>
      </c>
      <c r="I176" s="527" t="s">
        <v>1548</v>
      </c>
      <c r="J176" s="527" t="s">
        <v>1548</v>
      </c>
      <c r="K176" s="529"/>
      <c r="L176" s="528">
        <v>1059654</v>
      </c>
      <c r="M176" s="530" t="s">
        <v>2139</v>
      </c>
      <c r="N176" s="528" t="s">
        <v>974</v>
      </c>
      <c r="O176" s="528" t="s">
        <v>848</v>
      </c>
      <c r="P176" s="528" t="s">
        <v>973</v>
      </c>
      <c r="Q176" s="528" t="s">
        <v>974</v>
      </c>
      <c r="R176" s="528" t="s">
        <v>848</v>
      </c>
      <c r="S176" s="528" t="s">
        <v>973</v>
      </c>
      <c r="T176" s="531"/>
      <c r="W176" s="349"/>
      <c r="X176" s="559" t="s">
        <v>2326</v>
      </c>
      <c r="Y176" s="557" t="str">
        <f t="shared" si="22"/>
        <v>〇</v>
      </c>
      <c r="Z176" s="559" t="s">
        <v>1532</v>
      </c>
      <c r="AA176" s="559" t="s">
        <v>768</v>
      </c>
      <c r="AB176" s="559" t="s">
        <v>830</v>
      </c>
      <c r="AC176" s="559" t="str">
        <f t="shared" si="23"/>
        <v>✕</v>
      </c>
      <c r="AD176" s="559" t="str">
        <f t="shared" si="24"/>
        <v>✕</v>
      </c>
      <c r="AE176" s="559" t="str">
        <f t="shared" si="25"/>
        <v>✕</v>
      </c>
      <c r="AH176" s="378"/>
      <c r="AI176" s="378"/>
      <c r="AJ176" s="378"/>
      <c r="AK176" s="467"/>
      <c r="AL176" s="467"/>
      <c r="AM176" s="467"/>
      <c r="AN176" s="467"/>
      <c r="AO176" s="467"/>
    </row>
    <row r="177" spans="1:41" ht="21.75" customHeight="1">
      <c r="A177" s="347"/>
      <c r="B177" s="540">
        <v>173</v>
      </c>
      <c r="C177" s="528" t="s">
        <v>2328</v>
      </c>
      <c r="D177" s="527">
        <v>173</v>
      </c>
      <c r="E177" s="580">
        <v>1220031</v>
      </c>
      <c r="F177" s="528">
        <v>1220031</v>
      </c>
      <c r="G177" s="528" t="s">
        <v>2329</v>
      </c>
      <c r="H177" s="528" t="s">
        <v>2329</v>
      </c>
      <c r="I177" s="527" t="s">
        <v>1548</v>
      </c>
      <c r="J177" s="527" t="s">
        <v>1548</v>
      </c>
      <c r="K177" s="529"/>
      <c r="L177" s="528">
        <v>1061254</v>
      </c>
      <c r="M177" s="530" t="s">
        <v>2336</v>
      </c>
      <c r="N177" s="528" t="s">
        <v>974</v>
      </c>
      <c r="O177" s="528" t="s">
        <v>848</v>
      </c>
      <c r="P177" s="528" t="s">
        <v>2373</v>
      </c>
      <c r="Q177" s="528" t="s">
        <v>974</v>
      </c>
      <c r="R177" s="528" t="s">
        <v>848</v>
      </c>
      <c r="S177" s="528" t="s">
        <v>2373</v>
      </c>
      <c r="T177" s="531"/>
      <c r="W177" s="349"/>
      <c r="X177" s="559" t="s">
        <v>2328</v>
      </c>
      <c r="Y177" s="557" t="str">
        <f t="shared" si="22"/>
        <v>〇</v>
      </c>
      <c r="Z177" s="559" t="s">
        <v>1642</v>
      </c>
      <c r="AA177" s="559" t="s">
        <v>848</v>
      </c>
      <c r="AB177" s="559" t="s">
        <v>1594</v>
      </c>
      <c r="AC177" s="559" t="str">
        <f t="shared" si="23"/>
        <v>✕</v>
      </c>
      <c r="AD177" s="559" t="str">
        <f t="shared" si="24"/>
        <v>〇</v>
      </c>
      <c r="AE177" s="559" t="str">
        <f t="shared" si="25"/>
        <v>✕</v>
      </c>
      <c r="AH177" s="378"/>
      <c r="AI177" s="378"/>
      <c r="AJ177" s="378"/>
      <c r="AK177" s="467"/>
      <c r="AL177" s="467"/>
      <c r="AM177" s="467"/>
      <c r="AN177" s="467"/>
      <c r="AO177" s="467"/>
    </row>
    <row r="178" spans="1:41" ht="21.75" customHeight="1">
      <c r="A178" s="347"/>
      <c r="B178" s="540">
        <v>174</v>
      </c>
      <c r="C178" s="528" t="s">
        <v>2330</v>
      </c>
      <c r="D178" s="527">
        <v>174</v>
      </c>
      <c r="E178" s="580">
        <v>1220032</v>
      </c>
      <c r="F178" s="528">
        <v>1220032</v>
      </c>
      <c r="G178" s="528" t="s">
        <v>2331</v>
      </c>
      <c r="H178" s="528" t="s">
        <v>2331</v>
      </c>
      <c r="I178" s="527" t="s">
        <v>1548</v>
      </c>
      <c r="J178" s="527" t="s">
        <v>1548</v>
      </c>
      <c r="K178" s="529"/>
      <c r="L178" s="528">
        <v>1078343</v>
      </c>
      <c r="M178" s="530" t="s">
        <v>2348</v>
      </c>
      <c r="N178" s="528" t="s">
        <v>2364</v>
      </c>
      <c r="O178" s="528" t="s">
        <v>848</v>
      </c>
      <c r="P178" s="528" t="s">
        <v>2339</v>
      </c>
      <c r="Q178" s="528" t="s">
        <v>2364</v>
      </c>
      <c r="R178" s="528" t="s">
        <v>848</v>
      </c>
      <c r="S178" s="528" t="s">
        <v>2339</v>
      </c>
      <c r="T178" s="531"/>
      <c r="W178" s="349"/>
      <c r="X178" s="559" t="s">
        <v>2330</v>
      </c>
      <c r="Y178" s="557" t="str">
        <f t="shared" si="22"/>
        <v>〇</v>
      </c>
      <c r="Z178" s="559" t="s">
        <v>1535</v>
      </c>
      <c r="AA178" s="559" t="s">
        <v>844</v>
      </c>
      <c r="AB178" s="559" t="s">
        <v>1990</v>
      </c>
      <c r="AC178" s="559" t="str">
        <f t="shared" si="23"/>
        <v>✕</v>
      </c>
      <c r="AD178" s="559" t="str">
        <f t="shared" si="24"/>
        <v>✕</v>
      </c>
      <c r="AE178" s="559" t="str">
        <f t="shared" si="25"/>
        <v>✕</v>
      </c>
      <c r="AH178" s="378"/>
      <c r="AI178" s="378"/>
      <c r="AJ178" s="378"/>
      <c r="AK178" s="467"/>
      <c r="AL178" s="467"/>
      <c r="AM178" s="467"/>
      <c r="AN178" s="467"/>
      <c r="AO178" s="467"/>
    </row>
    <row r="179" spans="1:41" ht="21.75" customHeight="1">
      <c r="A179" s="347"/>
      <c r="B179" s="540">
        <v>175</v>
      </c>
      <c r="C179" s="528" t="s">
        <v>2332</v>
      </c>
      <c r="D179" s="527">
        <v>175</v>
      </c>
      <c r="E179" s="580">
        <v>1220033</v>
      </c>
      <c r="F179" s="528">
        <v>1220033</v>
      </c>
      <c r="G179" s="528" t="s">
        <v>2502</v>
      </c>
      <c r="H179" s="528" t="s">
        <v>2333</v>
      </c>
      <c r="I179" s="527" t="s">
        <v>1548</v>
      </c>
      <c r="J179" s="527" t="s">
        <v>1548</v>
      </c>
      <c r="K179" s="529"/>
      <c r="L179" s="528">
        <v>1075222</v>
      </c>
      <c r="M179" s="530" t="s">
        <v>2337</v>
      </c>
      <c r="N179" s="528" t="s">
        <v>2363</v>
      </c>
      <c r="O179" s="528" t="s">
        <v>848</v>
      </c>
      <c r="P179" s="528" t="s">
        <v>984</v>
      </c>
      <c r="Q179" s="528" t="s">
        <v>2363</v>
      </c>
      <c r="R179" s="528" t="s">
        <v>848</v>
      </c>
      <c r="S179" s="528" t="s">
        <v>984</v>
      </c>
      <c r="T179" s="531"/>
      <c r="W179" s="349"/>
      <c r="X179" s="559" t="s">
        <v>2332</v>
      </c>
      <c r="Y179" s="557" t="str">
        <f t="shared" si="22"/>
        <v>〇</v>
      </c>
      <c r="Z179" s="559"/>
      <c r="AA179" s="559"/>
      <c r="AB179" s="559"/>
      <c r="AC179" s="559"/>
      <c r="AD179" s="559"/>
      <c r="AE179" s="559"/>
      <c r="AH179" s="378"/>
      <c r="AI179" s="378"/>
      <c r="AJ179" s="378"/>
      <c r="AK179" s="467"/>
      <c r="AL179" s="467"/>
      <c r="AM179" s="467"/>
      <c r="AN179" s="467"/>
      <c r="AO179" s="467"/>
    </row>
    <row r="180" spans="1:41" ht="33.75" customHeight="1">
      <c r="A180" s="579" t="s">
        <v>2322</v>
      </c>
      <c r="B180" s="573"/>
      <c r="C180" s="574"/>
      <c r="D180" s="575"/>
      <c r="E180" s="573"/>
      <c r="F180" s="573"/>
      <c r="G180" s="573"/>
      <c r="H180" s="573"/>
      <c r="I180" s="573"/>
      <c r="J180" s="573"/>
      <c r="K180" s="573"/>
      <c r="L180" s="573"/>
      <c r="M180" s="573"/>
      <c r="N180" s="573"/>
      <c r="O180" s="573"/>
      <c r="P180" s="573"/>
      <c r="Q180" s="573"/>
      <c r="R180" s="573"/>
      <c r="S180" s="573"/>
      <c r="T180" s="573"/>
      <c r="U180" s="573"/>
      <c r="V180" s="573"/>
      <c r="W180" s="576"/>
      <c r="X180" s="577"/>
      <c r="Y180" s="576"/>
      <c r="Z180" s="577"/>
      <c r="AA180" s="577"/>
      <c r="AB180" s="577"/>
      <c r="AC180" s="577"/>
      <c r="AD180" s="577"/>
      <c r="AE180" s="573"/>
      <c r="AF180" s="573"/>
      <c r="AG180" s="573"/>
      <c r="AH180" s="575"/>
      <c r="AI180" s="575"/>
      <c r="AJ180" s="575"/>
      <c r="AK180" s="578"/>
      <c r="AL180" s="578"/>
      <c r="AM180" s="578"/>
      <c r="AN180" s="578"/>
      <c r="AO180" s="578"/>
    </row>
  </sheetData>
  <sheetProtection selectLockedCells="1" selectUnlockedCells="1"/>
  <autoFilter ref="A4:AP180" xr:uid="{7E83E461-0E53-429A-8ED5-D5B5C65558B8}"/>
  <mergeCells count="3">
    <mergeCell ref="AH3:AO3"/>
    <mergeCell ref="X3:Y3"/>
    <mergeCell ref="Z3:AE3"/>
  </mergeCells>
  <phoneticPr fontId="1"/>
  <conditionalFormatting sqref="J3:K3">
    <cfRule type="containsText" dxfId="105" priority="10" operator="containsText" text="↓問題あり">
      <formula>NOT(ISERROR(SEARCH("↓問題あり",J3)))</formula>
    </cfRule>
  </conditionalFormatting>
  <conditionalFormatting sqref="Q5:S179">
    <cfRule type="cellIs" dxfId="104" priority="9" operator="notEqual">
      <formula>N5</formula>
    </cfRule>
  </conditionalFormatting>
  <printOptions horizontalCentered="1"/>
  <pageMargins left="0" right="0" top="0.39370078740157483" bottom="0.39370078740157483" header="0.31496062992125984" footer="0.31496062992125984"/>
  <pageSetup paperSize="9" scale="68" fitToHeight="0" orientation="landscape" r:id="rId1"/>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31360-83D8-4B8F-95B4-95F045E9176B}">
  <sheetPr>
    <tabColor rgb="FF00B050"/>
  </sheetPr>
  <dimension ref="A1:U49"/>
  <sheetViews>
    <sheetView view="pageBreakPreview" zoomScaleNormal="100" zoomScaleSheetLayoutView="100" workbookViewId="0">
      <selection activeCell="D6" sqref="D6"/>
    </sheetView>
  </sheetViews>
  <sheetFormatPr defaultRowHeight="18"/>
  <cols>
    <col min="2" max="2" width="8.25" bestFit="1" customWidth="1"/>
    <col min="3" max="3" width="8.25" customWidth="1"/>
    <col min="4" max="4" width="28.33203125" customWidth="1"/>
    <col min="5" max="5" width="20.75" hidden="1" customWidth="1"/>
    <col min="6" max="10" width="11.25" customWidth="1"/>
    <col min="11" max="11" width="15" customWidth="1"/>
    <col min="12" max="12" width="9" style="286" customWidth="1"/>
  </cols>
  <sheetData>
    <row r="1" spans="1:21" s="21" customFormat="1" ht="25" customHeight="1">
      <c r="A1" s="826" t="s">
        <v>272</v>
      </c>
      <c r="B1" s="826"/>
      <c r="C1" s="826"/>
      <c r="D1" s="826"/>
      <c r="E1" s="826"/>
      <c r="F1" s="826"/>
      <c r="G1" s="826"/>
      <c r="H1" s="826"/>
      <c r="I1" s="826"/>
      <c r="J1" s="826"/>
      <c r="K1" s="826"/>
      <c r="L1" s="284"/>
      <c r="M1" s="203"/>
      <c r="N1" s="203"/>
      <c r="O1" s="203"/>
      <c r="P1" s="203"/>
    </row>
    <row r="2" spans="1:21" s="21" customFormat="1" ht="25" customHeight="1">
      <c r="F2" s="827" t="s">
        <v>114</v>
      </c>
      <c r="G2" s="827"/>
      <c r="H2" s="805">
        <f>①基本情報!D5</f>
        <v>0</v>
      </c>
      <c r="I2" s="805"/>
      <c r="J2" s="805"/>
      <c r="K2" s="805"/>
      <c r="L2" s="285"/>
      <c r="M2" s="21" t="s">
        <v>148</v>
      </c>
    </row>
    <row r="4" spans="1:21" ht="15" customHeight="1">
      <c r="A4" s="59" t="s">
        <v>273</v>
      </c>
      <c r="B4" t="s">
        <v>1413</v>
      </c>
    </row>
    <row r="5" spans="1:21" ht="32.25" customHeight="1">
      <c r="B5" s="205" t="s">
        <v>1283</v>
      </c>
      <c r="C5" s="205" t="s">
        <v>1309</v>
      </c>
      <c r="D5" s="55" t="s">
        <v>274</v>
      </c>
      <c r="E5" s="205" t="s">
        <v>1555</v>
      </c>
      <c r="F5" s="55" t="s">
        <v>275</v>
      </c>
      <c r="G5" s="55" t="s">
        <v>276</v>
      </c>
      <c r="H5" s="55" t="s">
        <v>277</v>
      </c>
      <c r="I5" s="55" t="s">
        <v>278</v>
      </c>
      <c r="J5" s="55" t="s">
        <v>279</v>
      </c>
      <c r="K5" s="55" t="s">
        <v>280</v>
      </c>
      <c r="M5" s="60" t="s">
        <v>281</v>
      </c>
      <c r="N5" s="828" t="s">
        <v>224</v>
      </c>
      <c r="O5" s="829"/>
      <c r="P5" s="828" t="s">
        <v>225</v>
      </c>
      <c r="Q5" s="829"/>
      <c r="R5" s="828" t="s">
        <v>282</v>
      </c>
      <c r="S5" s="829"/>
      <c r="T5" s="828" t="s">
        <v>283</v>
      </c>
      <c r="U5" s="829"/>
    </row>
    <row r="6" spans="1:21" ht="15" customHeight="1">
      <c r="A6" s="820">
        <v>4</v>
      </c>
      <c r="B6" s="824" t="e">
        <f>IF(判定!W9="OK",1,"")</f>
        <v>#N/A</v>
      </c>
      <c r="C6" s="822" t="str">
        <f>IFERROR(INDEX($I$44:$J$49,MATCH(判定!AX9,$I$44:$I$49,0),2),"-")</f>
        <v>-</v>
      </c>
      <c r="D6" s="145"/>
      <c r="E6" s="277"/>
      <c r="F6" s="63" t="str">
        <f>IF(D6="","",IF(O6="○",N$5,IF(Q6="○",P$5,IF(S6="○",R$5,IF(U6="○",T$5,"ERROR")))))</f>
        <v/>
      </c>
      <c r="G6" s="62" t="str">
        <f>IF(D6="","",IF(O6="○",N6,IF(Q6="○",P6,IF(S6="○",R6,IF(U6="○",T6,"ERROR")))))</f>
        <v/>
      </c>
      <c r="H6" s="146" t="str">
        <f>IF($C6="","",IF(D6="","",IF($F6="正規職員","-","賃金単価を記載")))</f>
        <v/>
      </c>
      <c r="I6" s="62" t="str">
        <f>IF($C6="","",IF(D6="","",IF($F6="正規職員","-",G6*H6)))</f>
        <v/>
      </c>
      <c r="J6" s="62">
        <v>175250</v>
      </c>
      <c r="K6" s="62" t="str">
        <f>IFERROR(IF($C6="-","",IF(D6="",0,IF(F6="正規職員",J6,MIN(I6:J6)))),0)</f>
        <v/>
      </c>
      <c r="L6" s="287" t="str">
        <f>IF(D6="","",IF(COUNTIFS(D6,"*Ｃ6*")=1,"○","エラー"))</f>
        <v/>
      </c>
      <c r="M6" s="65">
        <v>3</v>
      </c>
      <c r="N6" s="65" t="e">
        <f>VLOOKUP($D6&amp;N$5,'②-2勤務時間数入力'!$D$7:$Q$106,$M6,FALSE)</f>
        <v>#N/A</v>
      </c>
      <c r="O6" s="65" t="str">
        <f>IF(ISERROR(N6),"×",IF(N6="-","×","○"))</f>
        <v>×</v>
      </c>
      <c r="P6" s="65" t="e">
        <f>VLOOKUP($D6&amp;P$5,'②-2勤務時間数入力'!$D$7:$Q$106,$M6,FALSE)</f>
        <v>#N/A</v>
      </c>
      <c r="Q6" s="65" t="str">
        <f t="shared" ref="Q6:Q29" si="0">IF(ISERROR(P6),"×",IF(P6="-","×","○"))</f>
        <v>×</v>
      </c>
      <c r="R6" s="65" t="e">
        <f>VLOOKUP($D6&amp;R$5,'②-2勤務時間数入力'!$D$7:$Q$106,$M6,FALSE)</f>
        <v>#N/A</v>
      </c>
      <c r="S6" s="65" t="str">
        <f t="shared" ref="S6:S29" si="1">IF(ISERROR(R6),"×",IF(R6="-","×","○"))</f>
        <v>×</v>
      </c>
      <c r="T6" s="65" t="e">
        <f>VLOOKUP($D6&amp;T$5,'②-2勤務時間数入力'!$D$7:$Q$106,$M6,FALSE)</f>
        <v>#N/A</v>
      </c>
      <c r="U6" s="65" t="str">
        <f t="shared" ref="U6:U29" si="2">IF(ISERROR(T6),"×",IF(T6="-","×","○"))</f>
        <v>×</v>
      </c>
    </row>
    <row r="7" spans="1:21" ht="15" customHeight="1">
      <c r="A7" s="821"/>
      <c r="B7" s="825"/>
      <c r="C7" s="823"/>
      <c r="D7" s="145"/>
      <c r="E7" s="277"/>
      <c r="F7" s="63" t="str">
        <f>IF(D7="","",IF(O7="○",N$5,IF(Q7="○",P$5,IF(S7="○",R$5,IF(U7="○",T$5,"ERROR")))))</f>
        <v/>
      </c>
      <c r="G7" s="62" t="str">
        <f t="shared" ref="G7:G29" si="3">IF(D7="","",IF(O7="○",N7,IF(Q7="○",P7,IF(S7="○",R7,IF(U7="○",T7,"ERROR")))))</f>
        <v/>
      </c>
      <c r="H7" s="146" t="str">
        <f>IF($C6="","",IF(D7="","",IF($F7="正規職員","-","賃金単価を記載")))</f>
        <v/>
      </c>
      <c r="I7" s="62" t="str">
        <f>IF($C6="","",IF(D7="","",IF($F7="正規職員","-",G7*H7)))</f>
        <v/>
      </c>
      <c r="J7" s="62">
        <f>$J$6</f>
        <v>175250</v>
      </c>
      <c r="K7" s="62" t="str">
        <f>IFERROR(IF($C6="-","",IF(D7="","",IF(F7="正規職員",J7-K6,MIN(MIN(I7:J7),J6-K6)))),0)</f>
        <v/>
      </c>
      <c r="L7" s="287" t="str">
        <f>IF(D7="","",IF(COUNTIFS(D7,"*保育士*")=1,"○","エラー"))</f>
        <v/>
      </c>
      <c r="M7" s="65">
        <f>M6</f>
        <v>3</v>
      </c>
      <c r="N7" s="65" t="e">
        <f>VLOOKUP($D7&amp;N$5,'②-2勤務時間数入力'!$D$7:$Q$106,$M7,FALSE)</f>
        <v>#N/A</v>
      </c>
      <c r="O7" s="65" t="str">
        <f t="shared" ref="O7:O29" si="4">IF(ISERROR(N7),"×",IF(N7="-","×","○"))</f>
        <v>×</v>
      </c>
      <c r="P7" s="65" t="e">
        <f>VLOOKUP($D7&amp;P$5,'②-2勤務時間数入力'!$D$7:$Q$106,$M7,FALSE)</f>
        <v>#N/A</v>
      </c>
      <c r="Q7" s="65" t="str">
        <f t="shared" si="0"/>
        <v>×</v>
      </c>
      <c r="R7" s="65" t="e">
        <f>VLOOKUP($D7&amp;R$5,'②-2勤務時間数入力'!$D$7:$Q$106,$M7,FALSE)</f>
        <v>#N/A</v>
      </c>
      <c r="S7" s="65" t="str">
        <f t="shared" si="1"/>
        <v>×</v>
      </c>
      <c r="T7" s="65" t="e">
        <f>VLOOKUP($D7&amp;T$5,'②-2勤務時間数入力'!$D$7:$Q$106,$M7,FALSE)</f>
        <v>#N/A</v>
      </c>
      <c r="U7" s="65" t="str">
        <f t="shared" si="2"/>
        <v>×</v>
      </c>
    </row>
    <row r="8" spans="1:21" ht="15" customHeight="1">
      <c r="A8" s="820">
        <v>5</v>
      </c>
      <c r="B8" s="824" t="e">
        <f>IF(判定!W10="OK",1,"")</f>
        <v>#N/A</v>
      </c>
      <c r="C8" s="822" t="str">
        <f>IFERROR(INDEX($I$44:$J$49,MATCH(判定!AX10,$I$44:$I$49,0),2),"-")</f>
        <v>-</v>
      </c>
      <c r="D8" s="145" t="str">
        <f>IF(D6="","",D6)</f>
        <v/>
      </c>
      <c r="E8" s="145" t="str">
        <f>IF(E6="","",E6)</f>
        <v/>
      </c>
      <c r="F8" s="63" t="str">
        <f t="shared" ref="F8:F29" si="5">IF(D8="","",IF(O8="○",N$5,IF(Q8="○",P$5,IF(S8="○",R$5,IF(U8="○",T$5,"ERROR")))))</f>
        <v/>
      </c>
      <c r="G8" s="62" t="str">
        <f t="shared" si="3"/>
        <v/>
      </c>
      <c r="H8" s="146" t="str">
        <f>IF($C8="","",IF($F8="正規職員","-",IF(AND(EXACT(C6,C8),EXACT(D6,D8),EXACT(F6,F8)),H6,"賃金単価を記載")))</f>
        <v/>
      </c>
      <c r="I8" s="62" t="e">
        <f>IF($C8="","",IF($F8="正規職員","-",G8*H8))</f>
        <v>#VALUE!</v>
      </c>
      <c r="J8" s="62">
        <f t="shared" ref="J8:J29" si="6">$J$6</f>
        <v>175250</v>
      </c>
      <c r="K8" s="62" t="str">
        <f>IFERROR(IF($C8="-","",IF(D8="",0,IF(F8="正規職員",J8,MIN(I8:J8)))),0)</f>
        <v/>
      </c>
      <c r="L8" s="287" t="str">
        <f t="shared" ref="L8:L29" si="7">IF(D8="","",IF(COUNTIFS(D8,"*Ｃ6*")=1,"○","エラー"))</f>
        <v/>
      </c>
      <c r="M8" s="65">
        <f>M6+1</f>
        <v>4</v>
      </c>
      <c r="N8" s="65" t="e">
        <f>VLOOKUP($D8&amp;N$5,'②-2勤務時間数入力'!$D$7:$Q$106,$M8,FALSE)</f>
        <v>#N/A</v>
      </c>
      <c r="O8" s="65" t="str">
        <f t="shared" si="4"/>
        <v>×</v>
      </c>
      <c r="P8" s="65" t="e">
        <f>VLOOKUP($D8&amp;P$5,'②-2勤務時間数入力'!$D$7:$Q$106,$M8,FALSE)</f>
        <v>#N/A</v>
      </c>
      <c r="Q8" s="65" t="str">
        <f t="shared" si="0"/>
        <v>×</v>
      </c>
      <c r="R8" s="65" t="e">
        <f>VLOOKUP($D8&amp;R$5,'②-2勤務時間数入力'!$D$7:$Q$106,$M8,FALSE)</f>
        <v>#N/A</v>
      </c>
      <c r="S8" s="65" t="str">
        <f t="shared" si="1"/>
        <v>×</v>
      </c>
      <c r="T8" s="65" t="e">
        <f>VLOOKUP($D8&amp;T$5,'②-2勤務時間数入力'!$D$7:$Q$106,$M8,FALSE)</f>
        <v>#N/A</v>
      </c>
      <c r="U8" s="65" t="str">
        <f t="shared" si="2"/>
        <v>×</v>
      </c>
    </row>
    <row r="9" spans="1:21" ht="15" customHeight="1">
      <c r="A9" s="821"/>
      <c r="B9" s="825"/>
      <c r="C9" s="823"/>
      <c r="D9" s="145" t="str">
        <f>IF(D7="","",D7)</f>
        <v/>
      </c>
      <c r="E9" s="145" t="str">
        <f>IF(E7="","",E7)</f>
        <v/>
      </c>
      <c r="F9" s="63" t="str">
        <f t="shared" si="5"/>
        <v/>
      </c>
      <c r="G9" s="62" t="str">
        <f t="shared" si="3"/>
        <v/>
      </c>
      <c r="H9" s="146" t="str">
        <f>IF($C8="","",IF(D9="","",IF($F9="正規職員","-",IF(AND(EXACT(C6,C8),EXACT(D7,D9),EXACT(F7,F9)),H7,"賃金単価を記載"))))</f>
        <v/>
      </c>
      <c r="I9" s="62" t="str">
        <f>IF($C8="","",IF(D9="","",IF($F9="正規職員","-",G9*H9)))</f>
        <v/>
      </c>
      <c r="J9" s="62">
        <f t="shared" si="6"/>
        <v>175250</v>
      </c>
      <c r="K9" s="62" t="str">
        <f>IFERROR(IF($C8="-","",IF(D9="","",IF(F9="正規職員",J9-K8,MIN(MIN(I9:J9),J8-K8)))),0)</f>
        <v/>
      </c>
      <c r="L9" s="287" t="str">
        <f t="shared" si="7"/>
        <v/>
      </c>
      <c r="M9" s="65">
        <f>M8</f>
        <v>4</v>
      </c>
      <c r="N9" s="65" t="e">
        <f>VLOOKUP($D9&amp;N$5,'②-2勤務時間数入力'!$D$7:$Q$106,$M9,FALSE)</f>
        <v>#N/A</v>
      </c>
      <c r="O9" s="65" t="str">
        <f t="shared" si="4"/>
        <v>×</v>
      </c>
      <c r="P9" s="65" t="e">
        <f>VLOOKUP($D9&amp;P$5,'②-2勤務時間数入力'!$D$7:$Q$106,$M9,FALSE)</f>
        <v>#N/A</v>
      </c>
      <c r="Q9" s="65" t="str">
        <f t="shared" si="0"/>
        <v>×</v>
      </c>
      <c r="R9" s="65" t="e">
        <f>VLOOKUP($D9&amp;R$5,'②-2勤務時間数入力'!$D$7:$Q$106,$M9,FALSE)</f>
        <v>#N/A</v>
      </c>
      <c r="S9" s="65" t="str">
        <f t="shared" si="1"/>
        <v>×</v>
      </c>
      <c r="T9" s="65" t="e">
        <f>VLOOKUP($D9&amp;T$5,'②-2勤務時間数入力'!$D$7:$Q$106,$M9,FALSE)</f>
        <v>#N/A</v>
      </c>
      <c r="U9" s="65" t="str">
        <f t="shared" si="2"/>
        <v>×</v>
      </c>
    </row>
    <row r="10" spans="1:21" ht="15" customHeight="1">
      <c r="A10" s="820">
        <v>6</v>
      </c>
      <c r="B10" s="824" t="e">
        <f>IF(判定!W11="OK",1,"")</f>
        <v>#N/A</v>
      </c>
      <c r="C10" s="822" t="str">
        <f>IFERROR(INDEX($I$44:$J$49,MATCH(判定!AX11,$I$44:$I$49,0),2),"-")</f>
        <v>-</v>
      </c>
      <c r="D10" s="145" t="str">
        <f t="shared" ref="D10:E10" si="8">IF(D8="","",D8)</f>
        <v/>
      </c>
      <c r="E10" s="145" t="str">
        <f t="shared" si="8"/>
        <v/>
      </c>
      <c r="F10" s="63" t="str">
        <f t="shared" si="5"/>
        <v/>
      </c>
      <c r="G10" s="62" t="str">
        <f t="shared" si="3"/>
        <v/>
      </c>
      <c r="H10" s="146" t="str">
        <f>IF($C10="","",IF($F10="正規職員","-",IF(AND(EXACT(C8,C10),EXACT(D8,D10),EXACT(F8,F10)),H8,"賃金単価を記載")))</f>
        <v/>
      </c>
      <c r="I10" s="62" t="e">
        <f>IF($C10="","",IF($F10="正規職員","-",G10*H10))</f>
        <v>#VALUE!</v>
      </c>
      <c r="J10" s="62">
        <f t="shared" si="6"/>
        <v>175250</v>
      </c>
      <c r="K10" s="62" t="str">
        <f>IFERROR(IF($C10="-","",IF(D10="",0,IF(F10="正規職員",J10,MIN(I10:J10)))),0)</f>
        <v/>
      </c>
      <c r="L10" s="287" t="str">
        <f t="shared" si="7"/>
        <v/>
      </c>
      <c r="M10" s="65">
        <f t="shared" ref="M10" si="9">M8+1</f>
        <v>5</v>
      </c>
      <c r="N10" s="65" t="e">
        <f>VLOOKUP($D10&amp;N$5,'②-2勤務時間数入力'!$D$7:$Q$106,$M10,FALSE)</f>
        <v>#N/A</v>
      </c>
      <c r="O10" s="65" t="str">
        <f t="shared" si="4"/>
        <v>×</v>
      </c>
      <c r="P10" s="65" t="e">
        <f>VLOOKUP($D10&amp;P$5,'②-2勤務時間数入力'!$D$7:$Q$106,$M10,FALSE)</f>
        <v>#N/A</v>
      </c>
      <c r="Q10" s="65" t="str">
        <f t="shared" si="0"/>
        <v>×</v>
      </c>
      <c r="R10" s="65" t="e">
        <f>VLOOKUP($D10&amp;R$5,'②-2勤務時間数入力'!$D$7:$Q$106,$M10,FALSE)</f>
        <v>#N/A</v>
      </c>
      <c r="S10" s="65" t="str">
        <f t="shared" si="1"/>
        <v>×</v>
      </c>
      <c r="T10" s="65" t="e">
        <f>VLOOKUP($D10&amp;T$5,'②-2勤務時間数入力'!$D$7:$Q$106,$M10,FALSE)</f>
        <v>#N/A</v>
      </c>
      <c r="U10" s="65" t="str">
        <f t="shared" si="2"/>
        <v>×</v>
      </c>
    </row>
    <row r="11" spans="1:21" ht="15" customHeight="1">
      <c r="A11" s="821"/>
      <c r="B11" s="825"/>
      <c r="C11" s="823"/>
      <c r="D11" s="145" t="str">
        <f t="shared" ref="D11:E11" si="10">IF(D9="","",D9)</f>
        <v/>
      </c>
      <c r="E11" s="145" t="str">
        <f t="shared" si="10"/>
        <v/>
      </c>
      <c r="F11" s="63" t="str">
        <f t="shared" si="5"/>
        <v/>
      </c>
      <c r="G11" s="62" t="str">
        <f t="shared" si="3"/>
        <v/>
      </c>
      <c r="H11" s="146" t="str">
        <f>IF($C10="","",IF(D11="","",IF($F11="正規職員","-",IF(AND(EXACT(C8,C10),EXACT(D9,D11),EXACT(F9,F11)),H9,"賃金単価を記載"))))</f>
        <v/>
      </c>
      <c r="I11" s="62" t="str">
        <f>IF($C10="","",IF(D11="","",IF($F11="正規職員","-",G11*H11)))</f>
        <v/>
      </c>
      <c r="J11" s="62">
        <f t="shared" si="6"/>
        <v>175250</v>
      </c>
      <c r="K11" s="62" t="str">
        <f t="shared" ref="K11" si="11">IFERROR(IF($C10="-","",IF(D11="","",IF(F11="正規職員",J11-K10,MIN(MIN(I11:J11),J10-K10)))),0)</f>
        <v/>
      </c>
      <c r="L11" s="287" t="str">
        <f t="shared" si="7"/>
        <v/>
      </c>
      <c r="M11" s="65">
        <f t="shared" ref="M11" si="12">M10</f>
        <v>5</v>
      </c>
      <c r="N11" s="65" t="e">
        <f>VLOOKUP($D11&amp;N$5,'②-2勤務時間数入力'!$D$7:$Q$106,$M11,FALSE)</f>
        <v>#N/A</v>
      </c>
      <c r="O11" s="65" t="str">
        <f t="shared" si="4"/>
        <v>×</v>
      </c>
      <c r="P11" s="65" t="e">
        <f>VLOOKUP($D11&amp;P$5,'②-2勤務時間数入力'!$D$7:$Q$106,$M11,FALSE)</f>
        <v>#N/A</v>
      </c>
      <c r="Q11" s="65" t="str">
        <f t="shared" si="0"/>
        <v>×</v>
      </c>
      <c r="R11" s="65" t="e">
        <f>VLOOKUP($D11&amp;R$5,'②-2勤務時間数入力'!$D$7:$Q$106,$M11,FALSE)</f>
        <v>#N/A</v>
      </c>
      <c r="S11" s="65" t="str">
        <f t="shared" si="1"/>
        <v>×</v>
      </c>
      <c r="T11" s="65" t="e">
        <f>VLOOKUP($D11&amp;T$5,'②-2勤務時間数入力'!$D$7:$Q$106,$M11,FALSE)</f>
        <v>#N/A</v>
      </c>
      <c r="U11" s="65" t="str">
        <f t="shared" si="2"/>
        <v>×</v>
      </c>
    </row>
    <row r="12" spans="1:21" ht="15" customHeight="1">
      <c r="A12" s="820">
        <v>7</v>
      </c>
      <c r="B12" s="824" t="e">
        <f>IF(判定!W12="OK",1,"")</f>
        <v>#N/A</v>
      </c>
      <c r="C12" s="822" t="str">
        <f>IFERROR(INDEX($I$44:$J$49,MATCH(判定!AX12,$I$44:$I$49,0),2),"-")</f>
        <v>-</v>
      </c>
      <c r="D12" s="145" t="str">
        <f t="shared" ref="D12:E12" si="13">IF(D10="","",D10)</f>
        <v/>
      </c>
      <c r="E12" s="145" t="str">
        <f t="shared" si="13"/>
        <v/>
      </c>
      <c r="F12" s="63" t="str">
        <f t="shared" si="5"/>
        <v/>
      </c>
      <c r="G12" s="62" t="str">
        <f t="shared" si="3"/>
        <v/>
      </c>
      <c r="H12" s="146" t="str">
        <f>IF($C12="","",IF($F12="正規職員","-",IF(AND(EXACT(C10,C12),EXACT(D10,D12),EXACT(F10,F12)),H10,"賃金単価を記載")))</f>
        <v/>
      </c>
      <c r="I12" s="62" t="e">
        <f>IF($C12="","",IF($F12="正規職員","-",G12*H12))</f>
        <v>#VALUE!</v>
      </c>
      <c r="J12" s="62">
        <f t="shared" si="6"/>
        <v>175250</v>
      </c>
      <c r="K12" s="62" t="str">
        <f t="shared" ref="K12" si="14">IFERROR(IF($C12="-","",IF(D12="",0,IF(F12="正規職員",J12,MIN(I12:J12)))),0)</f>
        <v/>
      </c>
      <c r="L12" s="287" t="str">
        <f t="shared" si="7"/>
        <v/>
      </c>
      <c r="M12" s="65">
        <f t="shared" ref="M12" si="15">M10+1</f>
        <v>6</v>
      </c>
      <c r="N12" s="65" t="e">
        <f>VLOOKUP($D12&amp;N$5,'②-2勤務時間数入力'!$D$7:$Q$106,$M12,FALSE)</f>
        <v>#N/A</v>
      </c>
      <c r="O12" s="65" t="str">
        <f t="shared" si="4"/>
        <v>×</v>
      </c>
      <c r="P12" s="65" t="e">
        <f>VLOOKUP($D12&amp;P$5,'②-2勤務時間数入力'!$D$7:$Q$106,$M12,FALSE)</f>
        <v>#N/A</v>
      </c>
      <c r="Q12" s="65" t="str">
        <f t="shared" si="0"/>
        <v>×</v>
      </c>
      <c r="R12" s="65" t="e">
        <f>VLOOKUP($D12&amp;R$5,'②-2勤務時間数入力'!$D$7:$Q$106,$M12,FALSE)</f>
        <v>#N/A</v>
      </c>
      <c r="S12" s="65" t="str">
        <f t="shared" si="1"/>
        <v>×</v>
      </c>
      <c r="T12" s="65" t="e">
        <f>VLOOKUP($D12&amp;T$5,'②-2勤務時間数入力'!$D$7:$Q$106,$M12,FALSE)</f>
        <v>#N/A</v>
      </c>
      <c r="U12" s="65" t="str">
        <f t="shared" si="2"/>
        <v>×</v>
      </c>
    </row>
    <row r="13" spans="1:21" ht="15" customHeight="1">
      <c r="A13" s="821"/>
      <c r="B13" s="825"/>
      <c r="C13" s="823"/>
      <c r="D13" s="145" t="str">
        <f t="shared" ref="D13:E13" si="16">IF(D11="","",D11)</f>
        <v/>
      </c>
      <c r="E13" s="145" t="str">
        <f t="shared" si="16"/>
        <v/>
      </c>
      <c r="F13" s="63" t="str">
        <f t="shared" si="5"/>
        <v/>
      </c>
      <c r="G13" s="62" t="str">
        <f t="shared" si="3"/>
        <v/>
      </c>
      <c r="H13" s="146" t="str">
        <f>IF($C12="","",IF(D13="","",IF($F13="正規職員","-",IF(AND(EXACT(C10,C12),EXACT(D11,D13),EXACT(F11,F13)),H11,"賃金単価を記載"))))</f>
        <v/>
      </c>
      <c r="I13" s="62" t="str">
        <f>IF($C12="","",IF(D13="","",IF($F13="正規職員","-",G13*H13)))</f>
        <v/>
      </c>
      <c r="J13" s="62">
        <f t="shared" si="6"/>
        <v>175250</v>
      </c>
      <c r="K13" s="62" t="str">
        <f t="shared" ref="K13" si="17">IFERROR(IF($C12="-","",IF(D13="","",IF(F13="正規職員",J13-K12,MIN(MIN(I13:J13),J12-K12)))),0)</f>
        <v/>
      </c>
      <c r="L13" s="287" t="str">
        <f t="shared" si="7"/>
        <v/>
      </c>
      <c r="M13" s="65">
        <f t="shared" ref="M13" si="18">M12</f>
        <v>6</v>
      </c>
      <c r="N13" s="65" t="e">
        <f>VLOOKUP($D13&amp;N$5,'②-2勤務時間数入力'!$D$7:$Q$106,$M13,FALSE)</f>
        <v>#N/A</v>
      </c>
      <c r="O13" s="65" t="str">
        <f t="shared" si="4"/>
        <v>×</v>
      </c>
      <c r="P13" s="65" t="e">
        <f>VLOOKUP($D13&amp;P$5,'②-2勤務時間数入力'!$D$7:$Q$106,$M13,FALSE)</f>
        <v>#N/A</v>
      </c>
      <c r="Q13" s="65" t="str">
        <f t="shared" si="0"/>
        <v>×</v>
      </c>
      <c r="R13" s="65" t="e">
        <f>VLOOKUP($D13&amp;R$5,'②-2勤務時間数入力'!$D$7:$Q$106,$M13,FALSE)</f>
        <v>#N/A</v>
      </c>
      <c r="S13" s="65" t="str">
        <f t="shared" si="1"/>
        <v>×</v>
      </c>
      <c r="T13" s="65" t="e">
        <f>VLOOKUP($D13&amp;T$5,'②-2勤務時間数入力'!$D$7:$Q$106,$M13,FALSE)</f>
        <v>#N/A</v>
      </c>
      <c r="U13" s="65" t="str">
        <f t="shared" si="2"/>
        <v>×</v>
      </c>
    </row>
    <row r="14" spans="1:21" ht="15" customHeight="1">
      <c r="A14" s="820">
        <v>8</v>
      </c>
      <c r="B14" s="824" t="e">
        <f>IF(判定!W13="OK",1,"")</f>
        <v>#N/A</v>
      </c>
      <c r="C14" s="822" t="str">
        <f>IFERROR(INDEX($I$44:$J$49,MATCH(判定!AX13,$I$44:$I$49,0),2),"-")</f>
        <v>-</v>
      </c>
      <c r="D14" s="145" t="str">
        <f t="shared" ref="D14:E14" si="19">IF(D12="","",D12)</f>
        <v/>
      </c>
      <c r="E14" s="145" t="str">
        <f t="shared" si="19"/>
        <v/>
      </c>
      <c r="F14" s="63" t="str">
        <f t="shared" si="5"/>
        <v/>
      </c>
      <c r="G14" s="62" t="str">
        <f t="shared" si="3"/>
        <v/>
      </c>
      <c r="H14" s="146" t="str">
        <f>IF($C14="","",IF($F14="正規職員","-",IF(AND(EXACT(C12,C14),EXACT(D12,D14),EXACT(F12,F14)),H12,"賃金単価を記載")))</f>
        <v/>
      </c>
      <c r="I14" s="62" t="e">
        <f>IF($C14="","",IF($F14="正規職員","-",G14*H14))</f>
        <v>#VALUE!</v>
      </c>
      <c r="J14" s="62">
        <f t="shared" si="6"/>
        <v>175250</v>
      </c>
      <c r="K14" s="62" t="str">
        <f t="shared" ref="K14" si="20">IFERROR(IF($C14="-","",IF(D14="",0,IF(F14="正規職員",J14,MIN(I14:J14)))),0)</f>
        <v/>
      </c>
      <c r="L14" s="287" t="str">
        <f t="shared" si="7"/>
        <v/>
      </c>
      <c r="M14" s="65">
        <f t="shared" ref="M14" si="21">M12+1</f>
        <v>7</v>
      </c>
      <c r="N14" s="65" t="e">
        <f>VLOOKUP($D14&amp;N$5,'②-2勤務時間数入力'!$D$7:$Q$106,$M14,FALSE)</f>
        <v>#N/A</v>
      </c>
      <c r="O14" s="65" t="str">
        <f t="shared" si="4"/>
        <v>×</v>
      </c>
      <c r="P14" s="65" t="e">
        <f>VLOOKUP($D14&amp;P$5,'②-2勤務時間数入力'!$D$7:$Q$106,$M14,FALSE)</f>
        <v>#N/A</v>
      </c>
      <c r="Q14" s="65" t="str">
        <f t="shared" si="0"/>
        <v>×</v>
      </c>
      <c r="R14" s="65" t="e">
        <f>VLOOKUP($D14&amp;R$5,'②-2勤務時間数入力'!$D$7:$Q$106,$M14,FALSE)</f>
        <v>#N/A</v>
      </c>
      <c r="S14" s="65" t="str">
        <f t="shared" si="1"/>
        <v>×</v>
      </c>
      <c r="T14" s="65" t="e">
        <f>VLOOKUP($D14&amp;T$5,'②-2勤務時間数入力'!$D$7:$Q$106,$M14,FALSE)</f>
        <v>#N/A</v>
      </c>
      <c r="U14" s="65" t="str">
        <f t="shared" si="2"/>
        <v>×</v>
      </c>
    </row>
    <row r="15" spans="1:21" ht="15" customHeight="1">
      <c r="A15" s="821"/>
      <c r="B15" s="825"/>
      <c r="C15" s="823"/>
      <c r="D15" s="145" t="str">
        <f t="shared" ref="D15:E15" si="22">IF(D13="","",D13)</f>
        <v/>
      </c>
      <c r="E15" s="145" t="str">
        <f t="shared" si="22"/>
        <v/>
      </c>
      <c r="F15" s="63" t="str">
        <f t="shared" si="5"/>
        <v/>
      </c>
      <c r="G15" s="62" t="str">
        <f t="shared" si="3"/>
        <v/>
      </c>
      <c r="H15" s="146" t="str">
        <f>IF($C14="","",IF(D15="","",IF($F15="正規職員","-",IF(AND(EXACT(C12,C14),EXACT(D13,D15),EXACT(F13,F15)),H13,"賃金単価を記載"))))</f>
        <v/>
      </c>
      <c r="I15" s="62" t="str">
        <f>IF($C14="","",IF(D15="","",IF($F15="正規職員","-",G15*H15)))</f>
        <v/>
      </c>
      <c r="J15" s="62">
        <f t="shared" si="6"/>
        <v>175250</v>
      </c>
      <c r="K15" s="62" t="str">
        <f t="shared" ref="K15" si="23">IFERROR(IF($C14="-","",IF(D15="","",IF(F15="正規職員",J15-K14,MIN(MIN(I15:J15),J14-K14)))),0)</f>
        <v/>
      </c>
      <c r="L15" s="287" t="str">
        <f t="shared" si="7"/>
        <v/>
      </c>
      <c r="M15" s="65">
        <f t="shared" ref="M15" si="24">M14</f>
        <v>7</v>
      </c>
      <c r="N15" s="65" t="e">
        <f>VLOOKUP($D15&amp;N$5,'②-2勤務時間数入力'!$D$7:$Q$106,$M15,FALSE)</f>
        <v>#N/A</v>
      </c>
      <c r="O15" s="65" t="str">
        <f t="shared" si="4"/>
        <v>×</v>
      </c>
      <c r="P15" s="65" t="e">
        <f>VLOOKUP($D15&amp;P$5,'②-2勤務時間数入力'!$D$7:$Q$106,$M15,FALSE)</f>
        <v>#N/A</v>
      </c>
      <c r="Q15" s="65" t="str">
        <f t="shared" si="0"/>
        <v>×</v>
      </c>
      <c r="R15" s="65" t="e">
        <f>VLOOKUP($D15&amp;R$5,'②-2勤務時間数入力'!$D$7:$Q$106,$M15,FALSE)</f>
        <v>#N/A</v>
      </c>
      <c r="S15" s="65" t="str">
        <f t="shared" si="1"/>
        <v>×</v>
      </c>
      <c r="T15" s="65" t="e">
        <f>VLOOKUP($D15&amp;T$5,'②-2勤務時間数入力'!$D$7:$Q$106,$M15,FALSE)</f>
        <v>#N/A</v>
      </c>
      <c r="U15" s="65" t="str">
        <f t="shared" si="2"/>
        <v>×</v>
      </c>
    </row>
    <row r="16" spans="1:21" ht="15" customHeight="1">
      <c r="A16" s="820">
        <v>9</v>
      </c>
      <c r="B16" s="824" t="e">
        <f>IF(判定!W14="OK",1,"")</f>
        <v>#N/A</v>
      </c>
      <c r="C16" s="822" t="str">
        <f>IFERROR(INDEX($I$44:$J$49,MATCH(判定!AX14,$I$44:$I$49,0),2),"-")</f>
        <v>-</v>
      </c>
      <c r="D16" s="145" t="str">
        <f t="shared" ref="D16:E16" si="25">IF(D14="","",D14)</f>
        <v/>
      </c>
      <c r="E16" s="145" t="str">
        <f t="shared" si="25"/>
        <v/>
      </c>
      <c r="F16" s="63" t="str">
        <f t="shared" si="5"/>
        <v/>
      </c>
      <c r="G16" s="62" t="str">
        <f t="shared" si="3"/>
        <v/>
      </c>
      <c r="H16" s="146" t="str">
        <f>IF($C16="","",IF($F16="正規職員","-",IF(AND(EXACT(C14,C16),EXACT(D14,D16),EXACT(F14,F16)),H14,"賃金単価を記載")))</f>
        <v/>
      </c>
      <c r="I16" s="62" t="e">
        <f>IF($C16="","",IF($F16="正規職員","-",G16*H16))</f>
        <v>#VALUE!</v>
      </c>
      <c r="J16" s="62">
        <f t="shared" si="6"/>
        <v>175250</v>
      </c>
      <c r="K16" s="62" t="str">
        <f t="shared" ref="K16" si="26">IFERROR(IF($C16="-","",IF(D16="",0,IF(F16="正規職員",J16,MIN(I16:J16)))),0)</f>
        <v/>
      </c>
      <c r="L16" s="287" t="str">
        <f t="shared" si="7"/>
        <v/>
      </c>
      <c r="M16" s="65">
        <f t="shared" ref="M16" si="27">M14+1</f>
        <v>8</v>
      </c>
      <c r="N16" s="65" t="e">
        <f>VLOOKUP($D16&amp;N$5,'②-2勤務時間数入力'!$D$7:$Q$106,$M16,FALSE)</f>
        <v>#N/A</v>
      </c>
      <c r="O16" s="65" t="str">
        <f t="shared" si="4"/>
        <v>×</v>
      </c>
      <c r="P16" s="65" t="e">
        <f>VLOOKUP($D16&amp;P$5,'②-2勤務時間数入力'!$D$7:$Q$106,$M16,FALSE)</f>
        <v>#N/A</v>
      </c>
      <c r="Q16" s="65" t="str">
        <f t="shared" si="0"/>
        <v>×</v>
      </c>
      <c r="R16" s="65" t="e">
        <f>VLOOKUP($D16&amp;R$5,'②-2勤務時間数入力'!$D$7:$Q$106,$M16,FALSE)</f>
        <v>#N/A</v>
      </c>
      <c r="S16" s="65" t="str">
        <f t="shared" si="1"/>
        <v>×</v>
      </c>
      <c r="T16" s="65" t="e">
        <f>VLOOKUP($D16&amp;T$5,'②-2勤務時間数入力'!$D$7:$Q$106,$M16,FALSE)</f>
        <v>#N/A</v>
      </c>
      <c r="U16" s="65" t="str">
        <f t="shared" si="2"/>
        <v>×</v>
      </c>
    </row>
    <row r="17" spans="1:21" ht="15" customHeight="1">
      <c r="A17" s="821"/>
      <c r="B17" s="825"/>
      <c r="C17" s="823"/>
      <c r="D17" s="145" t="str">
        <f t="shared" ref="D17:E17" si="28">IF(D15="","",D15)</f>
        <v/>
      </c>
      <c r="E17" s="145" t="str">
        <f t="shared" si="28"/>
        <v/>
      </c>
      <c r="F17" s="63" t="str">
        <f t="shared" si="5"/>
        <v/>
      </c>
      <c r="G17" s="62" t="str">
        <f t="shared" si="3"/>
        <v/>
      </c>
      <c r="H17" s="146" t="str">
        <f>IF($C16="","",IF(D17="","",IF($F17="正規職員","-",IF(AND(EXACT(C14,C16),EXACT(D15,D17),EXACT(F15,F17)),H15,"賃金単価を記載"))))</f>
        <v/>
      </c>
      <c r="I17" s="62" t="str">
        <f>IF($C16="","",IF(D17="","",IF($F17="正規職員","-",G17*H17)))</f>
        <v/>
      </c>
      <c r="J17" s="62">
        <f t="shared" si="6"/>
        <v>175250</v>
      </c>
      <c r="K17" s="62" t="str">
        <f t="shared" ref="K17" si="29">IFERROR(IF($C16="-","",IF(D17="","",IF(F17="正規職員",J17-K16,MIN(MIN(I17:J17),J16-K16)))),0)</f>
        <v/>
      </c>
      <c r="L17" s="287" t="str">
        <f t="shared" si="7"/>
        <v/>
      </c>
      <c r="M17" s="65">
        <f t="shared" ref="M17" si="30">M16</f>
        <v>8</v>
      </c>
      <c r="N17" s="65" t="e">
        <f>VLOOKUP($D17&amp;N$5,'②-2勤務時間数入力'!$D$7:$Q$106,$M17,FALSE)</f>
        <v>#N/A</v>
      </c>
      <c r="O17" s="65" t="str">
        <f t="shared" si="4"/>
        <v>×</v>
      </c>
      <c r="P17" s="65" t="e">
        <f>VLOOKUP($D17&amp;P$5,'②-2勤務時間数入力'!$D$7:$Q$106,$M17,FALSE)</f>
        <v>#N/A</v>
      </c>
      <c r="Q17" s="65" t="str">
        <f t="shared" si="0"/>
        <v>×</v>
      </c>
      <c r="R17" s="65" t="e">
        <f>VLOOKUP($D17&amp;R$5,'②-2勤務時間数入力'!$D$7:$Q$106,$M17,FALSE)</f>
        <v>#N/A</v>
      </c>
      <c r="S17" s="65" t="str">
        <f t="shared" si="1"/>
        <v>×</v>
      </c>
      <c r="T17" s="65" t="e">
        <f>VLOOKUP($D17&amp;T$5,'②-2勤務時間数入力'!$D$7:$Q$106,$M17,FALSE)</f>
        <v>#N/A</v>
      </c>
      <c r="U17" s="65" t="str">
        <f t="shared" si="2"/>
        <v>×</v>
      </c>
    </row>
    <row r="18" spans="1:21" ht="15" customHeight="1">
      <c r="A18" s="820">
        <v>10</v>
      </c>
      <c r="B18" s="824" t="e">
        <f>IF(判定!W15="OK",1,"")</f>
        <v>#N/A</v>
      </c>
      <c r="C18" s="822" t="str">
        <f>IFERROR(INDEX($I$44:$J$49,MATCH(判定!AX15,$I$44:$I$49,0),2),"-")</f>
        <v>-</v>
      </c>
      <c r="D18" s="145" t="str">
        <f t="shared" ref="D18:E18" si="31">IF(D16="","",D16)</f>
        <v/>
      </c>
      <c r="E18" s="145" t="str">
        <f t="shared" si="31"/>
        <v/>
      </c>
      <c r="F18" s="63" t="str">
        <f t="shared" si="5"/>
        <v/>
      </c>
      <c r="G18" s="62" t="str">
        <f t="shared" si="3"/>
        <v/>
      </c>
      <c r="H18" s="146" t="str">
        <f>IF($C18="","",IF($F18="正規職員","-",IF(AND(EXACT(C16,C18),EXACT(D16,D18),EXACT(F16,F18)),H16,"賃金単価を記載")))</f>
        <v/>
      </c>
      <c r="I18" s="62" t="e">
        <f>IF($C18="","",IF($F18="正規職員","-",G18*H18))</f>
        <v>#VALUE!</v>
      </c>
      <c r="J18" s="62">
        <f t="shared" si="6"/>
        <v>175250</v>
      </c>
      <c r="K18" s="62" t="str">
        <f t="shared" ref="K18" si="32">IFERROR(IF($C18="-","",IF(D18="",0,IF(F18="正規職員",J18,MIN(I18:J18)))),0)</f>
        <v/>
      </c>
      <c r="L18" s="287" t="str">
        <f t="shared" si="7"/>
        <v/>
      </c>
      <c r="M18" s="65">
        <f t="shared" ref="M18" si="33">M16+1</f>
        <v>9</v>
      </c>
      <c r="N18" s="65" t="e">
        <f>VLOOKUP($D18&amp;N$5,'②-2勤務時間数入力'!$D$7:$Q$106,$M18,FALSE)</f>
        <v>#N/A</v>
      </c>
      <c r="O18" s="65" t="str">
        <f t="shared" si="4"/>
        <v>×</v>
      </c>
      <c r="P18" s="65" t="e">
        <f>VLOOKUP($D18&amp;P$5,'②-2勤務時間数入力'!$D$7:$Q$106,$M18,FALSE)</f>
        <v>#N/A</v>
      </c>
      <c r="Q18" s="65" t="str">
        <f t="shared" si="0"/>
        <v>×</v>
      </c>
      <c r="R18" s="65" t="e">
        <f>VLOOKUP($D18&amp;R$5,'②-2勤務時間数入力'!$D$7:$Q$106,$M18,FALSE)</f>
        <v>#N/A</v>
      </c>
      <c r="S18" s="65" t="str">
        <f t="shared" si="1"/>
        <v>×</v>
      </c>
      <c r="T18" s="65" t="e">
        <f>VLOOKUP($D18&amp;T$5,'②-2勤務時間数入力'!$D$7:$Q$106,$M18,FALSE)</f>
        <v>#N/A</v>
      </c>
      <c r="U18" s="65" t="str">
        <f t="shared" si="2"/>
        <v>×</v>
      </c>
    </row>
    <row r="19" spans="1:21" ht="15" customHeight="1">
      <c r="A19" s="821"/>
      <c r="B19" s="825"/>
      <c r="C19" s="823"/>
      <c r="D19" s="145" t="str">
        <f t="shared" ref="D19:E19" si="34">IF(D17="","",D17)</f>
        <v/>
      </c>
      <c r="E19" s="145" t="str">
        <f t="shared" si="34"/>
        <v/>
      </c>
      <c r="F19" s="63" t="str">
        <f t="shared" si="5"/>
        <v/>
      </c>
      <c r="G19" s="62" t="str">
        <f t="shared" si="3"/>
        <v/>
      </c>
      <c r="H19" s="146" t="str">
        <f>IF($C18="","",IF(D19="","",IF($F19="正規職員","-",IF(AND(EXACT(C16,C18),EXACT(D17,D19),EXACT(F17,F19)),H17,"賃金単価を記載"))))</f>
        <v/>
      </c>
      <c r="I19" s="62" t="str">
        <f>IF($C18="","",IF(D19="","",IF($F19="正規職員","-",G19*H19)))</f>
        <v/>
      </c>
      <c r="J19" s="62">
        <f t="shared" si="6"/>
        <v>175250</v>
      </c>
      <c r="K19" s="62" t="str">
        <f t="shared" ref="K19" si="35">IFERROR(IF($C18="-","",IF(D19="","",IF(F19="正規職員",J19-K18,MIN(MIN(I19:J19),J18-K18)))),0)</f>
        <v/>
      </c>
      <c r="L19" s="287" t="str">
        <f t="shared" si="7"/>
        <v/>
      </c>
      <c r="M19" s="65">
        <f t="shared" ref="M19" si="36">M18</f>
        <v>9</v>
      </c>
      <c r="N19" s="65" t="e">
        <f>VLOOKUP($D19&amp;N$5,'②-2勤務時間数入力'!$D$7:$Q$106,$M19,FALSE)</f>
        <v>#N/A</v>
      </c>
      <c r="O19" s="65" t="str">
        <f t="shared" si="4"/>
        <v>×</v>
      </c>
      <c r="P19" s="65" t="e">
        <f>VLOOKUP($D19&amp;P$5,'②-2勤務時間数入力'!$D$7:$Q$106,$M19,FALSE)</f>
        <v>#N/A</v>
      </c>
      <c r="Q19" s="65" t="str">
        <f t="shared" si="0"/>
        <v>×</v>
      </c>
      <c r="R19" s="65" t="e">
        <f>VLOOKUP($D19&amp;R$5,'②-2勤務時間数入力'!$D$7:$Q$106,$M19,FALSE)</f>
        <v>#N/A</v>
      </c>
      <c r="S19" s="65" t="str">
        <f t="shared" si="1"/>
        <v>×</v>
      </c>
      <c r="T19" s="65" t="e">
        <f>VLOOKUP($D19&amp;T$5,'②-2勤務時間数入力'!$D$7:$Q$106,$M19,FALSE)</f>
        <v>#N/A</v>
      </c>
      <c r="U19" s="65" t="str">
        <f t="shared" si="2"/>
        <v>×</v>
      </c>
    </row>
    <row r="20" spans="1:21" ht="15" customHeight="1">
      <c r="A20" s="820">
        <v>11</v>
      </c>
      <c r="B20" s="824" t="e">
        <f>IF(判定!W16="OK",1,"")</f>
        <v>#N/A</v>
      </c>
      <c r="C20" s="822" t="str">
        <f>IFERROR(INDEX($I$44:$J$49,MATCH(判定!AX16,$I$44:$I$49,0),2),"-")</f>
        <v>-</v>
      </c>
      <c r="D20" s="145" t="str">
        <f t="shared" ref="D20:E20" si="37">IF(D18="","",D18)</f>
        <v/>
      </c>
      <c r="E20" s="145" t="str">
        <f t="shared" si="37"/>
        <v/>
      </c>
      <c r="F20" s="63" t="str">
        <f t="shared" si="5"/>
        <v/>
      </c>
      <c r="G20" s="62" t="str">
        <f t="shared" si="3"/>
        <v/>
      </c>
      <c r="H20" s="146" t="str">
        <f>IF($C20="","",IF($F20="正規職員","-",IF(AND(EXACT(C18,C20),EXACT(D18,D20),EXACT(F18,F20)),H18,"賃金単価を記載")))</f>
        <v/>
      </c>
      <c r="I20" s="62" t="e">
        <f>IF($C20="","",IF($F20="正規職員","-",G20*H20))</f>
        <v>#VALUE!</v>
      </c>
      <c r="J20" s="62">
        <f t="shared" si="6"/>
        <v>175250</v>
      </c>
      <c r="K20" s="62" t="str">
        <f t="shared" ref="K20" si="38">IFERROR(IF($C20="-","",IF(D20="",0,IF(F20="正規職員",J20,MIN(I20:J20)))),0)</f>
        <v/>
      </c>
      <c r="L20" s="287" t="str">
        <f t="shared" si="7"/>
        <v/>
      </c>
      <c r="M20" s="65">
        <f t="shared" ref="M20" si="39">M18+1</f>
        <v>10</v>
      </c>
      <c r="N20" s="65" t="e">
        <f>VLOOKUP($D20&amp;N$5,'②-2勤務時間数入力'!$D$7:$Q$106,$M20,FALSE)</f>
        <v>#N/A</v>
      </c>
      <c r="O20" s="65" t="str">
        <f t="shared" si="4"/>
        <v>×</v>
      </c>
      <c r="P20" s="65" t="e">
        <f>VLOOKUP($D20&amp;P$5,'②-2勤務時間数入力'!$D$7:$Q$106,$M20,FALSE)</f>
        <v>#N/A</v>
      </c>
      <c r="Q20" s="65" t="str">
        <f t="shared" si="0"/>
        <v>×</v>
      </c>
      <c r="R20" s="65" t="e">
        <f>VLOOKUP($D20&amp;R$5,'②-2勤務時間数入力'!$D$7:$Q$106,$M20,FALSE)</f>
        <v>#N/A</v>
      </c>
      <c r="S20" s="65" t="str">
        <f t="shared" si="1"/>
        <v>×</v>
      </c>
      <c r="T20" s="65" t="e">
        <f>VLOOKUP($D20&amp;T$5,'②-2勤務時間数入力'!$D$7:$Q$106,$M20,FALSE)</f>
        <v>#N/A</v>
      </c>
      <c r="U20" s="65" t="str">
        <f t="shared" si="2"/>
        <v>×</v>
      </c>
    </row>
    <row r="21" spans="1:21" ht="15" customHeight="1">
      <c r="A21" s="821"/>
      <c r="B21" s="825"/>
      <c r="C21" s="823"/>
      <c r="D21" s="145" t="str">
        <f t="shared" ref="D21:E21" si="40">IF(D19="","",D19)</f>
        <v/>
      </c>
      <c r="E21" s="145" t="str">
        <f t="shared" si="40"/>
        <v/>
      </c>
      <c r="F21" s="63" t="str">
        <f t="shared" si="5"/>
        <v/>
      </c>
      <c r="G21" s="62" t="str">
        <f t="shared" si="3"/>
        <v/>
      </c>
      <c r="H21" s="146" t="str">
        <f>IF($C20="","",IF(D21="","",IF($F21="正規職員","-",IF(AND(EXACT(C18,C20),EXACT(D19,D21),EXACT(F19,F21)),H19,"賃金単価を記載"))))</f>
        <v/>
      </c>
      <c r="I21" s="62" t="str">
        <f>IF($C20="","",IF(D21="","",IF($F21="正規職員","-",G21*H21)))</f>
        <v/>
      </c>
      <c r="J21" s="62">
        <f t="shared" si="6"/>
        <v>175250</v>
      </c>
      <c r="K21" s="62" t="str">
        <f t="shared" ref="K21" si="41">IFERROR(IF($C20="-","",IF(D21="","",IF(F21="正規職員",J21-K20,MIN(MIN(I21:J21),J20-K20)))),0)</f>
        <v/>
      </c>
      <c r="L21" s="287" t="str">
        <f t="shared" si="7"/>
        <v/>
      </c>
      <c r="M21" s="65">
        <f t="shared" ref="M21" si="42">M20</f>
        <v>10</v>
      </c>
      <c r="N21" s="65" t="e">
        <f>VLOOKUP($D21&amp;N$5,'②-2勤務時間数入力'!$D$7:$Q$106,$M21,FALSE)</f>
        <v>#N/A</v>
      </c>
      <c r="O21" s="65" t="str">
        <f t="shared" si="4"/>
        <v>×</v>
      </c>
      <c r="P21" s="65" t="e">
        <f>VLOOKUP($D21&amp;P$5,'②-2勤務時間数入力'!$D$7:$Q$106,$M21,FALSE)</f>
        <v>#N/A</v>
      </c>
      <c r="Q21" s="65" t="str">
        <f t="shared" si="0"/>
        <v>×</v>
      </c>
      <c r="R21" s="65" t="e">
        <f>VLOOKUP($D21&amp;R$5,'②-2勤務時間数入力'!$D$7:$Q$106,$M21,FALSE)</f>
        <v>#N/A</v>
      </c>
      <c r="S21" s="65" t="str">
        <f t="shared" si="1"/>
        <v>×</v>
      </c>
      <c r="T21" s="65" t="e">
        <f>VLOOKUP($D21&amp;T$5,'②-2勤務時間数入力'!$D$7:$Q$106,$M21,FALSE)</f>
        <v>#N/A</v>
      </c>
      <c r="U21" s="65" t="str">
        <f t="shared" si="2"/>
        <v>×</v>
      </c>
    </row>
    <row r="22" spans="1:21" ht="15" customHeight="1">
      <c r="A22" s="820">
        <v>12</v>
      </c>
      <c r="B22" s="824" t="e">
        <f>IF(判定!W17="OK",1,"")</f>
        <v>#N/A</v>
      </c>
      <c r="C22" s="822" t="str">
        <f>IFERROR(INDEX($I$44:$J$49,MATCH(判定!AX17,$I$44:$I$49,0),2),"-")</f>
        <v>-</v>
      </c>
      <c r="D22" s="145" t="str">
        <f t="shared" ref="D22:E22" si="43">IF(D20="","",D20)</f>
        <v/>
      </c>
      <c r="E22" s="145" t="str">
        <f t="shared" si="43"/>
        <v/>
      </c>
      <c r="F22" s="63" t="str">
        <f t="shared" si="5"/>
        <v/>
      </c>
      <c r="G22" s="62" t="str">
        <f t="shared" si="3"/>
        <v/>
      </c>
      <c r="H22" s="146" t="str">
        <f>IF($C22="","",IF($F22="正規職員","-",IF(AND(EXACT(C20,C22),EXACT(D20,D22),EXACT(F20,F22)),H20,"賃金単価を記載")))</f>
        <v/>
      </c>
      <c r="I22" s="62" t="e">
        <f>IF($C22="","",IF($F22="正規職員","-",G22*H22))</f>
        <v>#VALUE!</v>
      </c>
      <c r="J22" s="62">
        <f t="shared" si="6"/>
        <v>175250</v>
      </c>
      <c r="K22" s="62" t="str">
        <f t="shared" ref="K22" si="44">IFERROR(IF($C22="-","",IF(D22="",0,IF(F22="正規職員",J22,MIN(I22:J22)))),0)</f>
        <v/>
      </c>
      <c r="L22" s="287" t="str">
        <f t="shared" si="7"/>
        <v/>
      </c>
      <c r="M22" s="65">
        <f t="shared" ref="M22" si="45">M20+1</f>
        <v>11</v>
      </c>
      <c r="N22" s="65" t="e">
        <f>VLOOKUP($D22&amp;N$5,'②-2勤務時間数入力'!$D$7:$Q$106,$M22,FALSE)</f>
        <v>#N/A</v>
      </c>
      <c r="O22" s="65" t="str">
        <f t="shared" si="4"/>
        <v>×</v>
      </c>
      <c r="P22" s="65" t="e">
        <f>VLOOKUP($D22&amp;P$5,'②-2勤務時間数入力'!$D$7:$Q$106,$M22,FALSE)</f>
        <v>#N/A</v>
      </c>
      <c r="Q22" s="65" t="str">
        <f t="shared" si="0"/>
        <v>×</v>
      </c>
      <c r="R22" s="65" t="e">
        <f>VLOOKUP($D22&amp;R$5,'②-2勤務時間数入力'!$D$7:$Q$106,$M22,FALSE)</f>
        <v>#N/A</v>
      </c>
      <c r="S22" s="65" t="str">
        <f t="shared" si="1"/>
        <v>×</v>
      </c>
      <c r="T22" s="65" t="e">
        <f>VLOOKUP($D22&amp;T$5,'②-2勤務時間数入力'!$D$7:$Q$106,$M22,FALSE)</f>
        <v>#N/A</v>
      </c>
      <c r="U22" s="65" t="str">
        <f t="shared" si="2"/>
        <v>×</v>
      </c>
    </row>
    <row r="23" spans="1:21" ht="15" customHeight="1">
      <c r="A23" s="821"/>
      <c r="B23" s="825"/>
      <c r="C23" s="823"/>
      <c r="D23" s="145" t="str">
        <f t="shared" ref="D23:E23" si="46">IF(D21="","",D21)</f>
        <v/>
      </c>
      <c r="E23" s="145" t="str">
        <f t="shared" si="46"/>
        <v/>
      </c>
      <c r="F23" s="63" t="str">
        <f t="shared" si="5"/>
        <v/>
      </c>
      <c r="G23" s="62" t="str">
        <f t="shared" si="3"/>
        <v/>
      </c>
      <c r="H23" s="146" t="str">
        <f>IF($C22="","",IF(D23="","",IF($F23="正規職員","-",IF(AND(EXACT(C20,C22),EXACT(D21,D23),EXACT(F21,F23)),H21,"賃金単価を記載"))))</f>
        <v/>
      </c>
      <c r="I23" s="62" t="str">
        <f>IF($C22="","",IF(D23="","",IF($F23="正規職員","-",G23*H23)))</f>
        <v/>
      </c>
      <c r="J23" s="62">
        <f t="shared" si="6"/>
        <v>175250</v>
      </c>
      <c r="K23" s="62" t="str">
        <f t="shared" ref="K23" si="47">IFERROR(IF($C22="-","",IF(D23="","",IF(F23="正規職員",J23-K22,MIN(MIN(I23:J23),J22-K22)))),0)</f>
        <v/>
      </c>
      <c r="L23" s="287" t="str">
        <f t="shared" si="7"/>
        <v/>
      </c>
      <c r="M23" s="65">
        <f t="shared" ref="M23" si="48">M22</f>
        <v>11</v>
      </c>
      <c r="N23" s="65" t="e">
        <f>VLOOKUP($D23&amp;N$5,'②-2勤務時間数入力'!$D$7:$Q$106,$M23,FALSE)</f>
        <v>#N/A</v>
      </c>
      <c r="O23" s="65" t="str">
        <f t="shared" si="4"/>
        <v>×</v>
      </c>
      <c r="P23" s="65" t="e">
        <f>VLOOKUP($D23&amp;P$5,'②-2勤務時間数入力'!$D$7:$Q$106,$M23,FALSE)</f>
        <v>#N/A</v>
      </c>
      <c r="Q23" s="65" t="str">
        <f t="shared" si="0"/>
        <v>×</v>
      </c>
      <c r="R23" s="65" t="e">
        <f>VLOOKUP($D23&amp;R$5,'②-2勤務時間数入力'!$D$7:$Q$106,$M23,FALSE)</f>
        <v>#N/A</v>
      </c>
      <c r="S23" s="65" t="str">
        <f t="shared" si="1"/>
        <v>×</v>
      </c>
      <c r="T23" s="65" t="e">
        <f>VLOOKUP($D23&amp;T$5,'②-2勤務時間数入力'!$D$7:$Q$106,$M23,FALSE)</f>
        <v>#N/A</v>
      </c>
      <c r="U23" s="65" t="str">
        <f t="shared" si="2"/>
        <v>×</v>
      </c>
    </row>
    <row r="24" spans="1:21" ht="15" customHeight="1">
      <c r="A24" s="820">
        <v>1</v>
      </c>
      <c r="B24" s="824" t="e">
        <f>IF(判定!W18="OK",1,"")</f>
        <v>#N/A</v>
      </c>
      <c r="C24" s="822" t="str">
        <f>IFERROR(INDEX($I$44:$J$49,MATCH(判定!AX18,$I$44:$I$49,0),2),"-")</f>
        <v>-</v>
      </c>
      <c r="D24" s="145" t="str">
        <f t="shared" ref="D24:E24" si="49">IF(D22="","",D22)</f>
        <v/>
      </c>
      <c r="E24" s="145" t="str">
        <f t="shared" si="49"/>
        <v/>
      </c>
      <c r="F24" s="63" t="str">
        <f t="shared" si="5"/>
        <v/>
      </c>
      <c r="G24" s="62" t="str">
        <f t="shared" si="3"/>
        <v/>
      </c>
      <c r="H24" s="146" t="str">
        <f>IF($C24="","",IF($F24="正規職員","-",IF(AND(EXACT(C22,C24),EXACT(D22,D24),EXACT(F22,F24)),H22,"賃金単価を記載")))</f>
        <v/>
      </c>
      <c r="I24" s="62" t="e">
        <f>IF($C24="","",IF($F24="正規職員","-",G24*H24))</f>
        <v>#VALUE!</v>
      </c>
      <c r="J24" s="62">
        <f t="shared" si="6"/>
        <v>175250</v>
      </c>
      <c r="K24" s="62" t="str">
        <f t="shared" ref="K24" si="50">IFERROR(IF($C24="-","",IF(D24="",0,IF(F24="正規職員",J24,MIN(I24:J24)))),0)</f>
        <v/>
      </c>
      <c r="L24" s="287" t="str">
        <f t="shared" si="7"/>
        <v/>
      </c>
      <c r="M24" s="65">
        <f t="shared" ref="M24" si="51">M22+1</f>
        <v>12</v>
      </c>
      <c r="N24" s="65" t="e">
        <f>VLOOKUP($D24&amp;N$5,'②-2勤務時間数入力'!$D$7:$Q$106,$M24,FALSE)</f>
        <v>#N/A</v>
      </c>
      <c r="O24" s="65" t="str">
        <f t="shared" si="4"/>
        <v>×</v>
      </c>
      <c r="P24" s="65" t="e">
        <f>VLOOKUP($D24&amp;P$5,'②-2勤務時間数入力'!$D$7:$Q$106,$M24,FALSE)</f>
        <v>#N/A</v>
      </c>
      <c r="Q24" s="65" t="str">
        <f t="shared" si="0"/>
        <v>×</v>
      </c>
      <c r="R24" s="65" t="e">
        <f>VLOOKUP($D24&amp;R$5,'②-2勤務時間数入力'!$D$7:$Q$106,$M24,FALSE)</f>
        <v>#N/A</v>
      </c>
      <c r="S24" s="65" t="str">
        <f t="shared" si="1"/>
        <v>×</v>
      </c>
      <c r="T24" s="65" t="e">
        <f>VLOOKUP($D24&amp;T$5,'②-2勤務時間数入力'!$D$7:$Q$106,$M24,FALSE)</f>
        <v>#N/A</v>
      </c>
      <c r="U24" s="65" t="str">
        <f t="shared" si="2"/>
        <v>×</v>
      </c>
    </row>
    <row r="25" spans="1:21" ht="15" customHeight="1">
      <c r="A25" s="821"/>
      <c r="B25" s="825"/>
      <c r="C25" s="823"/>
      <c r="D25" s="145" t="str">
        <f t="shared" ref="D25:E26" si="52">IF(D23="","",D23)</f>
        <v/>
      </c>
      <c r="E25" s="145" t="str">
        <f t="shared" si="52"/>
        <v/>
      </c>
      <c r="F25" s="63" t="str">
        <f t="shared" si="5"/>
        <v/>
      </c>
      <c r="G25" s="62" t="str">
        <f t="shared" si="3"/>
        <v/>
      </c>
      <c r="H25" s="146" t="str">
        <f>IF($C24="","",IF(D25="","",IF($F25="正規職員","-",IF(AND(EXACT(C22,C24),EXACT(D23,D25),EXACT(F23,F25)),H23,"賃金単価を記載"))))</f>
        <v/>
      </c>
      <c r="I25" s="62" t="str">
        <f>IF($C24="","",IF(D25="","",IF($F25="正規職員","-",G25*H25)))</f>
        <v/>
      </c>
      <c r="J25" s="62">
        <f t="shared" si="6"/>
        <v>175250</v>
      </c>
      <c r="K25" s="62" t="str">
        <f t="shared" ref="K25" si="53">IFERROR(IF($C24="-","",IF(D25="","",IF(F25="正規職員",J25-K24,MIN(MIN(I25:J25),J24-K24)))),0)</f>
        <v/>
      </c>
      <c r="L25" s="287" t="str">
        <f t="shared" si="7"/>
        <v/>
      </c>
      <c r="M25" s="65">
        <f t="shared" ref="M25" si="54">M24</f>
        <v>12</v>
      </c>
      <c r="N25" s="65" t="e">
        <f>VLOOKUP($D25&amp;N$5,'②-2勤務時間数入力'!$D$7:$Q$106,$M25,FALSE)</f>
        <v>#N/A</v>
      </c>
      <c r="O25" s="65" t="str">
        <f t="shared" si="4"/>
        <v>×</v>
      </c>
      <c r="P25" s="65" t="e">
        <f>VLOOKUP($D25&amp;P$5,'②-2勤務時間数入力'!$D$7:$Q$106,$M25,FALSE)</f>
        <v>#N/A</v>
      </c>
      <c r="Q25" s="65" t="str">
        <f t="shared" si="0"/>
        <v>×</v>
      </c>
      <c r="R25" s="65" t="e">
        <f>VLOOKUP($D25&amp;R$5,'②-2勤務時間数入力'!$D$7:$Q$106,$M25,FALSE)</f>
        <v>#N/A</v>
      </c>
      <c r="S25" s="65" t="str">
        <f t="shared" si="1"/>
        <v>×</v>
      </c>
      <c r="T25" s="65" t="e">
        <f>VLOOKUP($D25&amp;T$5,'②-2勤務時間数入力'!$D$7:$Q$106,$M25,FALSE)</f>
        <v>#N/A</v>
      </c>
      <c r="U25" s="65" t="str">
        <f t="shared" si="2"/>
        <v>×</v>
      </c>
    </row>
    <row r="26" spans="1:21" ht="15" customHeight="1">
      <c r="A26" s="820">
        <v>2</v>
      </c>
      <c r="B26" s="824" t="e">
        <f>IF(判定!W19="OK",1,"")</f>
        <v>#N/A</v>
      </c>
      <c r="C26" s="822" t="str">
        <f>IFERROR(INDEX($I$44:$J$49,MATCH(判定!AX19,$I$44:$I$49,0),2),"-")</f>
        <v>-</v>
      </c>
      <c r="D26" s="145" t="str">
        <f t="shared" si="52"/>
        <v/>
      </c>
      <c r="E26" s="145" t="str">
        <f t="shared" ref="E26" si="55">IF(E24="","",E24)</f>
        <v/>
      </c>
      <c r="F26" s="63" t="str">
        <f t="shared" si="5"/>
        <v/>
      </c>
      <c r="G26" s="62" t="str">
        <f t="shared" si="3"/>
        <v/>
      </c>
      <c r="H26" s="146" t="str">
        <f>IF($C26="","",IF($F26="正規職員","-",IF(AND(EXACT(C24,C26),EXACT(D24,D26),EXACT(F24,F26)),H24,"賃金単価を記載")))</f>
        <v/>
      </c>
      <c r="I26" s="62" t="e">
        <f>IF($C26="","",IF($F26="正規職員","-",G26*H26))</f>
        <v>#VALUE!</v>
      </c>
      <c r="J26" s="62">
        <f t="shared" si="6"/>
        <v>175250</v>
      </c>
      <c r="K26" s="62" t="str">
        <f t="shared" ref="K26" si="56">IFERROR(IF($C26="-","",IF(D26="",0,IF(F26="正規職員",J26,MIN(I26:J26)))),0)</f>
        <v/>
      </c>
      <c r="L26" s="287" t="str">
        <f t="shared" si="7"/>
        <v/>
      </c>
      <c r="M26" s="65">
        <f t="shared" ref="M26" si="57">M24+1</f>
        <v>13</v>
      </c>
      <c r="N26" s="65" t="e">
        <f>VLOOKUP($D26&amp;N$5,'②-2勤務時間数入力'!$D$7:$Q$106,$M26,FALSE)</f>
        <v>#N/A</v>
      </c>
      <c r="O26" s="65" t="str">
        <f t="shared" si="4"/>
        <v>×</v>
      </c>
      <c r="P26" s="65" t="e">
        <f>VLOOKUP($D26&amp;P$5,'②-2勤務時間数入力'!$D$7:$Q$106,$M26,FALSE)</f>
        <v>#N/A</v>
      </c>
      <c r="Q26" s="65" t="str">
        <f t="shared" si="0"/>
        <v>×</v>
      </c>
      <c r="R26" s="65" t="e">
        <f>VLOOKUP($D26&amp;R$5,'②-2勤務時間数入力'!$D$7:$Q$106,$M26,FALSE)</f>
        <v>#N/A</v>
      </c>
      <c r="S26" s="65" t="str">
        <f t="shared" si="1"/>
        <v>×</v>
      </c>
      <c r="T26" s="65" t="e">
        <f>VLOOKUP($D26&amp;T$5,'②-2勤務時間数入力'!$D$7:$Q$106,$M26,FALSE)</f>
        <v>#N/A</v>
      </c>
      <c r="U26" s="65" t="str">
        <f t="shared" si="2"/>
        <v>×</v>
      </c>
    </row>
    <row r="27" spans="1:21" ht="15" customHeight="1">
      <c r="A27" s="821"/>
      <c r="B27" s="825"/>
      <c r="C27" s="823"/>
      <c r="D27" s="145" t="str">
        <f t="shared" ref="D27:E27" si="58">IF(D25="","",D25)</f>
        <v/>
      </c>
      <c r="E27" s="145" t="str">
        <f t="shared" si="58"/>
        <v/>
      </c>
      <c r="F27" s="63" t="str">
        <f t="shared" si="5"/>
        <v/>
      </c>
      <c r="G27" s="62" t="str">
        <f t="shared" si="3"/>
        <v/>
      </c>
      <c r="H27" s="146" t="str">
        <f>IF($C26="","",IF(D27="","",IF($F27="正規職員","-",IF(AND(EXACT(C24,C26),EXACT(D25,D27),EXACT(F25,F27)),H25,"賃金単価を記載"))))</f>
        <v/>
      </c>
      <c r="I27" s="62" t="str">
        <f>IF($C26="","",IF(D27="","",IF($F27="正規職員","-",G27*H27)))</f>
        <v/>
      </c>
      <c r="J27" s="62">
        <f t="shared" si="6"/>
        <v>175250</v>
      </c>
      <c r="K27" s="62" t="str">
        <f t="shared" ref="K27" si="59">IFERROR(IF($C26="-","",IF(D27="","",IF(F27="正規職員",J27-K26,MIN(MIN(I27:J27),J26-K26)))),0)</f>
        <v/>
      </c>
      <c r="L27" s="287" t="str">
        <f t="shared" si="7"/>
        <v/>
      </c>
      <c r="M27" s="65">
        <f t="shared" ref="M27" si="60">M26</f>
        <v>13</v>
      </c>
      <c r="N27" s="65" t="e">
        <f>VLOOKUP($D27&amp;N$5,'②-2勤務時間数入力'!$D$7:$Q$106,$M27,FALSE)</f>
        <v>#N/A</v>
      </c>
      <c r="O27" s="65" t="str">
        <f t="shared" si="4"/>
        <v>×</v>
      </c>
      <c r="P27" s="65" t="e">
        <f>VLOOKUP($D27&amp;P$5,'②-2勤務時間数入力'!$D$7:$Q$106,$M27,FALSE)</f>
        <v>#N/A</v>
      </c>
      <c r="Q27" s="65" t="str">
        <f t="shared" si="0"/>
        <v>×</v>
      </c>
      <c r="R27" s="65" t="e">
        <f>VLOOKUP($D27&amp;R$5,'②-2勤務時間数入力'!$D$7:$Q$106,$M27,FALSE)</f>
        <v>#N/A</v>
      </c>
      <c r="S27" s="65" t="str">
        <f t="shared" si="1"/>
        <v>×</v>
      </c>
      <c r="T27" s="65" t="e">
        <f>VLOOKUP($D27&amp;T$5,'②-2勤務時間数入力'!$D$7:$Q$106,$M27,FALSE)</f>
        <v>#N/A</v>
      </c>
      <c r="U27" s="65" t="str">
        <f t="shared" si="2"/>
        <v>×</v>
      </c>
    </row>
    <row r="28" spans="1:21" ht="15" customHeight="1">
      <c r="A28" s="820">
        <v>3</v>
      </c>
      <c r="B28" s="824" t="e">
        <f>IF(判定!W20="OK",1,"")</f>
        <v>#N/A</v>
      </c>
      <c r="C28" s="822" t="str">
        <f>IFERROR(INDEX($I$44:$J$49,MATCH(判定!AX20,$I$44:$I$49,0),2),"-")</f>
        <v>-</v>
      </c>
      <c r="D28" s="145" t="str">
        <f t="shared" ref="D28:E28" si="61">IF(D26="","",D26)</f>
        <v/>
      </c>
      <c r="E28" s="145" t="str">
        <f t="shared" si="61"/>
        <v/>
      </c>
      <c r="F28" s="63" t="str">
        <f t="shared" si="5"/>
        <v/>
      </c>
      <c r="G28" s="62" t="str">
        <f t="shared" si="3"/>
        <v/>
      </c>
      <c r="H28" s="146" t="str">
        <f>IF($C28="","",IF($F28="正規職員","-",IF(AND(EXACT(C26,C28),EXACT(D26,D28),EXACT(F26,F28)),H26,"賃金単価を記載")))</f>
        <v/>
      </c>
      <c r="I28" s="62" t="e">
        <f>IF($C28="","",IF($F28="正規職員","-",G28*H28))</f>
        <v>#VALUE!</v>
      </c>
      <c r="J28" s="62">
        <f t="shared" si="6"/>
        <v>175250</v>
      </c>
      <c r="K28" s="62" t="str">
        <f t="shared" ref="K28" si="62">IFERROR(IF($C28="-","",IF(D28="",0,IF(F28="正規職員",J28,MIN(I28:J28)))),0)</f>
        <v/>
      </c>
      <c r="L28" s="287" t="str">
        <f t="shared" si="7"/>
        <v/>
      </c>
      <c r="M28" s="65">
        <f t="shared" ref="M28" si="63">M26+1</f>
        <v>14</v>
      </c>
      <c r="N28" s="65" t="e">
        <f>VLOOKUP($D28&amp;N$5,'②-2勤務時間数入力'!$D$7:$Q$106,$M28,FALSE)</f>
        <v>#N/A</v>
      </c>
      <c r="O28" s="65" t="str">
        <f t="shared" si="4"/>
        <v>×</v>
      </c>
      <c r="P28" s="65" t="e">
        <f>VLOOKUP($D28&amp;P$5,'②-2勤務時間数入力'!$D$7:$Q$106,$M28,FALSE)</f>
        <v>#N/A</v>
      </c>
      <c r="Q28" s="65" t="str">
        <f t="shared" si="0"/>
        <v>×</v>
      </c>
      <c r="R28" s="65" t="e">
        <f>VLOOKUP($D28&amp;R$5,'②-2勤務時間数入力'!$D$7:$Q$106,$M28,FALSE)</f>
        <v>#N/A</v>
      </c>
      <c r="S28" s="65" t="str">
        <f t="shared" si="1"/>
        <v>×</v>
      </c>
      <c r="T28" s="65" t="e">
        <f>VLOOKUP($D28&amp;T$5,'②-2勤務時間数入力'!$D$7:$Q$106,$M28,FALSE)</f>
        <v>#N/A</v>
      </c>
      <c r="U28" s="65" t="str">
        <f t="shared" si="2"/>
        <v>×</v>
      </c>
    </row>
    <row r="29" spans="1:21" ht="15" customHeight="1">
      <c r="A29" s="821"/>
      <c r="B29" s="825"/>
      <c r="C29" s="823"/>
      <c r="D29" s="145" t="str">
        <f t="shared" ref="D29:E29" si="64">IF(D27="","",D27)</f>
        <v/>
      </c>
      <c r="E29" s="145" t="str">
        <f t="shared" si="64"/>
        <v/>
      </c>
      <c r="F29" s="63" t="str">
        <f t="shared" si="5"/>
        <v/>
      </c>
      <c r="G29" s="62" t="str">
        <f t="shared" si="3"/>
        <v/>
      </c>
      <c r="H29" s="146" t="str">
        <f>IF($C28="","",IF(D29="","",IF($F29="正規職員","-",IF(AND(EXACT(C26,C28),EXACT(D27,D29),EXACT(F27,F29)),H27,"賃金単価を記載"))))</f>
        <v/>
      </c>
      <c r="I29" s="62" t="str">
        <f>IF($C28="","",IF(D29="","",IF($F29="正規職員","-",G29*H29)))</f>
        <v/>
      </c>
      <c r="J29" s="62">
        <f t="shared" si="6"/>
        <v>175250</v>
      </c>
      <c r="K29" s="62" t="str">
        <f t="shared" ref="K29" si="65">IFERROR(IF($C28="-","",IF(D29="","",IF(F29="正規職員",J29-K28,MIN(MIN(I29:J29),J28-K28)))),0)</f>
        <v/>
      </c>
      <c r="L29" s="287" t="str">
        <f t="shared" si="7"/>
        <v/>
      </c>
      <c r="M29" s="65">
        <f t="shared" ref="M29" si="66">M28</f>
        <v>14</v>
      </c>
      <c r="N29" s="65" t="e">
        <f>VLOOKUP($D29&amp;N$5,'②-2勤務時間数入力'!$D$7:$Q$106,$M29,FALSE)</f>
        <v>#N/A</v>
      </c>
      <c r="O29" s="65" t="str">
        <f t="shared" si="4"/>
        <v>×</v>
      </c>
      <c r="P29" s="65" t="e">
        <f>VLOOKUP($D29&amp;P$5,'②-2勤務時間数入力'!$D$7:$Q$106,$M29,FALSE)</f>
        <v>#N/A</v>
      </c>
      <c r="Q29" s="65" t="str">
        <f t="shared" si="0"/>
        <v>×</v>
      </c>
      <c r="R29" s="65" t="e">
        <f>VLOOKUP($D29&amp;R$5,'②-2勤務時間数入力'!$D$7:$Q$106,$M29,FALSE)</f>
        <v>#N/A</v>
      </c>
      <c r="S29" s="65" t="str">
        <f t="shared" si="1"/>
        <v>×</v>
      </c>
      <c r="T29" s="65" t="e">
        <f>VLOOKUP($D29&amp;T$5,'②-2勤務時間数入力'!$D$7:$Q$106,$M29,FALSE)</f>
        <v>#N/A</v>
      </c>
      <c r="U29" s="65" t="str">
        <f t="shared" si="2"/>
        <v>×</v>
      </c>
    </row>
    <row r="30" spans="1:21" ht="15" customHeight="1">
      <c r="A30" s="61" t="s">
        <v>284</v>
      </c>
      <c r="B30" s="62"/>
      <c r="C30" s="62"/>
      <c r="D30" s="1"/>
      <c r="E30" s="1"/>
      <c r="F30" s="62"/>
      <c r="G30" s="62"/>
      <c r="H30" s="62"/>
      <c r="I30" s="62"/>
      <c r="J30" s="62"/>
      <c r="K30" s="66">
        <f>ROUNDDOWN(SUM(K6,K8,K10,K12,K14,K16,K18,K20,K22,K24,K26,K28),-3)+ROUNDDOWN(SUM(K7,K9,K11,K13,K15,K17,K19,K21,K23,K25,K27,K29),-3)</f>
        <v>0</v>
      </c>
    </row>
    <row r="31" spans="1:21" ht="15" customHeight="1">
      <c r="B31" s="64"/>
      <c r="C31" s="64"/>
      <c r="D31" s="64"/>
      <c r="E31" s="64"/>
      <c r="F31" s="64"/>
      <c r="G31" s="64"/>
      <c r="H31" s="64"/>
      <c r="I31" s="64"/>
      <c r="J31" s="64"/>
      <c r="K31" s="64"/>
    </row>
    <row r="33" spans="2:10">
      <c r="B33" s="85"/>
      <c r="D33" s="85"/>
      <c r="E33" s="85"/>
      <c r="F33" s="85"/>
      <c r="G33" s="85"/>
      <c r="H33" s="85"/>
    </row>
    <row r="34" spans="2:10" ht="37.5" customHeight="1">
      <c r="B34" s="256"/>
      <c r="C34" s="85" t="s">
        <v>371</v>
      </c>
      <c r="D34" s="257"/>
      <c r="E34" s="257"/>
      <c r="F34" s="257"/>
      <c r="G34" s="257"/>
      <c r="H34" s="85"/>
    </row>
    <row r="35" spans="2:10">
      <c r="B35" s="85"/>
      <c r="C35" s="85" t="s">
        <v>372</v>
      </c>
      <c r="D35" s="85"/>
      <c r="E35" s="85"/>
      <c r="F35" s="85"/>
      <c r="G35" s="85"/>
      <c r="H35" s="85"/>
    </row>
    <row r="36" spans="2:10">
      <c r="B36" s="85"/>
      <c r="C36" s="85" t="s">
        <v>405</v>
      </c>
      <c r="D36" s="85"/>
      <c r="E36" s="85"/>
      <c r="F36" s="85"/>
      <c r="G36" s="85"/>
      <c r="H36" s="85"/>
    </row>
    <row r="37" spans="2:10" ht="159" hidden="1" customHeight="1">
      <c r="C37" s="144" t="s">
        <v>1356</v>
      </c>
      <c r="D37" s="830" t="s">
        <v>1602</v>
      </c>
      <c r="E37" s="830"/>
      <c r="F37" s="830"/>
      <c r="G37" s="830"/>
      <c r="H37" s="830"/>
    </row>
    <row r="38" spans="2:10" ht="69.75" hidden="1" customHeight="1">
      <c r="C38" s="144" t="s">
        <v>1582</v>
      </c>
      <c r="D38" s="830" t="s">
        <v>1584</v>
      </c>
      <c r="E38" s="830"/>
      <c r="F38" s="830"/>
      <c r="G38" s="830"/>
      <c r="H38" s="830"/>
    </row>
    <row r="39" spans="2:10" ht="48" hidden="1" customHeight="1">
      <c r="C39" s="144" t="s">
        <v>1581</v>
      </c>
      <c r="D39" s="830" t="s">
        <v>373</v>
      </c>
      <c r="E39" s="830"/>
      <c r="F39" s="830"/>
      <c r="G39" s="830"/>
      <c r="H39" s="830"/>
    </row>
    <row r="40" spans="2:10" hidden="1"/>
    <row r="41" spans="2:10" hidden="1"/>
    <row r="42" spans="2:10" hidden="1"/>
    <row r="43" spans="2:10" hidden="1">
      <c r="J43" t="s">
        <v>1276</v>
      </c>
    </row>
    <row r="44" spans="2:10" hidden="1">
      <c r="I44" t="s">
        <v>1272</v>
      </c>
      <c r="J44" t="str">
        <f>'②-1職員名簿'!C144</f>
        <v>保育士</v>
      </c>
    </row>
    <row r="45" spans="2:10" hidden="1">
      <c r="I45" t="s">
        <v>1273</v>
      </c>
      <c r="J45" t="str">
        <f>'②-1職員名簿'!C145</f>
        <v>要件緩和</v>
      </c>
    </row>
    <row r="46" spans="2:10" hidden="1">
      <c r="I46" t="s">
        <v>1274</v>
      </c>
      <c r="J46" t="str">
        <f>'②-1職員名簿'!C146</f>
        <v>看護師等</v>
      </c>
    </row>
    <row r="47" spans="2:10" hidden="1">
      <c r="I47" t="s">
        <v>1275</v>
      </c>
      <c r="J47" t="str">
        <f>'②-1職員名簿'!C147</f>
        <v>栄養士</v>
      </c>
    </row>
    <row r="48" spans="2:10" hidden="1">
      <c r="I48" t="s">
        <v>1279</v>
      </c>
      <c r="J48" t="str">
        <f>'②-1職員名簿'!C148</f>
        <v>調理師等</v>
      </c>
    </row>
    <row r="49" spans="9:10" hidden="1">
      <c r="I49" t="s">
        <v>1280</v>
      </c>
      <c r="J49" t="str">
        <f>'②-1職員名簿'!C149</f>
        <v>保育支援者</v>
      </c>
    </row>
  </sheetData>
  <sheetProtection algorithmName="SHA-512" hashValue="c5tWfJUh6iBEbraPupfXF3RBhbHYZVTT6s4LVrtd7RxzhZk78dkxjzWN9svJCQdqNxV+2swEFgJLMc7Eh/GTmA==" saltValue="k3mAba4q9qn3t5ywfShZBw==" spinCount="100000" sheet="1" selectLockedCells="1"/>
  <mergeCells count="46">
    <mergeCell ref="A28:A29"/>
    <mergeCell ref="B24:B25"/>
    <mergeCell ref="B26:B27"/>
    <mergeCell ref="A18:A19"/>
    <mergeCell ref="C18:C19"/>
    <mergeCell ref="A20:A21"/>
    <mergeCell ref="C20:C21"/>
    <mergeCell ref="A22:A23"/>
    <mergeCell ref="C22:C23"/>
    <mergeCell ref="B18:B19"/>
    <mergeCell ref="B20:B21"/>
    <mergeCell ref="B22:B23"/>
    <mergeCell ref="A24:A25"/>
    <mergeCell ref="C24:C25"/>
    <mergeCell ref="A26:A27"/>
    <mergeCell ref="C26:C27"/>
    <mergeCell ref="D39:H39"/>
    <mergeCell ref="D37:H37"/>
    <mergeCell ref="D38:H38"/>
    <mergeCell ref="C28:C29"/>
    <mergeCell ref="B28:B29"/>
    <mergeCell ref="T5:U5"/>
    <mergeCell ref="A6:A7"/>
    <mergeCell ref="C6:C7"/>
    <mergeCell ref="A8:A9"/>
    <mergeCell ref="C8:C9"/>
    <mergeCell ref="N5:O5"/>
    <mergeCell ref="P5:Q5"/>
    <mergeCell ref="R5:S5"/>
    <mergeCell ref="B6:B7"/>
    <mergeCell ref="B8:B9"/>
    <mergeCell ref="A10:A11"/>
    <mergeCell ref="C10:C11"/>
    <mergeCell ref="A1:K1"/>
    <mergeCell ref="F2:G2"/>
    <mergeCell ref="H2:K2"/>
    <mergeCell ref="B10:B11"/>
    <mergeCell ref="A12:A13"/>
    <mergeCell ref="C12:C13"/>
    <mergeCell ref="A14:A15"/>
    <mergeCell ref="C14:C15"/>
    <mergeCell ref="A16:A17"/>
    <mergeCell ref="C16:C17"/>
    <mergeCell ref="B12:B13"/>
    <mergeCell ref="B14:B15"/>
    <mergeCell ref="B16:B17"/>
  </mergeCells>
  <phoneticPr fontId="1"/>
  <conditionalFormatting sqref="D6:E29">
    <cfRule type="containsBlanks" dxfId="66" priority="1">
      <formula>LEN(TRIM(D6))=0</formula>
    </cfRule>
  </conditionalFormatting>
  <conditionalFormatting sqref="H6:H29">
    <cfRule type="containsText" dxfId="65" priority="3" operator="containsText" text="賃金単価を記載">
      <formula>NOT(ISERROR(SEARCH("賃金単価を記載",H6)))</formula>
    </cfRule>
  </conditionalFormatting>
  <dataValidations count="1">
    <dataValidation type="list" allowBlank="1" showInputMessage="1" showErrorMessage="1" sqref="E6:E7" xr:uid="{033A03D8-3105-40EC-8246-CA0670E68751}">
      <formula1>"○"</formula1>
    </dataValidation>
  </dataValidations>
  <pageMargins left="0.70866141732283472" right="0.70866141732283472" top="0.74803149606299213" bottom="0.74803149606299213" header="0.31496062992125984" footer="0.31496062992125984"/>
  <pageSetup paperSize="9" scale="77"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29E7457E-9338-460A-88FA-863E56A8DA17}">
          <x14:formula1>
            <xm:f>'②-1職員名簿'!$Y$7:$Y$106</xm:f>
          </x14:formula1>
          <xm:sqref>E8:E29</xm:sqref>
        </x14:dataValidation>
        <x14:dataValidation type="list" allowBlank="1" showInputMessage="1" showErrorMessage="1" prompt="「補助対象職種」の欄に記載された職種の方を優先的に選択_x000a_→他職種の方を選択することもできますが、複数の職種の方の混在はできません。_x000a_　例えば　「補助対象職種」が「保育士」の時に「保育士」と「保育支援者」の方を「対象者名」に入力することはできません。_x000a_※用語の定義_x000a_　看護師等→看護師、准看護師、保健師_x000a_　保育支援者→事務、通訳、補助者、調理員" xr:uid="{D29316CF-4AA1-425A-BC78-5B386C57C1F0}">
          <x14:formula1>
            <xm:f>'②-1職員名簿'!$Y$7:$Y$106</xm:f>
          </x14:formula1>
          <xm:sqref>D6:D29</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8A585-BAE8-4414-A6C7-57D3A625958E}">
  <sheetPr>
    <tabColor rgb="FF00B050"/>
  </sheetPr>
  <dimension ref="A1:T48"/>
  <sheetViews>
    <sheetView view="pageBreakPreview" zoomScaleNormal="100" zoomScaleSheetLayoutView="100" workbookViewId="0">
      <selection activeCell="D6" sqref="D6"/>
    </sheetView>
  </sheetViews>
  <sheetFormatPr defaultRowHeight="18"/>
  <cols>
    <col min="2" max="2" width="4.75" customWidth="1"/>
    <col min="3" max="3" width="8.25" customWidth="1"/>
    <col min="4" max="4" width="28.33203125" customWidth="1"/>
    <col min="5" max="9" width="11.25" customWidth="1"/>
    <col min="10" max="10" width="15" customWidth="1"/>
    <col min="11" max="11" width="0" hidden="1" customWidth="1"/>
  </cols>
  <sheetData>
    <row r="1" spans="1:20" s="21" customFormat="1" ht="25" customHeight="1">
      <c r="A1" s="826" t="s">
        <v>286</v>
      </c>
      <c r="B1" s="826"/>
      <c r="C1" s="826"/>
      <c r="D1" s="826"/>
      <c r="E1" s="826"/>
      <c r="F1" s="826"/>
      <c r="G1" s="826"/>
      <c r="H1" s="826"/>
      <c r="I1" s="826"/>
      <c r="J1" s="826"/>
      <c r="K1" s="203"/>
      <c r="L1" s="203"/>
      <c r="M1" s="203"/>
      <c r="N1" s="203"/>
      <c r="O1" s="203"/>
    </row>
    <row r="2" spans="1:20" s="21" customFormat="1" ht="25" customHeight="1">
      <c r="E2" s="827" t="s">
        <v>114</v>
      </c>
      <c r="F2" s="827"/>
      <c r="G2" s="805">
        <f>①基本情報!D5</f>
        <v>0</v>
      </c>
      <c r="H2" s="805"/>
      <c r="I2" s="805"/>
      <c r="J2" s="805"/>
      <c r="L2" s="21" t="s">
        <v>148</v>
      </c>
    </row>
    <row r="4" spans="1:20" ht="15" customHeight="1">
      <c r="A4" s="59" t="s">
        <v>285</v>
      </c>
      <c r="B4" t="s">
        <v>1414</v>
      </c>
    </row>
    <row r="5" spans="1:20" ht="32.25" customHeight="1">
      <c r="B5" s="205" t="s">
        <v>1283</v>
      </c>
      <c r="C5" s="205" t="s">
        <v>1309</v>
      </c>
      <c r="D5" s="55" t="s">
        <v>274</v>
      </c>
      <c r="E5" s="55" t="s">
        <v>275</v>
      </c>
      <c r="F5" s="55" t="s">
        <v>276</v>
      </c>
      <c r="G5" s="55" t="s">
        <v>277</v>
      </c>
      <c r="H5" s="55" t="s">
        <v>278</v>
      </c>
      <c r="I5" s="55" t="s">
        <v>279</v>
      </c>
      <c r="J5" s="55" t="s">
        <v>280</v>
      </c>
      <c r="L5" s="60" t="s">
        <v>281</v>
      </c>
      <c r="M5" s="828" t="s">
        <v>224</v>
      </c>
      <c r="N5" s="829"/>
      <c r="O5" s="828" t="s">
        <v>225</v>
      </c>
      <c r="P5" s="829"/>
      <c r="Q5" s="828" t="s">
        <v>282</v>
      </c>
      <c r="R5" s="829"/>
      <c r="S5" s="828" t="s">
        <v>283</v>
      </c>
      <c r="T5" s="829"/>
    </row>
    <row r="6" spans="1:20" ht="15" customHeight="1">
      <c r="A6" s="820">
        <v>4</v>
      </c>
      <c r="B6" s="822" t="e">
        <f>IF(判定!X9="OK",1,"")</f>
        <v>#N/A</v>
      </c>
      <c r="C6" s="822" t="str">
        <f>IFERROR(INDEX($H$43:$I$48,MATCH(判定!AF9,$H$43:$H$48,0),2),"-")</f>
        <v>-</v>
      </c>
      <c r="D6" s="145"/>
      <c r="E6" s="63" t="str">
        <f>IF(D6="","",IF(N6="○",M$5,IF(P6="○",O$5,IF(R6="○",Q$5,IF(T6="○",S$5,"ERROR")))))</f>
        <v/>
      </c>
      <c r="F6" s="62" t="str">
        <f>IF(D6="","",IF(N6="○",M6,IF(P6="○",O6,IF(R6="○",Q6,IF(T6="○",S6,"ERROR")))))</f>
        <v/>
      </c>
      <c r="G6" s="146" t="str">
        <f>IF($C6="","",IF(D6="","",IF($E6="正規職員","-","賃金単価を記載")))</f>
        <v/>
      </c>
      <c r="H6" s="62" t="str">
        <f>IF($C6="","",IF(D6="","",IF($E6="正規職員","-",F6*G6)))</f>
        <v/>
      </c>
      <c r="I6" s="62">
        <v>302333.33333333401</v>
      </c>
      <c r="J6" s="62" t="str">
        <f>IFERROR(IF($C6="-","",IF(D6="",0,IF(E6="正規職員",I6,MIN(H6:I6)))),0)</f>
        <v/>
      </c>
      <c r="K6" s="64" t="str">
        <f>IF(D6="","",IF(COUNTIFS(D6,"*Ｃ6*")=1,"○","エラー"))</f>
        <v/>
      </c>
      <c r="L6" s="65">
        <v>3</v>
      </c>
      <c r="M6" s="65" t="e">
        <f>VLOOKUP($D6&amp;M$5,'②-2勤務時間数入力'!$D$7:$Q$106,$L6,FALSE)</f>
        <v>#N/A</v>
      </c>
      <c r="N6" s="65" t="str">
        <f>IF(ISERROR(M6),"×",IF(M6="-","×","○"))</f>
        <v>×</v>
      </c>
      <c r="O6" s="65" t="e">
        <f>VLOOKUP($D6&amp;O$5,'②-2勤務時間数入力'!$D$7:$Q$106,$L6,FALSE)</f>
        <v>#N/A</v>
      </c>
      <c r="P6" s="65" t="str">
        <f t="shared" ref="P6:P29" si="0">IF(ISERROR(O6),"×",IF(O6="-","×","○"))</f>
        <v>×</v>
      </c>
      <c r="Q6" s="65" t="e">
        <f>VLOOKUP($D6&amp;Q$5,'②-2勤務時間数入力'!$D$7:$Q$106,$L6,FALSE)</f>
        <v>#N/A</v>
      </c>
      <c r="R6" s="65" t="str">
        <f t="shared" ref="R6:R29" si="1">IF(ISERROR(Q6),"×",IF(Q6="-","×","○"))</f>
        <v>×</v>
      </c>
      <c r="S6" s="65" t="e">
        <f>VLOOKUP($D6&amp;S$5,'②-2勤務時間数入力'!$D$7:$Q$106,$L6,FALSE)</f>
        <v>#N/A</v>
      </c>
      <c r="T6" s="65" t="str">
        <f t="shared" ref="T6:T29" si="2">IF(ISERROR(S6),"×",IF(S6="-","×","○"))</f>
        <v>×</v>
      </c>
    </row>
    <row r="7" spans="1:20" ht="15" customHeight="1">
      <c r="A7" s="821"/>
      <c r="B7" s="823"/>
      <c r="C7" s="823"/>
      <c r="D7" s="145"/>
      <c r="E7" s="63" t="str">
        <f>IF(D7="","",IF(N7="○",M$5,IF(P7="○",O$5,IF(R7="○",Q$5,IF(T7="○",S$5,"ERROR")))))</f>
        <v/>
      </c>
      <c r="F7" s="62" t="str">
        <f t="shared" ref="F7:F29" si="3">IF(D7="","",IF(N7="○",M7,IF(P7="○",O7,IF(R7="○",Q7,IF(T7="○",S7,"ERROR")))))</f>
        <v/>
      </c>
      <c r="G7" s="146" t="str">
        <f>IF($C6="","",IF(D7="","",IF($E7="正規職員","-","賃金単価を記載")))</f>
        <v/>
      </c>
      <c r="H7" s="62" t="str">
        <f>IF($C6="","",IF(D7="","",IF($E7="正規職員","-",F7*G7)))</f>
        <v/>
      </c>
      <c r="I7" s="62">
        <f>$I$6</f>
        <v>302333.33333333401</v>
      </c>
      <c r="J7" s="62" t="str">
        <f>IFERROR(IF($C6="-","",IF(D7="","",IF(E7="正規職員",I7-J6,MIN(MIN(H7:I7),I6-J6)))),0)</f>
        <v/>
      </c>
      <c r="K7" s="64" t="str">
        <f>IF(D7="","",IF(COUNTIFS(D7,"*保育士*")=1,"○","エラー"))</f>
        <v/>
      </c>
      <c r="L7" s="65">
        <f>L6</f>
        <v>3</v>
      </c>
      <c r="M7" s="65" t="e">
        <f>VLOOKUP($D7&amp;M$5,'②-2勤務時間数入力'!$D$7:$Q$106,$L7,FALSE)</f>
        <v>#N/A</v>
      </c>
      <c r="N7" s="65" t="str">
        <f t="shared" ref="N7:N29" si="4">IF(ISERROR(M7),"×",IF(M7="-","×","○"))</f>
        <v>×</v>
      </c>
      <c r="O7" s="65" t="e">
        <f>VLOOKUP($D7&amp;O$5,'②-2勤務時間数入力'!$D$7:$Q$106,$L7,FALSE)</f>
        <v>#N/A</v>
      </c>
      <c r="P7" s="65" t="str">
        <f t="shared" si="0"/>
        <v>×</v>
      </c>
      <c r="Q7" s="65" t="e">
        <f>VLOOKUP($D7&amp;Q$5,'②-2勤務時間数入力'!$D$7:$Q$106,$L7,FALSE)</f>
        <v>#N/A</v>
      </c>
      <c r="R7" s="65" t="str">
        <f t="shared" si="1"/>
        <v>×</v>
      </c>
      <c r="S7" s="65" t="e">
        <f>VLOOKUP($D7&amp;S$5,'②-2勤務時間数入力'!$D$7:$Q$106,$L7,FALSE)</f>
        <v>#N/A</v>
      </c>
      <c r="T7" s="65" t="str">
        <f t="shared" si="2"/>
        <v>×</v>
      </c>
    </row>
    <row r="8" spans="1:20" ht="15" customHeight="1">
      <c r="A8" s="820">
        <v>5</v>
      </c>
      <c r="B8" s="824" t="e">
        <f>IF(判定!X10="OK",1,"")</f>
        <v>#N/A</v>
      </c>
      <c r="C8" s="822" t="str">
        <f>IFERROR(INDEX($H$43:$I$48,MATCH(判定!AF10,$H$43:$H$48,0),2),"-")</f>
        <v>-</v>
      </c>
      <c r="D8" s="145" t="str">
        <f>IF(D6="","",D6)</f>
        <v/>
      </c>
      <c r="E8" s="63" t="str">
        <f t="shared" ref="E8:E29" si="5">IF(D8="","",IF(N8="○",M$5,IF(P8="○",O$5,IF(R8="○",Q$5,IF(T8="○",S$5,"ERROR")))))</f>
        <v/>
      </c>
      <c r="F8" s="62" t="str">
        <f t="shared" si="3"/>
        <v/>
      </c>
      <c r="G8" s="146" t="str">
        <f>IF($C8="","",IF($E8="正規職員","-",IF(AND(EXACT(C6,C8),EXACT(D6,D8),EXACT(E6,E8)),G6,"賃金単価を記載")))</f>
        <v/>
      </c>
      <c r="H8" s="62" t="e">
        <f>IF($C8="","",IF($E8="正規職員","-",F8*G8))</f>
        <v>#VALUE!</v>
      </c>
      <c r="I8" s="62">
        <f t="shared" ref="I8:I29" si="6">$I$6</f>
        <v>302333.33333333401</v>
      </c>
      <c r="J8" s="62" t="str">
        <f>IFERROR(IF($C8="-","",IF(D8="",0,IF(E8="正規職員",I8,MIN(H8:I8)))),0)</f>
        <v/>
      </c>
      <c r="K8" s="64" t="str">
        <f t="shared" ref="K8:K29" si="7">IF(D8="","",IF(COUNTIFS(D8,"*Ｃ6*")=1,"○","エラー"))</f>
        <v/>
      </c>
      <c r="L8" s="65">
        <f>L6+1</f>
        <v>4</v>
      </c>
      <c r="M8" s="65" t="e">
        <f>VLOOKUP($D8&amp;M$5,'②-2勤務時間数入力'!$D$7:$Q$106,$L8,FALSE)</f>
        <v>#N/A</v>
      </c>
      <c r="N8" s="65" t="str">
        <f t="shared" si="4"/>
        <v>×</v>
      </c>
      <c r="O8" s="65" t="e">
        <f>VLOOKUP($D8&amp;O$5,'②-2勤務時間数入力'!$D$7:$Q$106,$L8,FALSE)</f>
        <v>#N/A</v>
      </c>
      <c r="P8" s="65" t="str">
        <f t="shared" si="0"/>
        <v>×</v>
      </c>
      <c r="Q8" s="65" t="e">
        <f>VLOOKUP($D8&amp;Q$5,'②-2勤務時間数入力'!$D$7:$Q$106,$L8,FALSE)</f>
        <v>#N/A</v>
      </c>
      <c r="R8" s="65" t="str">
        <f t="shared" si="1"/>
        <v>×</v>
      </c>
      <c r="S8" s="65" t="e">
        <f>VLOOKUP($D8&amp;S$5,'②-2勤務時間数入力'!$D$7:$Q$106,$L8,FALSE)</f>
        <v>#N/A</v>
      </c>
      <c r="T8" s="65" t="str">
        <f t="shared" si="2"/>
        <v>×</v>
      </c>
    </row>
    <row r="9" spans="1:20" ht="15" customHeight="1">
      <c r="A9" s="821"/>
      <c r="B9" s="825"/>
      <c r="C9" s="823"/>
      <c r="D9" s="145" t="str">
        <f t="shared" ref="D9:D29" si="8">IF(D7="","",D7)</f>
        <v/>
      </c>
      <c r="E9" s="63" t="str">
        <f t="shared" si="5"/>
        <v/>
      </c>
      <c r="F9" s="62" t="str">
        <f t="shared" si="3"/>
        <v/>
      </c>
      <c r="G9" s="146" t="str">
        <f>IF($C8="","",IF(D9="","",IF($E9="正規職員","-",IF(AND(EXACT(C6,C8),EXACT(D7,D9),EXACT(E7,E9)),G7,"賃金単価を記載"))))</f>
        <v/>
      </c>
      <c r="H9" s="62" t="str">
        <f>IF($C8="","",IF(D9="","",IF($E9="正規職員","-",F9*G9)))</f>
        <v/>
      </c>
      <c r="I9" s="62">
        <f t="shared" si="6"/>
        <v>302333.33333333401</v>
      </c>
      <c r="J9" s="62" t="str">
        <f t="shared" ref="J9" si="9">IFERROR(IF($C8="-","",IF(D9="","",IF(E9="正規職員",I9-J8,MIN(MIN(H9:I9),I8-J8)))),0)</f>
        <v/>
      </c>
      <c r="K9" s="64" t="str">
        <f t="shared" si="7"/>
        <v/>
      </c>
      <c r="L9" s="65">
        <f>L8</f>
        <v>4</v>
      </c>
      <c r="M9" s="65" t="e">
        <f>VLOOKUP($D9&amp;M$5,'②-2勤務時間数入力'!$D$7:$Q$106,$L9,FALSE)</f>
        <v>#N/A</v>
      </c>
      <c r="N9" s="65" t="str">
        <f t="shared" si="4"/>
        <v>×</v>
      </c>
      <c r="O9" s="65" t="e">
        <f>VLOOKUP($D9&amp;O$5,'②-2勤務時間数入力'!$D$7:$Q$106,$L9,FALSE)</f>
        <v>#N/A</v>
      </c>
      <c r="P9" s="65" t="str">
        <f t="shared" si="0"/>
        <v>×</v>
      </c>
      <c r="Q9" s="65" t="e">
        <f>VLOOKUP($D9&amp;Q$5,'②-2勤務時間数入力'!$D$7:$Q$106,$L9,FALSE)</f>
        <v>#N/A</v>
      </c>
      <c r="R9" s="65" t="str">
        <f t="shared" si="1"/>
        <v>×</v>
      </c>
      <c r="S9" s="65" t="e">
        <f>VLOOKUP($D9&amp;S$5,'②-2勤務時間数入力'!$D$7:$Q$106,$L9,FALSE)</f>
        <v>#N/A</v>
      </c>
      <c r="T9" s="65" t="str">
        <f t="shared" si="2"/>
        <v>×</v>
      </c>
    </row>
    <row r="10" spans="1:20" ht="15" customHeight="1">
      <c r="A10" s="820">
        <v>6</v>
      </c>
      <c r="B10" s="824" t="e">
        <f>IF(判定!X11="OK",1,"")</f>
        <v>#N/A</v>
      </c>
      <c r="C10" s="822" t="str">
        <f>IFERROR(INDEX($H$43:$I$48,MATCH(判定!AF11,$H$43:$H$48,0),2),"-")</f>
        <v>-</v>
      </c>
      <c r="D10" s="145" t="str">
        <f t="shared" si="8"/>
        <v/>
      </c>
      <c r="E10" s="63" t="str">
        <f t="shared" si="5"/>
        <v/>
      </c>
      <c r="F10" s="62" t="str">
        <f t="shared" si="3"/>
        <v/>
      </c>
      <c r="G10" s="146" t="str">
        <f>IF($C10="","",IF($E10="正規職員","-",IF(AND(EXACT(C8,C10),EXACT(D8,D10),EXACT(E8,E10)),G8,"賃金単価を記載")))</f>
        <v/>
      </c>
      <c r="H10" s="62" t="e">
        <f>IF($C10="","",IF($E10="正規職員","-",F10*G10))</f>
        <v>#VALUE!</v>
      </c>
      <c r="I10" s="62">
        <f t="shared" si="6"/>
        <v>302333.33333333401</v>
      </c>
      <c r="J10" s="62" t="str">
        <f t="shared" ref="J10" si="10">IFERROR(IF($C10="-","",IF(D10="",0,IF(E10="正規職員",I10,MIN(H10:I10)))),0)</f>
        <v/>
      </c>
      <c r="K10" s="64" t="str">
        <f t="shared" si="7"/>
        <v/>
      </c>
      <c r="L10" s="65">
        <f t="shared" ref="L10" si="11">L8+1</f>
        <v>5</v>
      </c>
      <c r="M10" s="65" t="e">
        <f>VLOOKUP($D10&amp;M$5,'②-2勤務時間数入力'!$D$7:$Q$106,$L10,FALSE)</f>
        <v>#N/A</v>
      </c>
      <c r="N10" s="65" t="str">
        <f t="shared" si="4"/>
        <v>×</v>
      </c>
      <c r="O10" s="65" t="e">
        <f>VLOOKUP($D10&amp;O$5,'②-2勤務時間数入力'!$D$7:$Q$106,$L10,FALSE)</f>
        <v>#N/A</v>
      </c>
      <c r="P10" s="65" t="str">
        <f t="shared" si="0"/>
        <v>×</v>
      </c>
      <c r="Q10" s="65" t="e">
        <f>VLOOKUP($D10&amp;Q$5,'②-2勤務時間数入力'!$D$7:$Q$106,$L10,FALSE)</f>
        <v>#N/A</v>
      </c>
      <c r="R10" s="65" t="str">
        <f t="shared" si="1"/>
        <v>×</v>
      </c>
      <c r="S10" s="65" t="e">
        <f>VLOOKUP($D10&amp;S$5,'②-2勤務時間数入力'!$D$7:$Q$106,$L10,FALSE)</f>
        <v>#N/A</v>
      </c>
      <c r="T10" s="65" t="str">
        <f t="shared" si="2"/>
        <v>×</v>
      </c>
    </row>
    <row r="11" spans="1:20" ht="15" customHeight="1">
      <c r="A11" s="821"/>
      <c r="B11" s="825"/>
      <c r="C11" s="823"/>
      <c r="D11" s="145" t="str">
        <f t="shared" si="8"/>
        <v/>
      </c>
      <c r="E11" s="63" t="str">
        <f t="shared" si="5"/>
        <v/>
      </c>
      <c r="F11" s="62" t="str">
        <f t="shared" si="3"/>
        <v/>
      </c>
      <c r="G11" s="146" t="str">
        <f>IF($C10="","",IF(D11="","",IF($E11="正規職員","-",IF(AND(EXACT(C8,C10),EXACT(D9,D11),EXACT(E9,E11)),G9,"賃金単価を記載"))))</f>
        <v/>
      </c>
      <c r="H11" s="62" t="str">
        <f>IF($C10="","",IF(D11="","",IF($E11="正規職員","-",F11*G11)))</f>
        <v/>
      </c>
      <c r="I11" s="62">
        <f t="shared" si="6"/>
        <v>302333.33333333401</v>
      </c>
      <c r="J11" s="62" t="str">
        <f t="shared" ref="J11" si="12">IFERROR(IF($C10="-","",IF(D11="","",IF(E11="正規職員",I11-J10,MIN(MIN(H11:I11),I10-J10)))),0)</f>
        <v/>
      </c>
      <c r="K11" s="64" t="str">
        <f t="shared" si="7"/>
        <v/>
      </c>
      <c r="L11" s="65">
        <f t="shared" ref="L11" si="13">L10</f>
        <v>5</v>
      </c>
      <c r="M11" s="65" t="e">
        <f>VLOOKUP($D11&amp;M$5,'②-2勤務時間数入力'!$D$7:$Q$106,$L11,FALSE)</f>
        <v>#N/A</v>
      </c>
      <c r="N11" s="65" t="str">
        <f t="shared" si="4"/>
        <v>×</v>
      </c>
      <c r="O11" s="65" t="e">
        <f>VLOOKUP($D11&amp;O$5,'②-2勤務時間数入力'!$D$7:$Q$106,$L11,FALSE)</f>
        <v>#N/A</v>
      </c>
      <c r="P11" s="65" t="str">
        <f t="shared" si="0"/>
        <v>×</v>
      </c>
      <c r="Q11" s="65" t="e">
        <f>VLOOKUP($D11&amp;Q$5,'②-2勤務時間数入力'!$D$7:$Q$106,$L11,FALSE)</f>
        <v>#N/A</v>
      </c>
      <c r="R11" s="65" t="str">
        <f t="shared" si="1"/>
        <v>×</v>
      </c>
      <c r="S11" s="65" t="e">
        <f>VLOOKUP($D11&amp;S$5,'②-2勤務時間数入力'!$D$7:$Q$106,$L11,FALSE)</f>
        <v>#N/A</v>
      </c>
      <c r="T11" s="65" t="str">
        <f t="shared" si="2"/>
        <v>×</v>
      </c>
    </row>
    <row r="12" spans="1:20" ht="15" customHeight="1">
      <c r="A12" s="820">
        <v>7</v>
      </c>
      <c r="B12" s="824" t="e">
        <f>IF(判定!X12="OK",1,"")</f>
        <v>#N/A</v>
      </c>
      <c r="C12" s="822" t="str">
        <f>IFERROR(INDEX($H$43:$I$48,MATCH(判定!AF12,$H$43:$H$48,0),2),"-")</f>
        <v>-</v>
      </c>
      <c r="D12" s="145" t="str">
        <f t="shared" si="8"/>
        <v/>
      </c>
      <c r="E12" s="63" t="str">
        <f t="shared" si="5"/>
        <v/>
      </c>
      <c r="F12" s="62" t="str">
        <f t="shared" si="3"/>
        <v/>
      </c>
      <c r="G12" s="146" t="str">
        <f>IF($C12="","",IF($E12="正規職員","-",IF(AND(EXACT(C10,C12),EXACT(D10,D12),EXACT(E10,E12)),G10,"賃金単価を記載")))</f>
        <v/>
      </c>
      <c r="H12" s="62" t="e">
        <f>IF($C12="","",IF($E12="正規職員","-",F12*G12))</f>
        <v>#VALUE!</v>
      </c>
      <c r="I12" s="62">
        <f t="shared" si="6"/>
        <v>302333.33333333401</v>
      </c>
      <c r="J12" s="62" t="str">
        <f t="shared" ref="J12" si="14">IFERROR(IF($C12="-","",IF(D12="",0,IF(E12="正規職員",I12,MIN(H12:I12)))),0)</f>
        <v/>
      </c>
      <c r="K12" s="64" t="str">
        <f t="shared" si="7"/>
        <v/>
      </c>
      <c r="L12" s="65">
        <f t="shared" ref="L12" si="15">L10+1</f>
        <v>6</v>
      </c>
      <c r="M12" s="65" t="e">
        <f>VLOOKUP($D12&amp;M$5,'②-2勤務時間数入力'!$D$7:$Q$106,$L12,FALSE)</f>
        <v>#N/A</v>
      </c>
      <c r="N12" s="65" t="str">
        <f t="shared" si="4"/>
        <v>×</v>
      </c>
      <c r="O12" s="65" t="e">
        <f>VLOOKUP($D12&amp;O$5,'②-2勤務時間数入力'!$D$7:$Q$106,$L12,FALSE)</f>
        <v>#N/A</v>
      </c>
      <c r="P12" s="65" t="str">
        <f t="shared" si="0"/>
        <v>×</v>
      </c>
      <c r="Q12" s="65" t="e">
        <f>VLOOKUP($D12&amp;Q$5,'②-2勤務時間数入力'!$D$7:$Q$106,$L12,FALSE)</f>
        <v>#N/A</v>
      </c>
      <c r="R12" s="65" t="str">
        <f t="shared" si="1"/>
        <v>×</v>
      </c>
      <c r="S12" s="65" t="e">
        <f>VLOOKUP($D12&amp;S$5,'②-2勤務時間数入力'!$D$7:$Q$106,$L12,FALSE)</f>
        <v>#N/A</v>
      </c>
      <c r="T12" s="65" t="str">
        <f t="shared" si="2"/>
        <v>×</v>
      </c>
    </row>
    <row r="13" spans="1:20" ht="15" customHeight="1">
      <c r="A13" s="821"/>
      <c r="B13" s="825"/>
      <c r="C13" s="823"/>
      <c r="D13" s="145" t="str">
        <f t="shared" si="8"/>
        <v/>
      </c>
      <c r="E13" s="63" t="str">
        <f t="shared" si="5"/>
        <v/>
      </c>
      <c r="F13" s="62" t="str">
        <f t="shared" si="3"/>
        <v/>
      </c>
      <c r="G13" s="146" t="str">
        <f>IF($C12="","",IF(D13="","",IF($E13="正規職員","-",IF(AND(EXACT(C10,C12),EXACT(D11,D13),EXACT(E11,E13)),G11,"賃金単価を記載"))))</f>
        <v/>
      </c>
      <c r="H13" s="62" t="str">
        <f>IF($C12="","",IF(D13="","",IF($E13="正規職員","-",F13*G13)))</f>
        <v/>
      </c>
      <c r="I13" s="62">
        <f t="shared" si="6"/>
        <v>302333.33333333401</v>
      </c>
      <c r="J13" s="62" t="str">
        <f t="shared" ref="J13" si="16">IFERROR(IF($C12="-","",IF(D13="","",IF(E13="正規職員",I13-J12,MIN(MIN(H13:I13),I12-J12)))),0)</f>
        <v/>
      </c>
      <c r="K13" s="64" t="str">
        <f t="shared" si="7"/>
        <v/>
      </c>
      <c r="L13" s="65">
        <f t="shared" ref="L13" si="17">L12</f>
        <v>6</v>
      </c>
      <c r="M13" s="65" t="e">
        <f>VLOOKUP($D13&amp;M$5,'②-2勤務時間数入力'!$D$7:$Q$106,$L13,FALSE)</f>
        <v>#N/A</v>
      </c>
      <c r="N13" s="65" t="str">
        <f t="shared" si="4"/>
        <v>×</v>
      </c>
      <c r="O13" s="65" t="e">
        <f>VLOOKUP($D13&amp;O$5,'②-2勤務時間数入力'!$D$7:$Q$106,$L13,FALSE)</f>
        <v>#N/A</v>
      </c>
      <c r="P13" s="65" t="str">
        <f t="shared" si="0"/>
        <v>×</v>
      </c>
      <c r="Q13" s="65" t="e">
        <f>VLOOKUP($D13&amp;Q$5,'②-2勤務時間数入力'!$D$7:$Q$106,$L13,FALSE)</f>
        <v>#N/A</v>
      </c>
      <c r="R13" s="65" t="str">
        <f t="shared" si="1"/>
        <v>×</v>
      </c>
      <c r="S13" s="65" t="e">
        <f>VLOOKUP($D13&amp;S$5,'②-2勤務時間数入力'!$D$7:$Q$106,$L13,FALSE)</f>
        <v>#N/A</v>
      </c>
      <c r="T13" s="65" t="str">
        <f t="shared" si="2"/>
        <v>×</v>
      </c>
    </row>
    <row r="14" spans="1:20" ht="15" customHeight="1">
      <c r="A14" s="820">
        <v>8</v>
      </c>
      <c r="B14" s="824" t="e">
        <f>IF(判定!X13="OK",1,"")</f>
        <v>#N/A</v>
      </c>
      <c r="C14" s="822" t="str">
        <f>IFERROR(INDEX($H$43:$I$48,MATCH(判定!AF13,$H$43:$H$48,0),2),"-")</f>
        <v>-</v>
      </c>
      <c r="D14" s="145" t="str">
        <f t="shared" si="8"/>
        <v/>
      </c>
      <c r="E14" s="63" t="str">
        <f t="shared" si="5"/>
        <v/>
      </c>
      <c r="F14" s="62" t="str">
        <f t="shared" si="3"/>
        <v/>
      </c>
      <c r="G14" s="146" t="str">
        <f>IF($C14="","",IF($E14="正規職員","-",IF(AND(EXACT(C12,C14),EXACT(D12,D14),EXACT(E12,E14)),G12,"賃金単価を記載")))</f>
        <v/>
      </c>
      <c r="H14" s="62" t="e">
        <f>IF($C14="","",IF($E14="正規職員","-",F14*G14))</f>
        <v>#VALUE!</v>
      </c>
      <c r="I14" s="62">
        <f t="shared" si="6"/>
        <v>302333.33333333401</v>
      </c>
      <c r="J14" s="62" t="str">
        <f t="shared" ref="J14" si="18">IFERROR(IF($C14="-","",IF(D14="",0,IF(E14="正規職員",I14,MIN(H14:I14)))),0)</f>
        <v/>
      </c>
      <c r="K14" s="64" t="str">
        <f t="shared" si="7"/>
        <v/>
      </c>
      <c r="L14" s="65">
        <f t="shared" ref="L14" si="19">L12+1</f>
        <v>7</v>
      </c>
      <c r="M14" s="65" t="e">
        <f>VLOOKUP($D14&amp;M$5,'②-2勤務時間数入力'!$D$7:$Q$106,$L14,FALSE)</f>
        <v>#N/A</v>
      </c>
      <c r="N14" s="65" t="str">
        <f t="shared" si="4"/>
        <v>×</v>
      </c>
      <c r="O14" s="65" t="e">
        <f>VLOOKUP($D14&amp;O$5,'②-2勤務時間数入力'!$D$7:$Q$106,$L14,FALSE)</f>
        <v>#N/A</v>
      </c>
      <c r="P14" s="65" t="str">
        <f t="shared" si="0"/>
        <v>×</v>
      </c>
      <c r="Q14" s="65" t="e">
        <f>VLOOKUP($D14&amp;Q$5,'②-2勤務時間数入力'!$D$7:$Q$106,$L14,FALSE)</f>
        <v>#N/A</v>
      </c>
      <c r="R14" s="65" t="str">
        <f t="shared" si="1"/>
        <v>×</v>
      </c>
      <c r="S14" s="65" t="e">
        <f>VLOOKUP($D14&amp;S$5,'②-2勤務時間数入力'!$D$7:$Q$106,$L14,FALSE)</f>
        <v>#N/A</v>
      </c>
      <c r="T14" s="65" t="str">
        <f t="shared" si="2"/>
        <v>×</v>
      </c>
    </row>
    <row r="15" spans="1:20" ht="15" customHeight="1">
      <c r="A15" s="821"/>
      <c r="B15" s="825"/>
      <c r="C15" s="823"/>
      <c r="D15" s="145" t="str">
        <f t="shared" si="8"/>
        <v/>
      </c>
      <c r="E15" s="63" t="str">
        <f t="shared" si="5"/>
        <v/>
      </c>
      <c r="F15" s="62" t="str">
        <f t="shared" si="3"/>
        <v/>
      </c>
      <c r="G15" s="146" t="str">
        <f>IF($C14="","",IF(D15="","",IF($E15="正規職員","-",IF(AND(EXACT(C12,C14),EXACT(D13,D15),EXACT(E13,E15)),G13,"賃金単価を記載"))))</f>
        <v/>
      </c>
      <c r="H15" s="62" t="str">
        <f>IF($C14="","",IF(D15="","",IF($E15="正規職員","-",F15*G15)))</f>
        <v/>
      </c>
      <c r="I15" s="62">
        <f t="shared" si="6"/>
        <v>302333.33333333401</v>
      </c>
      <c r="J15" s="62" t="str">
        <f t="shared" ref="J15" si="20">IFERROR(IF($C14="-","",IF(D15="","",IF(E15="正規職員",I15-J14,MIN(MIN(H15:I15),I14-J14)))),0)</f>
        <v/>
      </c>
      <c r="K15" s="64" t="str">
        <f t="shared" si="7"/>
        <v/>
      </c>
      <c r="L15" s="65">
        <f t="shared" ref="L15" si="21">L14</f>
        <v>7</v>
      </c>
      <c r="M15" s="65" t="e">
        <f>VLOOKUP($D15&amp;M$5,'②-2勤務時間数入力'!$D$7:$Q$106,$L15,FALSE)</f>
        <v>#N/A</v>
      </c>
      <c r="N15" s="65" t="str">
        <f t="shared" si="4"/>
        <v>×</v>
      </c>
      <c r="O15" s="65" t="e">
        <f>VLOOKUP($D15&amp;O$5,'②-2勤務時間数入力'!$D$7:$Q$106,$L15,FALSE)</f>
        <v>#N/A</v>
      </c>
      <c r="P15" s="65" t="str">
        <f t="shared" si="0"/>
        <v>×</v>
      </c>
      <c r="Q15" s="65" t="e">
        <f>VLOOKUP($D15&amp;Q$5,'②-2勤務時間数入力'!$D$7:$Q$106,$L15,FALSE)</f>
        <v>#N/A</v>
      </c>
      <c r="R15" s="65" t="str">
        <f t="shared" si="1"/>
        <v>×</v>
      </c>
      <c r="S15" s="65" t="e">
        <f>VLOOKUP($D15&amp;S$5,'②-2勤務時間数入力'!$D$7:$Q$106,$L15,FALSE)</f>
        <v>#N/A</v>
      </c>
      <c r="T15" s="65" t="str">
        <f t="shared" si="2"/>
        <v>×</v>
      </c>
    </row>
    <row r="16" spans="1:20" ht="15" customHeight="1">
      <c r="A16" s="820">
        <v>9</v>
      </c>
      <c r="B16" s="824" t="e">
        <f>IF(判定!X14="OK",1,"")</f>
        <v>#N/A</v>
      </c>
      <c r="C16" s="822" t="str">
        <f>IFERROR(INDEX($H$43:$I$48,MATCH(判定!AF14,$H$43:$H$48,0),2),"-")</f>
        <v>-</v>
      </c>
      <c r="D16" s="145" t="str">
        <f t="shared" si="8"/>
        <v/>
      </c>
      <c r="E16" s="63" t="str">
        <f t="shared" si="5"/>
        <v/>
      </c>
      <c r="F16" s="62" t="str">
        <f t="shared" si="3"/>
        <v/>
      </c>
      <c r="G16" s="146" t="str">
        <f>IF($C16="","",IF($E16="正規職員","-",IF(AND(EXACT(C14,C16),EXACT(D14,D16),EXACT(E14,E16)),G14,"賃金単価を記載")))</f>
        <v/>
      </c>
      <c r="H16" s="62" t="e">
        <f>IF($C16="","",IF($E16="正規職員","-",F16*G16))</f>
        <v>#VALUE!</v>
      </c>
      <c r="I16" s="62">
        <f t="shared" si="6"/>
        <v>302333.33333333401</v>
      </c>
      <c r="J16" s="62" t="str">
        <f t="shared" ref="J16" si="22">IFERROR(IF($C16="-","",IF(D16="",0,IF(E16="正規職員",I16,MIN(H16:I16)))),0)</f>
        <v/>
      </c>
      <c r="K16" s="64" t="str">
        <f t="shared" si="7"/>
        <v/>
      </c>
      <c r="L16" s="65">
        <f t="shared" ref="L16" si="23">L14+1</f>
        <v>8</v>
      </c>
      <c r="M16" s="65" t="e">
        <f>VLOOKUP($D16&amp;M$5,'②-2勤務時間数入力'!$D$7:$Q$106,$L16,FALSE)</f>
        <v>#N/A</v>
      </c>
      <c r="N16" s="65" t="str">
        <f t="shared" si="4"/>
        <v>×</v>
      </c>
      <c r="O16" s="65" t="e">
        <f>VLOOKUP($D16&amp;O$5,'②-2勤務時間数入力'!$D$7:$Q$106,$L16,FALSE)</f>
        <v>#N/A</v>
      </c>
      <c r="P16" s="65" t="str">
        <f t="shared" si="0"/>
        <v>×</v>
      </c>
      <c r="Q16" s="65" t="e">
        <f>VLOOKUP($D16&amp;Q$5,'②-2勤務時間数入力'!$D$7:$Q$106,$L16,FALSE)</f>
        <v>#N/A</v>
      </c>
      <c r="R16" s="65" t="str">
        <f t="shared" si="1"/>
        <v>×</v>
      </c>
      <c r="S16" s="65" t="e">
        <f>VLOOKUP($D16&amp;S$5,'②-2勤務時間数入力'!$D$7:$Q$106,$L16,FALSE)</f>
        <v>#N/A</v>
      </c>
      <c r="T16" s="65" t="str">
        <f t="shared" si="2"/>
        <v>×</v>
      </c>
    </row>
    <row r="17" spans="1:20" ht="15" customHeight="1">
      <c r="A17" s="821"/>
      <c r="B17" s="825"/>
      <c r="C17" s="823"/>
      <c r="D17" s="145" t="str">
        <f t="shared" si="8"/>
        <v/>
      </c>
      <c r="E17" s="63" t="str">
        <f t="shared" si="5"/>
        <v/>
      </c>
      <c r="F17" s="62" t="str">
        <f t="shared" si="3"/>
        <v/>
      </c>
      <c r="G17" s="146" t="str">
        <f>IF($C16="","",IF(D17="","",IF($E17="正規職員","-",IF(AND(EXACT(C14,C16),EXACT(D15,D17),EXACT(E15,E17)),G15,"賃金単価を記載"))))</f>
        <v/>
      </c>
      <c r="H17" s="62" t="str">
        <f>IF($C16="","",IF(D17="","",IF($E17="正規職員","-",F17*G17)))</f>
        <v/>
      </c>
      <c r="I17" s="62">
        <f t="shared" si="6"/>
        <v>302333.33333333401</v>
      </c>
      <c r="J17" s="62" t="str">
        <f t="shared" ref="J17" si="24">IFERROR(IF($C16="-","",IF(D17="","",IF(E17="正規職員",I17-J16,MIN(MIN(H17:I17),I16-J16)))),0)</f>
        <v/>
      </c>
      <c r="K17" s="64" t="str">
        <f t="shared" si="7"/>
        <v/>
      </c>
      <c r="L17" s="65">
        <f t="shared" ref="L17" si="25">L16</f>
        <v>8</v>
      </c>
      <c r="M17" s="65" t="e">
        <f>VLOOKUP($D17&amp;M$5,'②-2勤務時間数入力'!$D$7:$Q$106,$L17,FALSE)</f>
        <v>#N/A</v>
      </c>
      <c r="N17" s="65" t="str">
        <f t="shared" si="4"/>
        <v>×</v>
      </c>
      <c r="O17" s="65" t="e">
        <f>VLOOKUP($D17&amp;O$5,'②-2勤務時間数入力'!$D$7:$Q$106,$L17,FALSE)</f>
        <v>#N/A</v>
      </c>
      <c r="P17" s="65" t="str">
        <f t="shared" si="0"/>
        <v>×</v>
      </c>
      <c r="Q17" s="65" t="e">
        <f>VLOOKUP($D17&amp;Q$5,'②-2勤務時間数入力'!$D$7:$Q$106,$L17,FALSE)</f>
        <v>#N/A</v>
      </c>
      <c r="R17" s="65" t="str">
        <f t="shared" si="1"/>
        <v>×</v>
      </c>
      <c r="S17" s="65" t="e">
        <f>VLOOKUP($D17&amp;S$5,'②-2勤務時間数入力'!$D$7:$Q$106,$L17,FALSE)</f>
        <v>#N/A</v>
      </c>
      <c r="T17" s="65" t="str">
        <f t="shared" si="2"/>
        <v>×</v>
      </c>
    </row>
    <row r="18" spans="1:20" ht="15" customHeight="1">
      <c r="A18" s="820">
        <v>10</v>
      </c>
      <c r="B18" s="824" t="e">
        <f>IF(判定!X15="OK",1,"")</f>
        <v>#N/A</v>
      </c>
      <c r="C18" s="822" t="str">
        <f>IFERROR(INDEX($H$43:$I$48,MATCH(判定!AF15,$H$43:$H$48,0),2),"-")</f>
        <v>-</v>
      </c>
      <c r="D18" s="145" t="str">
        <f t="shared" si="8"/>
        <v/>
      </c>
      <c r="E18" s="63" t="str">
        <f t="shared" si="5"/>
        <v/>
      </c>
      <c r="F18" s="62" t="str">
        <f t="shared" si="3"/>
        <v/>
      </c>
      <c r="G18" s="146" t="str">
        <f>IF($C18="","",IF($E18="正規職員","-",IF(AND(EXACT(C16,C18),EXACT(D16,D18),EXACT(E16,E18)),G16,"賃金単価を記載")))</f>
        <v/>
      </c>
      <c r="H18" s="62" t="e">
        <f>IF($C18="","",IF($E18="正規職員","-",F18*G18))</f>
        <v>#VALUE!</v>
      </c>
      <c r="I18" s="62">
        <f t="shared" si="6"/>
        <v>302333.33333333401</v>
      </c>
      <c r="J18" s="62" t="str">
        <f t="shared" ref="J18" si="26">IFERROR(IF($C18="-","",IF(D18="",0,IF(E18="正規職員",I18,MIN(H18:I18)))),0)</f>
        <v/>
      </c>
      <c r="K18" s="64" t="str">
        <f t="shared" si="7"/>
        <v/>
      </c>
      <c r="L18" s="65">
        <f t="shared" ref="L18" si="27">L16+1</f>
        <v>9</v>
      </c>
      <c r="M18" s="65" t="e">
        <f>VLOOKUP($D18&amp;M$5,'②-2勤務時間数入力'!$D$7:$Q$106,$L18,FALSE)</f>
        <v>#N/A</v>
      </c>
      <c r="N18" s="65" t="str">
        <f t="shared" si="4"/>
        <v>×</v>
      </c>
      <c r="O18" s="65" t="e">
        <f>VLOOKUP($D18&amp;O$5,'②-2勤務時間数入力'!$D$7:$Q$106,$L18,FALSE)</f>
        <v>#N/A</v>
      </c>
      <c r="P18" s="65" t="str">
        <f t="shared" si="0"/>
        <v>×</v>
      </c>
      <c r="Q18" s="65" t="e">
        <f>VLOOKUP($D18&amp;Q$5,'②-2勤務時間数入力'!$D$7:$Q$106,$L18,FALSE)</f>
        <v>#N/A</v>
      </c>
      <c r="R18" s="65" t="str">
        <f t="shared" si="1"/>
        <v>×</v>
      </c>
      <c r="S18" s="65" t="e">
        <f>VLOOKUP($D18&amp;S$5,'②-2勤務時間数入力'!$D$7:$Q$106,$L18,FALSE)</f>
        <v>#N/A</v>
      </c>
      <c r="T18" s="65" t="str">
        <f t="shared" si="2"/>
        <v>×</v>
      </c>
    </row>
    <row r="19" spans="1:20" ht="15" customHeight="1">
      <c r="A19" s="821"/>
      <c r="B19" s="825"/>
      <c r="C19" s="823"/>
      <c r="D19" s="145" t="str">
        <f t="shared" si="8"/>
        <v/>
      </c>
      <c r="E19" s="63" t="str">
        <f t="shared" si="5"/>
        <v/>
      </c>
      <c r="F19" s="62" t="str">
        <f t="shared" si="3"/>
        <v/>
      </c>
      <c r="G19" s="146" t="str">
        <f>IF($C18="","",IF(D19="","",IF($E19="正規職員","-",IF(AND(EXACT(C16,C18),EXACT(D17,D19),EXACT(E17,E19)),G17,"賃金単価を記載"))))</f>
        <v/>
      </c>
      <c r="H19" s="62" t="str">
        <f>IF($C18="","",IF(D19="","",IF($E19="正規職員","-",F19*G19)))</f>
        <v/>
      </c>
      <c r="I19" s="62">
        <f t="shared" si="6"/>
        <v>302333.33333333401</v>
      </c>
      <c r="J19" s="62" t="str">
        <f t="shared" ref="J19" si="28">IFERROR(IF($C18="-","",IF(D19="","",IF(E19="正規職員",I19-J18,MIN(MIN(H19:I19),I18-J18)))),0)</f>
        <v/>
      </c>
      <c r="K19" s="64" t="str">
        <f t="shared" si="7"/>
        <v/>
      </c>
      <c r="L19" s="65">
        <f t="shared" ref="L19" si="29">L18</f>
        <v>9</v>
      </c>
      <c r="M19" s="65" t="e">
        <f>VLOOKUP($D19&amp;M$5,'②-2勤務時間数入力'!$D$7:$Q$106,$L19,FALSE)</f>
        <v>#N/A</v>
      </c>
      <c r="N19" s="65" t="str">
        <f t="shared" si="4"/>
        <v>×</v>
      </c>
      <c r="O19" s="65" t="e">
        <f>VLOOKUP($D19&amp;O$5,'②-2勤務時間数入力'!$D$7:$Q$106,$L19,FALSE)</f>
        <v>#N/A</v>
      </c>
      <c r="P19" s="65" t="str">
        <f t="shared" si="0"/>
        <v>×</v>
      </c>
      <c r="Q19" s="65" t="e">
        <f>VLOOKUP($D19&amp;Q$5,'②-2勤務時間数入力'!$D$7:$Q$106,$L19,FALSE)</f>
        <v>#N/A</v>
      </c>
      <c r="R19" s="65" t="str">
        <f t="shared" si="1"/>
        <v>×</v>
      </c>
      <c r="S19" s="65" t="e">
        <f>VLOOKUP($D19&amp;S$5,'②-2勤務時間数入力'!$D$7:$Q$106,$L19,FALSE)</f>
        <v>#N/A</v>
      </c>
      <c r="T19" s="65" t="str">
        <f t="shared" si="2"/>
        <v>×</v>
      </c>
    </row>
    <row r="20" spans="1:20" ht="15" customHeight="1">
      <c r="A20" s="820">
        <v>11</v>
      </c>
      <c r="B20" s="824" t="e">
        <f>IF(判定!X16="OK",1,"")</f>
        <v>#N/A</v>
      </c>
      <c r="C20" s="822" t="str">
        <f>IFERROR(INDEX($H$43:$I$48,MATCH(判定!AF16,$H$43:$H$48,0),2),"-")</f>
        <v>-</v>
      </c>
      <c r="D20" s="145" t="str">
        <f t="shared" si="8"/>
        <v/>
      </c>
      <c r="E20" s="63" t="str">
        <f t="shared" si="5"/>
        <v/>
      </c>
      <c r="F20" s="62" t="str">
        <f t="shared" si="3"/>
        <v/>
      </c>
      <c r="G20" s="146" t="str">
        <f>IF($C20="","",IF($E20="正規職員","-",IF(AND(EXACT(C18,C20),EXACT(D18,D20),EXACT(E18,E20)),G18,"賃金単価を記載")))</f>
        <v/>
      </c>
      <c r="H20" s="62" t="e">
        <f>IF($C20="","",IF($E20="正規職員","-",F20*G20))</f>
        <v>#VALUE!</v>
      </c>
      <c r="I20" s="62">
        <f t="shared" si="6"/>
        <v>302333.33333333401</v>
      </c>
      <c r="J20" s="62" t="str">
        <f t="shared" ref="J20" si="30">IFERROR(IF($C20="-","",IF(D20="",0,IF(E20="正規職員",I20,MIN(H20:I20)))),0)</f>
        <v/>
      </c>
      <c r="K20" s="64" t="str">
        <f t="shared" si="7"/>
        <v/>
      </c>
      <c r="L20" s="65">
        <f t="shared" ref="L20" si="31">L18+1</f>
        <v>10</v>
      </c>
      <c r="M20" s="65" t="e">
        <f>VLOOKUP($D20&amp;M$5,'②-2勤務時間数入力'!$D$7:$Q$106,$L20,FALSE)</f>
        <v>#N/A</v>
      </c>
      <c r="N20" s="65" t="str">
        <f t="shared" si="4"/>
        <v>×</v>
      </c>
      <c r="O20" s="65" t="e">
        <f>VLOOKUP($D20&amp;O$5,'②-2勤務時間数入力'!$D$7:$Q$106,$L20,FALSE)</f>
        <v>#N/A</v>
      </c>
      <c r="P20" s="65" t="str">
        <f t="shared" si="0"/>
        <v>×</v>
      </c>
      <c r="Q20" s="65" t="e">
        <f>VLOOKUP($D20&amp;Q$5,'②-2勤務時間数入力'!$D$7:$Q$106,$L20,FALSE)</f>
        <v>#N/A</v>
      </c>
      <c r="R20" s="65" t="str">
        <f t="shared" si="1"/>
        <v>×</v>
      </c>
      <c r="S20" s="65" t="e">
        <f>VLOOKUP($D20&amp;S$5,'②-2勤務時間数入力'!$D$7:$Q$106,$L20,FALSE)</f>
        <v>#N/A</v>
      </c>
      <c r="T20" s="65" t="str">
        <f t="shared" si="2"/>
        <v>×</v>
      </c>
    </row>
    <row r="21" spans="1:20" ht="15" customHeight="1">
      <c r="A21" s="821"/>
      <c r="B21" s="825"/>
      <c r="C21" s="823"/>
      <c r="D21" s="145" t="str">
        <f t="shared" si="8"/>
        <v/>
      </c>
      <c r="E21" s="63" t="str">
        <f t="shared" si="5"/>
        <v/>
      </c>
      <c r="F21" s="62" t="str">
        <f t="shared" si="3"/>
        <v/>
      </c>
      <c r="G21" s="146" t="str">
        <f>IF($C20="","",IF(D21="","",IF($E21="正規職員","-",IF(AND(EXACT(C18,C20),EXACT(D19,D21),EXACT(E19,E21)),G19,"賃金単価を記載"))))</f>
        <v/>
      </c>
      <c r="H21" s="62" t="str">
        <f>IF($C20="","",IF(D21="","",IF($E21="正規職員","-",F21*G21)))</f>
        <v/>
      </c>
      <c r="I21" s="62">
        <f t="shared" si="6"/>
        <v>302333.33333333401</v>
      </c>
      <c r="J21" s="62" t="str">
        <f t="shared" ref="J21" si="32">IFERROR(IF($C20="-","",IF(D21="","",IF(E21="正規職員",I21-J20,MIN(MIN(H21:I21),I20-J20)))),0)</f>
        <v/>
      </c>
      <c r="K21" s="64" t="str">
        <f t="shared" si="7"/>
        <v/>
      </c>
      <c r="L21" s="65">
        <f t="shared" ref="L21" si="33">L20</f>
        <v>10</v>
      </c>
      <c r="M21" s="65" t="e">
        <f>VLOOKUP($D21&amp;M$5,'②-2勤務時間数入力'!$D$7:$Q$106,$L21,FALSE)</f>
        <v>#N/A</v>
      </c>
      <c r="N21" s="65" t="str">
        <f t="shared" si="4"/>
        <v>×</v>
      </c>
      <c r="O21" s="65" t="e">
        <f>VLOOKUP($D21&amp;O$5,'②-2勤務時間数入力'!$D$7:$Q$106,$L21,FALSE)</f>
        <v>#N/A</v>
      </c>
      <c r="P21" s="65" t="str">
        <f t="shared" si="0"/>
        <v>×</v>
      </c>
      <c r="Q21" s="65" t="e">
        <f>VLOOKUP($D21&amp;Q$5,'②-2勤務時間数入力'!$D$7:$Q$106,$L21,FALSE)</f>
        <v>#N/A</v>
      </c>
      <c r="R21" s="65" t="str">
        <f t="shared" si="1"/>
        <v>×</v>
      </c>
      <c r="S21" s="65" t="e">
        <f>VLOOKUP($D21&amp;S$5,'②-2勤務時間数入力'!$D$7:$Q$106,$L21,FALSE)</f>
        <v>#N/A</v>
      </c>
      <c r="T21" s="65" t="str">
        <f t="shared" si="2"/>
        <v>×</v>
      </c>
    </row>
    <row r="22" spans="1:20" ht="15" customHeight="1">
      <c r="A22" s="820">
        <v>12</v>
      </c>
      <c r="B22" s="824" t="e">
        <f>IF(判定!X17="OK",1,"")</f>
        <v>#N/A</v>
      </c>
      <c r="C22" s="822" t="str">
        <f>IFERROR(INDEX($H$43:$I$48,MATCH(判定!AF17,$H$43:$H$48,0),2),"-")</f>
        <v>-</v>
      </c>
      <c r="D22" s="145" t="str">
        <f t="shared" si="8"/>
        <v/>
      </c>
      <c r="E22" s="63" t="str">
        <f t="shared" si="5"/>
        <v/>
      </c>
      <c r="F22" s="62" t="str">
        <f t="shared" si="3"/>
        <v/>
      </c>
      <c r="G22" s="146" t="str">
        <f>IF($C22="","",IF($E22="正規職員","-",IF(AND(EXACT(C20,C22),EXACT(D20,D22),EXACT(E20,E22)),G20,"賃金単価を記載")))</f>
        <v/>
      </c>
      <c r="H22" s="62" t="e">
        <f>IF($C22="","",IF($E22="正規職員","-",F22*G22))</f>
        <v>#VALUE!</v>
      </c>
      <c r="I22" s="62">
        <f t="shared" si="6"/>
        <v>302333.33333333401</v>
      </c>
      <c r="J22" s="62" t="str">
        <f t="shared" ref="J22" si="34">IFERROR(IF($C22="-","",IF(D22="",0,IF(E22="正規職員",I22,MIN(H22:I22)))),0)</f>
        <v/>
      </c>
      <c r="K22" s="64" t="str">
        <f t="shared" si="7"/>
        <v/>
      </c>
      <c r="L22" s="65">
        <f t="shared" ref="L22" si="35">L20+1</f>
        <v>11</v>
      </c>
      <c r="M22" s="65" t="e">
        <f>VLOOKUP($D22&amp;M$5,'②-2勤務時間数入力'!$D$7:$Q$106,$L22,FALSE)</f>
        <v>#N/A</v>
      </c>
      <c r="N22" s="65" t="str">
        <f t="shared" si="4"/>
        <v>×</v>
      </c>
      <c r="O22" s="65" t="e">
        <f>VLOOKUP($D22&amp;O$5,'②-2勤務時間数入力'!$D$7:$Q$106,$L22,FALSE)</f>
        <v>#N/A</v>
      </c>
      <c r="P22" s="65" t="str">
        <f t="shared" si="0"/>
        <v>×</v>
      </c>
      <c r="Q22" s="65" t="e">
        <f>VLOOKUP($D22&amp;Q$5,'②-2勤務時間数入力'!$D$7:$Q$106,$L22,FALSE)</f>
        <v>#N/A</v>
      </c>
      <c r="R22" s="65" t="str">
        <f t="shared" si="1"/>
        <v>×</v>
      </c>
      <c r="S22" s="65" t="e">
        <f>VLOOKUP($D22&amp;S$5,'②-2勤務時間数入力'!$D$7:$Q$106,$L22,FALSE)</f>
        <v>#N/A</v>
      </c>
      <c r="T22" s="65" t="str">
        <f t="shared" si="2"/>
        <v>×</v>
      </c>
    </row>
    <row r="23" spans="1:20" ht="15" customHeight="1">
      <c r="A23" s="821"/>
      <c r="B23" s="825"/>
      <c r="C23" s="823"/>
      <c r="D23" s="145" t="str">
        <f t="shared" si="8"/>
        <v/>
      </c>
      <c r="E23" s="63" t="str">
        <f t="shared" si="5"/>
        <v/>
      </c>
      <c r="F23" s="62" t="str">
        <f t="shared" si="3"/>
        <v/>
      </c>
      <c r="G23" s="146" t="str">
        <f>IF($C22="","",IF(D23="","",IF($E23="正規職員","-",IF(AND(EXACT(C20,C22),EXACT(D21,D23),EXACT(E21,E23)),G21,"賃金単価を記載"))))</f>
        <v/>
      </c>
      <c r="H23" s="62" t="str">
        <f>IF($C22="","",IF(D23="","",IF($E23="正規職員","-",F23*G23)))</f>
        <v/>
      </c>
      <c r="I23" s="62">
        <f t="shared" si="6"/>
        <v>302333.33333333401</v>
      </c>
      <c r="J23" s="62" t="str">
        <f t="shared" ref="J23" si="36">IFERROR(IF($C22="-","",IF(D23="","",IF(E23="正規職員",I23-J22,MIN(MIN(H23:I23),I22-J22)))),0)</f>
        <v/>
      </c>
      <c r="K23" s="64" t="str">
        <f t="shared" si="7"/>
        <v/>
      </c>
      <c r="L23" s="65">
        <f t="shared" ref="L23" si="37">L22</f>
        <v>11</v>
      </c>
      <c r="M23" s="65" t="e">
        <f>VLOOKUP($D23&amp;M$5,'②-2勤務時間数入力'!$D$7:$Q$106,$L23,FALSE)</f>
        <v>#N/A</v>
      </c>
      <c r="N23" s="65" t="str">
        <f t="shared" si="4"/>
        <v>×</v>
      </c>
      <c r="O23" s="65" t="e">
        <f>VLOOKUP($D23&amp;O$5,'②-2勤務時間数入力'!$D$7:$Q$106,$L23,FALSE)</f>
        <v>#N/A</v>
      </c>
      <c r="P23" s="65" t="str">
        <f t="shared" si="0"/>
        <v>×</v>
      </c>
      <c r="Q23" s="65" t="e">
        <f>VLOOKUP($D23&amp;Q$5,'②-2勤務時間数入力'!$D$7:$Q$106,$L23,FALSE)</f>
        <v>#N/A</v>
      </c>
      <c r="R23" s="65" t="str">
        <f t="shared" si="1"/>
        <v>×</v>
      </c>
      <c r="S23" s="65" t="e">
        <f>VLOOKUP($D23&amp;S$5,'②-2勤務時間数入力'!$D$7:$Q$106,$L23,FALSE)</f>
        <v>#N/A</v>
      </c>
      <c r="T23" s="65" t="str">
        <f t="shared" si="2"/>
        <v>×</v>
      </c>
    </row>
    <row r="24" spans="1:20" ht="15" customHeight="1">
      <c r="A24" s="820">
        <v>1</v>
      </c>
      <c r="B24" s="824" t="e">
        <f>IF(判定!X18="OK",1,"")</f>
        <v>#N/A</v>
      </c>
      <c r="C24" s="822" t="str">
        <f>IFERROR(INDEX($H$43:$I$48,MATCH(判定!AF18,$H$43:$H$48,0),2),"-")</f>
        <v>-</v>
      </c>
      <c r="D24" s="145" t="str">
        <f t="shared" si="8"/>
        <v/>
      </c>
      <c r="E24" s="63" t="str">
        <f t="shared" si="5"/>
        <v/>
      </c>
      <c r="F24" s="62" t="str">
        <f t="shared" si="3"/>
        <v/>
      </c>
      <c r="G24" s="146" t="str">
        <f>IF($C24="","",IF($E24="正規職員","-",IF(AND(EXACT(C22,C24),EXACT(D22,D24),EXACT(E22,E24)),G22,"賃金単価を記載")))</f>
        <v/>
      </c>
      <c r="H24" s="62" t="e">
        <f>IF($C24="","",IF($E24="正規職員","-",F24*G24))</f>
        <v>#VALUE!</v>
      </c>
      <c r="I24" s="62">
        <f t="shared" si="6"/>
        <v>302333.33333333401</v>
      </c>
      <c r="J24" s="62" t="str">
        <f t="shared" ref="J24" si="38">IFERROR(IF($C24="-","",IF(D24="",0,IF(E24="正規職員",I24,MIN(H24:I24)))),0)</f>
        <v/>
      </c>
      <c r="K24" s="64" t="str">
        <f t="shared" si="7"/>
        <v/>
      </c>
      <c r="L24" s="65">
        <f t="shared" ref="L24" si="39">L22+1</f>
        <v>12</v>
      </c>
      <c r="M24" s="65" t="e">
        <f>VLOOKUP($D24&amp;M$5,'②-2勤務時間数入力'!$D$7:$Q$106,$L24,FALSE)</f>
        <v>#N/A</v>
      </c>
      <c r="N24" s="65" t="str">
        <f t="shared" si="4"/>
        <v>×</v>
      </c>
      <c r="O24" s="65" t="e">
        <f>VLOOKUP($D24&amp;O$5,'②-2勤務時間数入力'!$D$7:$Q$106,$L24,FALSE)</f>
        <v>#N/A</v>
      </c>
      <c r="P24" s="65" t="str">
        <f t="shared" si="0"/>
        <v>×</v>
      </c>
      <c r="Q24" s="65" t="e">
        <f>VLOOKUP($D24&amp;Q$5,'②-2勤務時間数入力'!$D$7:$Q$106,$L24,FALSE)</f>
        <v>#N/A</v>
      </c>
      <c r="R24" s="65" t="str">
        <f t="shared" si="1"/>
        <v>×</v>
      </c>
      <c r="S24" s="65" t="e">
        <f>VLOOKUP($D24&amp;S$5,'②-2勤務時間数入力'!$D$7:$Q$106,$L24,FALSE)</f>
        <v>#N/A</v>
      </c>
      <c r="T24" s="65" t="str">
        <f t="shared" si="2"/>
        <v>×</v>
      </c>
    </row>
    <row r="25" spans="1:20" ht="15" customHeight="1">
      <c r="A25" s="821"/>
      <c r="B25" s="825"/>
      <c r="C25" s="823"/>
      <c r="D25" s="145" t="str">
        <f t="shared" si="8"/>
        <v/>
      </c>
      <c r="E25" s="63" t="str">
        <f t="shared" si="5"/>
        <v/>
      </c>
      <c r="F25" s="62" t="str">
        <f t="shared" si="3"/>
        <v/>
      </c>
      <c r="G25" s="146" t="str">
        <f>IF($C24="","",IF(D25="","",IF($E25="正規職員","-",IF(AND(EXACT(C22,C24),EXACT(D23,D25),EXACT(E23,E25)),G23,"賃金単価を記載"))))</f>
        <v/>
      </c>
      <c r="H25" s="62" t="str">
        <f>IF($C24="","",IF(D25="","",IF($E25="正規職員","-",F25*G25)))</f>
        <v/>
      </c>
      <c r="I25" s="62">
        <f t="shared" si="6"/>
        <v>302333.33333333401</v>
      </c>
      <c r="J25" s="62" t="str">
        <f t="shared" ref="J25" si="40">IFERROR(IF($C24="-","",IF(D25="","",IF(E25="正規職員",I25-J24,MIN(MIN(H25:I25),I24-J24)))),0)</f>
        <v/>
      </c>
      <c r="K25" s="64" t="str">
        <f t="shared" si="7"/>
        <v/>
      </c>
      <c r="L25" s="65">
        <f t="shared" ref="L25" si="41">L24</f>
        <v>12</v>
      </c>
      <c r="M25" s="65" t="e">
        <f>VLOOKUP($D25&amp;M$5,'②-2勤務時間数入力'!$D$7:$Q$106,$L25,FALSE)</f>
        <v>#N/A</v>
      </c>
      <c r="N25" s="65" t="str">
        <f t="shared" si="4"/>
        <v>×</v>
      </c>
      <c r="O25" s="65" t="e">
        <f>VLOOKUP($D25&amp;O$5,'②-2勤務時間数入力'!$D$7:$Q$106,$L25,FALSE)</f>
        <v>#N/A</v>
      </c>
      <c r="P25" s="65" t="str">
        <f t="shared" si="0"/>
        <v>×</v>
      </c>
      <c r="Q25" s="65" t="e">
        <f>VLOOKUP($D25&amp;Q$5,'②-2勤務時間数入力'!$D$7:$Q$106,$L25,FALSE)</f>
        <v>#N/A</v>
      </c>
      <c r="R25" s="65" t="str">
        <f t="shared" si="1"/>
        <v>×</v>
      </c>
      <c r="S25" s="65" t="e">
        <f>VLOOKUP($D25&amp;S$5,'②-2勤務時間数入力'!$D$7:$Q$106,$L25,FALSE)</f>
        <v>#N/A</v>
      </c>
      <c r="T25" s="65" t="str">
        <f t="shared" si="2"/>
        <v>×</v>
      </c>
    </row>
    <row r="26" spans="1:20" ht="15" customHeight="1">
      <c r="A26" s="820">
        <v>2</v>
      </c>
      <c r="B26" s="824" t="e">
        <f>IF(判定!X19="OK",1,"")</f>
        <v>#N/A</v>
      </c>
      <c r="C26" s="822" t="str">
        <f>IFERROR(INDEX($H$43:$I$48,MATCH(判定!AF19,$H$43:$H$48,0),2),"-")</f>
        <v>-</v>
      </c>
      <c r="D26" s="145" t="str">
        <f t="shared" si="8"/>
        <v/>
      </c>
      <c r="E26" s="63" t="str">
        <f t="shared" si="5"/>
        <v/>
      </c>
      <c r="F26" s="62" t="str">
        <f t="shared" si="3"/>
        <v/>
      </c>
      <c r="G26" s="146" t="str">
        <f>IF($C26="","",IF($E26="正規職員","-",IF(AND(EXACT(C24,C26),EXACT(D24,D26),EXACT(E24,E26)),G24,"賃金単価を記載")))</f>
        <v/>
      </c>
      <c r="H26" s="62" t="e">
        <f>IF($C26="","",IF($E26="正規職員","-",F26*G26))</f>
        <v>#VALUE!</v>
      </c>
      <c r="I26" s="62">
        <f t="shared" si="6"/>
        <v>302333.33333333401</v>
      </c>
      <c r="J26" s="62" t="str">
        <f t="shared" ref="J26" si="42">IFERROR(IF($C26="-","",IF(D26="",0,IF(E26="正規職員",I26,MIN(H26:I26)))),0)</f>
        <v/>
      </c>
      <c r="K26" s="64" t="str">
        <f t="shared" si="7"/>
        <v/>
      </c>
      <c r="L26" s="65">
        <f t="shared" ref="L26" si="43">L24+1</f>
        <v>13</v>
      </c>
      <c r="M26" s="65" t="e">
        <f>VLOOKUP($D26&amp;M$5,'②-2勤務時間数入力'!$D$7:$Q$106,$L26,FALSE)</f>
        <v>#N/A</v>
      </c>
      <c r="N26" s="65" t="str">
        <f t="shared" si="4"/>
        <v>×</v>
      </c>
      <c r="O26" s="65" t="e">
        <f>VLOOKUP($D26&amp;O$5,'②-2勤務時間数入力'!$D$7:$Q$106,$L26,FALSE)</f>
        <v>#N/A</v>
      </c>
      <c r="P26" s="65" t="str">
        <f t="shared" si="0"/>
        <v>×</v>
      </c>
      <c r="Q26" s="65" t="e">
        <f>VLOOKUP($D26&amp;Q$5,'②-2勤務時間数入力'!$D$7:$Q$106,$L26,FALSE)</f>
        <v>#N/A</v>
      </c>
      <c r="R26" s="65" t="str">
        <f t="shared" si="1"/>
        <v>×</v>
      </c>
      <c r="S26" s="65" t="e">
        <f>VLOOKUP($D26&amp;S$5,'②-2勤務時間数入力'!$D$7:$Q$106,$L26,FALSE)</f>
        <v>#N/A</v>
      </c>
      <c r="T26" s="65" t="str">
        <f t="shared" si="2"/>
        <v>×</v>
      </c>
    </row>
    <row r="27" spans="1:20" ht="15" customHeight="1">
      <c r="A27" s="821"/>
      <c r="B27" s="825"/>
      <c r="C27" s="823"/>
      <c r="D27" s="145" t="str">
        <f t="shared" si="8"/>
        <v/>
      </c>
      <c r="E27" s="63" t="str">
        <f t="shared" si="5"/>
        <v/>
      </c>
      <c r="F27" s="62" t="str">
        <f t="shared" si="3"/>
        <v/>
      </c>
      <c r="G27" s="146" t="str">
        <f>IF($C26="","",IF(D27="","",IF($E27="正規職員","-",IF(AND(EXACT(C24,C26),EXACT(D25,D27),EXACT(E25,E27)),G25,"賃金単価を記載"))))</f>
        <v/>
      </c>
      <c r="H27" s="62" t="str">
        <f>IF($C26="","",IF(D27="","",IF($E27="正規職員","-",F27*G27)))</f>
        <v/>
      </c>
      <c r="I27" s="62">
        <f t="shared" si="6"/>
        <v>302333.33333333401</v>
      </c>
      <c r="J27" s="62" t="str">
        <f t="shared" ref="J27" si="44">IFERROR(IF($C26="-","",IF(D27="","",IF(E27="正規職員",I27-J26,MIN(MIN(H27:I27),I26-J26)))),0)</f>
        <v/>
      </c>
      <c r="K27" s="64" t="str">
        <f t="shared" si="7"/>
        <v/>
      </c>
      <c r="L27" s="65">
        <f t="shared" ref="L27" si="45">L26</f>
        <v>13</v>
      </c>
      <c r="M27" s="65" t="e">
        <f>VLOOKUP($D27&amp;M$5,'②-2勤務時間数入力'!$D$7:$Q$106,$L27,FALSE)</f>
        <v>#N/A</v>
      </c>
      <c r="N27" s="65" t="str">
        <f t="shared" si="4"/>
        <v>×</v>
      </c>
      <c r="O27" s="65" t="e">
        <f>VLOOKUP($D27&amp;O$5,'②-2勤務時間数入力'!$D$7:$Q$106,$L27,FALSE)</f>
        <v>#N/A</v>
      </c>
      <c r="P27" s="65" t="str">
        <f t="shared" si="0"/>
        <v>×</v>
      </c>
      <c r="Q27" s="65" t="e">
        <f>VLOOKUP($D27&amp;Q$5,'②-2勤務時間数入力'!$D$7:$Q$106,$L27,FALSE)</f>
        <v>#N/A</v>
      </c>
      <c r="R27" s="65" t="str">
        <f t="shared" si="1"/>
        <v>×</v>
      </c>
      <c r="S27" s="65" t="e">
        <f>VLOOKUP($D27&amp;S$5,'②-2勤務時間数入力'!$D$7:$Q$106,$L27,FALSE)</f>
        <v>#N/A</v>
      </c>
      <c r="T27" s="65" t="str">
        <f t="shared" si="2"/>
        <v>×</v>
      </c>
    </row>
    <row r="28" spans="1:20" ht="15" customHeight="1">
      <c r="A28" s="820">
        <v>3</v>
      </c>
      <c r="B28" s="824" t="e">
        <f>IF(判定!X20="OK",1,"")</f>
        <v>#N/A</v>
      </c>
      <c r="C28" s="822" t="str">
        <f>IFERROR(INDEX($H$43:$I$48,MATCH(判定!AF20,$H$43:$H$48,0),2),"-")</f>
        <v>-</v>
      </c>
      <c r="D28" s="145" t="str">
        <f t="shared" si="8"/>
        <v/>
      </c>
      <c r="E28" s="63" t="str">
        <f t="shared" si="5"/>
        <v/>
      </c>
      <c r="F28" s="62" t="str">
        <f t="shared" si="3"/>
        <v/>
      </c>
      <c r="G28" s="146" t="str">
        <f>IF($C28="","",IF($E28="正規職員","-",IF(AND(EXACT(C26,C28),EXACT(D26,D28),EXACT(E26,E28)),G26,"賃金単価を記載")))</f>
        <v/>
      </c>
      <c r="H28" s="62" t="e">
        <f>IF($C28="","",IF($E28="正規職員","-",F28*G28))</f>
        <v>#VALUE!</v>
      </c>
      <c r="I28" s="62">
        <f t="shared" si="6"/>
        <v>302333.33333333401</v>
      </c>
      <c r="J28" s="62" t="str">
        <f t="shared" ref="J28" si="46">IFERROR(IF($C28="-","",IF(D28="",0,IF(E28="正規職員",I28,MIN(H28:I28)))),0)</f>
        <v/>
      </c>
      <c r="K28" s="64" t="str">
        <f t="shared" si="7"/>
        <v/>
      </c>
      <c r="L28" s="65">
        <f t="shared" ref="L28" si="47">L26+1</f>
        <v>14</v>
      </c>
      <c r="M28" s="65" t="e">
        <f>VLOOKUP($D28&amp;M$5,'②-2勤務時間数入力'!$D$7:$Q$106,$L28,FALSE)</f>
        <v>#N/A</v>
      </c>
      <c r="N28" s="65" t="str">
        <f t="shared" si="4"/>
        <v>×</v>
      </c>
      <c r="O28" s="65" t="e">
        <f>VLOOKUP($D28&amp;O$5,'②-2勤務時間数入力'!$D$7:$Q$106,$L28,FALSE)</f>
        <v>#N/A</v>
      </c>
      <c r="P28" s="65" t="str">
        <f t="shared" si="0"/>
        <v>×</v>
      </c>
      <c r="Q28" s="65" t="e">
        <f>VLOOKUP($D28&amp;Q$5,'②-2勤務時間数入力'!$D$7:$Q$106,$L28,FALSE)</f>
        <v>#N/A</v>
      </c>
      <c r="R28" s="65" t="str">
        <f t="shared" si="1"/>
        <v>×</v>
      </c>
      <c r="S28" s="65" t="e">
        <f>VLOOKUP($D28&amp;S$5,'②-2勤務時間数入力'!$D$7:$Q$106,$L28,FALSE)</f>
        <v>#N/A</v>
      </c>
      <c r="T28" s="65" t="str">
        <f t="shared" si="2"/>
        <v>×</v>
      </c>
    </row>
    <row r="29" spans="1:20" ht="15" customHeight="1">
      <c r="A29" s="821"/>
      <c r="B29" s="825"/>
      <c r="C29" s="823"/>
      <c r="D29" s="145" t="str">
        <f t="shared" si="8"/>
        <v/>
      </c>
      <c r="E29" s="63" t="str">
        <f t="shared" si="5"/>
        <v/>
      </c>
      <c r="F29" s="62" t="str">
        <f t="shared" si="3"/>
        <v/>
      </c>
      <c r="G29" s="146" t="str">
        <f>IF($C28="","",IF(D29="","",IF($E29="正規職員","-",IF(AND(EXACT(C26,C28),EXACT(D27,D29),EXACT(E27,E29)),G27,"賃金単価を記載"))))</f>
        <v/>
      </c>
      <c r="H29" s="62" t="str">
        <f>IF($C28="","",IF(D29="","",IF($E29="正規職員","-",F29*G29)))</f>
        <v/>
      </c>
      <c r="I29" s="62">
        <f t="shared" si="6"/>
        <v>302333.33333333401</v>
      </c>
      <c r="J29" s="62" t="str">
        <f t="shared" ref="J29" si="48">IFERROR(IF($C28="-","",IF(D29="","",IF(E29="正規職員",I29-J28,MIN(MIN(H29:I29),I28-J28)))),0)</f>
        <v/>
      </c>
      <c r="K29" s="64" t="str">
        <f t="shared" si="7"/>
        <v/>
      </c>
      <c r="L29" s="65">
        <f t="shared" ref="L29" si="49">L28</f>
        <v>14</v>
      </c>
      <c r="M29" s="65" t="e">
        <f>VLOOKUP($D29&amp;M$5,'②-2勤務時間数入力'!$D$7:$Q$106,$L29,FALSE)</f>
        <v>#N/A</v>
      </c>
      <c r="N29" s="65" t="str">
        <f t="shared" si="4"/>
        <v>×</v>
      </c>
      <c r="O29" s="65" t="e">
        <f>VLOOKUP($D29&amp;O$5,'②-2勤務時間数入力'!$D$7:$Q$106,$L29,FALSE)</f>
        <v>#N/A</v>
      </c>
      <c r="P29" s="65" t="str">
        <f t="shared" si="0"/>
        <v>×</v>
      </c>
      <c r="Q29" s="65" t="e">
        <f>VLOOKUP($D29&amp;Q$5,'②-2勤務時間数入力'!$D$7:$Q$106,$L29,FALSE)</f>
        <v>#N/A</v>
      </c>
      <c r="R29" s="65" t="str">
        <f t="shared" si="1"/>
        <v>×</v>
      </c>
      <c r="S29" s="65" t="e">
        <f>VLOOKUP($D29&amp;S$5,'②-2勤務時間数入力'!$D$7:$Q$106,$L29,FALSE)</f>
        <v>#N/A</v>
      </c>
      <c r="T29" s="65" t="str">
        <f t="shared" si="2"/>
        <v>×</v>
      </c>
    </row>
    <row r="30" spans="1:20" ht="15" customHeight="1">
      <c r="A30" s="61" t="s">
        <v>284</v>
      </c>
      <c r="B30" s="62"/>
      <c r="C30" s="62"/>
      <c r="D30" s="1"/>
      <c r="E30" s="62"/>
      <c r="F30" s="62"/>
      <c r="G30" s="62"/>
      <c r="H30" s="62"/>
      <c r="I30" s="62"/>
      <c r="J30" s="66">
        <f>ROUNDDOWN(SUM(J6,J8,J10,J12,J14,J16,J18,J20,J22,J24,J26,J28),-3)+ROUNDDOWN(SUM(J7,J9,J11,J13,J15,J17,J19,J21,J23,J25,J27,J29),-3)</f>
        <v>0</v>
      </c>
    </row>
    <row r="31" spans="1:20" ht="15" customHeight="1">
      <c r="B31" s="64"/>
      <c r="C31" s="64"/>
      <c r="D31" s="64"/>
      <c r="E31" s="64"/>
      <c r="F31" s="64"/>
      <c r="G31" s="64"/>
      <c r="H31" s="64"/>
      <c r="I31" s="64"/>
      <c r="J31" s="64"/>
    </row>
    <row r="33" spans="2:9">
      <c r="B33" s="85"/>
      <c r="D33" s="85"/>
      <c r="E33" s="85"/>
      <c r="F33" s="85"/>
      <c r="G33" s="85"/>
    </row>
    <row r="34" spans="2:9" ht="37.5" customHeight="1">
      <c r="B34" s="256"/>
      <c r="C34" s="85" t="s">
        <v>371</v>
      </c>
      <c r="D34" s="257"/>
      <c r="E34" s="257"/>
      <c r="F34" s="257"/>
      <c r="G34" s="85"/>
    </row>
    <row r="35" spans="2:9">
      <c r="B35" s="85"/>
      <c r="C35" s="85" t="s">
        <v>372</v>
      </c>
      <c r="D35" s="85"/>
      <c r="E35" s="85"/>
      <c r="F35" s="85"/>
      <c r="G35" s="85"/>
    </row>
    <row r="36" spans="2:9">
      <c r="B36" s="85"/>
      <c r="C36" s="85" t="s">
        <v>405</v>
      </c>
      <c r="D36" s="85"/>
      <c r="E36" s="85"/>
      <c r="F36" s="85"/>
      <c r="G36" s="85"/>
    </row>
    <row r="37" spans="2:9" ht="159" hidden="1" customHeight="1">
      <c r="C37" s="144" t="s">
        <v>1356</v>
      </c>
      <c r="D37" s="831" t="s">
        <v>1603</v>
      </c>
      <c r="E37" s="832"/>
      <c r="F37" s="832"/>
      <c r="G37" s="833"/>
    </row>
    <row r="38" spans="2:9" ht="48" hidden="1" customHeight="1">
      <c r="C38" s="144" t="s">
        <v>1357</v>
      </c>
      <c r="D38" s="830" t="s">
        <v>373</v>
      </c>
      <c r="E38" s="830"/>
      <c r="F38" s="830"/>
      <c r="G38" s="830"/>
    </row>
    <row r="39" spans="2:9" hidden="1"/>
    <row r="40" spans="2:9" hidden="1"/>
    <row r="41" spans="2:9" hidden="1"/>
    <row r="42" spans="2:9" hidden="1">
      <c r="I42" t="s">
        <v>1276</v>
      </c>
    </row>
    <row r="43" spans="2:9" hidden="1">
      <c r="H43" t="s">
        <v>1272</v>
      </c>
      <c r="I43" t="str">
        <f>'②-1職員名簿'!C144</f>
        <v>保育士</v>
      </c>
    </row>
    <row r="44" spans="2:9" hidden="1">
      <c r="H44" t="s">
        <v>1273</v>
      </c>
      <c r="I44" t="str">
        <f>'②-1職員名簿'!C145</f>
        <v>要件緩和</v>
      </c>
    </row>
    <row r="45" spans="2:9" hidden="1">
      <c r="H45" t="s">
        <v>1274</v>
      </c>
      <c r="I45" t="str">
        <f>'②-1職員名簿'!C146</f>
        <v>看護師等</v>
      </c>
    </row>
    <row r="46" spans="2:9" hidden="1">
      <c r="H46" t="s">
        <v>1275</v>
      </c>
      <c r="I46" t="str">
        <f>'②-1職員名簿'!C147</f>
        <v>栄養士</v>
      </c>
    </row>
    <row r="47" spans="2:9" hidden="1">
      <c r="H47" t="s">
        <v>1279</v>
      </c>
      <c r="I47" t="str">
        <f>'②-1職員名簿'!C148</f>
        <v>調理師等</v>
      </c>
    </row>
    <row r="48" spans="2:9" hidden="1">
      <c r="H48" t="s">
        <v>1280</v>
      </c>
      <c r="I48" t="str">
        <f>'②-1職員名簿'!C149</f>
        <v>保育支援者</v>
      </c>
    </row>
  </sheetData>
  <sheetProtection algorithmName="SHA-512" hashValue="qlo5qWWaAylDcHaFwK4WQOo0rpLfBIjsnIqtUnYDMq1KAOs7OvBGd1t2+0UgH69fpv7zm5jlzBxkrKSzksuKPA==" saltValue="3no5NKNr0I4j++WB5KkO3A==" spinCount="100000" sheet="1" selectLockedCells="1"/>
  <mergeCells count="45">
    <mergeCell ref="A1:J1"/>
    <mergeCell ref="E2:F2"/>
    <mergeCell ref="G2:J2"/>
    <mergeCell ref="M5:N5"/>
    <mergeCell ref="O5:P5"/>
    <mergeCell ref="S5:T5"/>
    <mergeCell ref="A6:A7"/>
    <mergeCell ref="B6:B7"/>
    <mergeCell ref="C6:C7"/>
    <mergeCell ref="A8:A9"/>
    <mergeCell ref="B8:B9"/>
    <mergeCell ref="C8:C9"/>
    <mergeCell ref="Q5:R5"/>
    <mergeCell ref="A10:A11"/>
    <mergeCell ref="B10:B11"/>
    <mergeCell ref="C10:C11"/>
    <mergeCell ref="A12:A13"/>
    <mergeCell ref="B12:B13"/>
    <mergeCell ref="C12:C13"/>
    <mergeCell ref="A14:A15"/>
    <mergeCell ref="B14:B15"/>
    <mergeCell ref="C14:C15"/>
    <mergeCell ref="A16:A17"/>
    <mergeCell ref="B16:B17"/>
    <mergeCell ref="C16:C17"/>
    <mergeCell ref="A18:A19"/>
    <mergeCell ref="B18:B19"/>
    <mergeCell ref="C18:C19"/>
    <mergeCell ref="A20:A21"/>
    <mergeCell ref="B20:B21"/>
    <mergeCell ref="C20:C21"/>
    <mergeCell ref="A22:A23"/>
    <mergeCell ref="B22:B23"/>
    <mergeCell ref="C22:C23"/>
    <mergeCell ref="A24:A25"/>
    <mergeCell ref="B24:B25"/>
    <mergeCell ref="C24:C25"/>
    <mergeCell ref="D37:G37"/>
    <mergeCell ref="D38:G38"/>
    <mergeCell ref="A26:A27"/>
    <mergeCell ref="B26:B27"/>
    <mergeCell ref="C26:C27"/>
    <mergeCell ref="A28:A29"/>
    <mergeCell ref="B28:B29"/>
    <mergeCell ref="C28:C29"/>
  </mergeCells>
  <phoneticPr fontId="1"/>
  <conditionalFormatting sqref="D6:D29">
    <cfRule type="containsBlanks" dxfId="64" priority="1">
      <formula>LEN(TRIM(D6))=0</formula>
    </cfRule>
  </conditionalFormatting>
  <conditionalFormatting sqref="G6:G29">
    <cfRule type="containsText" dxfId="63" priority="2" operator="containsText" text="賃金単価を記載">
      <formula>NOT(ISERROR(SEARCH("賃金単価を記載",G6)))</formula>
    </cfRule>
  </conditionalFormatting>
  <pageMargins left="0.70866141732283472" right="0.70866141732283472" top="0.74803149606299213" bottom="0.74803149606299213" header="0.31496062992125984" footer="0.31496062992125984"/>
  <pageSetup paperSize="9" scale="96"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補助対象職種」の欄に記載された職種の方を優先的に選択_x000a_→他職種の方を選択することもできますが、複数の職種の方の混在はできません。_x000a_　例えば　「補助対象職種」が「保育士」の時に「保育士」と「保育支援者」の方を「対象者名」に入力することはできません。_x000a_※用語の定義_x000a_　看護師等→看護師、准看護師、保健師_x000a_　保育支援者→事務、通訳、補助者、調理員" xr:uid="{FD58C31B-B618-4F6F-9201-9D4A50293EBB}">
          <x14:formula1>
            <xm:f>'②-1職員名簿'!$Y$7:$Y$106</xm:f>
          </x14:formula1>
          <xm:sqref>D6:D29</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3727E-2F11-40C8-9E2A-89B6AC0A1907}">
  <sheetPr>
    <tabColor rgb="FF00B050"/>
  </sheetPr>
  <dimension ref="A1:T48"/>
  <sheetViews>
    <sheetView view="pageBreakPreview" zoomScaleNormal="100" zoomScaleSheetLayoutView="100" workbookViewId="0">
      <selection activeCell="D6" sqref="D6"/>
    </sheetView>
  </sheetViews>
  <sheetFormatPr defaultRowHeight="18"/>
  <cols>
    <col min="2" max="2" width="4.75" customWidth="1"/>
    <col min="3" max="3" width="8.25" customWidth="1"/>
    <col min="4" max="4" width="28.33203125" customWidth="1"/>
    <col min="5" max="9" width="11.25" customWidth="1"/>
    <col min="10" max="10" width="15" customWidth="1"/>
    <col min="11" max="11" width="0" hidden="1" customWidth="1"/>
  </cols>
  <sheetData>
    <row r="1" spans="1:20" s="21" customFormat="1" ht="25" customHeight="1">
      <c r="A1" s="826" t="s">
        <v>288</v>
      </c>
      <c r="B1" s="826"/>
      <c r="C1" s="826"/>
      <c r="D1" s="826"/>
      <c r="E1" s="826"/>
      <c r="F1" s="826"/>
      <c r="G1" s="826"/>
      <c r="H1" s="826"/>
      <c r="I1" s="826"/>
      <c r="J1" s="826"/>
      <c r="K1" s="203"/>
      <c r="L1" s="203"/>
      <c r="M1" s="203"/>
      <c r="N1" s="203"/>
      <c r="O1" s="203"/>
    </row>
    <row r="2" spans="1:20" s="21" customFormat="1" ht="25" customHeight="1">
      <c r="E2" s="827" t="s">
        <v>114</v>
      </c>
      <c r="F2" s="827"/>
      <c r="G2" s="805">
        <f>①基本情報!D5</f>
        <v>0</v>
      </c>
      <c r="H2" s="805"/>
      <c r="I2" s="805"/>
      <c r="J2" s="805"/>
      <c r="L2" s="21" t="s">
        <v>148</v>
      </c>
    </row>
    <row r="4" spans="1:20" ht="15" customHeight="1">
      <c r="A4" s="59" t="s">
        <v>287</v>
      </c>
      <c r="B4" t="s">
        <v>1415</v>
      </c>
    </row>
    <row r="5" spans="1:20" ht="32.25" customHeight="1">
      <c r="B5" s="205" t="s">
        <v>1283</v>
      </c>
      <c r="C5" s="205" t="s">
        <v>1309</v>
      </c>
      <c r="D5" s="55" t="s">
        <v>274</v>
      </c>
      <c r="E5" s="55" t="s">
        <v>275</v>
      </c>
      <c r="F5" s="55" t="s">
        <v>276</v>
      </c>
      <c r="G5" s="55" t="s">
        <v>277</v>
      </c>
      <c r="H5" s="55" t="s">
        <v>278</v>
      </c>
      <c r="I5" s="55" t="s">
        <v>279</v>
      </c>
      <c r="J5" s="55" t="s">
        <v>280</v>
      </c>
      <c r="L5" s="60" t="s">
        <v>281</v>
      </c>
      <c r="M5" s="828" t="s">
        <v>224</v>
      </c>
      <c r="N5" s="829"/>
      <c r="O5" s="828" t="s">
        <v>225</v>
      </c>
      <c r="P5" s="829"/>
      <c r="Q5" s="828" t="s">
        <v>282</v>
      </c>
      <c r="R5" s="829"/>
      <c r="S5" s="828" t="s">
        <v>283</v>
      </c>
      <c r="T5" s="829"/>
    </row>
    <row r="6" spans="1:20" ht="15" customHeight="1">
      <c r="A6" s="820">
        <v>4</v>
      </c>
      <c r="B6" s="822" t="e">
        <f>IF(判定!Y9="OK",1,"-")</f>
        <v>#N/A</v>
      </c>
      <c r="C6" s="822" t="str">
        <f>IFERROR(INDEX($H$43:$I$48,MATCH(判定!AG9,$H$43:$H$48,0),2),"-")</f>
        <v>-</v>
      </c>
      <c r="D6" s="145"/>
      <c r="E6" s="63" t="str">
        <f>IF(D6="","",IF(N6="○",M$5,IF(P6="○",O$5,IF(R6="○",Q$5,IF(T6="○",S$5,"ERROR")))))</f>
        <v/>
      </c>
      <c r="F6" s="62" t="str">
        <f>IF(D6="","",IF(N6="○",M6,IF(P6="○",O6,IF(R6="○",Q6,IF(T6="○",S6,"ERROR")))))</f>
        <v/>
      </c>
      <c r="G6" s="146" t="str">
        <f>IF($C6="","",IF(D6="","",IF($E6="正規職員","-","賃金単価を記載")))</f>
        <v/>
      </c>
      <c r="H6" s="62" t="str">
        <f>IF($C6="","",IF(D6="","",IF($E6="正規職員","-",F6*G6)))</f>
        <v/>
      </c>
      <c r="I6" s="62">
        <f>⑥基本加算２!I6</f>
        <v>302333.33333333401</v>
      </c>
      <c r="J6" s="62">
        <f>IFERROR(IF($B6="-","",IF(D6="",0,IF(E6="正規職員",I6,MIN(H6:I6)))),0)</f>
        <v>0</v>
      </c>
      <c r="K6" s="64" t="str">
        <f>IF(D6="","",IF(COUNTIFS(D6,"*Ｃ6*")=1,"○","エラー"))</f>
        <v/>
      </c>
      <c r="L6" s="65">
        <v>3</v>
      </c>
      <c r="M6" s="65" t="e">
        <f>VLOOKUP($D6&amp;M$5,'②-2勤務時間数入力'!$D$7:$Q$106,$L6,FALSE)</f>
        <v>#N/A</v>
      </c>
      <c r="N6" s="65" t="str">
        <f>IF(ISERROR(M6),"×",IF(M6="-","×","○"))</f>
        <v>×</v>
      </c>
      <c r="O6" s="65" t="e">
        <f>VLOOKUP($D6&amp;O$5,'②-2勤務時間数入力'!$D$7:$Q$106,$L6,FALSE)</f>
        <v>#N/A</v>
      </c>
      <c r="P6" s="65" t="str">
        <f t="shared" ref="P6:P29" si="0">IF(ISERROR(O6),"×",IF(O6="-","×","○"))</f>
        <v>×</v>
      </c>
      <c r="Q6" s="65" t="e">
        <f>VLOOKUP($D6&amp;Q$5,'②-2勤務時間数入力'!$D$7:$Q$106,$L6,FALSE)</f>
        <v>#N/A</v>
      </c>
      <c r="R6" s="65" t="str">
        <f t="shared" ref="R6:R29" si="1">IF(ISERROR(Q6),"×",IF(Q6="-","×","○"))</f>
        <v>×</v>
      </c>
      <c r="S6" s="65" t="e">
        <f>VLOOKUP($D6&amp;S$5,'②-2勤務時間数入力'!$D$7:$Q$106,$L6,FALSE)</f>
        <v>#N/A</v>
      </c>
      <c r="T6" s="65" t="str">
        <f t="shared" ref="T6:T29" si="2">IF(ISERROR(S6),"×",IF(S6="-","×","○"))</f>
        <v>×</v>
      </c>
    </row>
    <row r="7" spans="1:20" ht="15" customHeight="1">
      <c r="A7" s="821"/>
      <c r="B7" s="823"/>
      <c r="C7" s="823"/>
      <c r="D7" s="145"/>
      <c r="E7" s="63" t="str">
        <f>IF(D7="","",IF(N7="○",M$5,IF(P7="○",O$5,IF(R7="○",Q$5,IF(T7="○",S$5,"ERROR")))))</f>
        <v/>
      </c>
      <c r="F7" s="62" t="str">
        <f t="shared" ref="F7:F29" si="3">IF(D7="","",IF(N7="○",M7,IF(P7="○",O7,IF(R7="○",Q7,IF(T7="○",S7,"ERROR")))))</f>
        <v/>
      </c>
      <c r="G7" s="146" t="str">
        <f>IF($C6="","",IF(D7="","",IF($E7="正規職員","-","賃金単価を記載")))</f>
        <v/>
      </c>
      <c r="H7" s="62" t="str">
        <f>IF($C6="","",IF(D7="","",IF($E7="正規職員","-",F7*G7)))</f>
        <v/>
      </c>
      <c r="I7" s="62">
        <f>$I$6</f>
        <v>302333.33333333401</v>
      </c>
      <c r="J7" s="62">
        <f>IFERROR(IF($B6="-","",IF(D7="","",IF(E7="正規職員",I7-J6,MIN(MIN(H7:I7),I6-J6)))),0)</f>
        <v>0</v>
      </c>
      <c r="K7" s="64" t="str">
        <f>IF(D7="","",IF(COUNTIFS(D7,"*保育士*")=1,"○","エラー"))</f>
        <v/>
      </c>
      <c r="L7" s="65">
        <f>L6</f>
        <v>3</v>
      </c>
      <c r="M7" s="65" t="e">
        <f>VLOOKUP($D7&amp;M$5,'②-2勤務時間数入力'!$D$7:$Q$106,$L7,FALSE)</f>
        <v>#N/A</v>
      </c>
      <c r="N7" s="65" t="str">
        <f t="shared" ref="N7:N29" si="4">IF(ISERROR(M7),"×",IF(M7="-","×","○"))</f>
        <v>×</v>
      </c>
      <c r="O7" s="65" t="e">
        <f>VLOOKUP($D7&amp;O$5,'②-2勤務時間数入力'!$D$7:$Q$106,$L7,FALSE)</f>
        <v>#N/A</v>
      </c>
      <c r="P7" s="65" t="str">
        <f t="shared" si="0"/>
        <v>×</v>
      </c>
      <c r="Q7" s="65" t="e">
        <f>VLOOKUP($D7&amp;Q$5,'②-2勤務時間数入力'!$D$7:$Q$106,$L7,FALSE)</f>
        <v>#N/A</v>
      </c>
      <c r="R7" s="65" t="str">
        <f t="shared" si="1"/>
        <v>×</v>
      </c>
      <c r="S7" s="65" t="e">
        <f>VLOOKUP($D7&amp;S$5,'②-2勤務時間数入力'!$D$7:$Q$106,$L7,FALSE)</f>
        <v>#N/A</v>
      </c>
      <c r="T7" s="65" t="str">
        <f t="shared" si="2"/>
        <v>×</v>
      </c>
    </row>
    <row r="8" spans="1:20" ht="15" customHeight="1">
      <c r="A8" s="820">
        <v>5</v>
      </c>
      <c r="B8" s="822" t="e">
        <f>IF(判定!Y10="OK",1,"-")</f>
        <v>#N/A</v>
      </c>
      <c r="C8" s="822" t="str">
        <f>IFERROR(INDEX($H$43:$I$48,MATCH(判定!AG10,$H$43:$H$48,0),2),"-")</f>
        <v>-</v>
      </c>
      <c r="D8" s="145" t="str">
        <f>IF(D6="","",D6)</f>
        <v/>
      </c>
      <c r="E8" s="63" t="str">
        <f t="shared" ref="E8:E29" si="5">IF(D8="","",IF(N8="○",M$5,IF(P8="○",O$5,IF(R8="○",Q$5,IF(T8="○",S$5,"ERROR")))))</f>
        <v/>
      </c>
      <c r="F8" s="62" t="str">
        <f t="shared" si="3"/>
        <v/>
      </c>
      <c r="G8" s="146" t="str">
        <f>IF($C8="","",IF($E8="正規職員","-",IF(AND(EXACT(C6,C8),EXACT(D6,D8),EXACT(E6,E8)),G6,"賃金単価を記載")))</f>
        <v/>
      </c>
      <c r="H8" s="62" t="e">
        <f>IF($C8="","",IF($E8="正規職員","-",F8*G8))</f>
        <v>#VALUE!</v>
      </c>
      <c r="I8" s="62">
        <f t="shared" ref="I8:I29" si="6">$I$6</f>
        <v>302333.33333333401</v>
      </c>
      <c r="J8" s="62">
        <f>IFERROR(IF($B8="-","",IF(D8="",0,IF(E8="正規職員",I8,MIN(H8:I8)))),0)</f>
        <v>0</v>
      </c>
      <c r="K8" s="64" t="str">
        <f t="shared" ref="K8:K29" si="7">IF(D8="","",IF(COUNTIFS(D8,"*Ｃ6*")=1,"○","エラー"))</f>
        <v/>
      </c>
      <c r="L8" s="65">
        <f>L6+1</f>
        <v>4</v>
      </c>
      <c r="M8" s="65" t="e">
        <f>VLOOKUP($D8&amp;M$5,'②-2勤務時間数入力'!$D$7:$Q$106,$L8,FALSE)</f>
        <v>#N/A</v>
      </c>
      <c r="N8" s="65" t="str">
        <f t="shared" si="4"/>
        <v>×</v>
      </c>
      <c r="O8" s="65" t="e">
        <f>VLOOKUP($D8&amp;O$5,'②-2勤務時間数入力'!$D$7:$Q$106,$L8,FALSE)</f>
        <v>#N/A</v>
      </c>
      <c r="P8" s="65" t="str">
        <f t="shared" si="0"/>
        <v>×</v>
      </c>
      <c r="Q8" s="65" t="e">
        <f>VLOOKUP($D8&amp;Q$5,'②-2勤務時間数入力'!$D$7:$Q$106,$L8,FALSE)</f>
        <v>#N/A</v>
      </c>
      <c r="R8" s="65" t="str">
        <f t="shared" si="1"/>
        <v>×</v>
      </c>
      <c r="S8" s="65" t="e">
        <f>VLOOKUP($D8&amp;S$5,'②-2勤務時間数入力'!$D$7:$Q$106,$L8,FALSE)</f>
        <v>#N/A</v>
      </c>
      <c r="T8" s="65" t="str">
        <f t="shared" si="2"/>
        <v>×</v>
      </c>
    </row>
    <row r="9" spans="1:20" ht="15" customHeight="1">
      <c r="A9" s="821"/>
      <c r="B9" s="823"/>
      <c r="C9" s="823"/>
      <c r="D9" s="145" t="str">
        <f t="shared" ref="D9:D29" si="8">IF(D7="","",D7)</f>
        <v/>
      </c>
      <c r="E9" s="63" t="str">
        <f t="shared" si="5"/>
        <v/>
      </c>
      <c r="F9" s="62" t="str">
        <f t="shared" si="3"/>
        <v/>
      </c>
      <c r="G9" s="146" t="str">
        <f>IF($C8="","",IF(D9="","",IF($E9="正規職員","-",IF(AND(EXACT(C6,C8),EXACT(D7,D9),EXACT(E7,E9)),G7,"賃金単価を記載"))))</f>
        <v/>
      </c>
      <c r="H9" s="62" t="str">
        <f>IF($C8="","",IF(D9="","",IF($E9="正規職員","-",F9*G9)))</f>
        <v/>
      </c>
      <c r="I9" s="62">
        <f t="shared" si="6"/>
        <v>302333.33333333401</v>
      </c>
      <c r="J9" s="62">
        <f>IFERROR(IF($B8="-","",IF(D9="","",IF(E9="正規職員",I9-J8,MIN(MIN(H9:I9),I8-J8)))),0)</f>
        <v>0</v>
      </c>
      <c r="K9" s="64" t="str">
        <f t="shared" si="7"/>
        <v/>
      </c>
      <c r="L9" s="65">
        <f>L8</f>
        <v>4</v>
      </c>
      <c r="M9" s="65" t="e">
        <f>VLOOKUP($D9&amp;M$5,'②-2勤務時間数入力'!$D$7:$Q$106,$L9,FALSE)</f>
        <v>#N/A</v>
      </c>
      <c r="N9" s="65" t="str">
        <f t="shared" si="4"/>
        <v>×</v>
      </c>
      <c r="O9" s="65" t="e">
        <f>VLOOKUP($D9&amp;O$5,'②-2勤務時間数入力'!$D$7:$Q$106,$L9,FALSE)</f>
        <v>#N/A</v>
      </c>
      <c r="P9" s="65" t="str">
        <f t="shared" si="0"/>
        <v>×</v>
      </c>
      <c r="Q9" s="65" t="e">
        <f>VLOOKUP($D9&amp;Q$5,'②-2勤務時間数入力'!$D$7:$Q$106,$L9,FALSE)</f>
        <v>#N/A</v>
      </c>
      <c r="R9" s="65" t="str">
        <f t="shared" si="1"/>
        <v>×</v>
      </c>
      <c r="S9" s="65" t="e">
        <f>VLOOKUP($D9&amp;S$5,'②-2勤務時間数入力'!$D$7:$Q$106,$L9,FALSE)</f>
        <v>#N/A</v>
      </c>
      <c r="T9" s="65" t="str">
        <f t="shared" si="2"/>
        <v>×</v>
      </c>
    </row>
    <row r="10" spans="1:20" ht="15" customHeight="1">
      <c r="A10" s="820">
        <v>6</v>
      </c>
      <c r="B10" s="824" t="e">
        <f>IF(判定!Y11="OK",1,"-")</f>
        <v>#N/A</v>
      </c>
      <c r="C10" s="822" t="str">
        <f>IFERROR(INDEX($H$43:$I$48,MATCH(判定!AG11,$H$43:$H$48,0),2),"-")</f>
        <v>-</v>
      </c>
      <c r="D10" s="145" t="str">
        <f t="shared" si="8"/>
        <v/>
      </c>
      <c r="E10" s="63" t="str">
        <f t="shared" si="5"/>
        <v/>
      </c>
      <c r="F10" s="62" t="str">
        <f t="shared" si="3"/>
        <v/>
      </c>
      <c r="G10" s="146" t="str">
        <f>IF($C10="","",IF($E10="正規職員","-",IF(AND(EXACT(C8,C10),EXACT(D8,D10),EXACT(E8,E10)),G8,"賃金単価を記載")))</f>
        <v/>
      </c>
      <c r="H10" s="62" t="e">
        <f>IF($C10="","",IF($E10="正規職員","-",F10*G10))</f>
        <v>#VALUE!</v>
      </c>
      <c r="I10" s="62">
        <f t="shared" si="6"/>
        <v>302333.33333333401</v>
      </c>
      <c r="J10" s="62">
        <f>IFERROR(IF($B10="-","",IF(D10="",0,IF(E10="正規職員",I10,MIN(H10:I10)))),0)</f>
        <v>0</v>
      </c>
      <c r="K10" s="64" t="str">
        <f t="shared" si="7"/>
        <v/>
      </c>
      <c r="L10" s="65">
        <f t="shared" ref="L10" si="9">L8+1</f>
        <v>5</v>
      </c>
      <c r="M10" s="65" t="e">
        <f>VLOOKUP($D10&amp;M$5,'②-2勤務時間数入力'!$D$7:$Q$106,$L10,FALSE)</f>
        <v>#N/A</v>
      </c>
      <c r="N10" s="65" t="str">
        <f t="shared" si="4"/>
        <v>×</v>
      </c>
      <c r="O10" s="65" t="e">
        <f>VLOOKUP($D10&amp;O$5,'②-2勤務時間数入力'!$D$7:$Q$106,$L10,FALSE)</f>
        <v>#N/A</v>
      </c>
      <c r="P10" s="65" t="str">
        <f t="shared" si="0"/>
        <v>×</v>
      </c>
      <c r="Q10" s="65" t="e">
        <f>VLOOKUP($D10&amp;Q$5,'②-2勤務時間数入力'!$D$7:$Q$106,$L10,FALSE)</f>
        <v>#N/A</v>
      </c>
      <c r="R10" s="65" t="str">
        <f t="shared" si="1"/>
        <v>×</v>
      </c>
      <c r="S10" s="65" t="e">
        <f>VLOOKUP($D10&amp;S$5,'②-2勤務時間数入力'!$D$7:$Q$106,$L10,FALSE)</f>
        <v>#N/A</v>
      </c>
      <c r="T10" s="65" t="str">
        <f t="shared" si="2"/>
        <v>×</v>
      </c>
    </row>
    <row r="11" spans="1:20" ht="15" customHeight="1">
      <c r="A11" s="821"/>
      <c r="B11" s="825"/>
      <c r="C11" s="823"/>
      <c r="D11" s="145" t="str">
        <f t="shared" si="8"/>
        <v/>
      </c>
      <c r="E11" s="63" t="str">
        <f t="shared" si="5"/>
        <v/>
      </c>
      <c r="F11" s="62" t="str">
        <f t="shared" si="3"/>
        <v/>
      </c>
      <c r="G11" s="146" t="str">
        <f>IF($C10="","",IF(D11="","",IF($E11="正規職員","-",IF(AND(EXACT(C8,C10),EXACT(D9,D11),EXACT(E9,E11)),G9,"賃金単価を記載"))))</f>
        <v/>
      </c>
      <c r="H11" s="62" t="str">
        <f>IF($C10="","",IF(D11="","",IF($E11="正規職員","-",F11*G11)))</f>
        <v/>
      </c>
      <c r="I11" s="62">
        <f t="shared" si="6"/>
        <v>302333.33333333401</v>
      </c>
      <c r="J11" s="62">
        <f>IFERROR(IF($B10="-","",IF(D11="","",IF(E11="正規職員",I11-J10,MIN(MIN(H11:I11),I10-J10)))),0)</f>
        <v>0</v>
      </c>
      <c r="K11" s="64" t="str">
        <f t="shared" si="7"/>
        <v/>
      </c>
      <c r="L11" s="65">
        <f t="shared" ref="L11" si="10">L10</f>
        <v>5</v>
      </c>
      <c r="M11" s="65" t="e">
        <f>VLOOKUP($D11&amp;M$5,'②-2勤務時間数入力'!$D$7:$Q$106,$L11,FALSE)</f>
        <v>#N/A</v>
      </c>
      <c r="N11" s="65" t="str">
        <f t="shared" si="4"/>
        <v>×</v>
      </c>
      <c r="O11" s="65" t="e">
        <f>VLOOKUP($D11&amp;O$5,'②-2勤務時間数入力'!$D$7:$Q$106,$L11,FALSE)</f>
        <v>#N/A</v>
      </c>
      <c r="P11" s="65" t="str">
        <f t="shared" si="0"/>
        <v>×</v>
      </c>
      <c r="Q11" s="65" t="e">
        <f>VLOOKUP($D11&amp;Q$5,'②-2勤務時間数入力'!$D$7:$Q$106,$L11,FALSE)</f>
        <v>#N/A</v>
      </c>
      <c r="R11" s="65" t="str">
        <f t="shared" si="1"/>
        <v>×</v>
      </c>
      <c r="S11" s="65" t="e">
        <f>VLOOKUP($D11&amp;S$5,'②-2勤務時間数入力'!$D$7:$Q$106,$L11,FALSE)</f>
        <v>#N/A</v>
      </c>
      <c r="T11" s="65" t="str">
        <f t="shared" si="2"/>
        <v>×</v>
      </c>
    </row>
    <row r="12" spans="1:20" ht="15" customHeight="1">
      <c r="A12" s="820">
        <v>7</v>
      </c>
      <c r="B12" s="824" t="e">
        <f>IF(判定!Y12="OK",1,"-")</f>
        <v>#N/A</v>
      </c>
      <c r="C12" s="822" t="str">
        <f>IFERROR(INDEX($H$43:$I$48,MATCH(判定!AG12,$H$43:$H$48,0),2),"-")</f>
        <v>-</v>
      </c>
      <c r="D12" s="145" t="str">
        <f t="shared" si="8"/>
        <v/>
      </c>
      <c r="E12" s="63" t="str">
        <f t="shared" si="5"/>
        <v/>
      </c>
      <c r="F12" s="62" t="str">
        <f t="shared" si="3"/>
        <v/>
      </c>
      <c r="G12" s="146" t="str">
        <f>IF($C12="","",IF($E12="正規職員","-",IF(AND(EXACT(C10,C12),EXACT(D10,D12),EXACT(E10,E12)),G10,"賃金単価を記載")))</f>
        <v/>
      </c>
      <c r="H12" s="62" t="e">
        <f>IF($C12="","",IF($E12="正規職員","-",F12*G12))</f>
        <v>#VALUE!</v>
      </c>
      <c r="I12" s="62">
        <f t="shared" si="6"/>
        <v>302333.33333333401</v>
      </c>
      <c r="J12" s="62">
        <f>IFERROR(IF($B12="-","",IF(D12="",0,IF(E12="正規職員",I12,MIN(H12:I12)))),0)</f>
        <v>0</v>
      </c>
      <c r="K12" s="64" t="str">
        <f t="shared" si="7"/>
        <v/>
      </c>
      <c r="L12" s="65">
        <f t="shared" ref="L12" si="11">L10+1</f>
        <v>6</v>
      </c>
      <c r="M12" s="65" t="e">
        <f>VLOOKUP($D12&amp;M$5,'②-2勤務時間数入力'!$D$7:$Q$106,$L12,FALSE)</f>
        <v>#N/A</v>
      </c>
      <c r="N12" s="65" t="str">
        <f t="shared" si="4"/>
        <v>×</v>
      </c>
      <c r="O12" s="65" t="e">
        <f>VLOOKUP($D12&amp;O$5,'②-2勤務時間数入力'!$D$7:$Q$106,$L12,FALSE)</f>
        <v>#N/A</v>
      </c>
      <c r="P12" s="65" t="str">
        <f t="shared" si="0"/>
        <v>×</v>
      </c>
      <c r="Q12" s="65" t="e">
        <f>VLOOKUP($D12&amp;Q$5,'②-2勤務時間数入力'!$D$7:$Q$106,$L12,FALSE)</f>
        <v>#N/A</v>
      </c>
      <c r="R12" s="65" t="str">
        <f t="shared" si="1"/>
        <v>×</v>
      </c>
      <c r="S12" s="65" t="e">
        <f>VLOOKUP($D12&amp;S$5,'②-2勤務時間数入力'!$D$7:$Q$106,$L12,FALSE)</f>
        <v>#N/A</v>
      </c>
      <c r="T12" s="65" t="str">
        <f t="shared" si="2"/>
        <v>×</v>
      </c>
    </row>
    <row r="13" spans="1:20" ht="15" customHeight="1">
      <c r="A13" s="821"/>
      <c r="B13" s="825"/>
      <c r="C13" s="823"/>
      <c r="D13" s="145" t="str">
        <f t="shared" si="8"/>
        <v/>
      </c>
      <c r="E13" s="63" t="str">
        <f t="shared" si="5"/>
        <v/>
      </c>
      <c r="F13" s="62" t="str">
        <f t="shared" si="3"/>
        <v/>
      </c>
      <c r="G13" s="146" t="str">
        <f>IF($C12="","",IF(D13="","",IF($E13="正規職員","-",IF(AND(EXACT(C10,C12),EXACT(D11,D13),EXACT(E11,E13)),G11,"賃金単価を記載"))))</f>
        <v/>
      </c>
      <c r="H13" s="62" t="str">
        <f>IF($C12="","",IF(D13="","",IF($E13="正規職員","-",F13*G13)))</f>
        <v/>
      </c>
      <c r="I13" s="62">
        <f t="shared" si="6"/>
        <v>302333.33333333401</v>
      </c>
      <c r="J13" s="62">
        <f>IFERROR(IF($B12="-","",IF(D13="","",IF(E13="正規職員",I13-J12,MIN(MIN(H13:I13),I12-J12)))),0)</f>
        <v>0</v>
      </c>
      <c r="K13" s="64" t="str">
        <f t="shared" si="7"/>
        <v/>
      </c>
      <c r="L13" s="65">
        <f t="shared" ref="L13" si="12">L12</f>
        <v>6</v>
      </c>
      <c r="M13" s="65" t="e">
        <f>VLOOKUP($D13&amp;M$5,'②-2勤務時間数入力'!$D$7:$Q$106,$L13,FALSE)</f>
        <v>#N/A</v>
      </c>
      <c r="N13" s="65" t="str">
        <f t="shared" si="4"/>
        <v>×</v>
      </c>
      <c r="O13" s="65" t="e">
        <f>VLOOKUP($D13&amp;O$5,'②-2勤務時間数入力'!$D$7:$Q$106,$L13,FALSE)</f>
        <v>#N/A</v>
      </c>
      <c r="P13" s="65" t="str">
        <f t="shared" si="0"/>
        <v>×</v>
      </c>
      <c r="Q13" s="65" t="e">
        <f>VLOOKUP($D13&amp;Q$5,'②-2勤務時間数入力'!$D$7:$Q$106,$L13,FALSE)</f>
        <v>#N/A</v>
      </c>
      <c r="R13" s="65" t="str">
        <f t="shared" si="1"/>
        <v>×</v>
      </c>
      <c r="S13" s="65" t="e">
        <f>VLOOKUP($D13&amp;S$5,'②-2勤務時間数入力'!$D$7:$Q$106,$L13,FALSE)</f>
        <v>#N/A</v>
      </c>
      <c r="T13" s="65" t="str">
        <f t="shared" si="2"/>
        <v>×</v>
      </c>
    </row>
    <row r="14" spans="1:20" ht="15" customHeight="1">
      <c r="A14" s="820">
        <v>8</v>
      </c>
      <c r="B14" s="824" t="e">
        <f>IF(判定!Y13="OK",1,"-")</f>
        <v>#N/A</v>
      </c>
      <c r="C14" s="822" t="str">
        <f>IFERROR(INDEX($H$43:$I$48,MATCH(判定!AG13,$H$43:$H$48,0),2),"-")</f>
        <v>-</v>
      </c>
      <c r="D14" s="145" t="str">
        <f t="shared" si="8"/>
        <v/>
      </c>
      <c r="E14" s="63" t="str">
        <f t="shared" si="5"/>
        <v/>
      </c>
      <c r="F14" s="62" t="str">
        <f t="shared" si="3"/>
        <v/>
      </c>
      <c r="G14" s="146" t="str">
        <f>IF($C14="","",IF($E14="正規職員","-",IF(AND(EXACT(C12,C14),EXACT(D12,D14),EXACT(E12,E14)),G12,"賃金単価を記載")))</f>
        <v/>
      </c>
      <c r="H14" s="62" t="e">
        <f>IF($C14="","",IF($E14="正規職員","-",F14*G14))</f>
        <v>#VALUE!</v>
      </c>
      <c r="I14" s="62">
        <f t="shared" si="6"/>
        <v>302333.33333333401</v>
      </c>
      <c r="J14" s="62">
        <f>IFERROR(IF($B14="-","",IF(D14="",0,IF(E14="正規職員",I14,MIN(H14:I14)))),0)</f>
        <v>0</v>
      </c>
      <c r="K14" s="64" t="str">
        <f t="shared" si="7"/>
        <v/>
      </c>
      <c r="L14" s="65">
        <f t="shared" ref="L14" si="13">L12+1</f>
        <v>7</v>
      </c>
      <c r="M14" s="65" t="e">
        <f>VLOOKUP($D14&amp;M$5,'②-2勤務時間数入力'!$D$7:$Q$106,$L14,FALSE)</f>
        <v>#N/A</v>
      </c>
      <c r="N14" s="65" t="str">
        <f t="shared" si="4"/>
        <v>×</v>
      </c>
      <c r="O14" s="65" t="e">
        <f>VLOOKUP($D14&amp;O$5,'②-2勤務時間数入力'!$D$7:$Q$106,$L14,FALSE)</f>
        <v>#N/A</v>
      </c>
      <c r="P14" s="65" t="str">
        <f t="shared" si="0"/>
        <v>×</v>
      </c>
      <c r="Q14" s="65" t="e">
        <f>VLOOKUP($D14&amp;Q$5,'②-2勤務時間数入力'!$D$7:$Q$106,$L14,FALSE)</f>
        <v>#N/A</v>
      </c>
      <c r="R14" s="65" t="str">
        <f t="shared" si="1"/>
        <v>×</v>
      </c>
      <c r="S14" s="65" t="e">
        <f>VLOOKUP($D14&amp;S$5,'②-2勤務時間数入力'!$D$7:$Q$106,$L14,FALSE)</f>
        <v>#N/A</v>
      </c>
      <c r="T14" s="65" t="str">
        <f t="shared" si="2"/>
        <v>×</v>
      </c>
    </row>
    <row r="15" spans="1:20" ht="15" customHeight="1">
      <c r="A15" s="821"/>
      <c r="B15" s="825"/>
      <c r="C15" s="823"/>
      <c r="D15" s="145" t="str">
        <f t="shared" si="8"/>
        <v/>
      </c>
      <c r="E15" s="63" t="str">
        <f t="shared" si="5"/>
        <v/>
      </c>
      <c r="F15" s="62" t="str">
        <f t="shared" si="3"/>
        <v/>
      </c>
      <c r="G15" s="146" t="str">
        <f>IF($C14="","",IF(D15="","",IF($E15="正規職員","-",IF(AND(EXACT(C12,C14),EXACT(D13,D15),EXACT(E13,E15)),G13,"賃金単価を記載"))))</f>
        <v/>
      </c>
      <c r="H15" s="62" t="str">
        <f>IF($C14="","",IF(D15="","",IF($E15="正規職員","-",F15*G15)))</f>
        <v/>
      </c>
      <c r="I15" s="62">
        <f t="shared" si="6"/>
        <v>302333.33333333401</v>
      </c>
      <c r="J15" s="62">
        <f>IFERROR(IF($B14="-","",IF(D15="","",IF(E15="正規職員",I15-J14,MIN(MIN(H15:I15),I14-J14)))),0)</f>
        <v>0</v>
      </c>
      <c r="K15" s="64" t="str">
        <f t="shared" si="7"/>
        <v/>
      </c>
      <c r="L15" s="65">
        <f t="shared" ref="L15" si="14">L14</f>
        <v>7</v>
      </c>
      <c r="M15" s="65" t="e">
        <f>VLOOKUP($D15&amp;M$5,'②-2勤務時間数入力'!$D$7:$Q$106,$L15,FALSE)</f>
        <v>#N/A</v>
      </c>
      <c r="N15" s="65" t="str">
        <f t="shared" si="4"/>
        <v>×</v>
      </c>
      <c r="O15" s="65" t="e">
        <f>VLOOKUP($D15&amp;O$5,'②-2勤務時間数入力'!$D$7:$Q$106,$L15,FALSE)</f>
        <v>#N/A</v>
      </c>
      <c r="P15" s="65" t="str">
        <f t="shared" si="0"/>
        <v>×</v>
      </c>
      <c r="Q15" s="65" t="e">
        <f>VLOOKUP($D15&amp;Q$5,'②-2勤務時間数入力'!$D$7:$Q$106,$L15,FALSE)</f>
        <v>#N/A</v>
      </c>
      <c r="R15" s="65" t="str">
        <f t="shared" si="1"/>
        <v>×</v>
      </c>
      <c r="S15" s="65" t="e">
        <f>VLOOKUP($D15&amp;S$5,'②-2勤務時間数入力'!$D$7:$Q$106,$L15,FALSE)</f>
        <v>#N/A</v>
      </c>
      <c r="T15" s="65" t="str">
        <f t="shared" si="2"/>
        <v>×</v>
      </c>
    </row>
    <row r="16" spans="1:20" ht="15" customHeight="1">
      <c r="A16" s="820">
        <v>9</v>
      </c>
      <c r="B16" s="824" t="e">
        <f>IF(判定!Y14="OK",1,"-")</f>
        <v>#N/A</v>
      </c>
      <c r="C16" s="822" t="str">
        <f>IFERROR(INDEX($H$43:$I$48,MATCH(判定!AG14,$H$43:$H$48,0),2),"-")</f>
        <v>-</v>
      </c>
      <c r="D16" s="145" t="str">
        <f t="shared" si="8"/>
        <v/>
      </c>
      <c r="E16" s="63" t="str">
        <f t="shared" si="5"/>
        <v/>
      </c>
      <c r="F16" s="62" t="str">
        <f t="shared" si="3"/>
        <v/>
      </c>
      <c r="G16" s="146" t="str">
        <f>IF($C16="","",IF($E16="正規職員","-",IF(AND(EXACT(C14,C16),EXACT(D14,D16),EXACT(E14,E16)),G14,"賃金単価を記載")))</f>
        <v/>
      </c>
      <c r="H16" s="62" t="e">
        <f>IF($C16="","",IF($E16="正規職員","-",F16*G16))</f>
        <v>#VALUE!</v>
      </c>
      <c r="I16" s="62">
        <f t="shared" si="6"/>
        <v>302333.33333333401</v>
      </c>
      <c r="J16" s="62">
        <f>IFERROR(IF($B16="-","",IF(D16="",0,IF(E16="正規職員",I16,MIN(H16:I16)))),0)</f>
        <v>0</v>
      </c>
      <c r="K16" s="64" t="str">
        <f t="shared" si="7"/>
        <v/>
      </c>
      <c r="L16" s="65">
        <f t="shared" ref="L16" si="15">L14+1</f>
        <v>8</v>
      </c>
      <c r="M16" s="65" t="e">
        <f>VLOOKUP($D16&amp;M$5,'②-2勤務時間数入力'!$D$7:$Q$106,$L16,FALSE)</f>
        <v>#N/A</v>
      </c>
      <c r="N16" s="65" t="str">
        <f t="shared" si="4"/>
        <v>×</v>
      </c>
      <c r="O16" s="65" t="e">
        <f>VLOOKUP($D16&amp;O$5,'②-2勤務時間数入力'!$D$7:$Q$106,$L16,FALSE)</f>
        <v>#N/A</v>
      </c>
      <c r="P16" s="65" t="str">
        <f t="shared" si="0"/>
        <v>×</v>
      </c>
      <c r="Q16" s="65" t="e">
        <f>VLOOKUP($D16&amp;Q$5,'②-2勤務時間数入力'!$D$7:$Q$106,$L16,FALSE)</f>
        <v>#N/A</v>
      </c>
      <c r="R16" s="65" t="str">
        <f t="shared" si="1"/>
        <v>×</v>
      </c>
      <c r="S16" s="65" t="e">
        <f>VLOOKUP($D16&amp;S$5,'②-2勤務時間数入力'!$D$7:$Q$106,$L16,FALSE)</f>
        <v>#N/A</v>
      </c>
      <c r="T16" s="65" t="str">
        <f t="shared" si="2"/>
        <v>×</v>
      </c>
    </row>
    <row r="17" spans="1:20" ht="15" customHeight="1">
      <c r="A17" s="821"/>
      <c r="B17" s="825"/>
      <c r="C17" s="823"/>
      <c r="D17" s="145" t="str">
        <f t="shared" si="8"/>
        <v/>
      </c>
      <c r="E17" s="63" t="str">
        <f t="shared" si="5"/>
        <v/>
      </c>
      <c r="F17" s="62" t="str">
        <f t="shared" si="3"/>
        <v/>
      </c>
      <c r="G17" s="146" t="str">
        <f>IF($C16="","",IF(D17="","",IF($E17="正規職員","-",IF(AND(EXACT(C14,C16),EXACT(D15,D17),EXACT(E15,E17)),G15,"賃金単価を記載"))))</f>
        <v/>
      </c>
      <c r="H17" s="62" t="str">
        <f>IF($C16="","",IF(D17="","",IF($E17="正規職員","-",F17*G17)))</f>
        <v/>
      </c>
      <c r="I17" s="62">
        <f t="shared" si="6"/>
        <v>302333.33333333401</v>
      </c>
      <c r="J17" s="62">
        <f>IFERROR(IF($B16="-","",IF(D17="","",IF(E17="正規職員",I17-J16,MIN(MIN(H17:I17),I16-J16)))),0)</f>
        <v>0</v>
      </c>
      <c r="K17" s="64" t="str">
        <f t="shared" si="7"/>
        <v/>
      </c>
      <c r="L17" s="65">
        <f t="shared" ref="L17" si="16">L16</f>
        <v>8</v>
      </c>
      <c r="M17" s="65" t="e">
        <f>VLOOKUP($D17&amp;M$5,'②-2勤務時間数入力'!$D$7:$Q$106,$L17,FALSE)</f>
        <v>#N/A</v>
      </c>
      <c r="N17" s="65" t="str">
        <f t="shared" si="4"/>
        <v>×</v>
      </c>
      <c r="O17" s="65" t="e">
        <f>VLOOKUP($D17&amp;O$5,'②-2勤務時間数入力'!$D$7:$Q$106,$L17,FALSE)</f>
        <v>#N/A</v>
      </c>
      <c r="P17" s="65" t="str">
        <f t="shared" si="0"/>
        <v>×</v>
      </c>
      <c r="Q17" s="65" t="e">
        <f>VLOOKUP($D17&amp;Q$5,'②-2勤務時間数入力'!$D$7:$Q$106,$L17,FALSE)</f>
        <v>#N/A</v>
      </c>
      <c r="R17" s="65" t="str">
        <f t="shared" si="1"/>
        <v>×</v>
      </c>
      <c r="S17" s="65" t="e">
        <f>VLOOKUP($D17&amp;S$5,'②-2勤務時間数入力'!$D$7:$Q$106,$L17,FALSE)</f>
        <v>#N/A</v>
      </c>
      <c r="T17" s="65" t="str">
        <f t="shared" si="2"/>
        <v>×</v>
      </c>
    </row>
    <row r="18" spans="1:20" ht="15" customHeight="1">
      <c r="A18" s="820">
        <v>10</v>
      </c>
      <c r="B18" s="824" t="e">
        <f>IF(判定!Y15="OK",1,"-")</f>
        <v>#N/A</v>
      </c>
      <c r="C18" s="822" t="str">
        <f>IFERROR(INDEX($H$43:$I$48,MATCH(判定!AG15,$H$43:$H$48,0),2),"-")</f>
        <v>-</v>
      </c>
      <c r="D18" s="145" t="str">
        <f t="shared" si="8"/>
        <v/>
      </c>
      <c r="E18" s="63" t="str">
        <f t="shared" si="5"/>
        <v/>
      </c>
      <c r="F18" s="62" t="str">
        <f t="shared" si="3"/>
        <v/>
      </c>
      <c r="G18" s="146" t="str">
        <f>IF($C18="","",IF($E18="正規職員","-",IF(AND(EXACT(C16,C18),EXACT(D16,D18),EXACT(E16,E18)),G16,"賃金単価を記載")))</f>
        <v/>
      </c>
      <c r="H18" s="62" t="e">
        <f>IF($C18="","",IF($E18="正規職員","-",F18*G18))</f>
        <v>#VALUE!</v>
      </c>
      <c r="I18" s="62">
        <f t="shared" si="6"/>
        <v>302333.33333333401</v>
      </c>
      <c r="J18" s="62">
        <f>IFERROR(IF($B18="-","",IF(D18="",0,IF(E18="正規職員",I18,MIN(H18:I18)))),0)</f>
        <v>0</v>
      </c>
      <c r="K18" s="64" t="str">
        <f t="shared" si="7"/>
        <v/>
      </c>
      <c r="L18" s="65">
        <f t="shared" ref="L18" si="17">L16+1</f>
        <v>9</v>
      </c>
      <c r="M18" s="65" t="e">
        <f>VLOOKUP($D18&amp;M$5,'②-2勤務時間数入力'!$D$7:$Q$106,$L18,FALSE)</f>
        <v>#N/A</v>
      </c>
      <c r="N18" s="65" t="str">
        <f t="shared" si="4"/>
        <v>×</v>
      </c>
      <c r="O18" s="65" t="e">
        <f>VLOOKUP($D18&amp;O$5,'②-2勤務時間数入力'!$D$7:$Q$106,$L18,FALSE)</f>
        <v>#N/A</v>
      </c>
      <c r="P18" s="65" t="str">
        <f t="shared" si="0"/>
        <v>×</v>
      </c>
      <c r="Q18" s="65" t="e">
        <f>VLOOKUP($D18&amp;Q$5,'②-2勤務時間数入力'!$D$7:$Q$106,$L18,FALSE)</f>
        <v>#N/A</v>
      </c>
      <c r="R18" s="65" t="str">
        <f t="shared" si="1"/>
        <v>×</v>
      </c>
      <c r="S18" s="65" t="e">
        <f>VLOOKUP($D18&amp;S$5,'②-2勤務時間数入力'!$D$7:$Q$106,$L18,FALSE)</f>
        <v>#N/A</v>
      </c>
      <c r="T18" s="65" t="str">
        <f t="shared" si="2"/>
        <v>×</v>
      </c>
    </row>
    <row r="19" spans="1:20" ht="15" customHeight="1">
      <c r="A19" s="821"/>
      <c r="B19" s="825"/>
      <c r="C19" s="823"/>
      <c r="D19" s="145" t="str">
        <f t="shared" si="8"/>
        <v/>
      </c>
      <c r="E19" s="63" t="str">
        <f t="shared" si="5"/>
        <v/>
      </c>
      <c r="F19" s="62" t="str">
        <f t="shared" si="3"/>
        <v/>
      </c>
      <c r="G19" s="146" t="str">
        <f>IF($C18="","",IF(D19="","",IF($E19="正規職員","-",IF(AND(EXACT(C16,C18),EXACT(D17,D19),EXACT(E17,E19)),G17,"賃金単価を記載"))))</f>
        <v/>
      </c>
      <c r="H19" s="62" t="str">
        <f>IF($C18="","",IF(D19="","",IF($E19="正規職員","-",F19*G19)))</f>
        <v/>
      </c>
      <c r="I19" s="62">
        <f t="shared" si="6"/>
        <v>302333.33333333401</v>
      </c>
      <c r="J19" s="62">
        <f>IFERROR(IF($B18="-","",IF(D19="","",IF(E19="正規職員",I19-J18,MIN(MIN(H19:I19),I18-J18)))),0)</f>
        <v>0</v>
      </c>
      <c r="K19" s="64" t="str">
        <f t="shared" si="7"/>
        <v/>
      </c>
      <c r="L19" s="65">
        <f t="shared" ref="L19" si="18">L18</f>
        <v>9</v>
      </c>
      <c r="M19" s="65" t="e">
        <f>VLOOKUP($D19&amp;M$5,'②-2勤務時間数入力'!$D$7:$Q$106,$L19,FALSE)</f>
        <v>#N/A</v>
      </c>
      <c r="N19" s="65" t="str">
        <f t="shared" si="4"/>
        <v>×</v>
      </c>
      <c r="O19" s="65" t="e">
        <f>VLOOKUP($D19&amp;O$5,'②-2勤務時間数入力'!$D$7:$Q$106,$L19,FALSE)</f>
        <v>#N/A</v>
      </c>
      <c r="P19" s="65" t="str">
        <f t="shared" si="0"/>
        <v>×</v>
      </c>
      <c r="Q19" s="65" t="e">
        <f>VLOOKUP($D19&amp;Q$5,'②-2勤務時間数入力'!$D$7:$Q$106,$L19,FALSE)</f>
        <v>#N/A</v>
      </c>
      <c r="R19" s="65" t="str">
        <f t="shared" si="1"/>
        <v>×</v>
      </c>
      <c r="S19" s="65" t="e">
        <f>VLOOKUP($D19&amp;S$5,'②-2勤務時間数入力'!$D$7:$Q$106,$L19,FALSE)</f>
        <v>#N/A</v>
      </c>
      <c r="T19" s="65" t="str">
        <f t="shared" si="2"/>
        <v>×</v>
      </c>
    </row>
    <row r="20" spans="1:20" ht="15" customHeight="1">
      <c r="A20" s="820">
        <v>11</v>
      </c>
      <c r="B20" s="824" t="e">
        <f>IF(判定!Y16="OK",1,"-")</f>
        <v>#N/A</v>
      </c>
      <c r="C20" s="822" t="str">
        <f>IFERROR(INDEX($H$43:$I$48,MATCH(判定!AG16,$H$43:$H$48,0),2),"-")</f>
        <v>-</v>
      </c>
      <c r="D20" s="145" t="str">
        <f t="shared" si="8"/>
        <v/>
      </c>
      <c r="E20" s="63" t="str">
        <f t="shared" si="5"/>
        <v/>
      </c>
      <c r="F20" s="62" t="str">
        <f t="shared" si="3"/>
        <v/>
      </c>
      <c r="G20" s="146" t="str">
        <f>IF($C20="","",IF($E20="正規職員","-",IF(AND(EXACT(C18,C20),EXACT(D18,D20),EXACT(E18,E20)),G18,"賃金単価を記載")))</f>
        <v/>
      </c>
      <c r="H20" s="62" t="e">
        <f>IF($C20="","",IF($E20="正規職員","-",F20*G20))</f>
        <v>#VALUE!</v>
      </c>
      <c r="I20" s="62">
        <f t="shared" si="6"/>
        <v>302333.33333333401</v>
      </c>
      <c r="J20" s="62">
        <f>IFERROR(IF($B20="-","",IF(D20="",0,IF(E20="正規職員",I20,MIN(H20:I20)))),0)</f>
        <v>0</v>
      </c>
      <c r="K20" s="64" t="str">
        <f t="shared" si="7"/>
        <v/>
      </c>
      <c r="L20" s="65">
        <f t="shared" ref="L20" si="19">L18+1</f>
        <v>10</v>
      </c>
      <c r="M20" s="65" t="e">
        <f>VLOOKUP($D20&amp;M$5,'②-2勤務時間数入力'!$D$7:$Q$106,$L20,FALSE)</f>
        <v>#N/A</v>
      </c>
      <c r="N20" s="65" t="str">
        <f t="shared" si="4"/>
        <v>×</v>
      </c>
      <c r="O20" s="65" t="e">
        <f>VLOOKUP($D20&amp;O$5,'②-2勤務時間数入力'!$D$7:$Q$106,$L20,FALSE)</f>
        <v>#N/A</v>
      </c>
      <c r="P20" s="65" t="str">
        <f t="shared" si="0"/>
        <v>×</v>
      </c>
      <c r="Q20" s="65" t="e">
        <f>VLOOKUP($D20&amp;Q$5,'②-2勤務時間数入力'!$D$7:$Q$106,$L20,FALSE)</f>
        <v>#N/A</v>
      </c>
      <c r="R20" s="65" t="str">
        <f t="shared" si="1"/>
        <v>×</v>
      </c>
      <c r="S20" s="65" t="e">
        <f>VLOOKUP($D20&amp;S$5,'②-2勤務時間数入力'!$D$7:$Q$106,$L20,FALSE)</f>
        <v>#N/A</v>
      </c>
      <c r="T20" s="65" t="str">
        <f t="shared" si="2"/>
        <v>×</v>
      </c>
    </row>
    <row r="21" spans="1:20" ht="15" customHeight="1">
      <c r="A21" s="821"/>
      <c r="B21" s="825"/>
      <c r="C21" s="823"/>
      <c r="D21" s="145" t="str">
        <f t="shared" si="8"/>
        <v/>
      </c>
      <c r="E21" s="63" t="str">
        <f t="shared" si="5"/>
        <v/>
      </c>
      <c r="F21" s="62" t="str">
        <f t="shared" si="3"/>
        <v/>
      </c>
      <c r="G21" s="146" t="str">
        <f>IF($C20="","",IF(D21="","",IF($E21="正規職員","-",IF(AND(EXACT(C18,C20),EXACT(D19,D21),EXACT(E19,E21)),G19,"賃金単価を記載"))))</f>
        <v/>
      </c>
      <c r="H21" s="62" t="str">
        <f>IF($C20="","",IF(D21="","",IF($E21="正規職員","-",F21*G21)))</f>
        <v/>
      </c>
      <c r="I21" s="62">
        <f t="shared" si="6"/>
        <v>302333.33333333401</v>
      </c>
      <c r="J21" s="62">
        <f>IFERROR(IF($B20="-","",IF(D21="","",IF(E21="正規職員",I21-J20,MIN(MIN(H21:I21),I20-J20)))),0)</f>
        <v>0</v>
      </c>
      <c r="K21" s="64" t="str">
        <f t="shared" si="7"/>
        <v/>
      </c>
      <c r="L21" s="65">
        <f t="shared" ref="L21" si="20">L20</f>
        <v>10</v>
      </c>
      <c r="M21" s="65" t="e">
        <f>VLOOKUP($D21&amp;M$5,'②-2勤務時間数入力'!$D$7:$Q$106,$L21,FALSE)</f>
        <v>#N/A</v>
      </c>
      <c r="N21" s="65" t="str">
        <f t="shared" si="4"/>
        <v>×</v>
      </c>
      <c r="O21" s="65" t="e">
        <f>VLOOKUP($D21&amp;O$5,'②-2勤務時間数入力'!$D$7:$Q$106,$L21,FALSE)</f>
        <v>#N/A</v>
      </c>
      <c r="P21" s="65" t="str">
        <f t="shared" si="0"/>
        <v>×</v>
      </c>
      <c r="Q21" s="65" t="e">
        <f>VLOOKUP($D21&amp;Q$5,'②-2勤務時間数入力'!$D$7:$Q$106,$L21,FALSE)</f>
        <v>#N/A</v>
      </c>
      <c r="R21" s="65" t="str">
        <f t="shared" si="1"/>
        <v>×</v>
      </c>
      <c r="S21" s="65" t="e">
        <f>VLOOKUP($D21&amp;S$5,'②-2勤務時間数入力'!$D$7:$Q$106,$L21,FALSE)</f>
        <v>#N/A</v>
      </c>
      <c r="T21" s="65" t="str">
        <f t="shared" si="2"/>
        <v>×</v>
      </c>
    </row>
    <row r="22" spans="1:20" ht="15" customHeight="1">
      <c r="A22" s="820">
        <v>12</v>
      </c>
      <c r="B22" s="824" t="e">
        <f>IF(判定!Y17="OK",1,"-")</f>
        <v>#N/A</v>
      </c>
      <c r="C22" s="822" t="str">
        <f>IFERROR(INDEX($H$43:$I$48,MATCH(判定!AG17,$H$43:$H$48,0),2),"-")</f>
        <v>-</v>
      </c>
      <c r="D22" s="145" t="str">
        <f t="shared" si="8"/>
        <v/>
      </c>
      <c r="E22" s="63" t="str">
        <f t="shared" si="5"/>
        <v/>
      </c>
      <c r="F22" s="62" t="str">
        <f t="shared" si="3"/>
        <v/>
      </c>
      <c r="G22" s="146" t="str">
        <f>IF($C22="","",IF($E22="正規職員","-",IF(AND(EXACT(C20,C22),EXACT(D20,D22),EXACT(E20,E22)),G20,"賃金単価を記載")))</f>
        <v/>
      </c>
      <c r="H22" s="62" t="e">
        <f>IF($C22="","",IF($E22="正規職員","-",F22*G22))</f>
        <v>#VALUE!</v>
      </c>
      <c r="I22" s="62">
        <f t="shared" si="6"/>
        <v>302333.33333333401</v>
      </c>
      <c r="J22" s="62">
        <f>IFERROR(IF($B22="-","",IF(D22="",0,IF(E22="正規職員",I22,MIN(H22:I22)))),0)</f>
        <v>0</v>
      </c>
      <c r="K22" s="64" t="str">
        <f t="shared" si="7"/>
        <v/>
      </c>
      <c r="L22" s="65">
        <f t="shared" ref="L22" si="21">L20+1</f>
        <v>11</v>
      </c>
      <c r="M22" s="65" t="e">
        <f>VLOOKUP($D22&amp;M$5,'②-2勤務時間数入力'!$D$7:$Q$106,$L22,FALSE)</f>
        <v>#N/A</v>
      </c>
      <c r="N22" s="65" t="str">
        <f t="shared" si="4"/>
        <v>×</v>
      </c>
      <c r="O22" s="65" t="e">
        <f>VLOOKUP($D22&amp;O$5,'②-2勤務時間数入力'!$D$7:$Q$106,$L22,FALSE)</f>
        <v>#N/A</v>
      </c>
      <c r="P22" s="65" t="str">
        <f t="shared" si="0"/>
        <v>×</v>
      </c>
      <c r="Q22" s="65" t="e">
        <f>VLOOKUP($D22&amp;Q$5,'②-2勤務時間数入力'!$D$7:$Q$106,$L22,FALSE)</f>
        <v>#N/A</v>
      </c>
      <c r="R22" s="65" t="str">
        <f t="shared" si="1"/>
        <v>×</v>
      </c>
      <c r="S22" s="65" t="e">
        <f>VLOOKUP($D22&amp;S$5,'②-2勤務時間数入力'!$D$7:$Q$106,$L22,FALSE)</f>
        <v>#N/A</v>
      </c>
      <c r="T22" s="65" t="str">
        <f t="shared" si="2"/>
        <v>×</v>
      </c>
    </row>
    <row r="23" spans="1:20" ht="15" customHeight="1">
      <c r="A23" s="821"/>
      <c r="B23" s="825"/>
      <c r="C23" s="823"/>
      <c r="D23" s="145" t="str">
        <f t="shared" si="8"/>
        <v/>
      </c>
      <c r="E23" s="63" t="str">
        <f t="shared" si="5"/>
        <v/>
      </c>
      <c r="F23" s="62" t="str">
        <f t="shared" si="3"/>
        <v/>
      </c>
      <c r="G23" s="146" t="str">
        <f>IF($C22="","",IF(D23="","",IF($E23="正規職員","-",IF(AND(EXACT(C20,C22),EXACT(D21,D23),EXACT(E21,E23)),G21,"賃金単価を記載"))))</f>
        <v/>
      </c>
      <c r="H23" s="62" t="str">
        <f>IF($C22="","",IF(D23="","",IF($E23="正規職員","-",F23*G23)))</f>
        <v/>
      </c>
      <c r="I23" s="62">
        <f t="shared" si="6"/>
        <v>302333.33333333401</v>
      </c>
      <c r="J23" s="62">
        <f>IFERROR(IF($B22="-","",IF(D23="","",IF(E23="正規職員",I23-J22,MIN(MIN(H23:I23),I22-J22)))),0)</f>
        <v>0</v>
      </c>
      <c r="K23" s="64" t="str">
        <f t="shared" si="7"/>
        <v/>
      </c>
      <c r="L23" s="65">
        <f t="shared" ref="L23" si="22">L22</f>
        <v>11</v>
      </c>
      <c r="M23" s="65" t="e">
        <f>VLOOKUP($D23&amp;M$5,'②-2勤務時間数入力'!$D$7:$Q$106,$L23,FALSE)</f>
        <v>#N/A</v>
      </c>
      <c r="N23" s="65" t="str">
        <f t="shared" si="4"/>
        <v>×</v>
      </c>
      <c r="O23" s="65" t="e">
        <f>VLOOKUP($D23&amp;O$5,'②-2勤務時間数入力'!$D$7:$Q$106,$L23,FALSE)</f>
        <v>#N/A</v>
      </c>
      <c r="P23" s="65" t="str">
        <f t="shared" si="0"/>
        <v>×</v>
      </c>
      <c r="Q23" s="65" t="e">
        <f>VLOOKUP($D23&amp;Q$5,'②-2勤務時間数入力'!$D$7:$Q$106,$L23,FALSE)</f>
        <v>#N/A</v>
      </c>
      <c r="R23" s="65" t="str">
        <f t="shared" si="1"/>
        <v>×</v>
      </c>
      <c r="S23" s="65" t="e">
        <f>VLOOKUP($D23&amp;S$5,'②-2勤務時間数入力'!$D$7:$Q$106,$L23,FALSE)</f>
        <v>#N/A</v>
      </c>
      <c r="T23" s="65" t="str">
        <f t="shared" si="2"/>
        <v>×</v>
      </c>
    </row>
    <row r="24" spans="1:20" ht="15" customHeight="1">
      <c r="A24" s="820">
        <v>1</v>
      </c>
      <c r="B24" s="824" t="e">
        <f>IF(判定!Y18="OK",1,"-")</f>
        <v>#N/A</v>
      </c>
      <c r="C24" s="822" t="str">
        <f>IFERROR(INDEX($H$43:$I$48,MATCH(判定!AG18,$H$43:$H$48,0),2),"-")</f>
        <v>-</v>
      </c>
      <c r="D24" s="145" t="str">
        <f t="shared" si="8"/>
        <v/>
      </c>
      <c r="E24" s="63" t="str">
        <f t="shared" si="5"/>
        <v/>
      </c>
      <c r="F24" s="62" t="str">
        <f t="shared" si="3"/>
        <v/>
      </c>
      <c r="G24" s="146" t="str">
        <f>IF($C24="","",IF($E24="正規職員","-",IF(AND(EXACT(C22,C24),EXACT(D22,D24),EXACT(E22,E24)),G22,"賃金単価を記載")))</f>
        <v/>
      </c>
      <c r="H24" s="62" t="e">
        <f>IF($C24="","",IF($E24="正規職員","-",F24*G24))</f>
        <v>#VALUE!</v>
      </c>
      <c r="I24" s="62">
        <f t="shared" si="6"/>
        <v>302333.33333333401</v>
      </c>
      <c r="J24" s="62">
        <f>IFERROR(IF($B24="-","",IF(D24="",0,IF(E24="正規職員",I24,MIN(H24:I24)))),0)</f>
        <v>0</v>
      </c>
      <c r="K24" s="64" t="str">
        <f t="shared" si="7"/>
        <v/>
      </c>
      <c r="L24" s="65">
        <f t="shared" ref="L24" si="23">L22+1</f>
        <v>12</v>
      </c>
      <c r="M24" s="65" t="e">
        <f>VLOOKUP($D24&amp;M$5,'②-2勤務時間数入力'!$D$7:$Q$106,$L24,FALSE)</f>
        <v>#N/A</v>
      </c>
      <c r="N24" s="65" t="str">
        <f t="shared" si="4"/>
        <v>×</v>
      </c>
      <c r="O24" s="65" t="e">
        <f>VLOOKUP($D24&amp;O$5,'②-2勤務時間数入力'!$D$7:$Q$106,$L24,FALSE)</f>
        <v>#N/A</v>
      </c>
      <c r="P24" s="65" t="str">
        <f t="shared" si="0"/>
        <v>×</v>
      </c>
      <c r="Q24" s="65" t="e">
        <f>VLOOKUP($D24&amp;Q$5,'②-2勤務時間数入力'!$D$7:$Q$106,$L24,FALSE)</f>
        <v>#N/A</v>
      </c>
      <c r="R24" s="65" t="str">
        <f t="shared" si="1"/>
        <v>×</v>
      </c>
      <c r="S24" s="65" t="e">
        <f>VLOOKUP($D24&amp;S$5,'②-2勤務時間数入力'!$D$7:$Q$106,$L24,FALSE)</f>
        <v>#N/A</v>
      </c>
      <c r="T24" s="65" t="str">
        <f t="shared" si="2"/>
        <v>×</v>
      </c>
    </row>
    <row r="25" spans="1:20" ht="15" customHeight="1">
      <c r="A25" s="821"/>
      <c r="B25" s="825"/>
      <c r="C25" s="823"/>
      <c r="D25" s="145" t="str">
        <f t="shared" si="8"/>
        <v/>
      </c>
      <c r="E25" s="63" t="str">
        <f t="shared" si="5"/>
        <v/>
      </c>
      <c r="F25" s="62" t="str">
        <f t="shared" si="3"/>
        <v/>
      </c>
      <c r="G25" s="146" t="str">
        <f>IF($C24="","",IF(D25="","",IF($E25="正規職員","-",IF(AND(EXACT(C22,C24),EXACT(D23,D25),EXACT(E23,E25)),G23,"賃金単価を記載"))))</f>
        <v/>
      </c>
      <c r="H25" s="62" t="str">
        <f>IF($C24="","",IF(D25="","",IF($E25="正規職員","-",F25*G25)))</f>
        <v/>
      </c>
      <c r="I25" s="62">
        <f t="shared" si="6"/>
        <v>302333.33333333401</v>
      </c>
      <c r="J25" s="62">
        <f>IFERROR(IF($B24="-","",IF(D25="","",IF(E25="正規職員",I25-J24,MIN(MIN(H25:I25),I24-J24)))),0)</f>
        <v>0</v>
      </c>
      <c r="K25" s="64" t="str">
        <f t="shared" si="7"/>
        <v/>
      </c>
      <c r="L25" s="65">
        <f t="shared" ref="L25" si="24">L24</f>
        <v>12</v>
      </c>
      <c r="M25" s="65" t="e">
        <f>VLOOKUP($D25&amp;M$5,'②-2勤務時間数入力'!$D$7:$Q$106,$L25,FALSE)</f>
        <v>#N/A</v>
      </c>
      <c r="N25" s="65" t="str">
        <f t="shared" si="4"/>
        <v>×</v>
      </c>
      <c r="O25" s="65" t="e">
        <f>VLOOKUP($D25&amp;O$5,'②-2勤務時間数入力'!$D$7:$Q$106,$L25,FALSE)</f>
        <v>#N/A</v>
      </c>
      <c r="P25" s="65" t="str">
        <f t="shared" si="0"/>
        <v>×</v>
      </c>
      <c r="Q25" s="65" t="e">
        <f>VLOOKUP($D25&amp;Q$5,'②-2勤務時間数入力'!$D$7:$Q$106,$L25,FALSE)</f>
        <v>#N/A</v>
      </c>
      <c r="R25" s="65" t="str">
        <f t="shared" si="1"/>
        <v>×</v>
      </c>
      <c r="S25" s="65" t="e">
        <f>VLOOKUP($D25&amp;S$5,'②-2勤務時間数入力'!$D$7:$Q$106,$L25,FALSE)</f>
        <v>#N/A</v>
      </c>
      <c r="T25" s="65" t="str">
        <f t="shared" si="2"/>
        <v>×</v>
      </c>
    </row>
    <row r="26" spans="1:20" ht="15" customHeight="1">
      <c r="A26" s="820">
        <v>2</v>
      </c>
      <c r="B26" s="824" t="e">
        <f>IF(判定!Y19="OK",1,"-")</f>
        <v>#N/A</v>
      </c>
      <c r="C26" s="822" t="str">
        <f>IFERROR(INDEX($H$43:$I$48,MATCH(判定!AG19,$H$43:$H$48,0),2),"-")</f>
        <v>-</v>
      </c>
      <c r="D26" s="145" t="str">
        <f t="shared" si="8"/>
        <v/>
      </c>
      <c r="E26" s="63" t="str">
        <f t="shared" si="5"/>
        <v/>
      </c>
      <c r="F26" s="62" t="str">
        <f t="shared" si="3"/>
        <v/>
      </c>
      <c r="G26" s="146" t="str">
        <f>IF($C26="","",IF($E26="正規職員","-",IF(AND(EXACT(C24,C26),EXACT(D24,D26),EXACT(E24,E26)),G24,"賃金単価を記載")))</f>
        <v/>
      </c>
      <c r="H26" s="62" t="e">
        <f>IF($C26="","",IF($E26="正規職員","-",F26*G26))</f>
        <v>#VALUE!</v>
      </c>
      <c r="I26" s="62">
        <f t="shared" si="6"/>
        <v>302333.33333333401</v>
      </c>
      <c r="J26" s="62">
        <f>IFERROR(IF($B26="-","",IF(D26="",0,IF(E26="正規職員",I26,MIN(H26:I26)))),0)</f>
        <v>0</v>
      </c>
      <c r="K26" s="64" t="str">
        <f t="shared" si="7"/>
        <v/>
      </c>
      <c r="L26" s="65">
        <f t="shared" ref="L26" si="25">L24+1</f>
        <v>13</v>
      </c>
      <c r="M26" s="65" t="e">
        <f>VLOOKUP($D26&amp;M$5,'②-2勤務時間数入力'!$D$7:$Q$106,$L26,FALSE)</f>
        <v>#N/A</v>
      </c>
      <c r="N26" s="65" t="str">
        <f t="shared" si="4"/>
        <v>×</v>
      </c>
      <c r="O26" s="65" t="e">
        <f>VLOOKUP($D26&amp;O$5,'②-2勤務時間数入力'!$D$7:$Q$106,$L26,FALSE)</f>
        <v>#N/A</v>
      </c>
      <c r="P26" s="65" t="str">
        <f t="shared" si="0"/>
        <v>×</v>
      </c>
      <c r="Q26" s="65" t="e">
        <f>VLOOKUP($D26&amp;Q$5,'②-2勤務時間数入力'!$D$7:$Q$106,$L26,FALSE)</f>
        <v>#N/A</v>
      </c>
      <c r="R26" s="65" t="str">
        <f t="shared" si="1"/>
        <v>×</v>
      </c>
      <c r="S26" s="65" t="e">
        <f>VLOOKUP($D26&amp;S$5,'②-2勤務時間数入力'!$D$7:$Q$106,$L26,FALSE)</f>
        <v>#N/A</v>
      </c>
      <c r="T26" s="65" t="str">
        <f t="shared" si="2"/>
        <v>×</v>
      </c>
    </row>
    <row r="27" spans="1:20" ht="15" customHeight="1">
      <c r="A27" s="821"/>
      <c r="B27" s="825"/>
      <c r="C27" s="823"/>
      <c r="D27" s="145" t="str">
        <f t="shared" si="8"/>
        <v/>
      </c>
      <c r="E27" s="63" t="str">
        <f t="shared" si="5"/>
        <v/>
      </c>
      <c r="F27" s="62" t="str">
        <f t="shared" si="3"/>
        <v/>
      </c>
      <c r="G27" s="146" t="str">
        <f>IF($C26="","",IF(D27="","",IF($E27="正規職員","-",IF(AND(EXACT(C24,C26),EXACT(D25,D27),EXACT(E25,E27)),G25,"賃金単価を記載"))))</f>
        <v/>
      </c>
      <c r="H27" s="62" t="str">
        <f>IF($C26="","",IF(D27="","",IF($E27="正規職員","-",F27*G27)))</f>
        <v/>
      </c>
      <c r="I27" s="62">
        <f t="shared" si="6"/>
        <v>302333.33333333401</v>
      </c>
      <c r="J27" s="62">
        <f>IFERROR(IF($B26="-","",IF(D27="","",IF(E27="正規職員",I27-J26,MIN(MIN(H27:I27),I26-J26)))),0)</f>
        <v>0</v>
      </c>
      <c r="K27" s="64" t="str">
        <f t="shared" si="7"/>
        <v/>
      </c>
      <c r="L27" s="65">
        <f t="shared" ref="L27" si="26">L26</f>
        <v>13</v>
      </c>
      <c r="M27" s="65" t="e">
        <f>VLOOKUP($D27&amp;M$5,'②-2勤務時間数入力'!$D$7:$Q$106,$L27,FALSE)</f>
        <v>#N/A</v>
      </c>
      <c r="N27" s="65" t="str">
        <f t="shared" si="4"/>
        <v>×</v>
      </c>
      <c r="O27" s="65" t="e">
        <f>VLOOKUP($D27&amp;O$5,'②-2勤務時間数入力'!$D$7:$Q$106,$L27,FALSE)</f>
        <v>#N/A</v>
      </c>
      <c r="P27" s="65" t="str">
        <f t="shared" si="0"/>
        <v>×</v>
      </c>
      <c r="Q27" s="65" t="e">
        <f>VLOOKUP($D27&amp;Q$5,'②-2勤務時間数入力'!$D$7:$Q$106,$L27,FALSE)</f>
        <v>#N/A</v>
      </c>
      <c r="R27" s="65" t="str">
        <f t="shared" si="1"/>
        <v>×</v>
      </c>
      <c r="S27" s="65" t="e">
        <f>VLOOKUP($D27&amp;S$5,'②-2勤務時間数入力'!$D$7:$Q$106,$L27,FALSE)</f>
        <v>#N/A</v>
      </c>
      <c r="T27" s="65" t="str">
        <f t="shared" si="2"/>
        <v>×</v>
      </c>
    </row>
    <row r="28" spans="1:20" ht="15" customHeight="1">
      <c r="A28" s="820">
        <v>3</v>
      </c>
      <c r="B28" s="824" t="e">
        <f>IF(判定!Y20="OK",1,"-")</f>
        <v>#N/A</v>
      </c>
      <c r="C28" s="822" t="str">
        <f>IFERROR(INDEX($H$43:$I$48,MATCH(判定!AG20,$H$43:$H$48,0),2),"-")</f>
        <v>-</v>
      </c>
      <c r="D28" s="145" t="str">
        <f t="shared" si="8"/>
        <v/>
      </c>
      <c r="E28" s="63" t="str">
        <f t="shared" si="5"/>
        <v/>
      </c>
      <c r="F28" s="62" t="str">
        <f t="shared" si="3"/>
        <v/>
      </c>
      <c r="G28" s="146" t="str">
        <f>IF($C28="","",IF($E28="正規職員","-",IF(AND(EXACT(C26,C28),EXACT(D26,D28),EXACT(E26,E28)),G26,"賃金単価を記載")))</f>
        <v/>
      </c>
      <c r="H28" s="62" t="e">
        <f>IF($C28="","",IF($E28="正規職員","-",F28*G28))</f>
        <v>#VALUE!</v>
      </c>
      <c r="I28" s="62">
        <f t="shared" si="6"/>
        <v>302333.33333333401</v>
      </c>
      <c r="J28" s="62">
        <f>IFERROR(IF($B28="-","",IF(D28="",0,IF(E28="正規職員",I28,MIN(H28:I28)))),0)</f>
        <v>0</v>
      </c>
      <c r="K28" s="64" t="str">
        <f t="shared" si="7"/>
        <v/>
      </c>
      <c r="L28" s="65">
        <f t="shared" ref="L28" si="27">L26+1</f>
        <v>14</v>
      </c>
      <c r="M28" s="65" t="e">
        <f>VLOOKUP($D28&amp;M$5,'②-2勤務時間数入力'!$D$7:$Q$106,$L28,FALSE)</f>
        <v>#N/A</v>
      </c>
      <c r="N28" s="65" t="str">
        <f t="shared" si="4"/>
        <v>×</v>
      </c>
      <c r="O28" s="65" t="e">
        <f>VLOOKUP($D28&amp;O$5,'②-2勤務時間数入力'!$D$7:$Q$106,$L28,FALSE)</f>
        <v>#N/A</v>
      </c>
      <c r="P28" s="65" t="str">
        <f t="shared" si="0"/>
        <v>×</v>
      </c>
      <c r="Q28" s="65" t="e">
        <f>VLOOKUP($D28&amp;Q$5,'②-2勤務時間数入力'!$D$7:$Q$106,$L28,FALSE)</f>
        <v>#N/A</v>
      </c>
      <c r="R28" s="65" t="str">
        <f t="shared" si="1"/>
        <v>×</v>
      </c>
      <c r="S28" s="65" t="e">
        <f>VLOOKUP($D28&amp;S$5,'②-2勤務時間数入力'!$D$7:$Q$106,$L28,FALSE)</f>
        <v>#N/A</v>
      </c>
      <c r="T28" s="65" t="str">
        <f t="shared" si="2"/>
        <v>×</v>
      </c>
    </row>
    <row r="29" spans="1:20" ht="15" customHeight="1">
      <c r="A29" s="821"/>
      <c r="B29" s="825"/>
      <c r="C29" s="823"/>
      <c r="D29" s="145" t="str">
        <f t="shared" si="8"/>
        <v/>
      </c>
      <c r="E29" s="63" t="str">
        <f t="shared" si="5"/>
        <v/>
      </c>
      <c r="F29" s="62" t="str">
        <f t="shared" si="3"/>
        <v/>
      </c>
      <c r="G29" s="146" t="str">
        <f>IF($C28="","",IF(D29="","",IF($E29="正規職員","-",IF(AND(EXACT(C26,C28),EXACT(D27,D29),EXACT(E27,E29)),G27,"賃金単価を記載"))))</f>
        <v/>
      </c>
      <c r="H29" s="62" t="str">
        <f>IF($C28="","",IF(D29="","",IF($E29="正規職員","-",F29*G29)))</f>
        <v/>
      </c>
      <c r="I29" s="62">
        <f t="shared" si="6"/>
        <v>302333.33333333401</v>
      </c>
      <c r="J29" s="62">
        <f>IFERROR(IF($B28="-","",IF(D29="","",IF(E29="正規職員",I29-J28,MIN(MIN(H29:I29),I28-J28)))),0)</f>
        <v>0</v>
      </c>
      <c r="K29" s="64" t="str">
        <f t="shared" si="7"/>
        <v/>
      </c>
      <c r="L29" s="65">
        <f t="shared" ref="L29" si="28">L28</f>
        <v>14</v>
      </c>
      <c r="M29" s="65" t="e">
        <f>VLOOKUP($D29&amp;M$5,'②-2勤務時間数入力'!$D$7:$Q$106,$L29,FALSE)</f>
        <v>#N/A</v>
      </c>
      <c r="N29" s="65" t="str">
        <f t="shared" si="4"/>
        <v>×</v>
      </c>
      <c r="O29" s="65" t="e">
        <f>VLOOKUP($D29&amp;O$5,'②-2勤務時間数入力'!$D$7:$Q$106,$L29,FALSE)</f>
        <v>#N/A</v>
      </c>
      <c r="P29" s="65" t="str">
        <f t="shared" si="0"/>
        <v>×</v>
      </c>
      <c r="Q29" s="65" t="e">
        <f>VLOOKUP($D29&amp;Q$5,'②-2勤務時間数入力'!$D$7:$Q$106,$L29,FALSE)</f>
        <v>#N/A</v>
      </c>
      <c r="R29" s="65" t="str">
        <f t="shared" si="1"/>
        <v>×</v>
      </c>
      <c r="S29" s="65" t="e">
        <f>VLOOKUP($D29&amp;S$5,'②-2勤務時間数入力'!$D$7:$Q$106,$L29,FALSE)</f>
        <v>#N/A</v>
      </c>
      <c r="T29" s="65" t="str">
        <f t="shared" si="2"/>
        <v>×</v>
      </c>
    </row>
    <row r="30" spans="1:20" ht="15" customHeight="1">
      <c r="A30" s="61" t="s">
        <v>284</v>
      </c>
      <c r="B30" s="62"/>
      <c r="C30" s="62"/>
      <c r="D30" s="1"/>
      <c r="E30" s="62"/>
      <c r="F30" s="62"/>
      <c r="G30" s="62"/>
      <c r="H30" s="62"/>
      <c r="I30" s="62"/>
      <c r="J30" s="66">
        <f>ROUNDDOWN(SUM(J6,J8,J10,J12,J14,J16,J18,J20,J22,J24,J26,J28),-3)+ROUNDDOWN(SUM(J7,J9,J11,J13,J15,J17,J19,J21,J23,J25,J27,J29),-3)</f>
        <v>0</v>
      </c>
    </row>
    <row r="31" spans="1:20" ht="15" customHeight="1">
      <c r="B31" s="64"/>
      <c r="C31" s="64"/>
      <c r="D31" s="64"/>
      <c r="E31" s="64"/>
      <c r="F31" s="64"/>
      <c r="G31" s="64"/>
      <c r="H31" s="64"/>
      <c r="I31" s="64"/>
      <c r="J31" s="64"/>
    </row>
    <row r="33" spans="2:9">
      <c r="B33" s="85"/>
      <c r="D33" s="85"/>
      <c r="E33" s="85"/>
      <c r="F33" s="85"/>
      <c r="G33" s="85"/>
    </row>
    <row r="34" spans="2:9" ht="37.5" hidden="1" customHeight="1">
      <c r="B34" s="256"/>
      <c r="C34" s="85" t="s">
        <v>371</v>
      </c>
      <c r="D34" s="257"/>
      <c r="E34" s="257"/>
      <c r="F34" s="257"/>
      <c r="G34" s="85"/>
    </row>
    <row r="35" spans="2:9" hidden="1">
      <c r="B35" s="85"/>
      <c r="C35" s="85" t="s">
        <v>372</v>
      </c>
      <c r="D35" s="85"/>
      <c r="E35" s="85"/>
      <c r="F35" s="85"/>
      <c r="G35" s="85"/>
    </row>
    <row r="36" spans="2:9" hidden="1">
      <c r="B36" s="85"/>
      <c r="C36" s="85" t="s">
        <v>405</v>
      </c>
      <c r="D36" s="85"/>
      <c r="E36" s="85"/>
      <c r="F36" s="85"/>
      <c r="G36" s="85"/>
    </row>
    <row r="37" spans="2:9" ht="153" hidden="1" customHeight="1">
      <c r="C37" s="144" t="s">
        <v>1356</v>
      </c>
      <c r="D37" s="831" t="s">
        <v>1603</v>
      </c>
      <c r="E37" s="832"/>
      <c r="F37" s="832"/>
      <c r="G37" s="833"/>
    </row>
    <row r="38" spans="2:9" ht="48" hidden="1" customHeight="1">
      <c r="C38" s="144" t="s">
        <v>1357</v>
      </c>
      <c r="D38" s="830" t="s">
        <v>373</v>
      </c>
      <c r="E38" s="830"/>
      <c r="F38" s="830"/>
      <c r="G38" s="830"/>
    </row>
    <row r="39" spans="2:9" hidden="1"/>
    <row r="40" spans="2:9" hidden="1"/>
    <row r="41" spans="2:9" hidden="1"/>
    <row r="42" spans="2:9" hidden="1">
      <c r="I42" t="s">
        <v>1276</v>
      </c>
    </row>
    <row r="43" spans="2:9" hidden="1">
      <c r="H43" t="s">
        <v>1272</v>
      </c>
      <c r="I43" t="str">
        <f>'②-1職員名簿'!C144</f>
        <v>保育士</v>
      </c>
    </row>
    <row r="44" spans="2:9" hidden="1">
      <c r="H44" t="s">
        <v>1273</v>
      </c>
      <c r="I44" t="str">
        <f>'②-1職員名簿'!C145</f>
        <v>要件緩和</v>
      </c>
    </row>
    <row r="45" spans="2:9" hidden="1">
      <c r="H45" t="s">
        <v>1274</v>
      </c>
      <c r="I45" t="str">
        <f>'②-1職員名簿'!C146</f>
        <v>看護師等</v>
      </c>
    </row>
    <row r="46" spans="2:9" hidden="1">
      <c r="H46" t="s">
        <v>1275</v>
      </c>
      <c r="I46" t="str">
        <f>'②-1職員名簿'!C147</f>
        <v>栄養士</v>
      </c>
    </row>
    <row r="47" spans="2:9" hidden="1">
      <c r="H47" t="s">
        <v>1279</v>
      </c>
      <c r="I47" t="str">
        <f>'②-1職員名簿'!C148</f>
        <v>調理師等</v>
      </c>
    </row>
    <row r="48" spans="2:9" hidden="1">
      <c r="H48" t="s">
        <v>1280</v>
      </c>
      <c r="I48" t="str">
        <f>'②-1職員名簿'!C149</f>
        <v>保育支援者</v>
      </c>
    </row>
  </sheetData>
  <sheetProtection algorithmName="SHA-512" hashValue="6stvoUEq1LI9Yl2VHlYtbl9gjSrjUrPSvLNmOtKbKfnrlTuW87ZWTiuaUV1f1NRpQJvJe5P2e82VVw1WMnGNXw==" saltValue="3EZtgeaIABGkAFOYmBrTTw==" spinCount="100000" sheet="1" selectLockedCells="1"/>
  <mergeCells count="45">
    <mergeCell ref="A1:J1"/>
    <mergeCell ref="E2:F2"/>
    <mergeCell ref="G2:J2"/>
    <mergeCell ref="M5:N5"/>
    <mergeCell ref="O5:P5"/>
    <mergeCell ref="S5:T5"/>
    <mergeCell ref="A6:A7"/>
    <mergeCell ref="B6:B7"/>
    <mergeCell ref="C6:C7"/>
    <mergeCell ref="A8:A9"/>
    <mergeCell ref="B8:B9"/>
    <mergeCell ref="C8:C9"/>
    <mergeCell ref="Q5:R5"/>
    <mergeCell ref="A10:A11"/>
    <mergeCell ref="B10:B11"/>
    <mergeCell ref="C10:C11"/>
    <mergeCell ref="A12:A13"/>
    <mergeCell ref="B12:B13"/>
    <mergeCell ref="C12:C13"/>
    <mergeCell ref="A14:A15"/>
    <mergeCell ref="B14:B15"/>
    <mergeCell ref="C14:C15"/>
    <mergeCell ref="A16:A17"/>
    <mergeCell ref="B16:B17"/>
    <mergeCell ref="C16:C17"/>
    <mergeCell ref="A18:A19"/>
    <mergeCell ref="B18:B19"/>
    <mergeCell ref="C18:C19"/>
    <mergeCell ref="A20:A21"/>
    <mergeCell ref="B20:B21"/>
    <mergeCell ref="C20:C21"/>
    <mergeCell ref="A22:A23"/>
    <mergeCell ref="B22:B23"/>
    <mergeCell ref="C22:C23"/>
    <mergeCell ref="A24:A25"/>
    <mergeCell ref="B24:B25"/>
    <mergeCell ref="C24:C25"/>
    <mergeCell ref="D37:G37"/>
    <mergeCell ref="D38:G38"/>
    <mergeCell ref="A26:A27"/>
    <mergeCell ref="B26:B27"/>
    <mergeCell ref="C26:C27"/>
    <mergeCell ref="A28:A29"/>
    <mergeCell ref="B28:B29"/>
    <mergeCell ref="C28:C29"/>
  </mergeCells>
  <phoneticPr fontId="1"/>
  <conditionalFormatting sqref="D6:D29">
    <cfRule type="containsBlanks" dxfId="62" priority="1">
      <formula>LEN(TRIM(D6))=0</formula>
    </cfRule>
  </conditionalFormatting>
  <conditionalFormatting sqref="G6:G29">
    <cfRule type="containsText" dxfId="61" priority="2" operator="containsText" text="賃金単価を記載">
      <formula>NOT(ISERROR(SEARCH("賃金単価を記載",G6)))</formula>
    </cfRule>
  </conditionalFormatting>
  <pageMargins left="0.70866141732283472" right="0.70866141732283472" top="0.74803149606299213" bottom="0.74803149606299213" header="0.31496062992125984" footer="0.31496062992125984"/>
  <pageSetup paperSize="9" scale="96"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補助対象職種」の欄に記載された職種の方を優先的に選択_x000a_→他職種の方を選択することもできますが、複数の職種の方の混在はできません。_x000a_　例えば　「補助対象職種」が「保育士」の時に「保育士」と「保育支援者」の方を「対象者名」に入力することはできません。_x000a_※用語の定義_x000a_　看護師等→看護師、准看護師、保健師_x000a_　保育支援者→事務、通訳、補助者、調理員" xr:uid="{B275A49D-7FD4-4348-A8D0-11BBAFF2638B}">
          <x14:formula1>
            <xm:f>'②-1職員名簿'!$Y$7:$Y$106</xm:f>
          </x14:formula1>
          <xm:sqref>D6:D29</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C8824-B2E2-45DF-A935-44FBC0BC0250}">
  <sheetPr>
    <tabColor rgb="FF00B050"/>
  </sheetPr>
  <dimension ref="A1:X92"/>
  <sheetViews>
    <sheetView view="pageBreakPreview" zoomScale="85" zoomScaleNormal="115" zoomScaleSheetLayoutView="85" workbookViewId="0">
      <selection activeCell="E6" sqref="E6"/>
    </sheetView>
  </sheetViews>
  <sheetFormatPr defaultRowHeight="18"/>
  <cols>
    <col min="1" max="1" width="5.58203125" customWidth="1"/>
    <col min="2" max="2" width="6.83203125" customWidth="1"/>
    <col min="3" max="3" width="4.75" customWidth="1"/>
    <col min="4" max="4" width="8.08203125" customWidth="1"/>
    <col min="5" max="5" width="27.5" customWidth="1"/>
    <col min="6" max="6" width="21.25" hidden="1" customWidth="1"/>
    <col min="7" max="7" width="10" customWidth="1"/>
    <col min="8" max="8" width="10.58203125" customWidth="1"/>
    <col min="9" max="13" width="11.25" customWidth="1"/>
    <col min="14" max="14" width="12.83203125" bestFit="1" customWidth="1"/>
    <col min="15" max="15" width="0" hidden="1" customWidth="1"/>
  </cols>
  <sheetData>
    <row r="1" spans="1:24" s="21" customFormat="1" ht="19">
      <c r="A1" s="826" t="s">
        <v>290</v>
      </c>
      <c r="B1" s="826"/>
      <c r="C1" s="826"/>
      <c r="D1" s="826"/>
      <c r="E1" s="826"/>
      <c r="F1" s="826"/>
      <c r="G1" s="826"/>
      <c r="H1" s="826"/>
      <c r="I1" s="826"/>
      <c r="J1" s="826"/>
      <c r="K1" s="826"/>
      <c r="L1" s="826"/>
      <c r="M1" s="826"/>
      <c r="N1" s="826"/>
      <c r="O1" s="203"/>
      <c r="P1" s="203"/>
      <c r="Q1" s="203"/>
      <c r="R1" s="203"/>
      <c r="S1" s="203"/>
    </row>
    <row r="2" spans="1:24" s="21" customFormat="1" ht="19">
      <c r="G2" s="849" t="s">
        <v>114</v>
      </c>
      <c r="H2" s="849"/>
      <c r="I2" s="850">
        <f>①基本情報!D5</f>
        <v>0</v>
      </c>
      <c r="J2" s="850"/>
      <c r="K2" s="850"/>
      <c r="L2" s="850"/>
      <c r="M2" s="850"/>
      <c r="N2" s="850"/>
      <c r="P2" s="21" t="s">
        <v>1601</v>
      </c>
    </row>
    <row r="3" spans="1:24" s="21" customFormat="1" ht="42" customHeight="1">
      <c r="G3" s="68"/>
      <c r="H3" s="68"/>
      <c r="I3" s="69"/>
      <c r="J3" s="69"/>
      <c r="K3" s="69"/>
      <c r="L3" s="69"/>
      <c r="M3" s="69"/>
      <c r="N3" s="69"/>
    </row>
    <row r="4" spans="1:24">
      <c r="A4" s="59" t="s">
        <v>289</v>
      </c>
      <c r="B4" t="s">
        <v>1416</v>
      </c>
    </row>
    <row r="5" spans="1:24" ht="36">
      <c r="B5" s="273" t="s">
        <v>1027</v>
      </c>
      <c r="C5" s="259" t="s">
        <v>1358</v>
      </c>
      <c r="D5" s="205" t="s">
        <v>1309</v>
      </c>
      <c r="E5" s="55" t="s">
        <v>274</v>
      </c>
      <c r="F5" s="205" t="s">
        <v>1555</v>
      </c>
      <c r="G5" s="188" t="s">
        <v>275</v>
      </c>
      <c r="H5" s="188" t="s">
        <v>276</v>
      </c>
      <c r="I5" s="55" t="s">
        <v>277</v>
      </c>
      <c r="J5" s="55" t="s">
        <v>307</v>
      </c>
      <c r="K5" s="55" t="s">
        <v>308</v>
      </c>
      <c r="L5" s="55" t="s">
        <v>278</v>
      </c>
      <c r="M5" s="55" t="s">
        <v>279</v>
      </c>
      <c r="N5" s="55" t="s">
        <v>280</v>
      </c>
      <c r="P5" s="60" t="s">
        <v>281</v>
      </c>
      <c r="Q5" s="828" t="s">
        <v>224</v>
      </c>
      <c r="R5" s="829"/>
      <c r="S5" s="828" t="s">
        <v>225</v>
      </c>
      <c r="T5" s="829"/>
      <c r="U5" s="828" t="s">
        <v>282</v>
      </c>
      <c r="V5" s="829"/>
      <c r="W5" s="828" t="s">
        <v>283</v>
      </c>
      <c r="X5" s="829"/>
    </row>
    <row r="6" spans="1:24" ht="13.5" customHeight="1">
      <c r="A6" s="820">
        <v>4</v>
      </c>
      <c r="B6" s="848" t="e">
        <f>IF(①基本情報!F41="有",①基本情報!F42,"無")</f>
        <v>#N/A</v>
      </c>
      <c r="C6" s="845" t="e">
        <f>IF(判定!AU9="NG","-",1)</f>
        <v>#N/A</v>
      </c>
      <c r="D6" s="835" t="str">
        <f>IFERROR(INDEX($L$83:$M$88,MATCH(判定!AU9,$L$83:$L$88,0),2),"-")</f>
        <v>-</v>
      </c>
      <c r="E6" s="145"/>
      <c r="F6" s="277"/>
      <c r="G6" s="189" t="str">
        <f t="shared" ref="G6:G10" si="0">IF(E6="","",IF(R6="○",Q$5,IF(T6="○",S$5,IF(V6="○",U$5,IF(X6="○",W$5,"ERROR")))))</f>
        <v/>
      </c>
      <c r="H6" s="190" t="str">
        <f t="shared" ref="H6:H10" si="1">IF(E6="","",IF(R6="○",Q6,IF(T6="○",S6,IF(V6="○",U6,IF(X6="○",W6,"ERROR")))))</f>
        <v/>
      </c>
      <c r="I6" s="146" t="str">
        <f t="shared" ref="I6:I10" si="2">IF($E6="","",IF($G6="正規職員","-","賃金単価を記載"))</f>
        <v/>
      </c>
      <c r="J6" s="146" t="str">
        <f t="shared" ref="J6:J10" si="3">IF($E6="","",IF($G6="正規職員","-","勤務日数を記載（定期利用の場合、1と記載)"))</f>
        <v/>
      </c>
      <c r="K6" s="146" t="str">
        <f t="shared" ref="K6:K10" si="4">IF($E6="","",IF($G6="正規職員","-","日額の交通費を記載（定期利用の場合は月額)"))</f>
        <v/>
      </c>
      <c r="L6" s="62" t="str">
        <f t="shared" ref="L6:L10" si="5">IF($E6="","",IF($G6="正規職員","-",(H6*I6+J6*K6)))</f>
        <v/>
      </c>
      <c r="M6" s="279">
        <v>199000</v>
      </c>
      <c r="N6" s="62">
        <f>IFERROR(IF($C6="-","",IF(E6="",0,IF(G6="正規職員",M6,MIN(L6:M6)))),0)</f>
        <v>0</v>
      </c>
      <c r="O6" s="64" t="str">
        <f>IF(E6="","",IF(COUNTIFS(E6,"*給食室*")=1,"○","エラー"))</f>
        <v/>
      </c>
      <c r="P6" s="65">
        <v>3</v>
      </c>
      <c r="Q6" s="65" t="e">
        <f>VLOOKUP($E6&amp;Q$5,'②-2勤務時間数入力'!$D$7:$Q$106,$P6,FALSE)</f>
        <v>#N/A</v>
      </c>
      <c r="R6" s="65" t="str">
        <f>IF(ISERROR(Q6),"×",IF(Q6="-","×","○"))</f>
        <v>×</v>
      </c>
      <c r="S6" s="65" t="e">
        <f>VLOOKUP($E6&amp;S$5,'②-2勤務時間数入力'!$D$7:$Q$106,$P6,FALSE)</f>
        <v>#N/A</v>
      </c>
      <c r="T6" s="65" t="str">
        <f>IF(ISERROR(S6),"×",IF(S6="-","×","○"))</f>
        <v>×</v>
      </c>
      <c r="U6" s="65" t="e">
        <f>VLOOKUP($E6&amp;U$5,'②-2勤務時間数入力'!$D$7:$Q$106,$P6,FALSE)</f>
        <v>#N/A</v>
      </c>
      <c r="V6" s="65" t="str">
        <f>IF(ISERROR(U6),"×",IF(U6="-","×","○"))</f>
        <v>×</v>
      </c>
      <c r="W6" s="65" t="e">
        <f>VLOOKUP($E6&amp;W$5,'②-2勤務時間数入力'!$D$7:$Q$106,$P6,FALSE)</f>
        <v>#N/A</v>
      </c>
      <c r="X6" s="65" t="str">
        <f>IF(ISERROR(W6),"×",IF(W6="-","×","○"))</f>
        <v>×</v>
      </c>
    </row>
    <row r="7" spans="1:24" ht="13.5" customHeight="1">
      <c r="A7" s="839"/>
      <c r="B7" s="848"/>
      <c r="C7" s="846"/>
      <c r="D7" s="836"/>
      <c r="E7" s="145"/>
      <c r="F7" s="277"/>
      <c r="G7" s="189" t="str">
        <f t="shared" si="0"/>
        <v/>
      </c>
      <c r="H7" s="190" t="str">
        <f t="shared" si="1"/>
        <v/>
      </c>
      <c r="I7" s="146" t="str">
        <f t="shared" si="2"/>
        <v/>
      </c>
      <c r="J7" s="146" t="str">
        <f t="shared" si="3"/>
        <v/>
      </c>
      <c r="K7" s="146" t="str">
        <f t="shared" si="4"/>
        <v/>
      </c>
      <c r="L7" s="62" t="str">
        <f t="shared" si="5"/>
        <v/>
      </c>
      <c r="M7" s="62">
        <f>$M$6</f>
        <v>199000</v>
      </c>
      <c r="N7" s="62">
        <f>IFERROR(IF($C6="-","",IF(E7="","",IF(G7="正規職員",M7-L6,MIN(MIN(L7:M7),M6-N6)))),0)</f>
        <v>0</v>
      </c>
      <c r="O7" s="64" t="str">
        <f t="shared" ref="O7:O10" si="6">IF(E7="","",IF(COUNTIFS(E7,"*給食室*")=1,"○","エラー"))</f>
        <v/>
      </c>
      <c r="P7" s="65">
        <f>P6</f>
        <v>3</v>
      </c>
      <c r="Q7" s="65" t="e">
        <f>VLOOKUP($E7&amp;Q$5,'②-2勤務時間数入力'!$D$7:$Q$106,$P7,FALSE)</f>
        <v>#N/A</v>
      </c>
      <c r="R7" s="65" t="str">
        <f>IF(ISERROR(Q7),"×",IF(Q7="-","×","○"))</f>
        <v>×</v>
      </c>
      <c r="S7" s="65" t="e">
        <f>VLOOKUP($E7&amp;S$5,'②-2勤務時間数入力'!$D$7:$Q$106,$P7,FALSE)</f>
        <v>#N/A</v>
      </c>
      <c r="T7" s="65" t="str">
        <f>IF(ISERROR(S7),"×",IF(S7="-","×","○"))</f>
        <v>×</v>
      </c>
      <c r="U7" s="65" t="e">
        <f>VLOOKUP($E7&amp;U$5,'②-2勤務時間数入力'!$D$7:$Q$106,$P7,FALSE)</f>
        <v>#N/A</v>
      </c>
      <c r="V7" s="65" t="str">
        <f>IF(ISERROR(U7),"×",IF(U7="-","×","○"))</f>
        <v>×</v>
      </c>
      <c r="W7" s="65" t="e">
        <f>VLOOKUP($E7&amp;W$5,'②-2勤務時間数入力'!$D$7:$Q$106,$P7,FALSE)</f>
        <v>#N/A</v>
      </c>
      <c r="X7" s="65" t="str">
        <f>IF(ISERROR(W7),"×",IF(W7="-","×","○"))</f>
        <v>×</v>
      </c>
    </row>
    <row r="8" spans="1:24" ht="13.5" customHeight="1">
      <c r="A8" s="839"/>
      <c r="B8" s="848"/>
      <c r="C8" s="846"/>
      <c r="D8" s="836"/>
      <c r="E8" s="145"/>
      <c r="F8" s="277"/>
      <c r="G8" s="189" t="str">
        <f t="shared" si="0"/>
        <v/>
      </c>
      <c r="H8" s="190" t="str">
        <f t="shared" si="1"/>
        <v/>
      </c>
      <c r="I8" s="146" t="str">
        <f t="shared" si="2"/>
        <v/>
      </c>
      <c r="J8" s="146" t="str">
        <f t="shared" si="3"/>
        <v/>
      </c>
      <c r="K8" s="146" t="str">
        <f t="shared" si="4"/>
        <v/>
      </c>
      <c r="L8" s="62" t="str">
        <f t="shared" si="5"/>
        <v/>
      </c>
      <c r="M8" s="62">
        <f>$M$6</f>
        <v>199000</v>
      </c>
      <c r="N8" s="62">
        <f>IFERROR(IF($C6="-","",IF(E8="","",IF(G8="正規職員",M8-L7,MIN(MIN(L8:M8),M7-N7)))),0)</f>
        <v>0</v>
      </c>
      <c r="O8" s="64" t="str">
        <f t="shared" si="6"/>
        <v/>
      </c>
      <c r="P8" s="65">
        <f t="shared" ref="P8:P9" si="7">P7</f>
        <v>3</v>
      </c>
      <c r="Q8" s="65" t="e">
        <f>VLOOKUP($E8&amp;Q$5,'②-2勤務時間数入力'!$D$7:$Q$106,$P8,FALSE)</f>
        <v>#N/A</v>
      </c>
      <c r="R8" s="65" t="str">
        <f>IF(ISERROR(Q8),"×",IF(Q8="-","×","○"))</f>
        <v>×</v>
      </c>
      <c r="S8" s="65" t="e">
        <f>VLOOKUP($E8&amp;S$5,'②-2勤務時間数入力'!$D$7:$Q$106,$P8,FALSE)</f>
        <v>#N/A</v>
      </c>
      <c r="T8" s="65" t="str">
        <f>IF(ISERROR(S8),"×",IF(S8="-","×","○"))</f>
        <v>×</v>
      </c>
      <c r="U8" s="65" t="e">
        <f>VLOOKUP($E8&amp;U$5,'②-2勤務時間数入力'!$D$7:$Q$106,$P8,FALSE)</f>
        <v>#N/A</v>
      </c>
      <c r="V8" s="65" t="str">
        <f>IF(ISERROR(U8),"×",IF(U8="-","×","○"))</f>
        <v>×</v>
      </c>
      <c r="W8" s="65" t="e">
        <f>VLOOKUP($E8&amp;W$5,'②-2勤務時間数入力'!$D$7:$Q$106,$P8,FALSE)</f>
        <v>#N/A</v>
      </c>
      <c r="X8" s="65" t="str">
        <f>IF(ISERROR(W8),"×",IF(W8="-","×","○"))</f>
        <v>×</v>
      </c>
    </row>
    <row r="9" spans="1:24" ht="13.5" customHeight="1">
      <c r="A9" s="839"/>
      <c r="B9" s="848"/>
      <c r="C9" s="846"/>
      <c r="D9" s="836"/>
      <c r="E9" s="145"/>
      <c r="F9" s="277"/>
      <c r="G9" s="189" t="str">
        <f t="shared" si="0"/>
        <v/>
      </c>
      <c r="H9" s="190" t="str">
        <f t="shared" si="1"/>
        <v/>
      </c>
      <c r="I9" s="146" t="str">
        <f t="shared" si="2"/>
        <v/>
      </c>
      <c r="J9" s="146" t="str">
        <f t="shared" si="3"/>
        <v/>
      </c>
      <c r="K9" s="146" t="str">
        <f t="shared" si="4"/>
        <v/>
      </c>
      <c r="L9" s="62" t="str">
        <f t="shared" si="5"/>
        <v/>
      </c>
      <c r="M9" s="62">
        <f>$M$6</f>
        <v>199000</v>
      </c>
      <c r="N9" s="62">
        <f>IFERROR(IF($C6="-","",IF(E9="","",IF(G9="正規職員",M9-L8,MIN(MIN(L9:M9),M8-N8)))),0)</f>
        <v>0</v>
      </c>
      <c r="O9" s="64" t="str">
        <f t="shared" si="6"/>
        <v/>
      </c>
      <c r="P9" s="65">
        <f t="shared" si="7"/>
        <v>3</v>
      </c>
      <c r="Q9" s="65" t="e">
        <f>VLOOKUP($E9&amp;Q$5,'②-2勤務時間数入力'!$D$7:$Q$106,$P9,FALSE)</f>
        <v>#N/A</v>
      </c>
      <c r="R9" s="65" t="str">
        <f>IF(ISERROR(Q9),"×",IF(Q9="-","×","○"))</f>
        <v>×</v>
      </c>
      <c r="S9" s="65" t="e">
        <f>VLOOKUP($E9&amp;S$5,'②-2勤務時間数入力'!$D$7:$Q$106,$P9,FALSE)</f>
        <v>#N/A</v>
      </c>
      <c r="T9" s="65" t="str">
        <f>IF(ISERROR(S9),"×",IF(S9="-","×","○"))</f>
        <v>×</v>
      </c>
      <c r="U9" s="65" t="e">
        <f>VLOOKUP($E9&amp;U$5,'②-2勤務時間数入力'!$D$7:$Q$106,$P9,FALSE)</f>
        <v>#N/A</v>
      </c>
      <c r="V9" s="65" t="str">
        <f>IF(ISERROR(U9),"×",IF(U9="-","×","○"))</f>
        <v>×</v>
      </c>
      <c r="W9" s="65" t="e">
        <f>VLOOKUP($E9&amp;W$5,'②-2勤務時間数入力'!$D$7:$Q$106,$P9,FALSE)</f>
        <v>#N/A</v>
      </c>
      <c r="X9" s="65" t="str">
        <f>IF(ISERROR(W9),"×",IF(W9="-","×","○"))</f>
        <v>×</v>
      </c>
    </row>
    <row r="10" spans="1:24" ht="13.5" customHeight="1">
      <c r="A10" s="839"/>
      <c r="B10" s="848"/>
      <c r="C10" s="846"/>
      <c r="D10" s="836"/>
      <c r="E10" s="145"/>
      <c r="F10" s="277"/>
      <c r="G10" s="189" t="str">
        <f t="shared" si="0"/>
        <v/>
      </c>
      <c r="H10" s="190" t="str">
        <f t="shared" si="1"/>
        <v/>
      </c>
      <c r="I10" s="146" t="str">
        <f t="shared" si="2"/>
        <v/>
      </c>
      <c r="J10" s="146" t="str">
        <f t="shared" si="3"/>
        <v/>
      </c>
      <c r="K10" s="146" t="str">
        <f t="shared" si="4"/>
        <v/>
      </c>
      <c r="L10" s="62" t="str">
        <f t="shared" si="5"/>
        <v/>
      </c>
      <c r="M10" s="62">
        <f>$M$6</f>
        <v>199000</v>
      </c>
      <c r="N10" s="62">
        <f>IFERROR(IF($C6="-","",IF(E10="","",IF(G10="正規職員",M10-L9,MIN(MIN(L10:M10),M9-N9)))),0)</f>
        <v>0</v>
      </c>
      <c r="O10" s="64" t="str">
        <f t="shared" si="6"/>
        <v/>
      </c>
      <c r="P10" s="65">
        <f>P9</f>
        <v>3</v>
      </c>
      <c r="Q10" s="65" t="e">
        <f>VLOOKUP($E10&amp;Q$5,'②-2勤務時間数入力'!$D$7:$Q$106,$P10,FALSE)</f>
        <v>#N/A</v>
      </c>
      <c r="R10" s="65" t="str">
        <f>IF(ISERROR(Q10),"×",IF(Q10="-","×","○"))</f>
        <v>×</v>
      </c>
      <c r="S10" s="65" t="e">
        <f>VLOOKUP($E10&amp;S$5,'②-2勤務時間数入力'!$D$7:$Q$106,$P10,FALSE)</f>
        <v>#N/A</v>
      </c>
      <c r="T10" s="65" t="str">
        <f>IF(ISERROR(S10),"×",IF(S10="-","×","○"))</f>
        <v>×</v>
      </c>
      <c r="U10" s="65" t="e">
        <f>VLOOKUP($E10&amp;U$5,'②-2勤務時間数入力'!$D$7:$Q$106,$P10,FALSE)</f>
        <v>#N/A</v>
      </c>
      <c r="V10" s="65" t="str">
        <f>IF(ISERROR(U10),"×",IF(U10="-","×","○"))</f>
        <v>×</v>
      </c>
      <c r="W10" s="65" t="e">
        <f>VLOOKUP($E10&amp;W$5,'②-2勤務時間数入力'!$D$7:$Q$106,$P10,FALSE)</f>
        <v>#N/A</v>
      </c>
      <c r="X10" s="65" t="str">
        <f>IF(ISERROR(W10),"×",IF(W10="-","×","○"))</f>
        <v>×</v>
      </c>
    </row>
    <row r="11" spans="1:24" ht="13.5" customHeight="1">
      <c r="A11" s="840"/>
      <c r="B11" s="848"/>
      <c r="C11" s="847"/>
      <c r="D11" s="837"/>
      <c r="E11" s="1" t="s">
        <v>292</v>
      </c>
      <c r="F11" s="1"/>
      <c r="G11" s="189" t="s">
        <v>293</v>
      </c>
      <c r="H11" s="191"/>
      <c r="I11" s="63" t="s">
        <v>293</v>
      </c>
      <c r="J11" s="63"/>
      <c r="K11" s="63"/>
      <c r="L11" s="63" t="s">
        <v>293</v>
      </c>
      <c r="M11" s="63" t="s">
        <v>293</v>
      </c>
      <c r="N11" s="62">
        <f>MIN(IFERROR(IF(C6=1,IF(AND(B6="配置",OR(D6="調理師等",D6="栄養士")),MAX(SUM(N6:N10)-①基本情報!F43+10000,0),SUM(N6:N10)),0),0),$M$6)</f>
        <v>0</v>
      </c>
      <c r="O11" s="64"/>
      <c r="P11" s="65"/>
      <c r="Q11" s="65"/>
      <c r="R11" s="65"/>
      <c r="S11" s="65"/>
      <c r="T11" s="65"/>
      <c r="U11" s="65"/>
      <c r="V11" s="65"/>
      <c r="W11" s="65"/>
      <c r="X11" s="65"/>
    </row>
    <row r="12" spans="1:24" ht="13.5" customHeight="1">
      <c r="A12" s="820">
        <v>5</v>
      </c>
      <c r="B12" s="841" t="e">
        <f>IF(①基本情報!G41="有",①基本情報!G42,"無")</f>
        <v>#N/A</v>
      </c>
      <c r="C12" s="845" t="e">
        <f>IF(判定!AU10="NG","-",1)</f>
        <v>#N/A</v>
      </c>
      <c r="D12" s="835" t="str">
        <f>IFERROR(INDEX($L$83:$M$88,MATCH(判定!AU10,$L$83:$L$88,0),2),"-")</f>
        <v>-</v>
      </c>
      <c r="E12" s="145" t="str">
        <f>IF(E6="","",E6)</f>
        <v/>
      </c>
      <c r="F12" s="145" t="str">
        <f>IF(F6="","",F6)</f>
        <v/>
      </c>
      <c r="G12" s="189" t="str">
        <f t="shared" ref="G12:G16" si="8">IF(E12="","",IF(R12="○",Q$5,IF(T12="○",S$5,IF(V12="○",U$5,IF(X12="○",W$5,"ERROR")))))</f>
        <v/>
      </c>
      <c r="H12" s="190" t="str">
        <f t="shared" ref="H12:H16" si="9">IF(E12="","",IF(R12="○",Q12,IF(T12="○",S12,IF(V12="○",U12,IF(X12="○",W12,"ERROR")))))</f>
        <v/>
      </c>
      <c r="I12" s="146" t="str">
        <f>IF($E12="","",IF($G12="正規職員","-",IF(AND(EXACT($C6,$C12),EXACT($E6,$E12),EXACT($G6,$G12)),I6,"賃金単価を記載")))</f>
        <v/>
      </c>
      <c r="J12" s="146" t="str">
        <f>IF($E12="","",IF($G12="正規職員","-","勤務日数を記載（定期利用の場合、1と記載)"))</f>
        <v/>
      </c>
      <c r="K12" s="146" t="str">
        <f>IF($E12="","",IF($G12="正規職員","-",IF(AND(EXACT($C6,$C12),EXACT($E6,$E12),EXACT($G6,$G12)),K6,"日額の交通費を記載（定期利用の場合は月額)")))</f>
        <v/>
      </c>
      <c r="L12" s="62" t="str">
        <f t="shared" ref="L12:L16" si="10">IF($E12="","",IF($G12="正規職員","-",(H12*I12+J12*K12)))</f>
        <v/>
      </c>
      <c r="M12" s="62">
        <f>$M$6</f>
        <v>199000</v>
      </c>
      <c r="N12" s="62">
        <f>IFERROR(IF($C12="-","",IF(E12="",0,IF(G12="正規職員",M12,MIN(L12:M12)))),0)</f>
        <v>0</v>
      </c>
      <c r="O12" s="64" t="str">
        <f>IF(E12="","",IF(COUNTIFS(E12,"*給食室*")=1,"○","エラー"))</f>
        <v/>
      </c>
      <c r="P12" s="65">
        <v>4</v>
      </c>
      <c r="Q12" s="65" t="e">
        <f>VLOOKUP($E12&amp;Q$5,'②-2勤務時間数入力'!$D$7:$Q$106,$P12,FALSE)</f>
        <v>#N/A</v>
      </c>
      <c r="R12" s="65" t="str">
        <f>IF(ISERROR(Q12),"×",IF(Q12="-","×","○"))</f>
        <v>×</v>
      </c>
      <c r="S12" s="65" t="e">
        <f>VLOOKUP($E12&amp;S$5,'②-2勤務時間数入力'!$D$7:$Q$106,$P12,FALSE)</f>
        <v>#N/A</v>
      </c>
      <c r="T12" s="65" t="str">
        <f>IF(ISERROR(S12),"×",IF(S12="-","×","○"))</f>
        <v>×</v>
      </c>
      <c r="U12" s="65" t="e">
        <f>VLOOKUP($E12&amp;U$5,'②-2勤務時間数入力'!$D$7:$Q$106,$P12,FALSE)</f>
        <v>#N/A</v>
      </c>
      <c r="V12" s="65" t="str">
        <f>IF(ISERROR(U12),"×",IF(U12="-","×","○"))</f>
        <v>×</v>
      </c>
      <c r="W12" s="65" t="e">
        <f>VLOOKUP($E12&amp;W$5,'②-2勤務時間数入力'!$D$7:$Q$106,$P12,FALSE)</f>
        <v>#N/A</v>
      </c>
      <c r="X12" s="65" t="str">
        <f>IF(ISERROR(W12),"×",IF(W12="-","×","○"))</f>
        <v>×</v>
      </c>
    </row>
    <row r="13" spans="1:24" ht="13.5" customHeight="1">
      <c r="A13" s="839"/>
      <c r="B13" s="842"/>
      <c r="C13" s="846"/>
      <c r="D13" s="836"/>
      <c r="E13" s="145" t="str">
        <f t="shared" ref="E13:F16" si="11">IF(E7="","",E7)</f>
        <v/>
      </c>
      <c r="F13" s="145" t="str">
        <f t="shared" si="11"/>
        <v/>
      </c>
      <c r="G13" s="189" t="str">
        <f t="shared" si="8"/>
        <v/>
      </c>
      <c r="H13" s="190" t="str">
        <f t="shared" si="9"/>
        <v/>
      </c>
      <c r="I13" s="146" t="str">
        <f>IF($E13="","",IF($G13="正規職員","-",IF(AND(EXACT($C6,$C12),EXACT($E7,$E13),EXACT($G7,$G13)),I7,"賃金単価を記載")))</f>
        <v/>
      </c>
      <c r="J13" s="146" t="str">
        <f t="shared" ref="J13:J16" si="12">IF($E13="","",IF($G13="正規職員","-","勤務日数を記載（定期利用の場合、1と記載)"))</f>
        <v/>
      </c>
      <c r="K13" s="146" t="str">
        <f>IF($E13="","",IF($G13="正規職員","-",IF(AND(EXACT($C6,$C12),EXACT($E7,$E13),EXACT($G7,$G13)),K7,"日額の交通費を記載（定期利用の場合は月額)")))</f>
        <v/>
      </c>
      <c r="L13" s="62" t="str">
        <f t="shared" si="10"/>
        <v/>
      </c>
      <c r="M13" s="62">
        <f>$M$6</f>
        <v>199000</v>
      </c>
      <c r="N13" s="62">
        <f>IFERROR(IF($C12="-","",IF(E13="","",IF(G13="正規職員",M13-L12,MIN(MIN(L13:M13),M12-N12)))),0)</f>
        <v>0</v>
      </c>
      <c r="O13" s="64" t="str">
        <f t="shared" ref="O13:O16" si="13">IF(E13="","",IF(COUNTIFS(E13,"*給食室*")=1,"○","エラー"))</f>
        <v/>
      </c>
      <c r="P13" s="65">
        <f t="shared" ref="P13:P16" si="14">P12</f>
        <v>4</v>
      </c>
      <c r="Q13" s="65" t="e">
        <f>VLOOKUP($E13&amp;Q$5,'②-2勤務時間数入力'!$D$7:$Q$106,$P13,FALSE)</f>
        <v>#N/A</v>
      </c>
      <c r="R13" s="65" t="str">
        <f>IF(ISERROR(Q13),"×",IF(Q13="-","×","○"))</f>
        <v>×</v>
      </c>
      <c r="S13" s="65" t="e">
        <f>VLOOKUP($E13&amp;S$5,'②-2勤務時間数入力'!$D$7:$Q$106,$P13,FALSE)</f>
        <v>#N/A</v>
      </c>
      <c r="T13" s="65" t="str">
        <f>IF(ISERROR(S13),"×",IF(S13="-","×","○"))</f>
        <v>×</v>
      </c>
      <c r="U13" s="65" t="e">
        <f>VLOOKUP($E13&amp;U$5,'②-2勤務時間数入力'!$D$7:$Q$106,$P13,FALSE)</f>
        <v>#N/A</v>
      </c>
      <c r="V13" s="65" t="str">
        <f>IF(ISERROR(U13),"×",IF(U13="-","×","○"))</f>
        <v>×</v>
      </c>
      <c r="W13" s="65" t="e">
        <f>VLOOKUP($E13&amp;W$5,'②-2勤務時間数入力'!$D$7:$Q$106,$P13,FALSE)</f>
        <v>#N/A</v>
      </c>
      <c r="X13" s="65" t="str">
        <f>IF(ISERROR(W13),"×",IF(W13="-","×","○"))</f>
        <v>×</v>
      </c>
    </row>
    <row r="14" spans="1:24" ht="13.5" customHeight="1">
      <c r="A14" s="839"/>
      <c r="B14" s="842"/>
      <c r="C14" s="846"/>
      <c r="D14" s="836"/>
      <c r="E14" s="145" t="str">
        <f t="shared" si="11"/>
        <v/>
      </c>
      <c r="F14" s="145" t="str">
        <f t="shared" si="11"/>
        <v/>
      </c>
      <c r="G14" s="189" t="str">
        <f t="shared" si="8"/>
        <v/>
      </c>
      <c r="H14" s="190" t="str">
        <f t="shared" si="9"/>
        <v/>
      </c>
      <c r="I14" s="146" t="str">
        <f>IF($E14="","",IF($G14="正規職員","-",IF(AND(EXACT($C6,$C12),EXACT($E8,$E14),EXACT($G8,$G14)),I8,"賃金単価を記載")))</f>
        <v/>
      </c>
      <c r="J14" s="146" t="str">
        <f t="shared" si="12"/>
        <v/>
      </c>
      <c r="K14" s="146" t="str">
        <f>IF($E14="","",IF($G14="正規職員","-",IF(AND(EXACT($C6,$C12),EXACT($E8,$E14),EXACT($G8,$G14)),K8,"日額の交通費を記載（定期利用の場合は月額)")))</f>
        <v/>
      </c>
      <c r="L14" s="62" t="str">
        <f t="shared" si="10"/>
        <v/>
      </c>
      <c r="M14" s="62">
        <f>$M$6</f>
        <v>199000</v>
      </c>
      <c r="N14" s="62">
        <f>IFERROR(IF($C12="-","",IF(E14="","",IF(G14="正規職員",M14-L13,MIN(MIN(L14:M14),M13-N13)))),0)</f>
        <v>0</v>
      </c>
      <c r="O14" s="64" t="str">
        <f t="shared" si="13"/>
        <v/>
      </c>
      <c r="P14" s="65">
        <f t="shared" si="14"/>
        <v>4</v>
      </c>
      <c r="Q14" s="65" t="e">
        <f>VLOOKUP($E14&amp;Q$5,'②-2勤務時間数入力'!$D$7:$Q$106,$P14,FALSE)</f>
        <v>#N/A</v>
      </c>
      <c r="R14" s="65" t="str">
        <f>IF(ISERROR(Q14),"×",IF(Q14="-","×","○"))</f>
        <v>×</v>
      </c>
      <c r="S14" s="65" t="e">
        <f>VLOOKUP($E14&amp;S$5,'②-2勤務時間数入力'!$D$7:$Q$106,$P14,FALSE)</f>
        <v>#N/A</v>
      </c>
      <c r="T14" s="65" t="str">
        <f>IF(ISERROR(S14),"×",IF(S14="-","×","○"))</f>
        <v>×</v>
      </c>
      <c r="U14" s="65" t="e">
        <f>VLOOKUP($E14&amp;U$5,'②-2勤務時間数入力'!$D$7:$Q$106,$P14,FALSE)</f>
        <v>#N/A</v>
      </c>
      <c r="V14" s="65" t="str">
        <f>IF(ISERROR(U14),"×",IF(U14="-","×","○"))</f>
        <v>×</v>
      </c>
      <c r="W14" s="65" t="e">
        <f>VLOOKUP($E14&amp;W$5,'②-2勤務時間数入力'!$D$7:$Q$106,$P14,FALSE)</f>
        <v>#N/A</v>
      </c>
      <c r="X14" s="65" t="str">
        <f>IF(ISERROR(W14),"×",IF(W14="-","×","○"))</f>
        <v>×</v>
      </c>
    </row>
    <row r="15" spans="1:24" ht="13.5" customHeight="1">
      <c r="A15" s="839"/>
      <c r="B15" s="842"/>
      <c r="C15" s="846"/>
      <c r="D15" s="836"/>
      <c r="E15" s="145" t="str">
        <f t="shared" si="11"/>
        <v/>
      </c>
      <c r="F15" s="145" t="str">
        <f t="shared" si="11"/>
        <v/>
      </c>
      <c r="G15" s="189" t="str">
        <f t="shared" si="8"/>
        <v/>
      </c>
      <c r="H15" s="190" t="str">
        <f t="shared" si="9"/>
        <v/>
      </c>
      <c r="I15" s="146" t="str">
        <f>IF($E15="","",IF($G15="正規職員","-",IF(AND(EXACT($C6,$C12),EXACT($E9,$E15),EXACT($G9,$G15)),I9,"賃金単価を記載")))</f>
        <v/>
      </c>
      <c r="J15" s="146" t="str">
        <f t="shared" si="12"/>
        <v/>
      </c>
      <c r="K15" s="146" t="str">
        <f>IF($E15="","",IF($G15="正規職員","-",IF(AND(EXACT($C6,$C12),EXACT($E9,$E15),EXACT($G9,$G15)),K9,"日額の交通費を記載（定期利用の場合は月額)")))</f>
        <v/>
      </c>
      <c r="L15" s="62" t="str">
        <f t="shared" si="10"/>
        <v/>
      </c>
      <c r="M15" s="62">
        <f>$M$6</f>
        <v>199000</v>
      </c>
      <c r="N15" s="62">
        <f>IFERROR(IF($C12="-","",IF(E15="","",IF(G15="正規職員",M15-L14,MIN(MIN(L15:M15),M14-N14)))),0)</f>
        <v>0</v>
      </c>
      <c r="O15" s="64" t="str">
        <f t="shared" si="13"/>
        <v/>
      </c>
      <c r="P15" s="65">
        <f t="shared" si="14"/>
        <v>4</v>
      </c>
      <c r="Q15" s="65" t="e">
        <f>VLOOKUP($E15&amp;Q$5,'②-2勤務時間数入力'!$D$7:$Q$106,$P15,FALSE)</f>
        <v>#N/A</v>
      </c>
      <c r="R15" s="65" t="str">
        <f>IF(ISERROR(Q15),"×",IF(Q15="-","×","○"))</f>
        <v>×</v>
      </c>
      <c r="S15" s="65" t="e">
        <f>VLOOKUP($E15&amp;S$5,'②-2勤務時間数入力'!$D$7:$Q$106,$P15,FALSE)</f>
        <v>#N/A</v>
      </c>
      <c r="T15" s="65" t="str">
        <f>IF(ISERROR(S15),"×",IF(S15="-","×","○"))</f>
        <v>×</v>
      </c>
      <c r="U15" s="65" t="e">
        <f>VLOOKUP($E15&amp;U$5,'②-2勤務時間数入力'!$D$7:$Q$106,$P15,FALSE)</f>
        <v>#N/A</v>
      </c>
      <c r="V15" s="65" t="str">
        <f>IF(ISERROR(U15),"×",IF(U15="-","×","○"))</f>
        <v>×</v>
      </c>
      <c r="W15" s="65" t="e">
        <f>VLOOKUP($E15&amp;W$5,'②-2勤務時間数入力'!$D$7:$Q$106,$P15,FALSE)</f>
        <v>#N/A</v>
      </c>
      <c r="X15" s="65" t="str">
        <f>IF(ISERROR(W15),"×",IF(W15="-","×","○"))</f>
        <v>×</v>
      </c>
    </row>
    <row r="16" spans="1:24" ht="13.5" customHeight="1">
      <c r="A16" s="839"/>
      <c r="B16" s="842"/>
      <c r="C16" s="846"/>
      <c r="D16" s="836"/>
      <c r="E16" s="145" t="str">
        <f t="shared" si="11"/>
        <v/>
      </c>
      <c r="F16" s="145" t="str">
        <f t="shared" si="11"/>
        <v/>
      </c>
      <c r="G16" s="189" t="str">
        <f t="shared" si="8"/>
        <v/>
      </c>
      <c r="H16" s="190" t="str">
        <f t="shared" si="9"/>
        <v/>
      </c>
      <c r="I16" s="146" t="str">
        <f>IF($E16="","",IF($G16="正規職員","-",IF(AND(EXACT($C6,$C12),EXACT($E10,$E16),EXACT($G10,$G16)),I10,"賃金単価を記載")))</f>
        <v/>
      </c>
      <c r="J16" s="146" t="str">
        <f t="shared" si="12"/>
        <v/>
      </c>
      <c r="K16" s="146" t="str">
        <f>IF($E16="","",IF($G16="正規職員","-",IF(AND(EXACT($C6,$C12),EXACT($E10,$E16),EXACT($G10,$G16)),K10,"日額の交通費を記載（定期利用の場合は月額)")))</f>
        <v/>
      </c>
      <c r="L16" s="62" t="str">
        <f t="shared" si="10"/>
        <v/>
      </c>
      <c r="M16" s="62">
        <f>$M$6</f>
        <v>199000</v>
      </c>
      <c r="N16" s="62">
        <f>IFERROR(IF($C12="-","",IF(E16="","",IF(G16="正規職員",M16-L15,MIN(MIN(L16:M16),M15-N15)))),0)</f>
        <v>0</v>
      </c>
      <c r="O16" s="64" t="str">
        <f t="shared" si="13"/>
        <v/>
      </c>
      <c r="P16" s="65">
        <f t="shared" si="14"/>
        <v>4</v>
      </c>
      <c r="Q16" s="65" t="e">
        <f>VLOOKUP($E16&amp;Q$5,'②-2勤務時間数入力'!$D$7:$Q$106,$P16,FALSE)</f>
        <v>#N/A</v>
      </c>
      <c r="R16" s="65" t="str">
        <f>IF(ISERROR(Q16),"×",IF(Q16="-","×","○"))</f>
        <v>×</v>
      </c>
      <c r="S16" s="65" t="e">
        <f>VLOOKUP($E16&amp;S$5,'②-2勤務時間数入力'!$D$7:$Q$106,$P16,FALSE)</f>
        <v>#N/A</v>
      </c>
      <c r="T16" s="65" t="str">
        <f>IF(ISERROR(S16),"×",IF(S16="-","×","○"))</f>
        <v>×</v>
      </c>
      <c r="U16" s="65" t="e">
        <f>VLOOKUP($E16&amp;U$5,'②-2勤務時間数入力'!$D$7:$Q$106,$P16,FALSE)</f>
        <v>#N/A</v>
      </c>
      <c r="V16" s="65" t="str">
        <f>IF(ISERROR(U16),"×",IF(U16="-","×","○"))</f>
        <v>×</v>
      </c>
      <c r="W16" s="65" t="e">
        <f>VLOOKUP($E16&amp;W$5,'②-2勤務時間数入力'!$D$7:$Q$106,$P16,FALSE)</f>
        <v>#N/A</v>
      </c>
      <c r="X16" s="65" t="str">
        <f>IF(ISERROR(W16),"×",IF(W16="-","×","○"))</f>
        <v>×</v>
      </c>
    </row>
    <row r="17" spans="1:24" ht="13.5" customHeight="1">
      <c r="A17" s="840"/>
      <c r="B17" s="843"/>
      <c r="C17" s="847"/>
      <c r="D17" s="837"/>
      <c r="E17" s="1" t="s">
        <v>294</v>
      </c>
      <c r="F17" s="1"/>
      <c r="G17" s="189" t="s">
        <v>293</v>
      </c>
      <c r="H17" s="191"/>
      <c r="I17" s="63" t="s">
        <v>293</v>
      </c>
      <c r="J17" s="63"/>
      <c r="K17" s="63"/>
      <c r="L17" s="63" t="s">
        <v>293</v>
      </c>
      <c r="M17" s="63" t="s">
        <v>293</v>
      </c>
      <c r="N17" s="62">
        <f>MIN(IFERROR(IF(C12=1,IF(AND(B12="配置",OR(D12="調理師等",D12="栄養士")),MAX(SUM(N12:N16)-①基本情報!G43+10000,0),SUM(N12:N16)),0),0),$M$6)</f>
        <v>0</v>
      </c>
      <c r="O17" s="64" t="e">
        <f>IF(SUM(N12:N16)&gt;#REF!*$M$6,MIN($M$6,SUM(N12:N16)-ROUNDDOWN(#REF!*$M$6,0)),0)</f>
        <v>#REF!</v>
      </c>
      <c r="P17" s="65"/>
      <c r="Q17" s="65"/>
      <c r="R17" s="65"/>
      <c r="S17" s="65"/>
      <c r="T17" s="65"/>
      <c r="U17" s="65"/>
      <c r="V17" s="65"/>
      <c r="W17" s="65"/>
      <c r="X17" s="65"/>
    </row>
    <row r="18" spans="1:24" ht="13.5" customHeight="1">
      <c r="A18" s="820">
        <v>6</v>
      </c>
      <c r="B18" s="841" t="e">
        <f>IF(①基本情報!H41="有",①基本情報!H42,"無")</f>
        <v>#N/A</v>
      </c>
      <c r="C18" s="845" t="e">
        <f>IF(判定!AU11="NG","-",1)</f>
        <v>#N/A</v>
      </c>
      <c r="D18" s="835" t="str">
        <f>IFERROR(INDEX($L$83:$M$88,MATCH(判定!AU11,$L$83:$L$88,0),2),"-")</f>
        <v>-</v>
      </c>
      <c r="E18" s="145" t="str">
        <f t="shared" ref="E18:E22" si="15">IF(E12="","",E12)</f>
        <v/>
      </c>
      <c r="F18" s="277"/>
      <c r="G18" s="189" t="str">
        <f t="shared" ref="G18:G22" si="16">IF(E18="","",IF(R18="○",Q$5,IF(T18="○",S$5,IF(V18="○",U$5,IF(X18="○",W$5,"ERROR")))))</f>
        <v/>
      </c>
      <c r="H18" s="190" t="str">
        <f t="shared" ref="H18:H22" si="17">IF(E18="","",IF(R18="○",Q18,IF(T18="○",S18,IF(V18="○",U18,IF(X18="○",W18,"ERROR")))))</f>
        <v/>
      </c>
      <c r="I18" s="146" t="str">
        <f>IF($E18="","",IF($G18="正規職員","-",IF(AND(EXACT($C12,$C18),EXACT($E12,$E18),EXACT($G12,$G18)),I12,"賃金単価を記載")))</f>
        <v/>
      </c>
      <c r="J18" s="146" t="str">
        <f>IF($E18="","",IF($G18="正規職員","-","勤務日数を記載（定期利用の場合、1と記載)"))</f>
        <v/>
      </c>
      <c r="K18" s="146" t="str">
        <f>IF($E18="","",IF($G18="正規職員","-",IF(AND(EXACT($C12,$C18),EXACT($E12,$E18),EXACT($G12,$G18)),K12,"日額の交通費を記載（定期利用の場合は月額)")))</f>
        <v/>
      </c>
      <c r="L18" s="62" t="str">
        <f t="shared" ref="L18:L22" si="18">IF($E18="","",IF($G18="正規職員","-",(H18*I18+J18*K18)))</f>
        <v/>
      </c>
      <c r="M18" s="62">
        <f>$M$6</f>
        <v>199000</v>
      </c>
      <c r="N18" s="62">
        <f>IFERROR(IF($C18="-","",IF(E18="",0,IF(G18="正規職員",M18,MIN(L18:M18)))),0)</f>
        <v>0</v>
      </c>
      <c r="O18" s="64" t="str">
        <f>IF(E18="","",IF(COUNTIFS(E18,"*給食室*")=1,"○","エラー"))</f>
        <v/>
      </c>
      <c r="P18" s="65">
        <v>5</v>
      </c>
      <c r="Q18" s="65" t="e">
        <f>VLOOKUP($E18&amp;Q$5,'②-2勤務時間数入力'!$D$7:$Q$106,$P18,FALSE)</f>
        <v>#N/A</v>
      </c>
      <c r="R18" s="65" t="str">
        <f>IF(ISERROR(Q18),"×",IF(Q18="-","×","○"))</f>
        <v>×</v>
      </c>
      <c r="S18" s="65" t="e">
        <f>VLOOKUP($E18&amp;S$5,'②-2勤務時間数入力'!$D$7:$Q$106,$P18,FALSE)</f>
        <v>#N/A</v>
      </c>
      <c r="T18" s="65" t="str">
        <f>IF(ISERROR(S18),"×",IF(S18="-","×","○"))</f>
        <v>×</v>
      </c>
      <c r="U18" s="65" t="e">
        <f>VLOOKUP($E18&amp;U$5,'②-2勤務時間数入力'!$D$7:$Q$106,$P18,FALSE)</f>
        <v>#N/A</v>
      </c>
      <c r="V18" s="65" t="str">
        <f>IF(ISERROR(U18),"×",IF(U18="-","×","○"))</f>
        <v>×</v>
      </c>
      <c r="W18" s="65" t="e">
        <f>VLOOKUP($E18&amp;W$5,'②-2勤務時間数入力'!$D$7:$Q$106,$P18,FALSE)</f>
        <v>#N/A</v>
      </c>
      <c r="X18" s="65" t="str">
        <f>IF(ISERROR(W18),"×",IF(W18="-","×","○"))</f>
        <v>×</v>
      </c>
    </row>
    <row r="19" spans="1:24" ht="13.5" customHeight="1">
      <c r="A19" s="839"/>
      <c r="B19" s="842"/>
      <c r="C19" s="846"/>
      <c r="D19" s="836"/>
      <c r="E19" s="145" t="str">
        <f t="shared" si="15"/>
        <v/>
      </c>
      <c r="F19" s="277"/>
      <c r="G19" s="189" t="str">
        <f t="shared" si="16"/>
        <v/>
      </c>
      <c r="H19" s="190" t="str">
        <f t="shared" si="17"/>
        <v/>
      </c>
      <c r="I19" s="146" t="str">
        <f>IF($E19="","",IF($G19="正規職員","-",IF(AND(EXACT($C12,$C18),EXACT($E13,$E19),EXACT($G13,$G19)),I13,"賃金単価を記載")))</f>
        <v/>
      </c>
      <c r="J19" s="146" t="str">
        <f t="shared" ref="J19:J22" si="19">IF($E19="","",IF($G19="正規職員","-","勤務日数を記載（定期利用の場合、1と記載)"))</f>
        <v/>
      </c>
      <c r="K19" s="146" t="str">
        <f>IF($E19="","",IF($G19="正規職員","-",IF(AND(EXACT($C12,$C18),EXACT($E13,$E19),EXACT($G13,$G19)),K13,"日額の交通費を記載（定期利用の場合は月額)")))</f>
        <v/>
      </c>
      <c r="L19" s="62" t="str">
        <f t="shared" si="18"/>
        <v/>
      </c>
      <c r="M19" s="62">
        <f>$M$6</f>
        <v>199000</v>
      </c>
      <c r="N19" s="62">
        <f>IFERROR(IF($C18="-","",IF(E19="","",IF(G19="正規職員",M19-L18,MIN(MIN(L19:M19),M18-N18)))),0)</f>
        <v>0</v>
      </c>
      <c r="O19" s="64" t="str">
        <f t="shared" ref="O19:O22" si="20">IF(E19="","",IF(COUNTIFS(E19,"*給食室*")=1,"○","エラー"))</f>
        <v/>
      </c>
      <c r="P19" s="65">
        <f t="shared" ref="P19:P22" si="21">P18</f>
        <v>5</v>
      </c>
      <c r="Q19" s="65" t="e">
        <f>VLOOKUP($E19&amp;Q$5,'②-2勤務時間数入力'!$D$7:$Q$106,$P19,FALSE)</f>
        <v>#N/A</v>
      </c>
      <c r="R19" s="65" t="str">
        <f>IF(ISERROR(Q19),"×",IF(Q19="-","×","○"))</f>
        <v>×</v>
      </c>
      <c r="S19" s="65" t="e">
        <f>VLOOKUP($E19&amp;S$5,'②-2勤務時間数入力'!$D$7:$Q$106,$P19,FALSE)</f>
        <v>#N/A</v>
      </c>
      <c r="T19" s="65" t="str">
        <f>IF(ISERROR(S19),"×",IF(S19="-","×","○"))</f>
        <v>×</v>
      </c>
      <c r="U19" s="65" t="e">
        <f>VLOOKUP($E19&amp;U$5,'②-2勤務時間数入力'!$D$7:$Q$106,$P19,FALSE)</f>
        <v>#N/A</v>
      </c>
      <c r="V19" s="65" t="str">
        <f>IF(ISERROR(U19),"×",IF(U19="-","×","○"))</f>
        <v>×</v>
      </c>
      <c r="W19" s="65" t="e">
        <f>VLOOKUP($E19&amp;W$5,'②-2勤務時間数入力'!$D$7:$Q$106,$P19,FALSE)</f>
        <v>#N/A</v>
      </c>
      <c r="X19" s="65" t="str">
        <f>IF(ISERROR(W19),"×",IF(W19="-","×","○"))</f>
        <v>×</v>
      </c>
    </row>
    <row r="20" spans="1:24" ht="13.5" customHeight="1">
      <c r="A20" s="839"/>
      <c r="B20" s="842"/>
      <c r="C20" s="846"/>
      <c r="D20" s="836"/>
      <c r="E20" s="145" t="str">
        <f t="shared" si="15"/>
        <v/>
      </c>
      <c r="F20" s="277"/>
      <c r="G20" s="189" t="str">
        <f t="shared" si="16"/>
        <v/>
      </c>
      <c r="H20" s="190" t="str">
        <f t="shared" si="17"/>
        <v/>
      </c>
      <c r="I20" s="146" t="str">
        <f>IF($E20="","",IF($G20="正規職員","-",IF(AND(EXACT($C12,$C18),EXACT($E14,$E20),EXACT($G14,$G20)),I14,"賃金単価を記載")))</f>
        <v/>
      </c>
      <c r="J20" s="146" t="str">
        <f t="shared" si="19"/>
        <v/>
      </c>
      <c r="K20" s="146" t="str">
        <f>IF($E20="","",IF($G20="正規職員","-",IF(AND(EXACT($C12,$C18),EXACT($E14,$E20),EXACT($G14,$G20)),K14,"日額の交通費を記載（定期利用の場合は月額)")))</f>
        <v/>
      </c>
      <c r="L20" s="62" t="str">
        <f t="shared" si="18"/>
        <v/>
      </c>
      <c r="M20" s="62">
        <f>$M$6</f>
        <v>199000</v>
      </c>
      <c r="N20" s="62">
        <f>IFERROR(IF($C18="-","",IF(E20="","",IF(G20="正規職員",M20-L19,MIN(MIN(L20:M20),M19-N19)))),0)</f>
        <v>0</v>
      </c>
      <c r="O20" s="64" t="str">
        <f t="shared" si="20"/>
        <v/>
      </c>
      <c r="P20" s="65">
        <f t="shared" si="21"/>
        <v>5</v>
      </c>
      <c r="Q20" s="65" t="e">
        <f>VLOOKUP($E20&amp;Q$5,'②-2勤務時間数入力'!$D$7:$Q$106,$P20,FALSE)</f>
        <v>#N/A</v>
      </c>
      <c r="R20" s="65" t="str">
        <f>IF(ISERROR(Q20),"×",IF(Q20="-","×","○"))</f>
        <v>×</v>
      </c>
      <c r="S20" s="65" t="e">
        <f>VLOOKUP($E20&amp;S$5,'②-2勤務時間数入力'!$D$7:$Q$106,$P20,FALSE)</f>
        <v>#N/A</v>
      </c>
      <c r="T20" s="65" t="str">
        <f>IF(ISERROR(S20),"×",IF(S20="-","×","○"))</f>
        <v>×</v>
      </c>
      <c r="U20" s="65" t="e">
        <f>VLOOKUP($E20&amp;U$5,'②-2勤務時間数入力'!$D$7:$Q$106,$P20,FALSE)</f>
        <v>#N/A</v>
      </c>
      <c r="V20" s="65" t="str">
        <f>IF(ISERROR(U20),"×",IF(U20="-","×","○"))</f>
        <v>×</v>
      </c>
      <c r="W20" s="65" t="e">
        <f>VLOOKUP($E20&amp;W$5,'②-2勤務時間数入力'!$D$7:$Q$106,$P20,FALSE)</f>
        <v>#N/A</v>
      </c>
      <c r="X20" s="65" t="str">
        <f>IF(ISERROR(W20),"×",IF(W20="-","×","○"))</f>
        <v>×</v>
      </c>
    </row>
    <row r="21" spans="1:24" ht="13.5" customHeight="1">
      <c r="A21" s="839"/>
      <c r="B21" s="842"/>
      <c r="C21" s="846"/>
      <c r="D21" s="836"/>
      <c r="E21" s="145" t="str">
        <f t="shared" si="15"/>
        <v/>
      </c>
      <c r="F21" s="277"/>
      <c r="G21" s="189" t="str">
        <f t="shared" si="16"/>
        <v/>
      </c>
      <c r="H21" s="190" t="str">
        <f t="shared" si="17"/>
        <v/>
      </c>
      <c r="I21" s="146" t="str">
        <f>IF($E21="","",IF($G21="正規職員","-",IF(AND(EXACT($C12,$C18),EXACT($E15,$E21),EXACT($G15,$G21)),I15,"賃金単価を記載")))</f>
        <v/>
      </c>
      <c r="J21" s="146" t="str">
        <f t="shared" si="19"/>
        <v/>
      </c>
      <c r="K21" s="146" t="str">
        <f>IF($E21="","",IF($G21="正規職員","-",IF(AND(EXACT($C12,$C18),EXACT($E15,$E21),EXACT($G15,$G21)),K15,"日額の交通費を記載（定期利用の場合は月額)")))</f>
        <v/>
      </c>
      <c r="L21" s="62" t="str">
        <f t="shared" si="18"/>
        <v/>
      </c>
      <c r="M21" s="62">
        <f>$M$6</f>
        <v>199000</v>
      </c>
      <c r="N21" s="62">
        <f>IFERROR(IF($C18="-","",IF(E21="","",IF(G21="正規職員",M21-L20,MIN(MIN(L21:M21),M20-N20)))),0)</f>
        <v>0</v>
      </c>
      <c r="O21" s="64" t="str">
        <f t="shared" si="20"/>
        <v/>
      </c>
      <c r="P21" s="65">
        <f t="shared" si="21"/>
        <v>5</v>
      </c>
      <c r="Q21" s="65" t="e">
        <f>VLOOKUP($E21&amp;Q$5,'②-2勤務時間数入力'!$D$7:$Q$106,$P21,FALSE)</f>
        <v>#N/A</v>
      </c>
      <c r="R21" s="65" t="str">
        <f>IF(ISERROR(Q21),"×",IF(Q21="-","×","○"))</f>
        <v>×</v>
      </c>
      <c r="S21" s="65" t="e">
        <f>VLOOKUP($E21&amp;S$5,'②-2勤務時間数入力'!$D$7:$Q$106,$P21,FALSE)</f>
        <v>#N/A</v>
      </c>
      <c r="T21" s="65" t="str">
        <f>IF(ISERROR(S21),"×",IF(S21="-","×","○"))</f>
        <v>×</v>
      </c>
      <c r="U21" s="65" t="e">
        <f>VLOOKUP($E21&amp;U$5,'②-2勤務時間数入力'!$D$7:$Q$106,$P21,FALSE)</f>
        <v>#N/A</v>
      </c>
      <c r="V21" s="65" t="str">
        <f>IF(ISERROR(U21),"×",IF(U21="-","×","○"))</f>
        <v>×</v>
      </c>
      <c r="W21" s="65" t="e">
        <f>VLOOKUP($E21&amp;W$5,'②-2勤務時間数入力'!$D$7:$Q$106,$P21,FALSE)</f>
        <v>#N/A</v>
      </c>
      <c r="X21" s="65" t="str">
        <f>IF(ISERROR(W21),"×",IF(W21="-","×","○"))</f>
        <v>×</v>
      </c>
    </row>
    <row r="22" spans="1:24" ht="13.5" customHeight="1">
      <c r="A22" s="839"/>
      <c r="B22" s="842"/>
      <c r="C22" s="846"/>
      <c r="D22" s="836"/>
      <c r="E22" s="145" t="str">
        <f t="shared" si="15"/>
        <v/>
      </c>
      <c r="F22" s="277"/>
      <c r="G22" s="189" t="str">
        <f t="shared" si="16"/>
        <v/>
      </c>
      <c r="H22" s="190" t="str">
        <f t="shared" si="17"/>
        <v/>
      </c>
      <c r="I22" s="146" t="str">
        <f>IF($E22="","",IF($G22="正規職員","-",IF(AND(EXACT($C12,$C18),EXACT($E16,$E22),EXACT($G16,$G22)),I16,"賃金単価を記載")))</f>
        <v/>
      </c>
      <c r="J22" s="146" t="str">
        <f t="shared" si="19"/>
        <v/>
      </c>
      <c r="K22" s="146" t="str">
        <f>IF($E22="","",IF($G22="正規職員","-",IF(AND(EXACT($C12,$C18),EXACT($E16,$E22),EXACT($G16,$G22)),K16,"日額の交通費を記載（定期利用の場合は月額)")))</f>
        <v/>
      </c>
      <c r="L22" s="62" t="str">
        <f t="shared" si="18"/>
        <v/>
      </c>
      <c r="M22" s="62">
        <f>$M$6</f>
        <v>199000</v>
      </c>
      <c r="N22" s="62">
        <f>IFERROR(IF($C18="-","",IF(E22="","",IF(G22="正規職員",M22-L21,MIN(MIN(L22:M22),M21-N21)))),0)</f>
        <v>0</v>
      </c>
      <c r="O22" s="64" t="str">
        <f t="shared" si="20"/>
        <v/>
      </c>
      <c r="P22" s="65">
        <f t="shared" si="21"/>
        <v>5</v>
      </c>
      <c r="Q22" s="65" t="e">
        <f>VLOOKUP($E22&amp;Q$5,'②-2勤務時間数入力'!$D$7:$Q$106,$P22,FALSE)</f>
        <v>#N/A</v>
      </c>
      <c r="R22" s="65" t="str">
        <f>IF(ISERROR(Q22),"×",IF(Q22="-","×","○"))</f>
        <v>×</v>
      </c>
      <c r="S22" s="65" t="e">
        <f>VLOOKUP($E22&amp;S$5,'②-2勤務時間数入力'!$D$7:$Q$106,$P22,FALSE)</f>
        <v>#N/A</v>
      </c>
      <c r="T22" s="65" t="str">
        <f>IF(ISERROR(S22),"×",IF(S22="-","×","○"))</f>
        <v>×</v>
      </c>
      <c r="U22" s="65" t="e">
        <f>VLOOKUP($E22&amp;U$5,'②-2勤務時間数入力'!$D$7:$Q$106,$P22,FALSE)</f>
        <v>#N/A</v>
      </c>
      <c r="V22" s="65" t="str">
        <f>IF(ISERROR(U22),"×",IF(U22="-","×","○"))</f>
        <v>×</v>
      </c>
      <c r="W22" s="65" t="e">
        <f>VLOOKUP($E22&amp;W$5,'②-2勤務時間数入力'!$D$7:$Q$106,$P22,FALSE)</f>
        <v>#N/A</v>
      </c>
      <c r="X22" s="65" t="str">
        <f>IF(ISERROR(W22),"×",IF(W22="-","×","○"))</f>
        <v>×</v>
      </c>
    </row>
    <row r="23" spans="1:24" ht="13.5" customHeight="1">
      <c r="A23" s="840"/>
      <c r="B23" s="843"/>
      <c r="C23" s="847"/>
      <c r="D23" s="837"/>
      <c r="E23" s="1" t="s">
        <v>295</v>
      </c>
      <c r="F23" s="1"/>
      <c r="G23" s="189" t="s">
        <v>293</v>
      </c>
      <c r="H23" s="191"/>
      <c r="I23" s="63" t="s">
        <v>293</v>
      </c>
      <c r="J23" s="63"/>
      <c r="K23" s="63"/>
      <c r="L23" s="63" t="s">
        <v>293</v>
      </c>
      <c r="M23" s="63" t="s">
        <v>293</v>
      </c>
      <c r="N23" s="62">
        <f>MIN(IFERROR(IF(C18=1,IF(AND(B18="配置",OR(D18="調理師等",D18="栄養士")),MAX(SUM(N18:N22)-①基本情報!H43+10000,0),SUM(N18:N22)),0),0),$M$6)</f>
        <v>0</v>
      </c>
      <c r="O23" s="64" t="e">
        <f>IF(SUM(N18:N22)&gt;#REF!*$M$6,MIN($M$6,SUM(N18:N22)-ROUNDDOWN(#REF!*$M$6,0)),0)</f>
        <v>#REF!</v>
      </c>
      <c r="P23" s="65"/>
      <c r="Q23" s="65"/>
      <c r="R23" s="65"/>
      <c r="S23" s="65"/>
      <c r="T23" s="65"/>
      <c r="U23" s="65"/>
      <c r="V23" s="65"/>
      <c r="W23" s="65"/>
      <c r="X23" s="65"/>
    </row>
    <row r="24" spans="1:24" ht="13.5" customHeight="1">
      <c r="A24" s="820">
        <v>7</v>
      </c>
      <c r="B24" s="841" t="e">
        <f>IF(①基本情報!I41="有",①基本情報!I42,"無")</f>
        <v>#N/A</v>
      </c>
      <c r="C24" s="845" t="e">
        <f>IF(判定!AU12="NG","-",1)</f>
        <v>#N/A</v>
      </c>
      <c r="D24" s="835" t="str">
        <f>IFERROR(INDEX($L$83:$M$88,MATCH(判定!AU12,$L$83:$L$88,0),2),"-")</f>
        <v>-</v>
      </c>
      <c r="E24" s="145" t="str">
        <f>IF(E18="","",E18)</f>
        <v/>
      </c>
      <c r="F24" s="277"/>
      <c r="G24" s="189" t="str">
        <f t="shared" ref="G24:G28" si="22">IF(E24="","",IF(R24="○",Q$5,IF(T24="○",S$5,IF(V24="○",U$5,IF(X24="○",W$5,"ERROR")))))</f>
        <v/>
      </c>
      <c r="H24" s="190" t="str">
        <f t="shared" ref="H24:H28" si="23">IF(E24="","",IF(R24="○",Q24,IF(T24="○",S24,IF(V24="○",U24,IF(X24="○",W24,"ERROR")))))</f>
        <v/>
      </c>
      <c r="I24" s="146" t="str">
        <f>IF($E24="","",IF($G24="正規職員","-",IF(AND(EXACT($C18,$C24),EXACT($E18,$E24),EXACT($G18,$G24)),I18,"賃金単価を記載")))</f>
        <v/>
      </c>
      <c r="J24" s="146" t="str">
        <f>IF($E24="","",IF($G24="正規職員","-","勤務日数を記載（定期利用の場合、1と記載)"))</f>
        <v/>
      </c>
      <c r="K24" s="146" t="str">
        <f>IF($E24="","",IF($G24="正規職員","-",IF(AND(EXACT($C18,$C24),EXACT($E18,$E24),EXACT($G18,$G24)),K18,"日額の交通費を記載（定期利用の場合は月額)")))</f>
        <v/>
      </c>
      <c r="L24" s="62" t="str">
        <f t="shared" ref="L24:L28" si="24">IF($E24="","",IF($G24="正規職員","-",(H24*I24+J24*K24)))</f>
        <v/>
      </c>
      <c r="M24" s="62">
        <f>$M$6</f>
        <v>199000</v>
      </c>
      <c r="N24" s="62">
        <f>IFERROR(IF($C24="-","",IF(E24="",0,IF(G24="正規職員",M24,MIN(L24:M24)))),0)</f>
        <v>0</v>
      </c>
      <c r="O24" s="64" t="str">
        <f>IF(E24="","",IF(COUNTIFS(E24,"*給食室*")=1,"○","エラー"))</f>
        <v/>
      </c>
      <c r="P24" s="65">
        <v>6</v>
      </c>
      <c r="Q24" s="65" t="e">
        <f>VLOOKUP($E24&amp;Q$5,'②-2勤務時間数入力'!$D$7:$Q$106,$P24,FALSE)</f>
        <v>#N/A</v>
      </c>
      <c r="R24" s="65" t="str">
        <f>IF(ISERROR(Q24),"×",IF(Q24="-","×","○"))</f>
        <v>×</v>
      </c>
      <c r="S24" s="65" t="e">
        <f>VLOOKUP($E24&amp;S$5,'②-2勤務時間数入力'!$D$7:$Q$106,$P24,FALSE)</f>
        <v>#N/A</v>
      </c>
      <c r="T24" s="65" t="str">
        <f>IF(ISERROR(S24),"×",IF(S24="-","×","○"))</f>
        <v>×</v>
      </c>
      <c r="U24" s="65" t="e">
        <f>VLOOKUP($E24&amp;U$5,'②-2勤務時間数入力'!$D$7:$Q$106,$P24,FALSE)</f>
        <v>#N/A</v>
      </c>
      <c r="V24" s="65" t="str">
        <f>IF(ISERROR(U24),"×",IF(U24="-","×","○"))</f>
        <v>×</v>
      </c>
      <c r="W24" s="65" t="e">
        <f>VLOOKUP($E24&amp;W$5,'②-2勤務時間数入力'!$D$7:$Q$106,$P24,FALSE)</f>
        <v>#N/A</v>
      </c>
      <c r="X24" s="65" t="str">
        <f>IF(ISERROR(W24),"×",IF(W24="-","×","○"))</f>
        <v>×</v>
      </c>
    </row>
    <row r="25" spans="1:24" ht="13.5" customHeight="1">
      <c r="A25" s="839"/>
      <c r="B25" s="842"/>
      <c r="C25" s="846"/>
      <c r="D25" s="836"/>
      <c r="E25" s="145" t="str">
        <f t="shared" ref="E25:E28" si="25">IF(E19="","",E19)</f>
        <v/>
      </c>
      <c r="F25" s="277"/>
      <c r="G25" s="189" t="str">
        <f t="shared" si="22"/>
        <v/>
      </c>
      <c r="H25" s="190" t="str">
        <f t="shared" si="23"/>
        <v/>
      </c>
      <c r="I25" s="146" t="str">
        <f>IF($E25="","",IF($G25="正規職員","-",IF(AND(EXACT($C18,$C24),EXACT($E19,$E25),EXACT($G19,$G25)),I19,"賃金単価を記載")))</f>
        <v/>
      </c>
      <c r="J25" s="146" t="str">
        <f t="shared" ref="J25:J28" si="26">IF($E25="","",IF($G25="正規職員","-","勤務日数を記載（定期利用の場合、1と記載)"))</f>
        <v/>
      </c>
      <c r="K25" s="146" t="str">
        <f>IF($E25="","",IF($G25="正規職員","-",IF(AND(EXACT($C18,$C24),EXACT($E19,$E25),EXACT($G19,$G25)),K19,"日額の交通費を記載（定期利用の場合は月額)")))</f>
        <v/>
      </c>
      <c r="L25" s="62" t="str">
        <f t="shared" si="24"/>
        <v/>
      </c>
      <c r="M25" s="62">
        <f>$M$6</f>
        <v>199000</v>
      </c>
      <c r="N25" s="62">
        <f>IFERROR(IF($C24="-","",IF(E25="","",IF(G25="正規職員",M25-L24,MIN(MIN(L25:M25),M24-N24)))),0)</f>
        <v>0</v>
      </c>
      <c r="O25" s="64" t="str">
        <f t="shared" ref="O25:O28" si="27">IF(E25="","",IF(COUNTIFS(E25,"*給食室*")=1,"○","エラー"))</f>
        <v/>
      </c>
      <c r="P25" s="65">
        <f t="shared" ref="P25:P28" si="28">P24</f>
        <v>6</v>
      </c>
      <c r="Q25" s="65" t="e">
        <f>VLOOKUP($E25&amp;Q$5,'②-2勤務時間数入力'!$D$7:$Q$106,$P25,FALSE)</f>
        <v>#N/A</v>
      </c>
      <c r="R25" s="65" t="str">
        <f>IF(ISERROR(Q25),"×",IF(Q25="-","×","○"))</f>
        <v>×</v>
      </c>
      <c r="S25" s="65" t="e">
        <f>VLOOKUP($E25&amp;S$5,'②-2勤務時間数入力'!$D$7:$Q$106,$P25,FALSE)</f>
        <v>#N/A</v>
      </c>
      <c r="T25" s="65" t="str">
        <f>IF(ISERROR(S25),"×",IF(S25="-","×","○"))</f>
        <v>×</v>
      </c>
      <c r="U25" s="65" t="e">
        <f>VLOOKUP($E25&amp;U$5,'②-2勤務時間数入力'!$D$7:$Q$106,$P25,FALSE)</f>
        <v>#N/A</v>
      </c>
      <c r="V25" s="65" t="str">
        <f>IF(ISERROR(U25),"×",IF(U25="-","×","○"))</f>
        <v>×</v>
      </c>
      <c r="W25" s="65" t="e">
        <f>VLOOKUP($E25&amp;W$5,'②-2勤務時間数入力'!$D$7:$Q$106,$P25,FALSE)</f>
        <v>#N/A</v>
      </c>
      <c r="X25" s="65" t="str">
        <f>IF(ISERROR(W25),"×",IF(W25="-","×","○"))</f>
        <v>×</v>
      </c>
    </row>
    <row r="26" spans="1:24" ht="13.5" customHeight="1">
      <c r="A26" s="839"/>
      <c r="B26" s="842"/>
      <c r="C26" s="846"/>
      <c r="D26" s="836"/>
      <c r="E26" s="145" t="str">
        <f t="shared" si="25"/>
        <v/>
      </c>
      <c r="F26" s="277"/>
      <c r="G26" s="189" t="str">
        <f t="shared" si="22"/>
        <v/>
      </c>
      <c r="H26" s="190" t="str">
        <f t="shared" si="23"/>
        <v/>
      </c>
      <c r="I26" s="146" t="str">
        <f>IF($E26="","",IF($G26="正規職員","-",IF(AND(EXACT($C18,$C24),EXACT($E20,$E26),EXACT($G20,$G26)),I20,"賃金単価を記載")))</f>
        <v/>
      </c>
      <c r="J26" s="146" t="str">
        <f t="shared" si="26"/>
        <v/>
      </c>
      <c r="K26" s="146" t="str">
        <f>IF($E26="","",IF($G26="正規職員","-",IF(AND(EXACT($C18,$C24),EXACT($E20,$E26),EXACT($G20,$G26)),K20,"日額の交通費を記載（定期利用の場合は月額)")))</f>
        <v/>
      </c>
      <c r="L26" s="62" t="str">
        <f t="shared" si="24"/>
        <v/>
      </c>
      <c r="M26" s="62">
        <f>$M$6</f>
        <v>199000</v>
      </c>
      <c r="N26" s="62">
        <f>IFERROR(IF($C24="-","",IF(E26="","",IF(G26="正規職員",M26-L25,MIN(MIN(L26:M26),M25-N25)))),0)</f>
        <v>0</v>
      </c>
      <c r="O26" s="64" t="str">
        <f>IF(E26="","",IF(COUNTIFS(E26,"*給食室*")=1,"○","エラー"))</f>
        <v/>
      </c>
      <c r="P26" s="65">
        <f t="shared" si="28"/>
        <v>6</v>
      </c>
      <c r="Q26" s="65" t="e">
        <f>VLOOKUP($E26&amp;Q$5,'②-2勤務時間数入力'!$D$7:$Q$106,$P26,FALSE)</f>
        <v>#N/A</v>
      </c>
      <c r="R26" s="65" t="str">
        <f>IF(ISERROR(Q26),"×",IF(Q26="-","×","○"))</f>
        <v>×</v>
      </c>
      <c r="S26" s="65" t="e">
        <f>VLOOKUP($E26&amp;S$5,'②-2勤務時間数入力'!$D$7:$Q$106,$P26,FALSE)</f>
        <v>#N/A</v>
      </c>
      <c r="T26" s="65" t="str">
        <f>IF(ISERROR(S26),"×",IF(S26="-","×","○"))</f>
        <v>×</v>
      </c>
      <c r="U26" s="65" t="e">
        <f>VLOOKUP($E26&amp;U$5,'②-2勤務時間数入力'!$D$7:$Q$106,$P26,FALSE)</f>
        <v>#N/A</v>
      </c>
      <c r="V26" s="65" t="str">
        <f>IF(ISERROR(U26),"×",IF(U26="-","×","○"))</f>
        <v>×</v>
      </c>
      <c r="W26" s="65" t="e">
        <f>VLOOKUP($E26&amp;W$5,'②-2勤務時間数入力'!$D$7:$Q$106,$P26,FALSE)</f>
        <v>#N/A</v>
      </c>
      <c r="X26" s="65" t="str">
        <f>IF(ISERROR(W26),"×",IF(W26="-","×","○"))</f>
        <v>×</v>
      </c>
    </row>
    <row r="27" spans="1:24" ht="13.5" customHeight="1">
      <c r="A27" s="839"/>
      <c r="B27" s="842"/>
      <c r="C27" s="846"/>
      <c r="D27" s="836"/>
      <c r="E27" s="145" t="str">
        <f t="shared" si="25"/>
        <v/>
      </c>
      <c r="F27" s="277"/>
      <c r="G27" s="189" t="str">
        <f t="shared" si="22"/>
        <v/>
      </c>
      <c r="H27" s="190" t="str">
        <f t="shared" si="23"/>
        <v/>
      </c>
      <c r="I27" s="146" t="str">
        <f>IF($E27="","",IF($G27="正規職員","-",IF(AND(EXACT($C18,$C24),EXACT($E21,$E27),EXACT($G21,$G27)),I21,"賃金単価を記載")))</f>
        <v/>
      </c>
      <c r="J27" s="146" t="str">
        <f t="shared" si="26"/>
        <v/>
      </c>
      <c r="K27" s="146" t="str">
        <f>IF($E27="","",IF($G27="正規職員","-",IF(AND(EXACT($C18,$C24),EXACT($E21,$E27),EXACT($G21,$G27)),K21,"日額の交通費を記載（定期利用の場合は月額)")))</f>
        <v/>
      </c>
      <c r="L27" s="62" t="str">
        <f t="shared" si="24"/>
        <v/>
      </c>
      <c r="M27" s="62">
        <f>$M$6</f>
        <v>199000</v>
      </c>
      <c r="N27" s="62">
        <f>IFERROR(IF($C24="-","",IF(E27="","",IF(G27="正規職員",M27-L26,MIN(MIN(L27:M27),M26-N26)))),0)</f>
        <v>0</v>
      </c>
      <c r="O27" s="64" t="str">
        <f t="shared" si="27"/>
        <v/>
      </c>
      <c r="P27" s="65">
        <f t="shared" si="28"/>
        <v>6</v>
      </c>
      <c r="Q27" s="65" t="e">
        <f>VLOOKUP($E27&amp;Q$5,'②-2勤務時間数入力'!$D$7:$Q$106,$P27,FALSE)</f>
        <v>#N/A</v>
      </c>
      <c r="R27" s="65" t="str">
        <f>IF(ISERROR(Q27),"×",IF(Q27="-","×","○"))</f>
        <v>×</v>
      </c>
      <c r="S27" s="65" t="e">
        <f>VLOOKUP($E27&amp;S$5,'②-2勤務時間数入力'!$D$7:$Q$106,$P27,FALSE)</f>
        <v>#N/A</v>
      </c>
      <c r="T27" s="65" t="str">
        <f>IF(ISERROR(S27),"×",IF(S27="-","×","○"))</f>
        <v>×</v>
      </c>
      <c r="U27" s="65" t="e">
        <f>VLOOKUP($E27&amp;U$5,'②-2勤務時間数入力'!$D$7:$Q$106,$P27,FALSE)</f>
        <v>#N/A</v>
      </c>
      <c r="V27" s="65" t="str">
        <f>IF(ISERROR(U27),"×",IF(U27="-","×","○"))</f>
        <v>×</v>
      </c>
      <c r="W27" s="65" t="e">
        <f>VLOOKUP($E27&amp;W$5,'②-2勤務時間数入力'!$D$7:$Q$106,$P27,FALSE)</f>
        <v>#N/A</v>
      </c>
      <c r="X27" s="65" t="str">
        <f>IF(ISERROR(W27),"×",IF(W27="-","×","○"))</f>
        <v>×</v>
      </c>
    </row>
    <row r="28" spans="1:24" ht="13.5" customHeight="1">
      <c r="A28" s="839"/>
      <c r="B28" s="842"/>
      <c r="C28" s="846"/>
      <c r="D28" s="836"/>
      <c r="E28" s="145" t="str">
        <f t="shared" si="25"/>
        <v/>
      </c>
      <c r="F28" s="277"/>
      <c r="G28" s="189" t="str">
        <f t="shared" si="22"/>
        <v/>
      </c>
      <c r="H28" s="190" t="str">
        <f t="shared" si="23"/>
        <v/>
      </c>
      <c r="I28" s="146" t="str">
        <f>IF($E28="","",IF($G28="正規職員","-",IF(AND(EXACT($C18,$C24),EXACT($E22,$E28),EXACT($G22,$G28)),I22,"賃金単価を記載")))</f>
        <v/>
      </c>
      <c r="J28" s="146" t="str">
        <f t="shared" si="26"/>
        <v/>
      </c>
      <c r="K28" s="146" t="str">
        <f>IF($E28="","",IF($G28="正規職員","-",IF(AND(EXACT($C18,$C24),EXACT($E22,$E28),EXACT($G22,$G28)),K22,"日額の交通費を記載（定期利用の場合は月額)")))</f>
        <v/>
      </c>
      <c r="L28" s="62" t="str">
        <f t="shared" si="24"/>
        <v/>
      </c>
      <c r="M28" s="62">
        <f>$M$6</f>
        <v>199000</v>
      </c>
      <c r="N28" s="62">
        <f>IFERROR(IF($C24="-","",IF(E28="","",IF(G28="正規職員",M28-L27,MIN(MIN(L28:M28),M27-N27)))),0)</f>
        <v>0</v>
      </c>
      <c r="O28" s="64" t="str">
        <f t="shared" si="27"/>
        <v/>
      </c>
      <c r="P28" s="65">
        <f t="shared" si="28"/>
        <v>6</v>
      </c>
      <c r="Q28" s="65" t="e">
        <f>VLOOKUP($E28&amp;Q$5,'②-2勤務時間数入力'!$D$7:$Q$106,$P28,FALSE)</f>
        <v>#N/A</v>
      </c>
      <c r="R28" s="65" t="str">
        <f>IF(ISERROR(Q28),"×",IF(Q28="-","×","○"))</f>
        <v>×</v>
      </c>
      <c r="S28" s="65" t="e">
        <f>VLOOKUP($E28&amp;S$5,'②-2勤務時間数入力'!$D$7:$Q$106,$P28,FALSE)</f>
        <v>#N/A</v>
      </c>
      <c r="T28" s="65" t="str">
        <f>IF(ISERROR(S28),"×",IF(S28="-","×","○"))</f>
        <v>×</v>
      </c>
      <c r="U28" s="65" t="e">
        <f>VLOOKUP($E28&amp;U$5,'②-2勤務時間数入力'!$D$7:$Q$106,$P28,FALSE)</f>
        <v>#N/A</v>
      </c>
      <c r="V28" s="65" t="str">
        <f>IF(ISERROR(U28),"×",IF(U28="-","×","○"))</f>
        <v>×</v>
      </c>
      <c r="W28" s="65" t="e">
        <f>VLOOKUP($E28&amp;W$5,'②-2勤務時間数入力'!$D$7:$Q$106,$P28,FALSE)</f>
        <v>#N/A</v>
      </c>
      <c r="X28" s="65" t="str">
        <f>IF(ISERROR(W28),"×",IF(W28="-","×","○"))</f>
        <v>×</v>
      </c>
    </row>
    <row r="29" spans="1:24" ht="13.5" customHeight="1">
      <c r="A29" s="840"/>
      <c r="B29" s="843"/>
      <c r="C29" s="847"/>
      <c r="D29" s="837"/>
      <c r="E29" s="1" t="s">
        <v>296</v>
      </c>
      <c r="F29" s="1"/>
      <c r="G29" s="189" t="s">
        <v>293</v>
      </c>
      <c r="H29" s="191"/>
      <c r="I29" s="63" t="s">
        <v>293</v>
      </c>
      <c r="J29" s="63"/>
      <c r="K29" s="63"/>
      <c r="L29" s="63" t="s">
        <v>293</v>
      </c>
      <c r="M29" s="63" t="s">
        <v>293</v>
      </c>
      <c r="N29" s="62">
        <f>MIN(IFERROR(IF(C24=1,IF(AND(B24="配置",OR(D24="調理師等",D24="栄養士")),MAX(SUM(N24:N28)-①基本情報!I43+10000,0),SUM(N24:N28)),0),0),$M$6)</f>
        <v>0</v>
      </c>
      <c r="O29" s="64" t="e">
        <f>IF(SUM(N24:N28)&gt;#REF!*$M$6,MIN($M$6,SUM(N24:N28)-ROUNDDOWN(#REF!*$M$6,0)),0)</f>
        <v>#REF!</v>
      </c>
      <c r="P29" s="65"/>
      <c r="Q29" s="65"/>
      <c r="R29" s="65"/>
      <c r="S29" s="65"/>
      <c r="T29" s="65"/>
      <c r="U29" s="65"/>
      <c r="V29" s="65"/>
      <c r="W29" s="65"/>
      <c r="X29" s="65"/>
    </row>
    <row r="30" spans="1:24" ht="13.5" customHeight="1">
      <c r="A30" s="820">
        <v>8</v>
      </c>
      <c r="B30" s="841" t="e">
        <f>IF(①基本情報!J41="有",①基本情報!J42,"無")</f>
        <v>#N/A</v>
      </c>
      <c r="C30" s="845" t="e">
        <f>IF(判定!AU13="NG","-",1)</f>
        <v>#N/A</v>
      </c>
      <c r="D30" s="835" t="str">
        <f>IFERROR(INDEX($L$83:$M$88,MATCH(判定!AU13,$L$83:$L$88,0),2),"-")</f>
        <v>-</v>
      </c>
      <c r="E30" s="145" t="str">
        <f>IF(E24="","",E24)</f>
        <v/>
      </c>
      <c r="F30" s="277"/>
      <c r="G30" s="189" t="str">
        <f t="shared" ref="G30:G34" si="29">IF(E30="","",IF(R30="○",Q$5,IF(T30="○",S$5,IF(V30="○",U$5,IF(X30="○",W$5,"ERROR")))))</f>
        <v/>
      </c>
      <c r="H30" s="190" t="str">
        <f t="shared" ref="H30:H34" si="30">IF(E30="","",IF(R30="○",Q30,IF(T30="○",S30,IF(V30="○",U30,IF(X30="○",W30,"ERROR")))))</f>
        <v/>
      </c>
      <c r="I30" s="146" t="str">
        <f>IF($E30="","",IF($G30="正規職員","-",IF(AND(EXACT($C24,$C30),EXACT($E24,$E30),EXACT($G24,$G30)),I24,"賃金単価を記載")))</f>
        <v/>
      </c>
      <c r="J30" s="146" t="str">
        <f>IF($E30="","",IF($G30="正規職員","-","勤務日数を記載（定期利用の場合、1と記載)"))</f>
        <v/>
      </c>
      <c r="K30" s="146" t="str">
        <f>IF($E30="","",IF($G30="正規職員","-",IF(AND(EXACT($C24,$C30),EXACT($E24,$E30),EXACT($G24,$G30)),K24,"日額の交通費を記載（定期利用の場合は月額)")))</f>
        <v/>
      </c>
      <c r="L30" s="62" t="str">
        <f t="shared" ref="L30:L34" si="31">IF($E30="","",IF($G30="正規職員","-",(H30*I30+J30*K30)))</f>
        <v/>
      </c>
      <c r="M30" s="62">
        <f>$M$6</f>
        <v>199000</v>
      </c>
      <c r="N30" s="62">
        <f>IFERROR(IF($C30="-","",IF(E30="",0,IF(G30="正規職員",M30,MIN(L30:M30)))),0)</f>
        <v>0</v>
      </c>
      <c r="O30" s="64" t="str">
        <f>IF(E30="","",IF(COUNTIFS(E30,"*給食室*")=1,"○","エラー"))</f>
        <v/>
      </c>
      <c r="P30" s="65">
        <v>7</v>
      </c>
      <c r="Q30" s="65" t="e">
        <f>VLOOKUP($E30&amp;Q$5,'②-2勤務時間数入力'!$D$7:$Q$106,$P30,FALSE)</f>
        <v>#N/A</v>
      </c>
      <c r="R30" s="65" t="str">
        <f>IF(ISERROR(Q30),"×",IF(Q30="-","×","○"))</f>
        <v>×</v>
      </c>
      <c r="S30" s="65" t="e">
        <f>VLOOKUP($E30&amp;S$5,'②-2勤務時間数入力'!$D$7:$Q$106,$P30,FALSE)</f>
        <v>#N/A</v>
      </c>
      <c r="T30" s="65" t="str">
        <f>IF(ISERROR(S30),"×",IF(S30="-","×","○"))</f>
        <v>×</v>
      </c>
      <c r="U30" s="65" t="e">
        <f>VLOOKUP($E30&amp;U$5,'②-2勤務時間数入力'!$D$7:$Q$106,$P30,FALSE)</f>
        <v>#N/A</v>
      </c>
      <c r="V30" s="65" t="str">
        <f>IF(ISERROR(U30),"×",IF(U30="-","×","○"))</f>
        <v>×</v>
      </c>
      <c r="W30" s="65" t="e">
        <f>VLOOKUP($E30&amp;W$5,'②-2勤務時間数入力'!$D$7:$Q$106,$P30,FALSE)</f>
        <v>#N/A</v>
      </c>
      <c r="X30" s="65" t="str">
        <f>IF(ISERROR(W30),"×",IF(W30="-","×","○"))</f>
        <v>×</v>
      </c>
    </row>
    <row r="31" spans="1:24" ht="13.5" customHeight="1">
      <c r="A31" s="839"/>
      <c r="B31" s="842"/>
      <c r="C31" s="846"/>
      <c r="D31" s="836"/>
      <c r="E31" s="145" t="str">
        <f t="shared" ref="E31:E34" si="32">IF(E25="","",E25)</f>
        <v/>
      </c>
      <c r="F31" s="277"/>
      <c r="G31" s="189" t="str">
        <f t="shared" si="29"/>
        <v/>
      </c>
      <c r="H31" s="190" t="str">
        <f t="shared" si="30"/>
        <v/>
      </c>
      <c r="I31" s="146" t="str">
        <f>IF($E31="","",IF($G31="正規職員","-",IF(AND(EXACT($C24,$C30),EXACT($E25,$E31),EXACT($G25,$G31)),I25,"賃金単価を記載")))</f>
        <v/>
      </c>
      <c r="J31" s="146" t="str">
        <f t="shared" ref="J31:J34" si="33">IF($E31="","",IF($G31="正規職員","-","勤務日数を記載（定期利用の場合、1と記載)"))</f>
        <v/>
      </c>
      <c r="K31" s="146" t="str">
        <f>IF($E31="","",IF($G31="正規職員","-",IF(AND(EXACT($C24,$C30),EXACT($E25,$E31),EXACT($G25,$G31)),K25,"日額の交通費を記載（定期利用の場合は月額)")))</f>
        <v/>
      </c>
      <c r="L31" s="62" t="str">
        <f t="shared" si="31"/>
        <v/>
      </c>
      <c r="M31" s="62">
        <f>$M$6</f>
        <v>199000</v>
      </c>
      <c r="N31" s="62">
        <f>IFERROR(IF($C30="-","",IF(E31="","",IF(G31="正規職員",M31-L30,MIN(MIN(L31:M31),M30-N30)))),0)</f>
        <v>0</v>
      </c>
      <c r="O31" s="64" t="str">
        <f t="shared" ref="O31:O34" si="34">IF(E31="","",IF(COUNTIFS(E31,"*給食室*")=1,"○","エラー"))</f>
        <v/>
      </c>
      <c r="P31" s="65">
        <f t="shared" ref="P31:P34" si="35">P30</f>
        <v>7</v>
      </c>
      <c r="Q31" s="65" t="e">
        <f>VLOOKUP($E31&amp;Q$5,'②-2勤務時間数入力'!$D$7:$Q$106,$P31,FALSE)</f>
        <v>#N/A</v>
      </c>
      <c r="R31" s="65" t="str">
        <f>IF(ISERROR(Q31),"×",IF(Q31="-","×","○"))</f>
        <v>×</v>
      </c>
      <c r="S31" s="65" t="e">
        <f>VLOOKUP($E31&amp;S$5,'②-2勤務時間数入力'!$D$7:$Q$106,$P31,FALSE)</f>
        <v>#N/A</v>
      </c>
      <c r="T31" s="65" t="str">
        <f>IF(ISERROR(S31),"×",IF(S31="-","×","○"))</f>
        <v>×</v>
      </c>
      <c r="U31" s="65" t="e">
        <f>VLOOKUP($E31&amp;U$5,'②-2勤務時間数入力'!$D$7:$Q$106,$P31,FALSE)</f>
        <v>#N/A</v>
      </c>
      <c r="V31" s="65" t="str">
        <f>IF(ISERROR(U31),"×",IF(U31="-","×","○"))</f>
        <v>×</v>
      </c>
      <c r="W31" s="65" t="e">
        <f>VLOOKUP($E31&amp;W$5,'②-2勤務時間数入力'!$D$7:$Q$106,$P31,FALSE)</f>
        <v>#N/A</v>
      </c>
      <c r="X31" s="65" t="str">
        <f>IF(ISERROR(W31),"×",IF(W31="-","×","○"))</f>
        <v>×</v>
      </c>
    </row>
    <row r="32" spans="1:24" ht="13.5" customHeight="1">
      <c r="A32" s="839"/>
      <c r="B32" s="842"/>
      <c r="C32" s="846"/>
      <c r="D32" s="836"/>
      <c r="E32" s="145" t="str">
        <f t="shared" si="32"/>
        <v/>
      </c>
      <c r="F32" s="277"/>
      <c r="G32" s="189" t="str">
        <f t="shared" si="29"/>
        <v/>
      </c>
      <c r="H32" s="190" t="str">
        <f t="shared" si="30"/>
        <v/>
      </c>
      <c r="I32" s="146" t="str">
        <f>IF($E32="","",IF($G32="正規職員","-",IF(AND(EXACT($C24,$C30),EXACT($E26,$E32),EXACT($G26,$G32)),I26,"賃金単価を記載")))</f>
        <v/>
      </c>
      <c r="J32" s="146" t="str">
        <f t="shared" si="33"/>
        <v/>
      </c>
      <c r="K32" s="146" t="str">
        <f>IF($E32="","",IF($G32="正規職員","-",IF(AND(EXACT($C24,$C30),EXACT($E26,$E32),EXACT($G26,$G32)),K26,"日額の交通費を記載（定期利用の場合は月額)")))</f>
        <v/>
      </c>
      <c r="L32" s="62" t="str">
        <f t="shared" si="31"/>
        <v/>
      </c>
      <c r="M32" s="62">
        <f>$M$6</f>
        <v>199000</v>
      </c>
      <c r="N32" s="62">
        <f>IFERROR(IF($C30="-","",IF(E32="","",IF(G32="正規職員",M32-L31,MIN(MIN(L32:M32),M31-N31)))),0)</f>
        <v>0</v>
      </c>
      <c r="O32" s="64" t="str">
        <f t="shared" si="34"/>
        <v/>
      </c>
      <c r="P32" s="65">
        <f t="shared" si="35"/>
        <v>7</v>
      </c>
      <c r="Q32" s="65" t="e">
        <f>VLOOKUP($E32&amp;Q$5,'②-2勤務時間数入力'!$D$7:$Q$106,$P32,FALSE)</f>
        <v>#N/A</v>
      </c>
      <c r="R32" s="65" t="str">
        <f>IF(ISERROR(Q32),"×",IF(Q32="-","×","○"))</f>
        <v>×</v>
      </c>
      <c r="S32" s="65" t="e">
        <f>VLOOKUP($E32&amp;S$5,'②-2勤務時間数入力'!$D$7:$Q$106,$P32,FALSE)</f>
        <v>#N/A</v>
      </c>
      <c r="T32" s="65" t="str">
        <f>IF(ISERROR(S32),"×",IF(S32="-","×","○"))</f>
        <v>×</v>
      </c>
      <c r="U32" s="65" t="e">
        <f>VLOOKUP($E32&amp;U$5,'②-2勤務時間数入力'!$D$7:$Q$106,$P32,FALSE)</f>
        <v>#N/A</v>
      </c>
      <c r="V32" s="65" t="str">
        <f>IF(ISERROR(U32),"×",IF(U32="-","×","○"))</f>
        <v>×</v>
      </c>
      <c r="W32" s="65" t="e">
        <f>VLOOKUP($E32&amp;W$5,'②-2勤務時間数入力'!$D$7:$Q$106,$P32,FALSE)</f>
        <v>#N/A</v>
      </c>
      <c r="X32" s="65" t="str">
        <f>IF(ISERROR(W32),"×",IF(W32="-","×","○"))</f>
        <v>×</v>
      </c>
    </row>
    <row r="33" spans="1:24" ht="13.5" customHeight="1">
      <c r="A33" s="839"/>
      <c r="B33" s="842"/>
      <c r="C33" s="846"/>
      <c r="D33" s="836"/>
      <c r="E33" s="145" t="str">
        <f t="shared" si="32"/>
        <v/>
      </c>
      <c r="F33" s="277"/>
      <c r="G33" s="189" t="str">
        <f t="shared" si="29"/>
        <v/>
      </c>
      <c r="H33" s="190" t="str">
        <f t="shared" si="30"/>
        <v/>
      </c>
      <c r="I33" s="146" t="str">
        <f>IF($E33="","",IF($G33="正規職員","-",IF(AND(EXACT($C24,$C30),EXACT($E27,$E33),EXACT($G27,$G33)),I27,"賃金単価を記載")))</f>
        <v/>
      </c>
      <c r="J33" s="146" t="str">
        <f t="shared" si="33"/>
        <v/>
      </c>
      <c r="K33" s="146" t="str">
        <f>IF($E33="","",IF($G33="正規職員","-",IF(AND(EXACT($C24,$C30),EXACT($E27,$E33),EXACT($G27,$G33)),K27,"日額の交通費を記載（定期利用の場合は月額)")))</f>
        <v/>
      </c>
      <c r="L33" s="62" t="str">
        <f t="shared" si="31"/>
        <v/>
      </c>
      <c r="M33" s="62">
        <f>$M$6</f>
        <v>199000</v>
      </c>
      <c r="N33" s="62">
        <f>IFERROR(IF($C30="-","",IF(E33="","",IF(G33="正規職員",M33-L32,MIN(MIN(L33:M33),M32-N32)))),0)</f>
        <v>0</v>
      </c>
      <c r="O33" s="64" t="str">
        <f t="shared" si="34"/>
        <v/>
      </c>
      <c r="P33" s="65">
        <f t="shared" si="35"/>
        <v>7</v>
      </c>
      <c r="Q33" s="65" t="e">
        <f>VLOOKUP($E33&amp;Q$5,'②-2勤務時間数入力'!$D$7:$Q$106,$P33,FALSE)</f>
        <v>#N/A</v>
      </c>
      <c r="R33" s="65" t="str">
        <f>IF(ISERROR(Q33),"×",IF(Q33="-","×","○"))</f>
        <v>×</v>
      </c>
      <c r="S33" s="65" t="e">
        <f>VLOOKUP($E33&amp;S$5,'②-2勤務時間数入力'!$D$7:$Q$106,$P33,FALSE)</f>
        <v>#N/A</v>
      </c>
      <c r="T33" s="65" t="str">
        <f>IF(ISERROR(S33),"×",IF(S33="-","×","○"))</f>
        <v>×</v>
      </c>
      <c r="U33" s="65" t="e">
        <f>VLOOKUP($E33&amp;U$5,'②-2勤務時間数入力'!$D$7:$Q$106,$P33,FALSE)</f>
        <v>#N/A</v>
      </c>
      <c r="V33" s="65" t="str">
        <f>IF(ISERROR(U33),"×",IF(U33="-","×","○"))</f>
        <v>×</v>
      </c>
      <c r="W33" s="65" t="e">
        <f>VLOOKUP($E33&amp;W$5,'②-2勤務時間数入力'!$D$7:$Q$106,$P33,FALSE)</f>
        <v>#N/A</v>
      </c>
      <c r="X33" s="65" t="str">
        <f>IF(ISERROR(W33),"×",IF(W33="-","×","○"))</f>
        <v>×</v>
      </c>
    </row>
    <row r="34" spans="1:24" ht="13.5" customHeight="1">
      <c r="A34" s="839"/>
      <c r="B34" s="842"/>
      <c r="C34" s="846"/>
      <c r="D34" s="836"/>
      <c r="E34" s="145" t="str">
        <f t="shared" si="32"/>
        <v/>
      </c>
      <c r="F34" s="277"/>
      <c r="G34" s="189" t="str">
        <f t="shared" si="29"/>
        <v/>
      </c>
      <c r="H34" s="190" t="str">
        <f t="shared" si="30"/>
        <v/>
      </c>
      <c r="I34" s="146" t="str">
        <f>IF($E34="","",IF($G34="正規職員","-",IF(AND(EXACT($C24,$C30),EXACT($E28,$E34),EXACT($G28,$G34)),I28,"賃金単価を記載")))</f>
        <v/>
      </c>
      <c r="J34" s="146" t="str">
        <f t="shared" si="33"/>
        <v/>
      </c>
      <c r="K34" s="146" t="str">
        <f>IF($E34="","",IF($G34="正規職員","-",IF(AND(EXACT($C24,$C30),EXACT($E28,$E34),EXACT($G28,$G34)),K28,"日額の交通費を記載（定期利用の場合は月額)")))</f>
        <v/>
      </c>
      <c r="L34" s="62" t="str">
        <f t="shared" si="31"/>
        <v/>
      </c>
      <c r="M34" s="62">
        <f>$M$6</f>
        <v>199000</v>
      </c>
      <c r="N34" s="62">
        <f>IFERROR(IF($C30="-","",IF(E34="","",IF(G34="正規職員",M34-L33,MIN(MIN(L34:M34),M33-N33)))),0)</f>
        <v>0</v>
      </c>
      <c r="O34" s="64" t="str">
        <f t="shared" si="34"/>
        <v/>
      </c>
      <c r="P34" s="65">
        <f t="shared" si="35"/>
        <v>7</v>
      </c>
      <c r="Q34" s="65" t="e">
        <f>VLOOKUP($E34&amp;Q$5,'②-2勤務時間数入力'!$D$7:$Q$106,$P34,FALSE)</f>
        <v>#N/A</v>
      </c>
      <c r="R34" s="65" t="str">
        <f>IF(ISERROR(Q34),"×",IF(Q34="-","×","○"))</f>
        <v>×</v>
      </c>
      <c r="S34" s="65" t="e">
        <f>VLOOKUP($E34&amp;S$5,'②-2勤務時間数入力'!$D$7:$Q$106,$P34,FALSE)</f>
        <v>#N/A</v>
      </c>
      <c r="T34" s="65" t="str">
        <f>IF(ISERROR(S34),"×",IF(S34="-","×","○"))</f>
        <v>×</v>
      </c>
      <c r="U34" s="65" t="e">
        <f>VLOOKUP($E34&amp;U$5,'②-2勤務時間数入力'!$D$7:$Q$106,$P34,FALSE)</f>
        <v>#N/A</v>
      </c>
      <c r="V34" s="65" t="str">
        <f>IF(ISERROR(U34),"×",IF(U34="-","×","○"))</f>
        <v>×</v>
      </c>
      <c r="W34" s="65" t="e">
        <f>VLOOKUP($E34&amp;W$5,'②-2勤務時間数入力'!$D$7:$Q$106,$P34,FALSE)</f>
        <v>#N/A</v>
      </c>
      <c r="X34" s="65" t="str">
        <f>IF(ISERROR(W34),"×",IF(W34="-","×","○"))</f>
        <v>×</v>
      </c>
    </row>
    <row r="35" spans="1:24" ht="13.5" customHeight="1">
      <c r="A35" s="840"/>
      <c r="B35" s="843"/>
      <c r="C35" s="847"/>
      <c r="D35" s="837"/>
      <c r="E35" s="1" t="s">
        <v>297</v>
      </c>
      <c r="F35" s="1"/>
      <c r="G35" s="189" t="s">
        <v>293</v>
      </c>
      <c r="H35" s="191"/>
      <c r="I35" s="63" t="s">
        <v>293</v>
      </c>
      <c r="J35" s="63"/>
      <c r="K35" s="63"/>
      <c r="L35" s="63" t="s">
        <v>293</v>
      </c>
      <c r="M35" s="63" t="s">
        <v>293</v>
      </c>
      <c r="N35" s="62">
        <f>MIN(IFERROR(IF(C30=1,IF(AND(B30="配置",OR(D30="調理師等",D30="栄養士")),MAX(SUM(N30:N34)-①基本情報!J43+10000,0),SUM(N30:N34)),0),0),$M$6)</f>
        <v>0</v>
      </c>
      <c r="O35" s="64" t="e">
        <f>IF(SUM(N30:N34)&gt;#REF!*$M$6,MIN($M$6,SUM(N30:N34)-ROUNDDOWN(#REF!*$M$6,0)),0)</f>
        <v>#REF!</v>
      </c>
      <c r="P35" s="65"/>
      <c r="Q35" s="65"/>
      <c r="R35" s="65"/>
      <c r="S35" s="65"/>
      <c r="T35" s="65"/>
      <c r="U35" s="65"/>
      <c r="V35" s="65"/>
      <c r="W35" s="65"/>
      <c r="X35" s="65"/>
    </row>
    <row r="36" spans="1:24" ht="13.5" customHeight="1">
      <c r="A36" s="820">
        <v>9</v>
      </c>
      <c r="B36" s="841" t="e">
        <f>IF(①基本情報!K41="有",①基本情報!K42,"無")</f>
        <v>#N/A</v>
      </c>
      <c r="C36" s="845" t="e">
        <f>IF(判定!AU14="NG","-",1)</f>
        <v>#N/A</v>
      </c>
      <c r="D36" s="835" t="str">
        <f>IFERROR(INDEX($L$83:$M$88,MATCH(判定!AU14,$L$83:$L$88,0),2),"-")</f>
        <v>-</v>
      </c>
      <c r="E36" s="145" t="str">
        <f>IF(E30="","",E30)</f>
        <v/>
      </c>
      <c r="F36" s="277"/>
      <c r="G36" s="189" t="str">
        <f t="shared" ref="G36:G40" si="36">IF(E36="","",IF(R36="○",Q$5,IF(T36="○",S$5,IF(V36="○",U$5,IF(X36="○",W$5,"ERROR")))))</f>
        <v/>
      </c>
      <c r="H36" s="190" t="str">
        <f t="shared" ref="H36:H40" si="37">IF(E36="","",IF(R36="○",Q36,IF(T36="○",S36,IF(V36="○",U36,IF(X36="○",W36,"ERROR")))))</f>
        <v/>
      </c>
      <c r="I36" s="146" t="str">
        <f>IF($E36="","",IF($G36="正規職員","-",IF(AND(EXACT($C30,$C36),EXACT($E30,$E36),EXACT($G30,$G36)),I30,"賃金単価を記載")))</f>
        <v/>
      </c>
      <c r="J36" s="146" t="str">
        <f>IF($E36="","",IF($G36="正規職員","-","勤務日数を記載（定期利用の場合、1と記載)"))</f>
        <v/>
      </c>
      <c r="K36" s="146" t="str">
        <f>IF($E36="","",IF($G36="正規職員","-",IF(AND(EXACT($C30,$C36),EXACT($E30,$E36),EXACT($G30,$G36)),K30,"日額の交通費を記載（定期利用の場合は月額)")))</f>
        <v/>
      </c>
      <c r="L36" s="62" t="str">
        <f t="shared" ref="L36:L40" si="38">IF($E36="","",IF($G36="正規職員","-",(H36*I36+J36*K36)))</f>
        <v/>
      </c>
      <c r="M36" s="62">
        <f>$M$6</f>
        <v>199000</v>
      </c>
      <c r="N36" s="62">
        <f>IFERROR(IF($C36="-","",IF(E36="",0,IF(G36="正規職員",M36,MIN(L36:M36)))),0)</f>
        <v>0</v>
      </c>
      <c r="O36" s="64" t="str">
        <f>IF(E36="","",IF(COUNTIFS(E36,"*給食室*")=1,"○","エラー"))</f>
        <v/>
      </c>
      <c r="P36" s="65">
        <v>8</v>
      </c>
      <c r="Q36" s="65" t="e">
        <f>VLOOKUP($E36&amp;Q$5,'②-2勤務時間数入力'!$D$7:$Q$106,$P36,FALSE)</f>
        <v>#N/A</v>
      </c>
      <c r="R36" s="65" t="str">
        <f>IF(ISERROR(Q36),"×",IF(Q36="-","×","○"))</f>
        <v>×</v>
      </c>
      <c r="S36" s="65" t="e">
        <f>VLOOKUP($E36&amp;S$5,'②-2勤務時間数入力'!$D$7:$Q$106,$P36,FALSE)</f>
        <v>#N/A</v>
      </c>
      <c r="T36" s="65" t="str">
        <f>IF(ISERROR(S36),"×",IF(S36="-","×","○"))</f>
        <v>×</v>
      </c>
      <c r="U36" s="65" t="e">
        <f>VLOOKUP($E36&amp;U$5,'②-2勤務時間数入力'!$D$7:$Q$106,$P36,FALSE)</f>
        <v>#N/A</v>
      </c>
      <c r="V36" s="65" t="str">
        <f>IF(ISERROR(U36),"×",IF(U36="-","×","○"))</f>
        <v>×</v>
      </c>
      <c r="W36" s="65" t="e">
        <f>VLOOKUP($E36&amp;W$5,'②-2勤務時間数入力'!$D$7:$Q$106,$P36,FALSE)</f>
        <v>#N/A</v>
      </c>
      <c r="X36" s="65" t="str">
        <f>IF(ISERROR(W36),"×",IF(W36="-","×","○"))</f>
        <v>×</v>
      </c>
    </row>
    <row r="37" spans="1:24" ht="13.5" customHeight="1">
      <c r="A37" s="839"/>
      <c r="B37" s="842"/>
      <c r="C37" s="846"/>
      <c r="D37" s="836"/>
      <c r="E37" s="145" t="str">
        <f t="shared" ref="E37:E40" si="39">IF(E31="","",E31)</f>
        <v/>
      </c>
      <c r="F37" s="277"/>
      <c r="G37" s="189" t="str">
        <f t="shared" si="36"/>
        <v/>
      </c>
      <c r="H37" s="190" t="str">
        <f t="shared" si="37"/>
        <v/>
      </c>
      <c r="I37" s="146" t="str">
        <f>IF($E37="","",IF($G37="正規職員","-",IF(AND(EXACT($C30,$C36),EXACT($E31,$E37),EXACT($G31,$G37)),I31,"賃金単価を記載")))</f>
        <v/>
      </c>
      <c r="J37" s="146" t="str">
        <f t="shared" ref="J37:J40" si="40">IF($E37="","",IF($G37="正規職員","-","勤務日数を記載（定期利用の場合、1と記載)"))</f>
        <v/>
      </c>
      <c r="K37" s="146" t="str">
        <f>IF($E37="","",IF($G37="正規職員","-",IF(AND(EXACT($C30,$C36),EXACT($E31,$E37),EXACT($G31,$G37)),K31,"日額の交通費を記載（定期利用の場合は月額)")))</f>
        <v/>
      </c>
      <c r="L37" s="62" t="str">
        <f t="shared" si="38"/>
        <v/>
      </c>
      <c r="M37" s="62">
        <f>$M$6</f>
        <v>199000</v>
      </c>
      <c r="N37" s="62">
        <f>IFERROR(IF($C36="-","",IF(E37="","",IF(G37="正規職員",M37-L36,MIN(MIN(L37:M37),M36-N36)))),0)</f>
        <v>0</v>
      </c>
      <c r="O37" s="64" t="str">
        <f t="shared" ref="O37:O40" si="41">IF(E37="","",IF(COUNTIFS(E37,"*給食室*")=1,"○","エラー"))</f>
        <v/>
      </c>
      <c r="P37" s="65">
        <f t="shared" ref="P37:P40" si="42">P36</f>
        <v>8</v>
      </c>
      <c r="Q37" s="65" t="e">
        <f>VLOOKUP($E37&amp;Q$5,'②-2勤務時間数入力'!$D$7:$Q$106,$P37,FALSE)</f>
        <v>#N/A</v>
      </c>
      <c r="R37" s="65" t="str">
        <f>IF(ISERROR(Q37),"×",IF(Q37="-","×","○"))</f>
        <v>×</v>
      </c>
      <c r="S37" s="65" t="e">
        <f>VLOOKUP($E37&amp;S$5,'②-2勤務時間数入力'!$D$7:$Q$106,$P37,FALSE)</f>
        <v>#N/A</v>
      </c>
      <c r="T37" s="65" t="str">
        <f>IF(ISERROR(S37),"×",IF(S37="-","×","○"))</f>
        <v>×</v>
      </c>
      <c r="U37" s="65" t="e">
        <f>VLOOKUP($E37&amp;U$5,'②-2勤務時間数入力'!$D$7:$Q$106,$P37,FALSE)</f>
        <v>#N/A</v>
      </c>
      <c r="V37" s="65" t="str">
        <f>IF(ISERROR(U37),"×",IF(U37="-","×","○"))</f>
        <v>×</v>
      </c>
      <c r="W37" s="65" t="e">
        <f>VLOOKUP($E37&amp;W$5,'②-2勤務時間数入力'!$D$7:$Q$106,$P37,FALSE)</f>
        <v>#N/A</v>
      </c>
      <c r="X37" s="65" t="str">
        <f>IF(ISERROR(W37),"×",IF(W37="-","×","○"))</f>
        <v>×</v>
      </c>
    </row>
    <row r="38" spans="1:24" ht="13.5" customHeight="1">
      <c r="A38" s="839"/>
      <c r="B38" s="842"/>
      <c r="C38" s="846"/>
      <c r="D38" s="836"/>
      <c r="E38" s="145" t="str">
        <f t="shared" si="39"/>
        <v/>
      </c>
      <c r="F38" s="277"/>
      <c r="G38" s="189" t="str">
        <f t="shared" si="36"/>
        <v/>
      </c>
      <c r="H38" s="190" t="str">
        <f t="shared" si="37"/>
        <v/>
      </c>
      <c r="I38" s="146" t="str">
        <f>IF($E38="","",IF($G38="正規職員","-",IF(AND(EXACT($C30,$C36),EXACT($E32,$E38),EXACT($G32,$G38)),I32,"賃金単価を記載")))</f>
        <v/>
      </c>
      <c r="J38" s="146" t="str">
        <f t="shared" si="40"/>
        <v/>
      </c>
      <c r="K38" s="146" t="str">
        <f>IF($E38="","",IF($G38="正規職員","-",IF(AND(EXACT($C30,$C36),EXACT($E32,$E38),EXACT($G32,$G38)),K32,"日額の交通費を記載（定期利用の場合は月額)")))</f>
        <v/>
      </c>
      <c r="L38" s="62" t="str">
        <f t="shared" si="38"/>
        <v/>
      </c>
      <c r="M38" s="62">
        <f>$M$6</f>
        <v>199000</v>
      </c>
      <c r="N38" s="62">
        <f>IFERROR(IF($C36="-","",IF(E38="","",IF(G38="正規職員",M38-L37,MIN(MIN(L38:M38),M37-N37)))),0)</f>
        <v>0</v>
      </c>
      <c r="O38" s="64" t="str">
        <f t="shared" si="41"/>
        <v/>
      </c>
      <c r="P38" s="65">
        <f t="shared" si="42"/>
        <v>8</v>
      </c>
      <c r="Q38" s="65" t="e">
        <f>VLOOKUP($E38&amp;Q$5,'②-2勤務時間数入力'!$D$7:$Q$106,$P38,FALSE)</f>
        <v>#N/A</v>
      </c>
      <c r="R38" s="65" t="str">
        <f>IF(ISERROR(Q38),"×",IF(Q38="-","×","○"))</f>
        <v>×</v>
      </c>
      <c r="S38" s="65" t="e">
        <f>VLOOKUP($E38&amp;S$5,'②-2勤務時間数入力'!$D$7:$Q$106,$P38,FALSE)</f>
        <v>#N/A</v>
      </c>
      <c r="T38" s="65" t="str">
        <f>IF(ISERROR(S38),"×",IF(S38="-","×","○"))</f>
        <v>×</v>
      </c>
      <c r="U38" s="65" t="e">
        <f>VLOOKUP($E38&amp;U$5,'②-2勤務時間数入力'!$D$7:$Q$106,$P38,FALSE)</f>
        <v>#N/A</v>
      </c>
      <c r="V38" s="65" t="str">
        <f>IF(ISERROR(U38),"×",IF(U38="-","×","○"))</f>
        <v>×</v>
      </c>
      <c r="W38" s="65" t="e">
        <f>VLOOKUP($E38&amp;W$5,'②-2勤務時間数入力'!$D$7:$Q$106,$P38,FALSE)</f>
        <v>#N/A</v>
      </c>
      <c r="X38" s="65" t="str">
        <f>IF(ISERROR(W38),"×",IF(W38="-","×","○"))</f>
        <v>×</v>
      </c>
    </row>
    <row r="39" spans="1:24" ht="13.5" customHeight="1">
      <c r="A39" s="839"/>
      <c r="B39" s="842"/>
      <c r="C39" s="846"/>
      <c r="D39" s="836"/>
      <c r="E39" s="145" t="str">
        <f t="shared" si="39"/>
        <v/>
      </c>
      <c r="F39" s="277"/>
      <c r="G39" s="189" t="str">
        <f t="shared" si="36"/>
        <v/>
      </c>
      <c r="H39" s="190" t="str">
        <f t="shared" si="37"/>
        <v/>
      </c>
      <c r="I39" s="146" t="str">
        <f>IF($E39="","",IF($G39="正規職員","-",IF(AND(EXACT($C30,$C36),EXACT($E33,$E39),EXACT($G33,$G39)),I33,"賃金単価を記載")))</f>
        <v/>
      </c>
      <c r="J39" s="146" t="str">
        <f t="shared" si="40"/>
        <v/>
      </c>
      <c r="K39" s="146" t="str">
        <f>IF($E39="","",IF($G39="正規職員","-",IF(AND(EXACT($C30,$C36),EXACT($E33,$E39),EXACT($G33,$G39)),K33,"日額の交通費を記載（定期利用の場合は月額)")))</f>
        <v/>
      </c>
      <c r="L39" s="62" t="str">
        <f t="shared" si="38"/>
        <v/>
      </c>
      <c r="M39" s="62">
        <f>$M$6</f>
        <v>199000</v>
      </c>
      <c r="N39" s="62">
        <f>IFERROR(IF($C36="-","",IF(E39="","",IF(G39="正規職員",M39-L38,MIN(MIN(L39:M39),M38-N38)))),0)</f>
        <v>0</v>
      </c>
      <c r="O39" s="64" t="str">
        <f t="shared" si="41"/>
        <v/>
      </c>
      <c r="P39" s="65">
        <f t="shared" si="42"/>
        <v>8</v>
      </c>
      <c r="Q39" s="65" t="e">
        <f>VLOOKUP($E39&amp;Q$5,'②-2勤務時間数入力'!$D$7:$Q$106,$P39,FALSE)</f>
        <v>#N/A</v>
      </c>
      <c r="R39" s="65" t="str">
        <f>IF(ISERROR(Q39),"×",IF(Q39="-","×","○"))</f>
        <v>×</v>
      </c>
      <c r="S39" s="65" t="e">
        <f>VLOOKUP($E39&amp;S$5,'②-2勤務時間数入力'!$D$7:$Q$106,$P39,FALSE)</f>
        <v>#N/A</v>
      </c>
      <c r="T39" s="65" t="str">
        <f>IF(ISERROR(S39),"×",IF(S39="-","×","○"))</f>
        <v>×</v>
      </c>
      <c r="U39" s="65" t="e">
        <f>VLOOKUP($E39&amp;U$5,'②-2勤務時間数入力'!$D$7:$Q$106,$P39,FALSE)</f>
        <v>#N/A</v>
      </c>
      <c r="V39" s="65" t="str">
        <f>IF(ISERROR(U39),"×",IF(U39="-","×","○"))</f>
        <v>×</v>
      </c>
      <c r="W39" s="65" t="e">
        <f>VLOOKUP($E39&amp;W$5,'②-2勤務時間数入力'!$D$7:$Q$106,$P39,FALSE)</f>
        <v>#N/A</v>
      </c>
      <c r="X39" s="65" t="str">
        <f>IF(ISERROR(W39),"×",IF(W39="-","×","○"))</f>
        <v>×</v>
      </c>
    </row>
    <row r="40" spans="1:24" ht="13.5" customHeight="1">
      <c r="A40" s="839"/>
      <c r="B40" s="842"/>
      <c r="C40" s="846"/>
      <c r="D40" s="836"/>
      <c r="E40" s="145" t="str">
        <f t="shared" si="39"/>
        <v/>
      </c>
      <c r="F40" s="277"/>
      <c r="G40" s="189" t="str">
        <f t="shared" si="36"/>
        <v/>
      </c>
      <c r="H40" s="190" t="str">
        <f t="shared" si="37"/>
        <v/>
      </c>
      <c r="I40" s="146" t="str">
        <f>IF($E40="","",IF($G40="正規職員","-",IF(AND(EXACT($C30,$C36),EXACT($E34,$E40),EXACT($G34,$G40)),I34,"賃金単価を記載")))</f>
        <v/>
      </c>
      <c r="J40" s="146" t="str">
        <f t="shared" si="40"/>
        <v/>
      </c>
      <c r="K40" s="146" t="str">
        <f>IF($E40="","",IF($G40="正規職員","-",IF(AND(EXACT($C30,$C36),EXACT($E34,$E40),EXACT($G34,$G40)),K34,"日額の交通費を記載（定期利用の場合は月額)")))</f>
        <v/>
      </c>
      <c r="L40" s="62" t="str">
        <f t="shared" si="38"/>
        <v/>
      </c>
      <c r="M40" s="62">
        <f>$M$6</f>
        <v>199000</v>
      </c>
      <c r="N40" s="62">
        <f>IFERROR(IF($C36="-","",IF(E40="","",IF(G40="正規職員",M40-L39,MIN(MIN(L40:M40),M39-N39)))),0)</f>
        <v>0</v>
      </c>
      <c r="O40" s="64" t="str">
        <f t="shared" si="41"/>
        <v/>
      </c>
      <c r="P40" s="65">
        <f t="shared" si="42"/>
        <v>8</v>
      </c>
      <c r="Q40" s="65" t="e">
        <f>VLOOKUP($E40&amp;Q$5,'②-2勤務時間数入力'!$D$7:$Q$106,$P40,FALSE)</f>
        <v>#N/A</v>
      </c>
      <c r="R40" s="65" t="str">
        <f>IF(ISERROR(Q40),"×",IF(Q40="-","×","○"))</f>
        <v>×</v>
      </c>
      <c r="S40" s="65" t="e">
        <f>VLOOKUP($E40&amp;S$5,'②-2勤務時間数入力'!$D$7:$Q$106,$P40,FALSE)</f>
        <v>#N/A</v>
      </c>
      <c r="T40" s="65" t="str">
        <f>IF(ISERROR(S40),"×",IF(S40="-","×","○"))</f>
        <v>×</v>
      </c>
      <c r="U40" s="65" t="e">
        <f>VLOOKUP($E40&amp;U$5,'②-2勤務時間数入力'!$D$7:$Q$106,$P40,FALSE)</f>
        <v>#N/A</v>
      </c>
      <c r="V40" s="65" t="str">
        <f>IF(ISERROR(U40),"×",IF(U40="-","×","○"))</f>
        <v>×</v>
      </c>
      <c r="W40" s="65" t="e">
        <f>VLOOKUP($E40&amp;W$5,'②-2勤務時間数入力'!$D$7:$Q$106,$P40,FALSE)</f>
        <v>#N/A</v>
      </c>
      <c r="X40" s="65" t="str">
        <f>IF(ISERROR(W40),"×",IF(W40="-","×","○"))</f>
        <v>×</v>
      </c>
    </row>
    <row r="41" spans="1:24" ht="13.5" customHeight="1">
      <c r="A41" s="840"/>
      <c r="B41" s="843"/>
      <c r="C41" s="847"/>
      <c r="D41" s="837"/>
      <c r="E41" s="1" t="s">
        <v>298</v>
      </c>
      <c r="F41" s="1"/>
      <c r="G41" s="189" t="s">
        <v>293</v>
      </c>
      <c r="H41" s="191"/>
      <c r="I41" s="63" t="s">
        <v>293</v>
      </c>
      <c r="J41" s="63"/>
      <c r="K41" s="63"/>
      <c r="L41" s="63" t="s">
        <v>293</v>
      </c>
      <c r="M41" s="63" t="s">
        <v>293</v>
      </c>
      <c r="N41" s="62">
        <f>MIN(IFERROR(IF(C36=1,IF(AND(B36="配置",OR(D36="調理師等",D36="栄養士")),MAX(SUM(N36:N40)-①基本情報!K43+10000,0),SUM(N36:N40)),0),0),$M$6)</f>
        <v>0</v>
      </c>
      <c r="O41" s="64" t="e">
        <f>IF(SUM(N36:N40)&gt;#REF!*$M$6,MIN($M$6,SUM(N36:N40)-ROUNDDOWN(#REF!*$M$6,0)),0)</f>
        <v>#REF!</v>
      </c>
      <c r="P41" s="65"/>
      <c r="Q41" s="65"/>
      <c r="R41" s="65"/>
      <c r="S41" s="65"/>
      <c r="T41" s="65"/>
      <c r="U41" s="65"/>
      <c r="V41" s="65"/>
      <c r="W41" s="65"/>
      <c r="X41" s="65"/>
    </row>
    <row r="42" spans="1:24" ht="13.5" customHeight="1">
      <c r="A42" s="820">
        <v>10</v>
      </c>
      <c r="B42" s="841" t="e">
        <f>IF(①基本情報!L41="有",①基本情報!L42,"無")</f>
        <v>#N/A</v>
      </c>
      <c r="C42" s="844" t="e">
        <f>IF(判定!AU15="NG","-",1)</f>
        <v>#N/A</v>
      </c>
      <c r="D42" s="822" t="str">
        <f>IFERROR(INDEX($L$83:$M$88,MATCH(判定!AU15,$L$83:$L$88,0),2),"-")</f>
        <v>-</v>
      </c>
      <c r="E42" s="145" t="str">
        <f>IF(E36="","",E36)</f>
        <v/>
      </c>
      <c r="F42" s="277"/>
      <c r="G42" s="189" t="str">
        <f t="shared" ref="G42:G46" si="43">IF(E42="","",IF(R42="○",Q$5,IF(T42="○",S$5,IF(V42="○",U$5,IF(X42="○",W$5,"ERROR")))))</f>
        <v/>
      </c>
      <c r="H42" s="190" t="str">
        <f t="shared" ref="H42:H46" si="44">IF(E42="","",IF(R42="○",Q42,IF(T42="○",S42,IF(V42="○",U42,IF(X42="○",W42,"ERROR")))))</f>
        <v/>
      </c>
      <c r="I42" s="146" t="str">
        <f>IF($E42="","",IF($G42="正規職員","-",IF(AND(EXACT($C36,$C42),EXACT($E36,$E42),EXACT($G36,$G42)),I36,"賃金単価を記載")))</f>
        <v/>
      </c>
      <c r="J42" s="146" t="str">
        <f>IF($E42="","",IF($G42="正規職員","-","勤務日数を記載（定期利用の場合、1と記載)"))</f>
        <v/>
      </c>
      <c r="K42" s="146" t="str">
        <f>IF($E42="","",IF($G42="正規職員","-",IF(AND(EXACT($C36,$C42),EXACT($E36,$E42),EXACT($G36,$G42)),K36,"日額の交通費を記載（定期利用の場合は月額)")))</f>
        <v/>
      </c>
      <c r="L42" s="62" t="str">
        <f t="shared" ref="L42:L46" si="45">IF($E42="","",IF($G42="正規職員","-",(H42*I42+J42*K42)))</f>
        <v/>
      </c>
      <c r="M42" s="62">
        <f>$M$6</f>
        <v>199000</v>
      </c>
      <c r="N42" s="62">
        <f>IFERROR(IF($C42="-","",IF(E42="",0,IF(G42="正規職員",M42,MIN(L42:M42)))),0)</f>
        <v>0</v>
      </c>
      <c r="O42" s="64" t="str">
        <f>IF(E42="","",IF(COUNTIFS(E42,"*給食室*")=1,"○","エラー"))</f>
        <v/>
      </c>
      <c r="P42" s="65">
        <v>9</v>
      </c>
      <c r="Q42" s="65" t="e">
        <f>VLOOKUP($E42&amp;Q$5,'②-2勤務時間数入力'!$D$7:$Q$106,$P42,FALSE)</f>
        <v>#N/A</v>
      </c>
      <c r="R42" s="65" t="str">
        <f>IF(ISERROR(Q42),"×",IF(Q42="-","×","○"))</f>
        <v>×</v>
      </c>
      <c r="S42" s="65" t="e">
        <f>VLOOKUP($E42&amp;S$5,'②-2勤務時間数入力'!$D$7:$Q$106,$P42,FALSE)</f>
        <v>#N/A</v>
      </c>
      <c r="T42" s="65" t="str">
        <f>IF(ISERROR(S42),"×",IF(S42="-","×","○"))</f>
        <v>×</v>
      </c>
      <c r="U42" s="65" t="e">
        <f>VLOOKUP($E42&amp;U$5,'②-2勤務時間数入力'!$D$7:$Q$106,$P42,FALSE)</f>
        <v>#N/A</v>
      </c>
      <c r="V42" s="65" t="str">
        <f>IF(ISERROR(U42),"×",IF(U42="-","×","○"))</f>
        <v>×</v>
      </c>
      <c r="W42" s="65" t="e">
        <f>VLOOKUP($E42&amp;W$5,'②-2勤務時間数入力'!$D$7:$Q$106,$P42,FALSE)</f>
        <v>#N/A</v>
      </c>
      <c r="X42" s="65" t="str">
        <f>IF(ISERROR(W42),"×",IF(W42="-","×","○"))</f>
        <v>×</v>
      </c>
    </row>
    <row r="43" spans="1:24" ht="13.5" customHeight="1">
      <c r="A43" s="839"/>
      <c r="B43" s="842"/>
      <c r="C43" s="735"/>
      <c r="D43" s="834"/>
      <c r="E43" s="145" t="str">
        <f t="shared" ref="E43:E46" si="46">IF(E37="","",E37)</f>
        <v/>
      </c>
      <c r="F43" s="277"/>
      <c r="G43" s="189" t="str">
        <f t="shared" si="43"/>
        <v/>
      </c>
      <c r="H43" s="190" t="str">
        <f t="shared" si="44"/>
        <v/>
      </c>
      <c r="I43" s="146" t="str">
        <f>IF($E43="","",IF($G43="正規職員","-",IF(AND(EXACT($C36,$C42),EXACT($E37,$E43),EXACT($G37,$G43)),I37,"賃金単価を記載")))</f>
        <v/>
      </c>
      <c r="J43" s="146" t="str">
        <f t="shared" ref="J43:J46" si="47">IF($E43="","",IF($G43="正規職員","-","勤務日数を記載（定期利用の場合、1と記載)"))</f>
        <v/>
      </c>
      <c r="K43" s="146" t="str">
        <f>IF($E43="","",IF($G43="正規職員","-",IF(AND(EXACT($C36,$C42),EXACT($E37,$E43),EXACT($G37,$G43)),K37,"日額の交通費を記載（定期利用の場合は月額)")))</f>
        <v/>
      </c>
      <c r="L43" s="62" t="str">
        <f t="shared" si="45"/>
        <v/>
      </c>
      <c r="M43" s="62">
        <f>$M$6</f>
        <v>199000</v>
      </c>
      <c r="N43" s="62">
        <f>IFERROR(IF($C42="-","",IF(E43="","",IF(G43="正規職員",M43-L42,MIN(MIN(L43:M43),M42-N42)))),0)</f>
        <v>0</v>
      </c>
      <c r="O43" s="64" t="str">
        <f t="shared" ref="O43:O46" si="48">IF(E43="","",IF(COUNTIFS(E43,"*給食室*")=1,"○","エラー"))</f>
        <v/>
      </c>
      <c r="P43" s="65">
        <f t="shared" ref="P43:P46" si="49">P42</f>
        <v>9</v>
      </c>
      <c r="Q43" s="65" t="e">
        <f>VLOOKUP($E43&amp;Q$5,'②-2勤務時間数入力'!$D$7:$Q$106,$P43,FALSE)</f>
        <v>#N/A</v>
      </c>
      <c r="R43" s="65" t="str">
        <f>IF(ISERROR(Q43),"×",IF(Q43="-","×","○"))</f>
        <v>×</v>
      </c>
      <c r="S43" s="65" t="e">
        <f>VLOOKUP($E43&amp;S$5,'②-2勤務時間数入力'!$D$7:$Q$106,$P43,FALSE)</f>
        <v>#N/A</v>
      </c>
      <c r="T43" s="65" t="str">
        <f>IF(ISERROR(S43),"×",IF(S43="-","×","○"))</f>
        <v>×</v>
      </c>
      <c r="U43" s="65" t="e">
        <f>VLOOKUP($E43&amp;U$5,'②-2勤務時間数入力'!$D$7:$Q$106,$P43,FALSE)</f>
        <v>#N/A</v>
      </c>
      <c r="V43" s="65" t="str">
        <f>IF(ISERROR(U43),"×",IF(U43="-","×","○"))</f>
        <v>×</v>
      </c>
      <c r="W43" s="65" t="e">
        <f>VLOOKUP($E43&amp;W$5,'②-2勤務時間数入力'!$D$7:$Q$106,$P43,FALSE)</f>
        <v>#N/A</v>
      </c>
      <c r="X43" s="65" t="str">
        <f>IF(ISERROR(W43),"×",IF(W43="-","×","○"))</f>
        <v>×</v>
      </c>
    </row>
    <row r="44" spans="1:24" ht="13.5" customHeight="1">
      <c r="A44" s="839"/>
      <c r="B44" s="842"/>
      <c r="C44" s="735"/>
      <c r="D44" s="834"/>
      <c r="E44" s="145" t="str">
        <f t="shared" si="46"/>
        <v/>
      </c>
      <c r="F44" s="277"/>
      <c r="G44" s="189" t="str">
        <f t="shared" si="43"/>
        <v/>
      </c>
      <c r="H44" s="190" t="str">
        <f t="shared" si="44"/>
        <v/>
      </c>
      <c r="I44" s="146" t="str">
        <f>IF($E44="","",IF($G44="正規職員","-",IF(AND(EXACT($C36,$C42),EXACT($E38,$E44),EXACT($G38,$G44)),I38,"賃金単価を記載")))</f>
        <v/>
      </c>
      <c r="J44" s="146" t="str">
        <f t="shared" si="47"/>
        <v/>
      </c>
      <c r="K44" s="146" t="str">
        <f>IF($E44="","",IF($G44="正規職員","-",IF(AND(EXACT($C36,$C42),EXACT($E38,$E44),EXACT($G38,$G44)),K38,"日額の交通費を記載（定期利用の場合は月額)")))</f>
        <v/>
      </c>
      <c r="L44" s="62" t="str">
        <f t="shared" si="45"/>
        <v/>
      </c>
      <c r="M44" s="62">
        <f>$M$6</f>
        <v>199000</v>
      </c>
      <c r="N44" s="62">
        <f>IFERROR(IF($C42="-","",IF(E44="","",IF(G44="正規職員",M44-L43,MIN(MIN(L44:M44),M43-N43)))),0)</f>
        <v>0</v>
      </c>
      <c r="O44" s="64" t="str">
        <f t="shared" si="48"/>
        <v/>
      </c>
      <c r="P44" s="65">
        <f t="shared" si="49"/>
        <v>9</v>
      </c>
      <c r="Q44" s="65" t="e">
        <f>VLOOKUP($E44&amp;Q$5,'②-2勤務時間数入力'!$D$7:$Q$106,$P44,FALSE)</f>
        <v>#N/A</v>
      </c>
      <c r="R44" s="65" t="str">
        <f>IF(ISERROR(Q44),"×",IF(Q44="-","×","○"))</f>
        <v>×</v>
      </c>
      <c r="S44" s="65" t="e">
        <f>VLOOKUP($E44&amp;S$5,'②-2勤務時間数入力'!$D$7:$Q$106,$P44,FALSE)</f>
        <v>#N/A</v>
      </c>
      <c r="T44" s="65" t="str">
        <f>IF(ISERROR(S44),"×",IF(S44="-","×","○"))</f>
        <v>×</v>
      </c>
      <c r="U44" s="65" t="e">
        <f>VLOOKUP($E44&amp;U$5,'②-2勤務時間数入力'!$D$7:$Q$106,$P44,FALSE)</f>
        <v>#N/A</v>
      </c>
      <c r="V44" s="65" t="str">
        <f>IF(ISERROR(U44),"×",IF(U44="-","×","○"))</f>
        <v>×</v>
      </c>
      <c r="W44" s="65" t="e">
        <f>VLOOKUP($E44&amp;W$5,'②-2勤務時間数入力'!$D$7:$Q$106,$P44,FALSE)</f>
        <v>#N/A</v>
      </c>
      <c r="X44" s="65" t="str">
        <f>IF(ISERROR(W44),"×",IF(W44="-","×","○"))</f>
        <v>×</v>
      </c>
    </row>
    <row r="45" spans="1:24" ht="13.5" customHeight="1">
      <c r="A45" s="839"/>
      <c r="B45" s="842"/>
      <c r="C45" s="735"/>
      <c r="D45" s="834"/>
      <c r="E45" s="145" t="str">
        <f t="shared" si="46"/>
        <v/>
      </c>
      <c r="F45" s="277"/>
      <c r="G45" s="189" t="str">
        <f t="shared" si="43"/>
        <v/>
      </c>
      <c r="H45" s="190" t="str">
        <f t="shared" si="44"/>
        <v/>
      </c>
      <c r="I45" s="146" t="str">
        <f>IF($E45="","",IF($G45="正規職員","-",IF(AND(EXACT($C36,$C42),EXACT($E39,$E45),EXACT($G39,$G45)),I39,"賃金単価を記載")))</f>
        <v/>
      </c>
      <c r="J45" s="146" t="str">
        <f t="shared" si="47"/>
        <v/>
      </c>
      <c r="K45" s="146" t="str">
        <f>IF($E45="","",IF($G45="正規職員","-",IF(AND(EXACT($C36,$C42),EXACT($E39,$E45),EXACT($G39,$G45)),K39,"日額の交通費を記載（定期利用の場合は月額)")))</f>
        <v/>
      </c>
      <c r="L45" s="62" t="str">
        <f t="shared" si="45"/>
        <v/>
      </c>
      <c r="M45" s="62">
        <f>$M$6</f>
        <v>199000</v>
      </c>
      <c r="N45" s="62">
        <f>IFERROR(IF($C42="-","",IF(E45="","",IF(G45="正規職員",M45-L44,MIN(MIN(L45:M45),M44-N44)))),0)</f>
        <v>0</v>
      </c>
      <c r="O45" s="64" t="str">
        <f t="shared" si="48"/>
        <v/>
      </c>
      <c r="P45" s="65">
        <f t="shared" si="49"/>
        <v>9</v>
      </c>
      <c r="Q45" s="65" t="e">
        <f>VLOOKUP($E45&amp;Q$5,'②-2勤務時間数入力'!$D$7:$Q$106,$P45,FALSE)</f>
        <v>#N/A</v>
      </c>
      <c r="R45" s="65" t="str">
        <f>IF(ISERROR(Q45),"×",IF(Q45="-","×","○"))</f>
        <v>×</v>
      </c>
      <c r="S45" s="65" t="e">
        <f>VLOOKUP($E45&amp;S$5,'②-2勤務時間数入力'!$D$7:$Q$106,$P45,FALSE)</f>
        <v>#N/A</v>
      </c>
      <c r="T45" s="65" t="str">
        <f>IF(ISERROR(S45),"×",IF(S45="-","×","○"))</f>
        <v>×</v>
      </c>
      <c r="U45" s="65" t="e">
        <f>VLOOKUP($E45&amp;U$5,'②-2勤務時間数入力'!$D$7:$Q$106,$P45,FALSE)</f>
        <v>#N/A</v>
      </c>
      <c r="V45" s="65" t="str">
        <f>IF(ISERROR(U45),"×",IF(U45="-","×","○"))</f>
        <v>×</v>
      </c>
      <c r="W45" s="65" t="e">
        <f>VLOOKUP($E45&amp;W$5,'②-2勤務時間数入力'!$D$7:$Q$106,$P45,FALSE)</f>
        <v>#N/A</v>
      </c>
      <c r="X45" s="65" t="str">
        <f>IF(ISERROR(W45),"×",IF(W45="-","×","○"))</f>
        <v>×</v>
      </c>
    </row>
    <row r="46" spans="1:24" ht="13.5" customHeight="1">
      <c r="A46" s="839"/>
      <c r="B46" s="842"/>
      <c r="C46" s="735"/>
      <c r="D46" s="834"/>
      <c r="E46" s="145" t="str">
        <f t="shared" si="46"/>
        <v/>
      </c>
      <c r="F46" s="277"/>
      <c r="G46" s="189" t="str">
        <f t="shared" si="43"/>
        <v/>
      </c>
      <c r="H46" s="190" t="str">
        <f t="shared" si="44"/>
        <v/>
      </c>
      <c r="I46" s="146" t="str">
        <f>IF($E46="","",IF($G46="正規職員","-",IF(AND(EXACT($C36,$C42),EXACT($E40,$E46),EXACT($G40,$G46)),I40,"賃金単価を記載")))</f>
        <v/>
      </c>
      <c r="J46" s="146" t="str">
        <f t="shared" si="47"/>
        <v/>
      </c>
      <c r="K46" s="146" t="str">
        <f>IF($E46="","",IF($G46="正規職員","-",IF(AND(EXACT($C36,$C42),EXACT($E40,$E46),EXACT($G40,$G46)),K40,"日額の交通費を記載（定期利用の場合は月額)")))</f>
        <v/>
      </c>
      <c r="L46" s="62" t="str">
        <f t="shared" si="45"/>
        <v/>
      </c>
      <c r="M46" s="62">
        <f>$M$6</f>
        <v>199000</v>
      </c>
      <c r="N46" s="62">
        <f>IFERROR(IF($C42="-","",IF(E46="","",IF(G46="正規職員",M46-L45,MIN(MIN(L46:M46),M45-N45)))),0)</f>
        <v>0</v>
      </c>
      <c r="O46" s="64" t="str">
        <f t="shared" si="48"/>
        <v/>
      </c>
      <c r="P46" s="65">
        <f t="shared" si="49"/>
        <v>9</v>
      </c>
      <c r="Q46" s="65" t="e">
        <f>VLOOKUP($E46&amp;Q$5,'②-2勤務時間数入力'!$D$7:$Q$106,$P46,FALSE)</f>
        <v>#N/A</v>
      </c>
      <c r="R46" s="65" t="str">
        <f>IF(ISERROR(Q46),"×",IF(Q46="-","×","○"))</f>
        <v>×</v>
      </c>
      <c r="S46" s="65" t="e">
        <f>VLOOKUP($E46&amp;S$5,'②-2勤務時間数入力'!$D$7:$Q$106,$P46,FALSE)</f>
        <v>#N/A</v>
      </c>
      <c r="T46" s="65" t="str">
        <f>IF(ISERROR(S46),"×",IF(S46="-","×","○"))</f>
        <v>×</v>
      </c>
      <c r="U46" s="65" t="e">
        <f>VLOOKUP($E46&amp;U$5,'②-2勤務時間数入力'!$D$7:$Q$106,$P46,FALSE)</f>
        <v>#N/A</v>
      </c>
      <c r="V46" s="65" t="str">
        <f>IF(ISERROR(U46),"×",IF(U46="-","×","○"))</f>
        <v>×</v>
      </c>
      <c r="W46" s="65" t="e">
        <f>VLOOKUP($E46&amp;W$5,'②-2勤務時間数入力'!$D$7:$Q$106,$P46,FALSE)</f>
        <v>#N/A</v>
      </c>
      <c r="X46" s="65" t="str">
        <f>IF(ISERROR(W46),"×",IF(W46="-","×","○"))</f>
        <v>×</v>
      </c>
    </row>
    <row r="47" spans="1:24" ht="13.5" customHeight="1">
      <c r="A47" s="840"/>
      <c r="B47" s="843"/>
      <c r="C47" s="736"/>
      <c r="D47" s="823"/>
      <c r="E47" s="1" t="s">
        <v>299</v>
      </c>
      <c r="F47" s="1"/>
      <c r="G47" s="189" t="s">
        <v>293</v>
      </c>
      <c r="H47" s="191"/>
      <c r="I47" s="63" t="s">
        <v>293</v>
      </c>
      <c r="J47" s="63"/>
      <c r="K47" s="63"/>
      <c r="L47" s="63" t="s">
        <v>293</v>
      </c>
      <c r="M47" s="63" t="s">
        <v>293</v>
      </c>
      <c r="N47" s="62">
        <f>MIN(IFERROR(IF(C42=1,IF(AND(B42="配置",OR(D42="調理師等",D42="栄養士")),MAX(SUM(N42:N46)-①基本情報!L43+10000,0),SUM(N42:N46)),0),0),$M$6)</f>
        <v>0</v>
      </c>
      <c r="O47" s="64" t="e">
        <f>IF(SUM(N42:N46)&gt;#REF!*$M$6,MIN($M$6,SUM(N42:N46)-ROUNDDOWN(#REF!*$M$6,0)),0)</f>
        <v>#REF!</v>
      </c>
      <c r="P47" s="65"/>
      <c r="Q47" s="65"/>
      <c r="R47" s="65"/>
      <c r="S47" s="65"/>
      <c r="T47" s="65"/>
      <c r="U47" s="65"/>
      <c r="V47" s="65"/>
      <c r="W47" s="65"/>
      <c r="X47" s="65"/>
    </row>
    <row r="48" spans="1:24" ht="13.5" customHeight="1">
      <c r="A48" s="820">
        <v>11</v>
      </c>
      <c r="B48" s="841" t="e">
        <f>IF(①基本情報!M41="有",①基本情報!M42,"無")</f>
        <v>#N/A</v>
      </c>
      <c r="C48" s="844" t="e">
        <f>IF(判定!AU16="NG","-",1)</f>
        <v>#N/A</v>
      </c>
      <c r="D48" s="822" t="str">
        <f>IFERROR(INDEX($L$83:$M$88,MATCH(判定!AU16,$L$83:$L$88,0),2),"-")</f>
        <v>-</v>
      </c>
      <c r="E48" s="145" t="str">
        <f>IF(E42="","",E42)</f>
        <v/>
      </c>
      <c r="F48" s="277"/>
      <c r="G48" s="189" t="str">
        <f t="shared" ref="G48:G52" si="50">IF(E48="","",IF(R48="○",Q$5,IF(T48="○",S$5,IF(V48="○",U$5,IF(X48="○",W$5,"ERROR")))))</f>
        <v/>
      </c>
      <c r="H48" s="190" t="str">
        <f t="shared" ref="H48:H52" si="51">IF(E48="","",IF(R48="○",Q48,IF(T48="○",S48,IF(V48="○",U48,IF(X48="○",W48,"ERROR")))))</f>
        <v/>
      </c>
      <c r="I48" s="146" t="str">
        <f>IF($E48="","",IF($G48="正規職員","-",IF(AND(EXACT($C42,$C48),EXACT($E42,$E48),EXACT($G42,$G48)),I42,"賃金単価を記載")))</f>
        <v/>
      </c>
      <c r="J48" s="146" t="str">
        <f>IF($E48="","",IF($G48="正規職員","-","勤務日数を記載（定期利用の場合、1と記載)"))</f>
        <v/>
      </c>
      <c r="K48" s="146" t="str">
        <f>IF($E48="","",IF($G48="正規職員","-",IF(AND(EXACT($C42,$C48),EXACT($E42,$E48),EXACT($G42,$G48)),K42,"日額の交通費を記載（定期利用の場合は月額)")))</f>
        <v/>
      </c>
      <c r="L48" s="62" t="str">
        <f t="shared" ref="L48:L52" si="52">IF($E48="","",IF($G48="正規職員","-",(H48*I48+J48*K48)))</f>
        <v/>
      </c>
      <c r="M48" s="62">
        <f>$M$6</f>
        <v>199000</v>
      </c>
      <c r="N48" s="62">
        <f>IFERROR(IF($C48="-","",IF(E48="",0,IF(G48="正規職員",M48,MIN(L48:M48)))),0)</f>
        <v>0</v>
      </c>
      <c r="O48" s="64" t="str">
        <f>IF(E48="","",IF(COUNTIFS(E48,"*給食室*")=1,"○","エラー"))</f>
        <v/>
      </c>
      <c r="P48" s="65">
        <v>10</v>
      </c>
      <c r="Q48" s="65" t="e">
        <f>VLOOKUP($E48&amp;Q$5,'②-2勤務時間数入力'!$D$7:$Q$106,$P48,FALSE)</f>
        <v>#N/A</v>
      </c>
      <c r="R48" s="65" t="str">
        <f>IF(ISERROR(Q48),"×",IF(Q48="-","×","○"))</f>
        <v>×</v>
      </c>
      <c r="S48" s="65" t="e">
        <f>VLOOKUP($E48&amp;S$5,'②-2勤務時間数入力'!$D$7:$Q$106,$P48,FALSE)</f>
        <v>#N/A</v>
      </c>
      <c r="T48" s="65" t="str">
        <f>IF(ISERROR(S48),"×",IF(S48="-","×","○"))</f>
        <v>×</v>
      </c>
      <c r="U48" s="65" t="e">
        <f>VLOOKUP($E48&amp;U$5,'②-2勤務時間数入力'!$D$7:$Q$106,$P48,FALSE)</f>
        <v>#N/A</v>
      </c>
      <c r="V48" s="65" t="str">
        <f>IF(ISERROR(U48),"×",IF(U48="-","×","○"))</f>
        <v>×</v>
      </c>
      <c r="W48" s="65" t="e">
        <f>VLOOKUP($E48&amp;W$5,'②-2勤務時間数入力'!$D$7:$Q$106,$P48,FALSE)</f>
        <v>#N/A</v>
      </c>
      <c r="X48" s="65" t="str">
        <f>IF(ISERROR(W48),"×",IF(W48="-","×","○"))</f>
        <v>×</v>
      </c>
    </row>
    <row r="49" spans="1:24" ht="13.5" customHeight="1">
      <c r="A49" s="839"/>
      <c r="B49" s="842"/>
      <c r="C49" s="735"/>
      <c r="D49" s="834"/>
      <c r="E49" s="145" t="str">
        <f t="shared" ref="E49:E52" si="53">IF(E43="","",E43)</f>
        <v/>
      </c>
      <c r="F49" s="277"/>
      <c r="G49" s="189" t="str">
        <f t="shared" si="50"/>
        <v/>
      </c>
      <c r="H49" s="190" t="str">
        <f t="shared" si="51"/>
        <v/>
      </c>
      <c r="I49" s="146" t="str">
        <f>IF($E49="","",IF($G49="正規職員","-",IF(AND(EXACT($C42,$C48),EXACT($E43,$E49),EXACT($G43,$G49)),I43,"賃金単価を記載")))</f>
        <v/>
      </c>
      <c r="J49" s="146" t="str">
        <f t="shared" ref="J49:J52" si="54">IF($E49="","",IF($G49="正規職員","-","勤務日数を記載（定期利用の場合、1と記載)"))</f>
        <v/>
      </c>
      <c r="K49" s="146" t="str">
        <f>IF($E49="","",IF($G49="正規職員","-",IF(AND(EXACT($C42,$C48),EXACT($E43,$E49),EXACT($G43,$G49)),K43,"日額の交通費を記載（定期利用の場合は月額)")))</f>
        <v/>
      </c>
      <c r="L49" s="62" t="str">
        <f t="shared" si="52"/>
        <v/>
      </c>
      <c r="M49" s="62">
        <f>$M$6</f>
        <v>199000</v>
      </c>
      <c r="N49" s="62">
        <f>IFERROR(IF($C48="-","",IF(E49="","",IF(G49="正規職員",M49-L48,MIN(MIN(L49:M49),M48-N48)))),0)</f>
        <v>0</v>
      </c>
      <c r="O49" s="64" t="str">
        <f t="shared" ref="O49:O52" si="55">IF(E49="","",IF(COUNTIFS(E49,"*給食室*")=1,"○","エラー"))</f>
        <v/>
      </c>
      <c r="P49" s="65">
        <f t="shared" ref="P49:P52" si="56">P48</f>
        <v>10</v>
      </c>
      <c r="Q49" s="65" t="e">
        <f>VLOOKUP($E49&amp;Q$5,'②-2勤務時間数入力'!$D$7:$Q$106,$P49,FALSE)</f>
        <v>#N/A</v>
      </c>
      <c r="R49" s="65" t="str">
        <f>IF(ISERROR(Q49),"×",IF(Q49="-","×","○"))</f>
        <v>×</v>
      </c>
      <c r="S49" s="65" t="e">
        <f>VLOOKUP($E49&amp;S$5,'②-2勤務時間数入力'!$D$7:$Q$106,$P49,FALSE)</f>
        <v>#N/A</v>
      </c>
      <c r="T49" s="65" t="str">
        <f>IF(ISERROR(S49),"×",IF(S49="-","×","○"))</f>
        <v>×</v>
      </c>
      <c r="U49" s="65" t="e">
        <f>VLOOKUP($E49&amp;U$5,'②-2勤務時間数入力'!$D$7:$Q$106,$P49,FALSE)</f>
        <v>#N/A</v>
      </c>
      <c r="V49" s="65" t="str">
        <f>IF(ISERROR(U49),"×",IF(U49="-","×","○"))</f>
        <v>×</v>
      </c>
      <c r="W49" s="65" t="e">
        <f>VLOOKUP($E49&amp;W$5,'②-2勤務時間数入力'!$D$7:$Q$106,$P49,FALSE)</f>
        <v>#N/A</v>
      </c>
      <c r="X49" s="65" t="str">
        <f>IF(ISERROR(W49),"×",IF(W49="-","×","○"))</f>
        <v>×</v>
      </c>
    </row>
    <row r="50" spans="1:24" ht="13.5" customHeight="1">
      <c r="A50" s="839"/>
      <c r="B50" s="842"/>
      <c r="C50" s="735"/>
      <c r="D50" s="834"/>
      <c r="E50" s="145" t="str">
        <f t="shared" si="53"/>
        <v/>
      </c>
      <c r="F50" s="277"/>
      <c r="G50" s="189" t="str">
        <f t="shared" si="50"/>
        <v/>
      </c>
      <c r="H50" s="190" t="str">
        <f t="shared" si="51"/>
        <v/>
      </c>
      <c r="I50" s="146" t="str">
        <f>IF($E50="","",IF($G50="正規職員","-",IF(AND(EXACT($C42,$C48),EXACT($E44,$E50),EXACT($G44,$G50)),I44,"賃金単価を記載")))</f>
        <v/>
      </c>
      <c r="J50" s="146" t="str">
        <f t="shared" si="54"/>
        <v/>
      </c>
      <c r="K50" s="146" t="str">
        <f>IF($E50="","",IF($G50="正規職員","-",IF(AND(EXACT($C42,$C48),EXACT($E44,$E50),EXACT($G44,$G50)),K44,"日額の交通費を記載（定期利用の場合は月額)")))</f>
        <v/>
      </c>
      <c r="L50" s="62" t="str">
        <f t="shared" si="52"/>
        <v/>
      </c>
      <c r="M50" s="62">
        <f>$M$6</f>
        <v>199000</v>
      </c>
      <c r="N50" s="62">
        <f>IFERROR(IF($C48="-","",IF(E50="","",IF(G50="正規職員",M50-L49,MIN(MIN(L50:M50),M49-N49)))),0)</f>
        <v>0</v>
      </c>
      <c r="O50" s="64" t="str">
        <f t="shared" si="55"/>
        <v/>
      </c>
      <c r="P50" s="65">
        <f t="shared" si="56"/>
        <v>10</v>
      </c>
      <c r="Q50" s="65" t="e">
        <f>VLOOKUP($E50&amp;Q$5,'②-2勤務時間数入力'!$D$7:$Q$106,$P50,FALSE)</f>
        <v>#N/A</v>
      </c>
      <c r="R50" s="65" t="str">
        <f>IF(ISERROR(Q50),"×",IF(Q50="-","×","○"))</f>
        <v>×</v>
      </c>
      <c r="S50" s="65" t="e">
        <f>VLOOKUP($E50&amp;S$5,'②-2勤務時間数入力'!$D$7:$Q$106,$P50,FALSE)</f>
        <v>#N/A</v>
      </c>
      <c r="T50" s="65" t="str">
        <f>IF(ISERROR(S50),"×",IF(S50="-","×","○"))</f>
        <v>×</v>
      </c>
      <c r="U50" s="65" t="e">
        <f>VLOOKUP($E50&amp;U$5,'②-2勤務時間数入力'!$D$7:$Q$106,$P50,FALSE)</f>
        <v>#N/A</v>
      </c>
      <c r="V50" s="65" t="str">
        <f>IF(ISERROR(U50),"×",IF(U50="-","×","○"))</f>
        <v>×</v>
      </c>
      <c r="W50" s="65" t="e">
        <f>VLOOKUP($E50&amp;W$5,'②-2勤務時間数入力'!$D$7:$Q$106,$P50,FALSE)</f>
        <v>#N/A</v>
      </c>
      <c r="X50" s="65" t="str">
        <f>IF(ISERROR(W50),"×",IF(W50="-","×","○"))</f>
        <v>×</v>
      </c>
    </row>
    <row r="51" spans="1:24" ht="13.5" customHeight="1">
      <c r="A51" s="839"/>
      <c r="B51" s="842"/>
      <c r="C51" s="735"/>
      <c r="D51" s="834"/>
      <c r="E51" s="145" t="str">
        <f t="shared" si="53"/>
        <v/>
      </c>
      <c r="F51" s="277"/>
      <c r="G51" s="189" t="str">
        <f t="shared" si="50"/>
        <v/>
      </c>
      <c r="H51" s="190" t="str">
        <f t="shared" si="51"/>
        <v/>
      </c>
      <c r="I51" s="146" t="str">
        <f>IF($E51="","",IF($G51="正規職員","-",IF(AND(EXACT($C42,$C48),EXACT($E45,$E51),EXACT($G45,$G51)),I45,"賃金単価を記載")))</f>
        <v/>
      </c>
      <c r="J51" s="146" t="str">
        <f t="shared" si="54"/>
        <v/>
      </c>
      <c r="K51" s="146" t="str">
        <f>IF($E51="","",IF($G51="正規職員","-",IF(AND(EXACT($C42,$C48),EXACT($E45,$E51),EXACT($G45,$G51)),K45,"日額の交通費を記載（定期利用の場合は月額)")))</f>
        <v/>
      </c>
      <c r="L51" s="62" t="str">
        <f t="shared" si="52"/>
        <v/>
      </c>
      <c r="M51" s="62">
        <f>$M$6</f>
        <v>199000</v>
      </c>
      <c r="N51" s="62">
        <f>IFERROR(IF($C48="-","",IF(E51="","",IF(G51="正規職員",M51-L50,MIN(MIN(L51:M51),M50-N50)))),0)</f>
        <v>0</v>
      </c>
      <c r="O51" s="64" t="str">
        <f t="shared" si="55"/>
        <v/>
      </c>
      <c r="P51" s="65">
        <f t="shared" si="56"/>
        <v>10</v>
      </c>
      <c r="Q51" s="65" t="e">
        <f>VLOOKUP($E51&amp;Q$5,'②-2勤務時間数入力'!$D$7:$Q$106,$P51,FALSE)</f>
        <v>#N/A</v>
      </c>
      <c r="R51" s="65" t="str">
        <f>IF(ISERROR(Q51),"×",IF(Q51="-","×","○"))</f>
        <v>×</v>
      </c>
      <c r="S51" s="65" t="e">
        <f>VLOOKUP($E51&amp;S$5,'②-2勤務時間数入力'!$D$7:$Q$106,$P51,FALSE)</f>
        <v>#N/A</v>
      </c>
      <c r="T51" s="65" t="str">
        <f>IF(ISERROR(S51),"×",IF(S51="-","×","○"))</f>
        <v>×</v>
      </c>
      <c r="U51" s="65" t="e">
        <f>VLOOKUP($E51&amp;U$5,'②-2勤務時間数入力'!$D$7:$Q$106,$P51,FALSE)</f>
        <v>#N/A</v>
      </c>
      <c r="V51" s="65" t="str">
        <f>IF(ISERROR(U51),"×",IF(U51="-","×","○"))</f>
        <v>×</v>
      </c>
      <c r="W51" s="65" t="e">
        <f>VLOOKUP($E51&amp;W$5,'②-2勤務時間数入力'!$D$7:$Q$106,$P51,FALSE)</f>
        <v>#N/A</v>
      </c>
      <c r="X51" s="65" t="str">
        <f>IF(ISERROR(W51),"×",IF(W51="-","×","○"))</f>
        <v>×</v>
      </c>
    </row>
    <row r="52" spans="1:24" ht="13.5" customHeight="1">
      <c r="A52" s="839"/>
      <c r="B52" s="842"/>
      <c r="C52" s="735"/>
      <c r="D52" s="834"/>
      <c r="E52" s="145" t="str">
        <f t="shared" si="53"/>
        <v/>
      </c>
      <c r="F52" s="277"/>
      <c r="G52" s="189" t="str">
        <f t="shared" si="50"/>
        <v/>
      </c>
      <c r="H52" s="190" t="str">
        <f t="shared" si="51"/>
        <v/>
      </c>
      <c r="I52" s="146" t="str">
        <f>IF($E52="","",IF($G52="正規職員","-",IF(AND(EXACT($C42,$C48),EXACT($E46,$E52),EXACT($G46,$G52)),I46,"賃金単価を記載")))</f>
        <v/>
      </c>
      <c r="J52" s="146" t="str">
        <f t="shared" si="54"/>
        <v/>
      </c>
      <c r="K52" s="146" t="str">
        <f>IF($E52="","",IF($G52="正規職員","-",IF(AND(EXACT($C42,$C48),EXACT($E46,$E52),EXACT($G46,$G52)),K46,"日額の交通費を記載（定期利用の場合は月額)")))</f>
        <v/>
      </c>
      <c r="L52" s="62" t="str">
        <f t="shared" si="52"/>
        <v/>
      </c>
      <c r="M52" s="62">
        <f>$M$6</f>
        <v>199000</v>
      </c>
      <c r="N52" s="62">
        <f>IFERROR(IF($C48="-","",IF(E52="","",IF(G52="正規職員",M52-L51,MIN(MIN(L52:M52),M51-N51)))),0)</f>
        <v>0</v>
      </c>
      <c r="O52" s="64" t="str">
        <f t="shared" si="55"/>
        <v/>
      </c>
      <c r="P52" s="65">
        <f t="shared" si="56"/>
        <v>10</v>
      </c>
      <c r="Q52" s="65" t="e">
        <f>VLOOKUP($E52&amp;Q$5,'②-2勤務時間数入力'!$D$7:$Q$106,$P52,FALSE)</f>
        <v>#N/A</v>
      </c>
      <c r="R52" s="65" t="str">
        <f>IF(ISERROR(Q52),"×",IF(Q52="-","×","○"))</f>
        <v>×</v>
      </c>
      <c r="S52" s="65" t="e">
        <f>VLOOKUP($E52&amp;S$5,'②-2勤務時間数入力'!$D$7:$Q$106,$P52,FALSE)</f>
        <v>#N/A</v>
      </c>
      <c r="T52" s="65" t="str">
        <f>IF(ISERROR(S52),"×",IF(S52="-","×","○"))</f>
        <v>×</v>
      </c>
      <c r="U52" s="65" t="e">
        <f>VLOOKUP($E52&amp;U$5,'②-2勤務時間数入力'!$D$7:$Q$106,$P52,FALSE)</f>
        <v>#N/A</v>
      </c>
      <c r="V52" s="65" t="str">
        <f>IF(ISERROR(U52),"×",IF(U52="-","×","○"))</f>
        <v>×</v>
      </c>
      <c r="W52" s="65" t="e">
        <f>VLOOKUP($E52&amp;W$5,'②-2勤務時間数入力'!$D$7:$Q$106,$P52,FALSE)</f>
        <v>#N/A</v>
      </c>
      <c r="X52" s="65" t="str">
        <f>IF(ISERROR(W52),"×",IF(W52="-","×","○"))</f>
        <v>×</v>
      </c>
    </row>
    <row r="53" spans="1:24" ht="13.5" customHeight="1">
      <c r="A53" s="840"/>
      <c r="B53" s="843"/>
      <c r="C53" s="736"/>
      <c r="D53" s="823"/>
      <c r="E53" s="1" t="s">
        <v>300</v>
      </c>
      <c r="F53" s="1"/>
      <c r="G53" s="189" t="s">
        <v>293</v>
      </c>
      <c r="H53" s="191"/>
      <c r="I53" s="63" t="s">
        <v>293</v>
      </c>
      <c r="J53" s="63"/>
      <c r="K53" s="63"/>
      <c r="L53" s="63" t="s">
        <v>293</v>
      </c>
      <c r="M53" s="63" t="s">
        <v>293</v>
      </c>
      <c r="N53" s="62">
        <f>MIN(IFERROR(IF(C48=1,IF(AND(B48="配置",OR(D48="調理師等",D48="栄養士")),MAX(SUM(N48:N52)-①基本情報!M43+10000,0),SUM(N48:N52)),0),0),$M$6)</f>
        <v>0</v>
      </c>
      <c r="O53" s="64" t="e">
        <f>IF(SUM(N48:N52)&gt;#REF!*$M$6,MIN($M$6,SUM(N48:N52)-ROUNDDOWN(#REF!*$M$6,0)),0)</f>
        <v>#REF!</v>
      </c>
      <c r="P53" s="65"/>
      <c r="Q53" s="65"/>
      <c r="R53" s="65"/>
      <c r="S53" s="65"/>
      <c r="T53" s="65"/>
      <c r="U53" s="65"/>
      <c r="V53" s="65"/>
      <c r="W53" s="65"/>
      <c r="X53" s="65"/>
    </row>
    <row r="54" spans="1:24" ht="13.5" customHeight="1">
      <c r="A54" s="820">
        <v>12</v>
      </c>
      <c r="B54" s="841" t="e">
        <f>IF(①基本情報!N41="有",①基本情報!N42,"無")</f>
        <v>#N/A</v>
      </c>
      <c r="C54" s="844" t="e">
        <f>IF(判定!AU17="NG","-",1)</f>
        <v>#N/A</v>
      </c>
      <c r="D54" s="822" t="str">
        <f>IFERROR(INDEX($L$83:$M$88,MATCH(判定!AU17,$L$83:$L$88,0),2),"-")</f>
        <v>-</v>
      </c>
      <c r="E54" s="145" t="str">
        <f t="shared" ref="E54:E58" si="57">IF(E48="","",E48)</f>
        <v/>
      </c>
      <c r="F54" s="277"/>
      <c r="G54" s="189" t="str">
        <f t="shared" ref="G54:G58" si="58">IF(E54="","",IF(R54="○",Q$5,IF(T54="○",S$5,IF(V54="○",U$5,IF(X54="○",W$5,"ERROR")))))</f>
        <v/>
      </c>
      <c r="H54" s="190" t="str">
        <f t="shared" ref="H54:H58" si="59">IF(E54="","",IF(R54="○",Q54,IF(T54="○",S54,IF(V54="○",U54,IF(X54="○",W54,"ERROR")))))</f>
        <v/>
      </c>
      <c r="I54" s="146" t="str">
        <f>IF($E54="","",IF($G54="正規職員","-",IF(AND(EXACT($C48,$C54),EXACT($E48,$E54),EXACT($G48,$G54)),I48,"賃金単価を記載")))</f>
        <v/>
      </c>
      <c r="J54" s="146" t="str">
        <f>IF($E54="","",IF($G54="正規職員","-","勤務日数を記載（定期利用の場合、1と記載)"))</f>
        <v/>
      </c>
      <c r="K54" s="146" t="str">
        <f>IF($E54="","",IF($G54="正規職員","-",IF(AND(EXACT($C48,$C54),EXACT($E48,$E54),EXACT($G48,$G54)),K48,"日額の交通費を記載（定期利用の場合は月額)")))</f>
        <v/>
      </c>
      <c r="L54" s="62" t="str">
        <f t="shared" ref="L54:L58" si="60">IF($E54="","",IF($G54="正規職員","-",(H54*I54+J54*K54)))</f>
        <v/>
      </c>
      <c r="M54" s="62">
        <f>$M$6</f>
        <v>199000</v>
      </c>
      <c r="N54" s="62">
        <f>IFERROR(IF($C54="-","",IF(E54="",0,IF(G54="正規職員",M54,MIN(L54:M54)))),0)</f>
        <v>0</v>
      </c>
      <c r="O54" s="64" t="str">
        <f>IF(E54="","",IF(COUNTIFS(E54,"*給食室*")=1,"○","エラー"))</f>
        <v/>
      </c>
      <c r="P54" s="65">
        <v>11</v>
      </c>
      <c r="Q54" s="65" t="e">
        <f>VLOOKUP($E54&amp;Q$5,'②-2勤務時間数入力'!$D$7:$Q$106,$P54,FALSE)</f>
        <v>#N/A</v>
      </c>
      <c r="R54" s="65" t="str">
        <f>IF(ISERROR(Q54),"×",IF(Q54="-","×","○"))</f>
        <v>×</v>
      </c>
      <c r="S54" s="65" t="e">
        <f>VLOOKUP($E54&amp;S$5,'②-2勤務時間数入力'!$D$7:$Q$106,$P54,FALSE)</f>
        <v>#N/A</v>
      </c>
      <c r="T54" s="65" t="str">
        <f>IF(ISERROR(S54),"×",IF(S54="-","×","○"))</f>
        <v>×</v>
      </c>
      <c r="U54" s="65" t="e">
        <f>VLOOKUP($E54&amp;U$5,'②-2勤務時間数入力'!$D$7:$Q$106,$P54,FALSE)</f>
        <v>#N/A</v>
      </c>
      <c r="V54" s="65" t="str">
        <f>IF(ISERROR(U54),"×",IF(U54="-","×","○"))</f>
        <v>×</v>
      </c>
      <c r="W54" s="65" t="e">
        <f>VLOOKUP($E54&amp;W$5,'②-2勤務時間数入力'!$D$7:$Q$106,$P54,FALSE)</f>
        <v>#N/A</v>
      </c>
      <c r="X54" s="65" t="str">
        <f>IF(ISERROR(W54),"×",IF(W54="-","×","○"))</f>
        <v>×</v>
      </c>
    </row>
    <row r="55" spans="1:24" ht="13.5" customHeight="1">
      <c r="A55" s="839"/>
      <c r="B55" s="842"/>
      <c r="C55" s="735"/>
      <c r="D55" s="834"/>
      <c r="E55" s="145" t="str">
        <f t="shared" si="57"/>
        <v/>
      </c>
      <c r="F55" s="277"/>
      <c r="G55" s="189" t="str">
        <f t="shared" si="58"/>
        <v/>
      </c>
      <c r="H55" s="190" t="str">
        <f t="shared" si="59"/>
        <v/>
      </c>
      <c r="I55" s="146" t="str">
        <f>IF($E55="","",IF($G55="正規職員","-",IF(AND(EXACT($C48,$C54),EXACT($E49,$E55),EXACT($G49,$G55)),I49,"賃金単価を記載")))</f>
        <v/>
      </c>
      <c r="J55" s="146" t="str">
        <f t="shared" ref="J55:J58" si="61">IF($E55="","",IF($G55="正規職員","-","勤務日数を記載（定期利用の場合、1と記載)"))</f>
        <v/>
      </c>
      <c r="K55" s="146" t="str">
        <f>IF($E55="","",IF($G55="正規職員","-",IF(AND(EXACT($C48,$C54),EXACT($E49,$E55),EXACT($G49,$G55)),K49,"日額の交通費を記載（定期利用の場合は月額)")))</f>
        <v/>
      </c>
      <c r="L55" s="62" t="str">
        <f t="shared" si="60"/>
        <v/>
      </c>
      <c r="M55" s="62">
        <f>$M$6</f>
        <v>199000</v>
      </c>
      <c r="N55" s="62">
        <f>IFERROR(IF($C54="-","",IF(E55="","",IF(G55="正規職員",M55-L54,MIN(MIN(L55:M55),M54-N54)))),0)</f>
        <v>0</v>
      </c>
      <c r="O55" s="64" t="str">
        <f t="shared" ref="O55:O58" si="62">IF(E55="","",IF(COUNTIFS(E55,"*給食室*")=1,"○","エラー"))</f>
        <v/>
      </c>
      <c r="P55" s="65">
        <f t="shared" ref="P55:P58" si="63">P54</f>
        <v>11</v>
      </c>
      <c r="Q55" s="65" t="e">
        <f>VLOOKUP($E55&amp;Q$5,'②-2勤務時間数入力'!$D$7:$Q$106,$P55,FALSE)</f>
        <v>#N/A</v>
      </c>
      <c r="R55" s="65" t="str">
        <f>IF(ISERROR(Q55),"×",IF(Q55="-","×","○"))</f>
        <v>×</v>
      </c>
      <c r="S55" s="65" t="e">
        <f>VLOOKUP($E55&amp;S$5,'②-2勤務時間数入力'!$D$7:$Q$106,$P55,FALSE)</f>
        <v>#N/A</v>
      </c>
      <c r="T55" s="65" t="str">
        <f>IF(ISERROR(S55),"×",IF(S55="-","×","○"))</f>
        <v>×</v>
      </c>
      <c r="U55" s="65" t="e">
        <f>VLOOKUP($E55&amp;U$5,'②-2勤務時間数入力'!$D$7:$Q$106,$P55,FALSE)</f>
        <v>#N/A</v>
      </c>
      <c r="V55" s="65" t="str">
        <f>IF(ISERROR(U55),"×",IF(U55="-","×","○"))</f>
        <v>×</v>
      </c>
      <c r="W55" s="65" t="e">
        <f>VLOOKUP($E55&amp;W$5,'②-2勤務時間数入力'!$D$7:$Q$106,$P55,FALSE)</f>
        <v>#N/A</v>
      </c>
      <c r="X55" s="65" t="str">
        <f>IF(ISERROR(W55),"×",IF(W55="-","×","○"))</f>
        <v>×</v>
      </c>
    </row>
    <row r="56" spans="1:24" ht="13.5" customHeight="1">
      <c r="A56" s="839"/>
      <c r="B56" s="842"/>
      <c r="C56" s="735"/>
      <c r="D56" s="834"/>
      <c r="E56" s="145" t="str">
        <f t="shared" si="57"/>
        <v/>
      </c>
      <c r="F56" s="277"/>
      <c r="G56" s="189" t="str">
        <f t="shared" si="58"/>
        <v/>
      </c>
      <c r="H56" s="190" t="str">
        <f t="shared" si="59"/>
        <v/>
      </c>
      <c r="I56" s="146" t="str">
        <f>IF($E56="","",IF($G56="正規職員","-",IF(AND(EXACT($C48,$C54),EXACT($E50,$E56),EXACT($G50,$G56)),I50,"賃金単価を記載")))</f>
        <v/>
      </c>
      <c r="J56" s="146" t="str">
        <f t="shared" si="61"/>
        <v/>
      </c>
      <c r="K56" s="146" t="str">
        <f>IF($E56="","",IF($G56="正規職員","-",IF(AND(EXACT($C48,$C54),EXACT($E50,$E56),EXACT($G50,$G56)),K50,"日額の交通費を記載（定期利用の場合は月額)")))</f>
        <v/>
      </c>
      <c r="L56" s="62" t="str">
        <f t="shared" si="60"/>
        <v/>
      </c>
      <c r="M56" s="62">
        <f>$M$6</f>
        <v>199000</v>
      </c>
      <c r="N56" s="62">
        <f>IFERROR(IF($C54="-","",IF(E56="","",IF(G56="正規職員",M56-L55,MIN(MIN(L56:M56),M55-N55)))),0)</f>
        <v>0</v>
      </c>
      <c r="O56" s="64" t="str">
        <f t="shared" si="62"/>
        <v/>
      </c>
      <c r="P56" s="65">
        <f t="shared" si="63"/>
        <v>11</v>
      </c>
      <c r="Q56" s="65" t="e">
        <f>VLOOKUP($E56&amp;Q$5,'②-2勤務時間数入力'!$D$7:$Q$106,$P56,FALSE)</f>
        <v>#N/A</v>
      </c>
      <c r="R56" s="65" t="str">
        <f>IF(ISERROR(Q56),"×",IF(Q56="-","×","○"))</f>
        <v>×</v>
      </c>
      <c r="S56" s="65" t="e">
        <f>VLOOKUP($E56&amp;S$5,'②-2勤務時間数入力'!$D$7:$Q$106,$P56,FALSE)</f>
        <v>#N/A</v>
      </c>
      <c r="T56" s="65" t="str">
        <f>IF(ISERROR(S56),"×",IF(S56="-","×","○"))</f>
        <v>×</v>
      </c>
      <c r="U56" s="65" t="e">
        <f>VLOOKUP($E56&amp;U$5,'②-2勤務時間数入力'!$D$7:$Q$106,$P56,FALSE)</f>
        <v>#N/A</v>
      </c>
      <c r="V56" s="65" t="str">
        <f>IF(ISERROR(U56),"×",IF(U56="-","×","○"))</f>
        <v>×</v>
      </c>
      <c r="W56" s="65" t="e">
        <f>VLOOKUP($E56&amp;W$5,'②-2勤務時間数入力'!$D$7:$Q$106,$P56,FALSE)</f>
        <v>#N/A</v>
      </c>
      <c r="X56" s="65" t="str">
        <f>IF(ISERROR(W56),"×",IF(W56="-","×","○"))</f>
        <v>×</v>
      </c>
    </row>
    <row r="57" spans="1:24" ht="13.5" customHeight="1">
      <c r="A57" s="839"/>
      <c r="B57" s="842"/>
      <c r="C57" s="735"/>
      <c r="D57" s="834"/>
      <c r="E57" s="145" t="str">
        <f t="shared" si="57"/>
        <v/>
      </c>
      <c r="F57" s="277"/>
      <c r="G57" s="189" t="str">
        <f t="shared" si="58"/>
        <v/>
      </c>
      <c r="H57" s="190" t="str">
        <f t="shared" si="59"/>
        <v/>
      </c>
      <c r="I57" s="146" t="str">
        <f>IF($E57="","",IF($G57="正規職員","-",IF(AND(EXACT($C48,$C54),EXACT($E51,$E57),EXACT($G51,$G57)),I51,"賃金単価を記載")))</f>
        <v/>
      </c>
      <c r="J57" s="146" t="str">
        <f t="shared" si="61"/>
        <v/>
      </c>
      <c r="K57" s="146" t="str">
        <f>IF($E57="","",IF($G57="正規職員","-",IF(AND(EXACT($C48,$C54),EXACT($E51,$E57),EXACT($G51,$G57)),K51,"日額の交通費を記載（定期利用の場合は月額)")))</f>
        <v/>
      </c>
      <c r="L57" s="62" t="str">
        <f t="shared" si="60"/>
        <v/>
      </c>
      <c r="M57" s="62">
        <f>$M$6</f>
        <v>199000</v>
      </c>
      <c r="N57" s="62">
        <f>IFERROR(IF($C54="-","",IF(E57="","",IF(G57="正規職員",M57-L56,MIN(MIN(L57:M57),M56-N56)))),0)</f>
        <v>0</v>
      </c>
      <c r="O57" s="64" t="str">
        <f t="shared" si="62"/>
        <v/>
      </c>
      <c r="P57" s="65">
        <f t="shared" si="63"/>
        <v>11</v>
      </c>
      <c r="Q57" s="65" t="e">
        <f>VLOOKUP($E57&amp;Q$5,'②-2勤務時間数入力'!$D$7:$Q$106,$P57,FALSE)</f>
        <v>#N/A</v>
      </c>
      <c r="R57" s="65" t="str">
        <f>IF(ISERROR(Q57),"×",IF(Q57="-","×","○"))</f>
        <v>×</v>
      </c>
      <c r="S57" s="65" t="e">
        <f>VLOOKUP($E57&amp;S$5,'②-2勤務時間数入力'!$D$7:$Q$106,$P57,FALSE)</f>
        <v>#N/A</v>
      </c>
      <c r="T57" s="65" t="str">
        <f>IF(ISERROR(S57),"×",IF(S57="-","×","○"))</f>
        <v>×</v>
      </c>
      <c r="U57" s="65" t="e">
        <f>VLOOKUP($E57&amp;U$5,'②-2勤務時間数入力'!$D$7:$Q$106,$P57,FALSE)</f>
        <v>#N/A</v>
      </c>
      <c r="V57" s="65" t="str">
        <f>IF(ISERROR(U57),"×",IF(U57="-","×","○"))</f>
        <v>×</v>
      </c>
      <c r="W57" s="65" t="e">
        <f>VLOOKUP($E57&amp;W$5,'②-2勤務時間数入力'!$D$7:$Q$106,$P57,FALSE)</f>
        <v>#N/A</v>
      </c>
      <c r="X57" s="65" t="str">
        <f>IF(ISERROR(W57),"×",IF(W57="-","×","○"))</f>
        <v>×</v>
      </c>
    </row>
    <row r="58" spans="1:24" ht="13.5" customHeight="1">
      <c r="A58" s="839"/>
      <c r="B58" s="842"/>
      <c r="C58" s="735"/>
      <c r="D58" s="834"/>
      <c r="E58" s="145" t="str">
        <f t="shared" si="57"/>
        <v/>
      </c>
      <c r="F58" s="277"/>
      <c r="G58" s="189" t="str">
        <f t="shared" si="58"/>
        <v/>
      </c>
      <c r="H58" s="190" t="str">
        <f t="shared" si="59"/>
        <v/>
      </c>
      <c r="I58" s="146" t="str">
        <f>IF($E58="","",IF($G58="正規職員","-",IF(AND(EXACT($C48,$C54),EXACT($E52,$E58),EXACT($G52,$G58)),I52,"賃金単価を記載")))</f>
        <v/>
      </c>
      <c r="J58" s="146" t="str">
        <f t="shared" si="61"/>
        <v/>
      </c>
      <c r="K58" s="146" t="str">
        <f>IF($E58="","",IF($G58="正規職員","-",IF(AND(EXACT($C48,$C54),EXACT($E52,$E58),EXACT($G52,$G58)),K52,"日額の交通費を記載（定期利用の場合は月額)")))</f>
        <v/>
      </c>
      <c r="L58" s="62" t="str">
        <f t="shared" si="60"/>
        <v/>
      </c>
      <c r="M58" s="62">
        <f>$M$6</f>
        <v>199000</v>
      </c>
      <c r="N58" s="62">
        <f>IFERROR(IF($C54="-","",IF(E58="","",IF(G58="正規職員",M58-L57,MIN(MIN(L58:M58),M57-N57)))),0)</f>
        <v>0</v>
      </c>
      <c r="O58" s="64" t="str">
        <f t="shared" si="62"/>
        <v/>
      </c>
      <c r="P58" s="65">
        <f t="shared" si="63"/>
        <v>11</v>
      </c>
      <c r="Q58" s="65" t="e">
        <f>VLOOKUP($E58&amp;Q$5,'②-2勤務時間数入力'!$D$7:$Q$106,$P58,FALSE)</f>
        <v>#N/A</v>
      </c>
      <c r="R58" s="65" t="str">
        <f>IF(ISERROR(Q58),"×",IF(Q58="-","×","○"))</f>
        <v>×</v>
      </c>
      <c r="S58" s="65" t="e">
        <f>VLOOKUP($E58&amp;S$5,'②-2勤務時間数入力'!$D$7:$Q$106,$P58,FALSE)</f>
        <v>#N/A</v>
      </c>
      <c r="T58" s="65" t="str">
        <f>IF(ISERROR(S58),"×",IF(S58="-","×","○"))</f>
        <v>×</v>
      </c>
      <c r="U58" s="65" t="e">
        <f>VLOOKUP($E58&amp;U$5,'②-2勤務時間数入力'!$D$7:$Q$106,$P58,FALSE)</f>
        <v>#N/A</v>
      </c>
      <c r="V58" s="65" t="str">
        <f>IF(ISERROR(U58),"×",IF(U58="-","×","○"))</f>
        <v>×</v>
      </c>
      <c r="W58" s="65" t="e">
        <f>VLOOKUP($E58&amp;W$5,'②-2勤務時間数入力'!$D$7:$Q$106,$P58,FALSE)</f>
        <v>#N/A</v>
      </c>
      <c r="X58" s="65" t="str">
        <f>IF(ISERROR(W58),"×",IF(W58="-","×","○"))</f>
        <v>×</v>
      </c>
    </row>
    <row r="59" spans="1:24" ht="13.5" customHeight="1">
      <c r="A59" s="840"/>
      <c r="B59" s="843"/>
      <c r="C59" s="736"/>
      <c r="D59" s="823"/>
      <c r="E59" s="1" t="s">
        <v>301</v>
      </c>
      <c r="F59" s="1"/>
      <c r="G59" s="189" t="s">
        <v>293</v>
      </c>
      <c r="H59" s="191"/>
      <c r="I59" s="63" t="s">
        <v>293</v>
      </c>
      <c r="J59" s="63"/>
      <c r="K59" s="63"/>
      <c r="L59" s="63" t="s">
        <v>293</v>
      </c>
      <c r="M59" s="63" t="s">
        <v>293</v>
      </c>
      <c r="N59" s="62">
        <f>MIN(IFERROR(IF(C54=1,IF(AND(B54="配置",OR(D54="調理師等",D54="栄養士")),MAX(SUM(N54:N58)-①基本情報!N43+10000,0),SUM(N54:N58)),0),0),$M$6)</f>
        <v>0</v>
      </c>
      <c r="O59" s="64" t="e">
        <f>IF(SUM(N54:N58)&gt;#REF!*$M$6,MIN($M$6,SUM(N54:N58)-ROUNDDOWN(#REF!*$M$6,0)),0)</f>
        <v>#REF!</v>
      </c>
      <c r="P59" s="65"/>
      <c r="Q59" s="65"/>
      <c r="R59" s="65"/>
      <c r="S59" s="65"/>
      <c r="T59" s="65"/>
      <c r="U59" s="65"/>
      <c r="V59" s="65"/>
      <c r="W59" s="65"/>
      <c r="X59" s="65"/>
    </row>
    <row r="60" spans="1:24" ht="13.5" customHeight="1">
      <c r="A60" s="820">
        <v>1</v>
      </c>
      <c r="B60" s="841" t="e">
        <f>IF(①基本情報!O41="有",①基本情報!O42,"無")</f>
        <v>#N/A</v>
      </c>
      <c r="C60" s="844" t="e">
        <f>IF(判定!AU18="NG","-",1)</f>
        <v>#N/A</v>
      </c>
      <c r="D60" s="822" t="str">
        <f>IFERROR(INDEX($L$83:$M$88,MATCH(判定!AU18,$L$83:$L$88,0),2),"-")</f>
        <v>-</v>
      </c>
      <c r="E60" s="145" t="str">
        <f>IF(E54="","",E54)</f>
        <v/>
      </c>
      <c r="F60" s="277"/>
      <c r="G60" s="189" t="str">
        <f t="shared" ref="G60:G64" si="64">IF(E60="","",IF(R60="○",Q$5,IF(T60="○",S$5,IF(V60="○",U$5,IF(X60="○",W$5,"ERROR")))))</f>
        <v/>
      </c>
      <c r="H60" s="190" t="str">
        <f t="shared" ref="H60:H64" si="65">IF(E60="","",IF(R60="○",Q60,IF(T60="○",S60,IF(V60="○",U60,IF(X60="○",W60,"ERROR")))))</f>
        <v/>
      </c>
      <c r="I60" s="146" t="str">
        <f>IF($E60="","",IF($G60="正規職員","-",IF(AND(EXACT($C54,$C60),EXACT($E54,$E60),EXACT($G54,$G60)),I54,"賃金単価を記載")))</f>
        <v/>
      </c>
      <c r="J60" s="146" t="str">
        <f>IF($E60="","",IF($G60="正規職員","-","勤務日数を記載（定期利用の場合、1と記載)"))</f>
        <v/>
      </c>
      <c r="K60" s="146" t="str">
        <f>IF($E60="","",IF($G60="正規職員","-",IF(AND(EXACT($C54,$C60),EXACT($E54,$E60),EXACT($G54,$G60)),K54,"日額の交通費を記載（定期利用の場合は月額)")))</f>
        <v/>
      </c>
      <c r="L60" s="62" t="str">
        <f t="shared" ref="L60:L64" si="66">IF($E60="","",IF($G60="正規職員","-",(H60*I60+J60*K60)))</f>
        <v/>
      </c>
      <c r="M60" s="62">
        <f>$M$6</f>
        <v>199000</v>
      </c>
      <c r="N60" s="62">
        <f>IFERROR(IF($C60="-","",IF(E60="",0,IF(G60="正規職員",M60,MIN(L60:M60)))),0)</f>
        <v>0</v>
      </c>
      <c r="O60" s="64" t="str">
        <f>IF(E60="","",IF(COUNTIFS(E60,"*給食室*")=1,"○","エラー"))</f>
        <v/>
      </c>
      <c r="P60" s="65">
        <v>12</v>
      </c>
      <c r="Q60" s="65" t="e">
        <f>VLOOKUP($E60&amp;Q$5,'②-2勤務時間数入力'!$D$7:$Q$106,$P60,FALSE)</f>
        <v>#N/A</v>
      </c>
      <c r="R60" s="65" t="str">
        <f>IF(ISERROR(Q60),"×",IF(Q60="-","×","○"))</f>
        <v>×</v>
      </c>
      <c r="S60" s="65" t="e">
        <f>VLOOKUP($E60&amp;S$5,'②-2勤務時間数入力'!$D$7:$Q$106,$P60,FALSE)</f>
        <v>#N/A</v>
      </c>
      <c r="T60" s="65" t="str">
        <f>IF(ISERROR(S60),"×",IF(S60="-","×","○"))</f>
        <v>×</v>
      </c>
      <c r="U60" s="65" t="e">
        <f>VLOOKUP($E60&amp;U$5,'②-2勤務時間数入力'!$D$7:$Q$106,$P60,FALSE)</f>
        <v>#N/A</v>
      </c>
      <c r="V60" s="65" t="str">
        <f>IF(ISERROR(U60),"×",IF(U60="-","×","○"))</f>
        <v>×</v>
      </c>
      <c r="W60" s="65" t="e">
        <f>VLOOKUP($E60&amp;W$5,'②-2勤務時間数入力'!$D$7:$Q$106,$P60,FALSE)</f>
        <v>#N/A</v>
      </c>
      <c r="X60" s="65" t="str">
        <f>IF(ISERROR(W60),"×",IF(W60="-","×","○"))</f>
        <v>×</v>
      </c>
    </row>
    <row r="61" spans="1:24" ht="13.5" customHeight="1">
      <c r="A61" s="839"/>
      <c r="B61" s="842"/>
      <c r="C61" s="735"/>
      <c r="D61" s="834"/>
      <c r="E61" s="145" t="str">
        <f t="shared" ref="E61:E64" si="67">IF(E55="","",E55)</f>
        <v/>
      </c>
      <c r="F61" s="277"/>
      <c r="G61" s="189" t="str">
        <f t="shared" si="64"/>
        <v/>
      </c>
      <c r="H61" s="190" t="str">
        <f t="shared" si="65"/>
        <v/>
      </c>
      <c r="I61" s="146" t="str">
        <f>IF($E61="","",IF($G61="正規職員","-",IF(AND(EXACT($C54,$C60),EXACT($E55,$E61),EXACT($G55,$G61)),I55,"賃金単価を記載")))</f>
        <v/>
      </c>
      <c r="J61" s="146" t="str">
        <f t="shared" ref="J61:J64" si="68">IF($E61="","",IF($G61="正規職員","-","勤務日数を記載（定期利用の場合、1と記載)"))</f>
        <v/>
      </c>
      <c r="K61" s="146" t="str">
        <f>IF($E61="","",IF($G61="正規職員","-",IF(AND(EXACT($C54,$C60),EXACT($E55,$E61),EXACT($G55,$G61)),K55,"日額の交通費を記載（定期利用の場合は月額)")))</f>
        <v/>
      </c>
      <c r="L61" s="62" t="str">
        <f t="shared" si="66"/>
        <v/>
      </c>
      <c r="M61" s="62">
        <f>$M$6</f>
        <v>199000</v>
      </c>
      <c r="N61" s="62">
        <f>IFERROR(IF($C60="-","",IF(E61="","",IF(G61="正規職員",M61-L60,MIN(MIN(L61:M61),M60-N60)))),0)</f>
        <v>0</v>
      </c>
      <c r="O61" s="64" t="str">
        <f t="shared" ref="O61:O64" si="69">IF(E61="","",IF(COUNTIFS(E61,"*給食室*")=1,"○","エラー"))</f>
        <v/>
      </c>
      <c r="P61" s="65">
        <f t="shared" ref="P61:P64" si="70">P60</f>
        <v>12</v>
      </c>
      <c r="Q61" s="65" t="e">
        <f>VLOOKUP($E61&amp;Q$5,'②-2勤務時間数入力'!$D$7:$Q$106,$P61,FALSE)</f>
        <v>#N/A</v>
      </c>
      <c r="R61" s="65" t="str">
        <f>IF(ISERROR(Q61),"×",IF(Q61="-","×","○"))</f>
        <v>×</v>
      </c>
      <c r="S61" s="65" t="e">
        <f>VLOOKUP($E61&amp;S$5,'②-2勤務時間数入力'!$D$7:$Q$106,$P61,FALSE)</f>
        <v>#N/A</v>
      </c>
      <c r="T61" s="65" t="str">
        <f>IF(ISERROR(S61),"×",IF(S61="-","×","○"))</f>
        <v>×</v>
      </c>
      <c r="U61" s="65" t="e">
        <f>VLOOKUP($E61&amp;U$5,'②-2勤務時間数入力'!$D$7:$Q$106,$P61,FALSE)</f>
        <v>#N/A</v>
      </c>
      <c r="V61" s="65" t="str">
        <f>IF(ISERROR(U61),"×",IF(U61="-","×","○"))</f>
        <v>×</v>
      </c>
      <c r="W61" s="65" t="e">
        <f>VLOOKUP($E61&amp;W$5,'②-2勤務時間数入力'!$D$7:$Q$106,$P61,FALSE)</f>
        <v>#N/A</v>
      </c>
      <c r="X61" s="65" t="str">
        <f>IF(ISERROR(W61),"×",IF(W61="-","×","○"))</f>
        <v>×</v>
      </c>
    </row>
    <row r="62" spans="1:24" ht="13.5" customHeight="1">
      <c r="A62" s="839"/>
      <c r="B62" s="842"/>
      <c r="C62" s="735"/>
      <c r="D62" s="834"/>
      <c r="E62" s="145" t="str">
        <f t="shared" si="67"/>
        <v/>
      </c>
      <c r="F62" s="277"/>
      <c r="G62" s="189" t="str">
        <f t="shared" si="64"/>
        <v/>
      </c>
      <c r="H62" s="190" t="str">
        <f t="shared" si="65"/>
        <v/>
      </c>
      <c r="I62" s="146" t="str">
        <f>IF($E62="","",IF($G62="正規職員","-",IF(AND(EXACT($C54,$C60),EXACT($E56,$E62),EXACT($G56,$G62)),I56,"賃金単価を記載")))</f>
        <v/>
      </c>
      <c r="J62" s="146" t="str">
        <f t="shared" si="68"/>
        <v/>
      </c>
      <c r="K62" s="146" t="str">
        <f>IF($E62="","",IF($G62="正規職員","-",IF(AND(EXACT($C54,$C60),EXACT($E56,$E62),EXACT($G56,$G62)),K56,"日額の交通費を記載（定期利用の場合は月額)")))</f>
        <v/>
      </c>
      <c r="L62" s="62" t="str">
        <f t="shared" si="66"/>
        <v/>
      </c>
      <c r="M62" s="62">
        <f>$M$6</f>
        <v>199000</v>
      </c>
      <c r="N62" s="62">
        <f>IFERROR(IF($C60="-","",IF(E62="","",IF(G62="正規職員",M62-L61,MIN(MIN(L62:M62),M61-N61)))),0)</f>
        <v>0</v>
      </c>
      <c r="O62" s="64" t="str">
        <f t="shared" si="69"/>
        <v/>
      </c>
      <c r="P62" s="65">
        <f t="shared" si="70"/>
        <v>12</v>
      </c>
      <c r="Q62" s="65" t="e">
        <f>VLOOKUP($E62&amp;Q$5,'②-2勤務時間数入力'!$D$7:$Q$106,$P62,FALSE)</f>
        <v>#N/A</v>
      </c>
      <c r="R62" s="65" t="str">
        <f>IF(ISERROR(Q62),"×",IF(Q62="-","×","○"))</f>
        <v>×</v>
      </c>
      <c r="S62" s="65" t="e">
        <f>VLOOKUP($E62&amp;S$5,'②-2勤務時間数入力'!$D$7:$Q$106,$P62,FALSE)</f>
        <v>#N/A</v>
      </c>
      <c r="T62" s="65" t="str">
        <f>IF(ISERROR(S62),"×",IF(S62="-","×","○"))</f>
        <v>×</v>
      </c>
      <c r="U62" s="65" t="e">
        <f>VLOOKUP($E62&amp;U$5,'②-2勤務時間数入力'!$D$7:$Q$106,$P62,FALSE)</f>
        <v>#N/A</v>
      </c>
      <c r="V62" s="65" t="str">
        <f>IF(ISERROR(U62),"×",IF(U62="-","×","○"))</f>
        <v>×</v>
      </c>
      <c r="W62" s="65" t="e">
        <f>VLOOKUP($E62&amp;W$5,'②-2勤務時間数入力'!$D$7:$Q$106,$P62,FALSE)</f>
        <v>#N/A</v>
      </c>
      <c r="X62" s="65" t="str">
        <f>IF(ISERROR(W62),"×",IF(W62="-","×","○"))</f>
        <v>×</v>
      </c>
    </row>
    <row r="63" spans="1:24" ht="13.5" customHeight="1">
      <c r="A63" s="839"/>
      <c r="B63" s="842"/>
      <c r="C63" s="735"/>
      <c r="D63" s="834"/>
      <c r="E63" s="145" t="str">
        <f t="shared" si="67"/>
        <v/>
      </c>
      <c r="F63" s="277"/>
      <c r="G63" s="189" t="str">
        <f t="shared" si="64"/>
        <v/>
      </c>
      <c r="H63" s="190" t="str">
        <f t="shared" si="65"/>
        <v/>
      </c>
      <c r="I63" s="146" t="str">
        <f>IF($E63="","",IF($G63="正規職員","-",IF(AND(EXACT($C54,$C60),EXACT($E57,$E63),EXACT($G57,$G63)),I57,"賃金単価を記載")))</f>
        <v/>
      </c>
      <c r="J63" s="146" t="str">
        <f t="shared" si="68"/>
        <v/>
      </c>
      <c r="K63" s="146" t="str">
        <f>IF($E63="","",IF($G63="正規職員","-",IF(AND(EXACT($C54,$C60),EXACT($E57,$E63),EXACT($G57,$G63)),K57,"日額の交通費を記載（定期利用の場合は月額)")))</f>
        <v/>
      </c>
      <c r="L63" s="62" t="str">
        <f t="shared" si="66"/>
        <v/>
      </c>
      <c r="M63" s="62">
        <f>$M$6</f>
        <v>199000</v>
      </c>
      <c r="N63" s="62">
        <f>IFERROR(IF($C60="-","",IF(E63="","",IF(G63="正規職員",M63-L62,MIN(MIN(L63:M63),M62-N62)))),0)</f>
        <v>0</v>
      </c>
      <c r="O63" s="64" t="str">
        <f t="shared" si="69"/>
        <v/>
      </c>
      <c r="P63" s="65">
        <f t="shared" si="70"/>
        <v>12</v>
      </c>
      <c r="Q63" s="65" t="e">
        <f>VLOOKUP($E63&amp;Q$5,'②-2勤務時間数入力'!$D$7:$Q$106,$P63,FALSE)</f>
        <v>#N/A</v>
      </c>
      <c r="R63" s="65" t="str">
        <f>IF(ISERROR(Q63),"×",IF(Q63="-","×","○"))</f>
        <v>×</v>
      </c>
      <c r="S63" s="65" t="e">
        <f>VLOOKUP($E63&amp;S$5,'②-2勤務時間数入力'!$D$7:$Q$106,$P63,FALSE)</f>
        <v>#N/A</v>
      </c>
      <c r="T63" s="65" t="str">
        <f>IF(ISERROR(S63),"×",IF(S63="-","×","○"))</f>
        <v>×</v>
      </c>
      <c r="U63" s="65" t="e">
        <f>VLOOKUP($E63&amp;U$5,'②-2勤務時間数入力'!$D$7:$Q$106,$P63,FALSE)</f>
        <v>#N/A</v>
      </c>
      <c r="V63" s="65" t="str">
        <f>IF(ISERROR(U63),"×",IF(U63="-","×","○"))</f>
        <v>×</v>
      </c>
      <c r="W63" s="65" t="e">
        <f>VLOOKUP($E63&amp;W$5,'②-2勤務時間数入力'!$D$7:$Q$106,$P63,FALSE)</f>
        <v>#N/A</v>
      </c>
      <c r="X63" s="65" t="str">
        <f>IF(ISERROR(W63),"×",IF(W63="-","×","○"))</f>
        <v>×</v>
      </c>
    </row>
    <row r="64" spans="1:24" ht="13.5" customHeight="1">
      <c r="A64" s="839"/>
      <c r="B64" s="842"/>
      <c r="C64" s="735"/>
      <c r="D64" s="834"/>
      <c r="E64" s="145" t="str">
        <f t="shared" si="67"/>
        <v/>
      </c>
      <c r="F64" s="277"/>
      <c r="G64" s="189" t="str">
        <f t="shared" si="64"/>
        <v/>
      </c>
      <c r="H64" s="190" t="str">
        <f t="shared" si="65"/>
        <v/>
      </c>
      <c r="I64" s="146" t="str">
        <f>IF($E64="","",IF($G64="正規職員","-",IF(AND(EXACT($C54,$C60),EXACT($E58,$E64),EXACT($G58,$G64)),I58,"賃金単価を記載")))</f>
        <v/>
      </c>
      <c r="J64" s="146" t="str">
        <f t="shared" si="68"/>
        <v/>
      </c>
      <c r="K64" s="146" t="str">
        <f>IF($E64="","",IF($G64="正規職員","-",IF(AND(EXACT($C54,$C60),EXACT($E58,$E64),EXACT($G58,$G64)),K58,"日額の交通費を記載（定期利用の場合は月額)")))</f>
        <v/>
      </c>
      <c r="L64" s="62" t="str">
        <f t="shared" si="66"/>
        <v/>
      </c>
      <c r="M64" s="62">
        <f>$M$6</f>
        <v>199000</v>
      </c>
      <c r="N64" s="62">
        <f>IFERROR(IF($C60="-","",IF(E64="","",IF(G64="正規職員",M64-L63,MIN(MIN(L64:M64),M63-N63)))),0)</f>
        <v>0</v>
      </c>
      <c r="O64" s="64" t="str">
        <f t="shared" si="69"/>
        <v/>
      </c>
      <c r="P64" s="65">
        <f t="shared" si="70"/>
        <v>12</v>
      </c>
      <c r="Q64" s="65" t="e">
        <f>VLOOKUP($E64&amp;Q$5,'②-2勤務時間数入力'!$D$7:$Q$106,$P64,FALSE)</f>
        <v>#N/A</v>
      </c>
      <c r="R64" s="65" t="str">
        <f>IF(ISERROR(Q64),"×",IF(Q64="-","×","○"))</f>
        <v>×</v>
      </c>
      <c r="S64" s="65" t="e">
        <f>VLOOKUP($E64&amp;S$5,'②-2勤務時間数入力'!$D$7:$Q$106,$P64,FALSE)</f>
        <v>#N/A</v>
      </c>
      <c r="T64" s="65" t="str">
        <f>IF(ISERROR(S64),"×",IF(S64="-","×","○"))</f>
        <v>×</v>
      </c>
      <c r="U64" s="65" t="e">
        <f>VLOOKUP($E64&amp;U$5,'②-2勤務時間数入力'!$D$7:$Q$106,$P64,FALSE)</f>
        <v>#N/A</v>
      </c>
      <c r="V64" s="65" t="str">
        <f>IF(ISERROR(U64),"×",IF(U64="-","×","○"))</f>
        <v>×</v>
      </c>
      <c r="W64" s="65" t="e">
        <f>VLOOKUP($E64&amp;W$5,'②-2勤務時間数入力'!$D$7:$Q$106,$P64,FALSE)</f>
        <v>#N/A</v>
      </c>
      <c r="X64" s="65" t="str">
        <f>IF(ISERROR(W64),"×",IF(W64="-","×","○"))</f>
        <v>×</v>
      </c>
    </row>
    <row r="65" spans="1:24" ht="13.5" customHeight="1">
      <c r="A65" s="840"/>
      <c r="B65" s="843"/>
      <c r="C65" s="736"/>
      <c r="D65" s="823"/>
      <c r="E65" s="1" t="s">
        <v>302</v>
      </c>
      <c r="F65" s="1"/>
      <c r="G65" s="189" t="s">
        <v>293</v>
      </c>
      <c r="H65" s="191"/>
      <c r="I65" s="63" t="s">
        <v>293</v>
      </c>
      <c r="J65" s="63"/>
      <c r="K65" s="63"/>
      <c r="L65" s="63" t="s">
        <v>293</v>
      </c>
      <c r="M65" s="63" t="s">
        <v>293</v>
      </c>
      <c r="N65" s="62">
        <f>MIN(IFERROR(IF(C60=1,IF(AND(B60="配置",OR(D60="調理師等",D60="栄養士")),MAX(SUM(N60:N64)-①基本情報!O43+10000,0),SUM(N60:N64)),0),0),$M$6)</f>
        <v>0</v>
      </c>
      <c r="O65" s="64" t="e">
        <f>IF(SUM(N60:N64)&gt;#REF!*$M$6,MIN($M$6,SUM(N60:N64)-ROUNDDOWN(#REF!*$M$6,0)),0)</f>
        <v>#REF!</v>
      </c>
      <c r="P65" s="65"/>
      <c r="Q65" s="65"/>
      <c r="R65" s="65"/>
      <c r="S65" s="65"/>
      <c r="T65" s="65"/>
      <c r="U65" s="65"/>
      <c r="V65" s="65"/>
      <c r="W65" s="65"/>
      <c r="X65" s="65"/>
    </row>
    <row r="66" spans="1:24" ht="13.5" customHeight="1">
      <c r="A66" s="820">
        <v>2</v>
      </c>
      <c r="B66" s="841" t="e">
        <f>IF(①基本情報!P41="有",①基本情報!P42,"無")</f>
        <v>#N/A</v>
      </c>
      <c r="C66" s="844" t="e">
        <f>IF(判定!AU19="NG","-",1)</f>
        <v>#N/A</v>
      </c>
      <c r="D66" s="822" t="str">
        <f>IFERROR(INDEX($L$83:$M$88,MATCH(判定!AU19,$L$83:$L$88,0),2),"-")</f>
        <v>-</v>
      </c>
      <c r="E66" s="145" t="str">
        <f t="shared" ref="E66:E70" si="71">IF(E60="","",E60)</f>
        <v/>
      </c>
      <c r="F66" s="277"/>
      <c r="G66" s="189" t="str">
        <f t="shared" ref="G66:G70" si="72">IF(E66="","",IF(R66="○",Q$5,IF(T66="○",S$5,IF(V66="○",U$5,IF(X66="○",W$5,"ERROR")))))</f>
        <v/>
      </c>
      <c r="H66" s="190" t="str">
        <f t="shared" ref="H66:H70" si="73">IF(E66="","",IF(R66="○",Q66,IF(T66="○",S66,IF(V66="○",U66,IF(X66="○",W66,"ERROR")))))</f>
        <v/>
      </c>
      <c r="I66" s="146" t="str">
        <f>IF($E66="","",IF($G66="正規職員","-",IF(AND(EXACT($C60,$C66),EXACT($E60,$E66),EXACT($G60,$G66)),I60,"賃金単価を記載")))</f>
        <v/>
      </c>
      <c r="J66" s="146" t="str">
        <f>IF($E66="","",IF($G66="正規職員","-","勤務日数を記載（定期利用の場合、1と記載)"))</f>
        <v/>
      </c>
      <c r="K66" s="146" t="str">
        <f>IF($E66="","",IF($G66="正規職員","-",IF(AND(EXACT($C60,$C66),EXACT($E60,$E66),EXACT($G60,$G66)),K60,"日額の交通費を記載（定期利用の場合は月額)")))</f>
        <v/>
      </c>
      <c r="L66" s="62" t="str">
        <f t="shared" ref="L66:L70" si="74">IF($E66="","",IF($G66="正規職員","-",(H66*I66+J66*K66)))</f>
        <v/>
      </c>
      <c r="M66" s="62">
        <f>$M$6</f>
        <v>199000</v>
      </c>
      <c r="N66" s="62">
        <f>IFERROR(IF($C66="-","",IF(E66="",0,IF(G66="正規職員",M66,MIN(L66:M66)))),0)</f>
        <v>0</v>
      </c>
      <c r="O66" s="64" t="str">
        <f>IF(E66="","",IF(COUNTIFS(E66,"*給食室*")=1,"○","エラー"))</f>
        <v/>
      </c>
      <c r="P66" s="65">
        <v>13</v>
      </c>
      <c r="Q66" s="65" t="e">
        <f>VLOOKUP($E66&amp;Q$5,'②-2勤務時間数入力'!$D$7:$Q$106,$P66,FALSE)</f>
        <v>#N/A</v>
      </c>
      <c r="R66" s="65" t="str">
        <f>IF(ISERROR(Q66),"×",IF(Q66="-","×","○"))</f>
        <v>×</v>
      </c>
      <c r="S66" s="65" t="e">
        <f>VLOOKUP($E66&amp;S$5,'②-2勤務時間数入力'!$D$7:$Q$106,$P66,FALSE)</f>
        <v>#N/A</v>
      </c>
      <c r="T66" s="65" t="str">
        <f>IF(ISERROR(S66),"×",IF(S66="-","×","○"))</f>
        <v>×</v>
      </c>
      <c r="U66" s="65" t="e">
        <f>VLOOKUP($E66&amp;U$5,'②-2勤務時間数入力'!$D$7:$Q$106,$P66,FALSE)</f>
        <v>#N/A</v>
      </c>
      <c r="V66" s="65" t="str">
        <f>IF(ISERROR(U66),"×",IF(U66="-","×","○"))</f>
        <v>×</v>
      </c>
      <c r="W66" s="65" t="e">
        <f>VLOOKUP($E66&amp;W$5,'②-2勤務時間数入力'!$D$7:$Q$106,$P66,FALSE)</f>
        <v>#N/A</v>
      </c>
      <c r="X66" s="65" t="str">
        <f>IF(ISERROR(W66),"×",IF(W66="-","×","○"))</f>
        <v>×</v>
      </c>
    </row>
    <row r="67" spans="1:24" ht="13.5" customHeight="1">
      <c r="A67" s="839"/>
      <c r="B67" s="842"/>
      <c r="C67" s="735"/>
      <c r="D67" s="834"/>
      <c r="E67" s="145" t="str">
        <f t="shared" si="71"/>
        <v/>
      </c>
      <c r="F67" s="277"/>
      <c r="G67" s="189" t="str">
        <f t="shared" si="72"/>
        <v/>
      </c>
      <c r="H67" s="190" t="str">
        <f t="shared" si="73"/>
        <v/>
      </c>
      <c r="I67" s="146" t="str">
        <f>IF($E67="","",IF($G67="正規職員","-",IF(AND(EXACT($C60,$C66),EXACT($E61,$E67),EXACT($G61,$G67)),I61,"賃金単価を記載")))</f>
        <v/>
      </c>
      <c r="J67" s="146" t="str">
        <f t="shared" ref="J67:J70" si="75">IF($E67="","",IF($G67="正規職員","-","勤務日数を記載（定期利用の場合、1と記載)"))</f>
        <v/>
      </c>
      <c r="K67" s="146" t="str">
        <f>IF($E67="","",IF($G67="正規職員","-",IF(AND(EXACT($C60,$C66),EXACT($E61,$E67),EXACT($G61,$G67)),K61,"日額の交通費を記載（定期利用の場合は月額)")))</f>
        <v/>
      </c>
      <c r="L67" s="62" t="str">
        <f t="shared" si="74"/>
        <v/>
      </c>
      <c r="M67" s="62">
        <f>$M$6</f>
        <v>199000</v>
      </c>
      <c r="N67" s="62">
        <f>IFERROR(IF($C66="-","",IF(E67="","",IF(G67="正規職員",M67-L66,MIN(MIN(L67:M67),M66-N66)))),0)</f>
        <v>0</v>
      </c>
      <c r="O67" s="64" t="str">
        <f t="shared" ref="O67:O70" si="76">IF(E67="","",IF(COUNTIFS(E67,"*給食室*")=1,"○","エラー"))</f>
        <v/>
      </c>
      <c r="P67" s="65">
        <f t="shared" ref="P67:P70" si="77">P66</f>
        <v>13</v>
      </c>
      <c r="Q67" s="65" t="e">
        <f>VLOOKUP($E67&amp;Q$5,'②-2勤務時間数入力'!$D$7:$Q$106,$P67,FALSE)</f>
        <v>#N/A</v>
      </c>
      <c r="R67" s="65" t="str">
        <f>IF(ISERROR(Q67),"×",IF(Q67="-","×","○"))</f>
        <v>×</v>
      </c>
      <c r="S67" s="65" t="e">
        <f>VLOOKUP($E67&amp;S$5,'②-2勤務時間数入力'!$D$7:$Q$106,$P67,FALSE)</f>
        <v>#N/A</v>
      </c>
      <c r="T67" s="65" t="str">
        <f>IF(ISERROR(S67),"×",IF(S67="-","×","○"))</f>
        <v>×</v>
      </c>
      <c r="U67" s="65" t="e">
        <f>VLOOKUP($E67&amp;U$5,'②-2勤務時間数入力'!$D$7:$Q$106,$P67,FALSE)</f>
        <v>#N/A</v>
      </c>
      <c r="V67" s="65" t="str">
        <f>IF(ISERROR(U67),"×",IF(U67="-","×","○"))</f>
        <v>×</v>
      </c>
      <c r="W67" s="65" t="e">
        <f>VLOOKUP($E67&amp;W$5,'②-2勤務時間数入力'!$D$7:$Q$106,$P67,FALSE)</f>
        <v>#N/A</v>
      </c>
      <c r="X67" s="65" t="str">
        <f>IF(ISERROR(W67),"×",IF(W67="-","×","○"))</f>
        <v>×</v>
      </c>
    </row>
    <row r="68" spans="1:24" ht="13.5" customHeight="1">
      <c r="A68" s="839"/>
      <c r="B68" s="842"/>
      <c r="C68" s="735"/>
      <c r="D68" s="834"/>
      <c r="E68" s="145" t="str">
        <f t="shared" si="71"/>
        <v/>
      </c>
      <c r="F68" s="277"/>
      <c r="G68" s="189" t="str">
        <f t="shared" si="72"/>
        <v/>
      </c>
      <c r="H68" s="190" t="str">
        <f t="shared" si="73"/>
        <v/>
      </c>
      <c r="I68" s="146" t="str">
        <f>IF($E68="","",IF($G68="正規職員","-",IF(AND(EXACT($C60,$C66),EXACT($E62,$E68),EXACT($G62,$G68)),I62,"賃金単価を記載")))</f>
        <v/>
      </c>
      <c r="J68" s="146" t="str">
        <f t="shared" si="75"/>
        <v/>
      </c>
      <c r="K68" s="146" t="str">
        <f>IF($E68="","",IF($G68="正規職員","-",IF(AND(EXACT($C60,$C66),EXACT($E62,$E68),EXACT($G62,$G68)),K62,"日額の交通費を記載（定期利用の場合は月額)")))</f>
        <v/>
      </c>
      <c r="L68" s="62" t="str">
        <f t="shared" si="74"/>
        <v/>
      </c>
      <c r="M68" s="62">
        <f>$M$6</f>
        <v>199000</v>
      </c>
      <c r="N68" s="62">
        <f>IFERROR(IF($C66="-","",IF(E68="","",IF(G68="正規職員",M68-L67,MIN(MIN(L68:M68),M67-N67)))),0)</f>
        <v>0</v>
      </c>
      <c r="O68" s="64" t="str">
        <f t="shared" si="76"/>
        <v/>
      </c>
      <c r="P68" s="65">
        <f t="shared" si="77"/>
        <v>13</v>
      </c>
      <c r="Q68" s="65" t="e">
        <f>VLOOKUP($E68&amp;Q$5,'②-2勤務時間数入力'!$D$7:$Q$106,$P68,FALSE)</f>
        <v>#N/A</v>
      </c>
      <c r="R68" s="65" t="str">
        <f>IF(ISERROR(Q68),"×",IF(Q68="-","×","○"))</f>
        <v>×</v>
      </c>
      <c r="S68" s="65" t="e">
        <f>VLOOKUP($E68&amp;S$5,'②-2勤務時間数入力'!$D$7:$Q$106,$P68,FALSE)</f>
        <v>#N/A</v>
      </c>
      <c r="T68" s="65" t="str">
        <f>IF(ISERROR(S68),"×",IF(S68="-","×","○"))</f>
        <v>×</v>
      </c>
      <c r="U68" s="65" t="e">
        <f>VLOOKUP($E68&amp;U$5,'②-2勤務時間数入力'!$D$7:$Q$106,$P68,FALSE)</f>
        <v>#N/A</v>
      </c>
      <c r="V68" s="65" t="str">
        <f>IF(ISERROR(U68),"×",IF(U68="-","×","○"))</f>
        <v>×</v>
      </c>
      <c r="W68" s="65" t="e">
        <f>VLOOKUP($E68&amp;W$5,'②-2勤務時間数入力'!$D$7:$Q$106,$P68,FALSE)</f>
        <v>#N/A</v>
      </c>
      <c r="X68" s="65" t="str">
        <f>IF(ISERROR(W68),"×",IF(W68="-","×","○"))</f>
        <v>×</v>
      </c>
    </row>
    <row r="69" spans="1:24" ht="13.5" customHeight="1">
      <c r="A69" s="839"/>
      <c r="B69" s="842"/>
      <c r="C69" s="735"/>
      <c r="D69" s="834"/>
      <c r="E69" s="145" t="str">
        <f t="shared" si="71"/>
        <v/>
      </c>
      <c r="F69" s="277"/>
      <c r="G69" s="189" t="str">
        <f t="shared" si="72"/>
        <v/>
      </c>
      <c r="H69" s="190" t="str">
        <f t="shared" si="73"/>
        <v/>
      </c>
      <c r="I69" s="146" t="str">
        <f>IF($E69="","",IF($G69="正規職員","-",IF(AND(EXACT($C60,$C66),EXACT($E63,$E69),EXACT($G63,$G69)),I63,"賃金単価を記載")))</f>
        <v/>
      </c>
      <c r="J69" s="146" t="str">
        <f t="shared" si="75"/>
        <v/>
      </c>
      <c r="K69" s="146" t="str">
        <f>IF($E69="","",IF($G69="正規職員","-",IF(AND(EXACT($C60,$C66),EXACT($E63,$E69),EXACT($G63,$G69)),K63,"日額の交通費を記載（定期利用の場合は月額)")))</f>
        <v/>
      </c>
      <c r="L69" s="62" t="str">
        <f t="shared" si="74"/>
        <v/>
      </c>
      <c r="M69" s="62">
        <f>$M$6</f>
        <v>199000</v>
      </c>
      <c r="N69" s="62">
        <f>IFERROR(IF($C66="-","",IF(E69="","",IF(G69="正規職員",M69-L68,MIN(MIN(L69:M69),M68-N68)))),0)</f>
        <v>0</v>
      </c>
      <c r="O69" s="64" t="str">
        <f t="shared" si="76"/>
        <v/>
      </c>
      <c r="P69" s="65">
        <f t="shared" si="77"/>
        <v>13</v>
      </c>
      <c r="Q69" s="65" t="e">
        <f>VLOOKUP($E69&amp;Q$5,'②-2勤務時間数入力'!$D$7:$Q$106,$P69,FALSE)</f>
        <v>#N/A</v>
      </c>
      <c r="R69" s="65" t="str">
        <f>IF(ISERROR(Q69),"×",IF(Q69="-","×","○"))</f>
        <v>×</v>
      </c>
      <c r="S69" s="65" t="e">
        <f>VLOOKUP($E69&amp;S$5,'②-2勤務時間数入力'!$D$7:$Q$106,$P69,FALSE)</f>
        <v>#N/A</v>
      </c>
      <c r="T69" s="65" t="str">
        <f>IF(ISERROR(S69),"×",IF(S69="-","×","○"))</f>
        <v>×</v>
      </c>
      <c r="U69" s="65" t="e">
        <f>VLOOKUP($E69&amp;U$5,'②-2勤務時間数入力'!$D$7:$Q$106,$P69,FALSE)</f>
        <v>#N/A</v>
      </c>
      <c r="V69" s="65" t="str">
        <f>IF(ISERROR(U69),"×",IF(U69="-","×","○"))</f>
        <v>×</v>
      </c>
      <c r="W69" s="65" t="e">
        <f>VLOOKUP($E69&amp;W$5,'②-2勤務時間数入力'!$D$7:$Q$106,$P69,FALSE)</f>
        <v>#N/A</v>
      </c>
      <c r="X69" s="65" t="str">
        <f>IF(ISERROR(W69),"×",IF(W69="-","×","○"))</f>
        <v>×</v>
      </c>
    </row>
    <row r="70" spans="1:24" ht="13.5" customHeight="1">
      <c r="A70" s="839"/>
      <c r="B70" s="842"/>
      <c r="C70" s="735"/>
      <c r="D70" s="834"/>
      <c r="E70" s="145" t="str">
        <f t="shared" si="71"/>
        <v/>
      </c>
      <c r="F70" s="277"/>
      <c r="G70" s="189" t="str">
        <f t="shared" si="72"/>
        <v/>
      </c>
      <c r="H70" s="190" t="str">
        <f t="shared" si="73"/>
        <v/>
      </c>
      <c r="I70" s="146" t="str">
        <f>IF($E70="","",IF($G70="正規職員","-",IF(AND(EXACT($C60,$C66),EXACT($E64,$E70),EXACT($G64,$G70)),I64,"賃金単価を記載")))</f>
        <v/>
      </c>
      <c r="J70" s="146" t="str">
        <f t="shared" si="75"/>
        <v/>
      </c>
      <c r="K70" s="146" t="str">
        <f>IF($E70="","",IF($G70="正規職員","-",IF(AND(EXACT($C60,$C66),EXACT($E64,$E70),EXACT($G64,$G70)),K64,"日額の交通費を記載（定期利用の場合は月額)")))</f>
        <v/>
      </c>
      <c r="L70" s="62" t="str">
        <f t="shared" si="74"/>
        <v/>
      </c>
      <c r="M70" s="62">
        <f>$M$6</f>
        <v>199000</v>
      </c>
      <c r="N70" s="62">
        <f>IFERROR(IF($C66="-","",IF(E70="","",IF(G70="正規職員",M70-L69,MIN(MIN(L70:M70),M69-N69)))),0)</f>
        <v>0</v>
      </c>
      <c r="O70" s="64" t="str">
        <f t="shared" si="76"/>
        <v/>
      </c>
      <c r="P70" s="65">
        <f t="shared" si="77"/>
        <v>13</v>
      </c>
      <c r="Q70" s="65" t="e">
        <f>VLOOKUP($E70&amp;Q$5,'②-2勤務時間数入力'!$D$7:$Q$106,$P70,FALSE)</f>
        <v>#N/A</v>
      </c>
      <c r="R70" s="65" t="str">
        <f>IF(ISERROR(Q70),"×",IF(Q70="-","×","○"))</f>
        <v>×</v>
      </c>
      <c r="S70" s="65" t="e">
        <f>VLOOKUP($E70&amp;S$5,'②-2勤務時間数入力'!$D$7:$Q$106,$P70,FALSE)</f>
        <v>#N/A</v>
      </c>
      <c r="T70" s="65" t="str">
        <f>IF(ISERROR(S70),"×",IF(S70="-","×","○"))</f>
        <v>×</v>
      </c>
      <c r="U70" s="65" t="e">
        <f>VLOOKUP($E70&amp;U$5,'②-2勤務時間数入力'!$D$7:$Q$106,$P70,FALSE)</f>
        <v>#N/A</v>
      </c>
      <c r="V70" s="65" t="str">
        <f>IF(ISERROR(U70),"×",IF(U70="-","×","○"))</f>
        <v>×</v>
      </c>
      <c r="W70" s="65" t="e">
        <f>VLOOKUP($E70&amp;W$5,'②-2勤務時間数入力'!$D$7:$Q$106,$P70,FALSE)</f>
        <v>#N/A</v>
      </c>
      <c r="X70" s="65" t="str">
        <f>IF(ISERROR(W70),"×",IF(W70="-","×","○"))</f>
        <v>×</v>
      </c>
    </row>
    <row r="71" spans="1:24" ht="13.5" customHeight="1">
      <c r="A71" s="840"/>
      <c r="B71" s="843"/>
      <c r="C71" s="736"/>
      <c r="D71" s="823"/>
      <c r="E71" s="1" t="s">
        <v>303</v>
      </c>
      <c r="F71" s="1"/>
      <c r="G71" s="189" t="s">
        <v>293</v>
      </c>
      <c r="H71" s="191"/>
      <c r="I71" s="63" t="s">
        <v>293</v>
      </c>
      <c r="J71" s="63"/>
      <c r="K71" s="63"/>
      <c r="L71" s="63" t="s">
        <v>293</v>
      </c>
      <c r="M71" s="63" t="s">
        <v>293</v>
      </c>
      <c r="N71" s="62">
        <f>MIN(IFERROR(IF(C66=1,IF(AND(B66="配置",OR(D66="調理師等",D66="栄養士")),MAX(SUM(N66:N70)-①基本情報!P43+10000,0),SUM(N66:N70)),0),0),$M$6)</f>
        <v>0</v>
      </c>
      <c r="O71" s="64" t="e">
        <f>IF(SUM(N66:N70)&gt;#REF!*$M$6,MIN($M$6,SUM(N66:N70)-ROUNDDOWN(#REF!*$M$6,0)),0)</f>
        <v>#REF!</v>
      </c>
      <c r="P71" s="65"/>
      <c r="Q71" s="65"/>
      <c r="R71" s="65"/>
      <c r="S71" s="65"/>
      <c r="T71" s="65"/>
      <c r="U71" s="65"/>
      <c r="V71" s="65"/>
      <c r="W71" s="65"/>
      <c r="X71" s="65"/>
    </row>
    <row r="72" spans="1:24" ht="13.5" customHeight="1">
      <c r="A72" s="820">
        <v>3</v>
      </c>
      <c r="B72" s="841" t="e">
        <f>IF(①基本情報!Q41="有",①基本情報!Q42,"無")</f>
        <v>#N/A</v>
      </c>
      <c r="C72" s="844" t="e">
        <f>IF(判定!AU20="NG","-",1)</f>
        <v>#N/A</v>
      </c>
      <c r="D72" s="822" t="str">
        <f>IFERROR(INDEX($L$83:$M$88,MATCH(判定!AU20,$L$83:$L$88,0),2),"-")</f>
        <v>-</v>
      </c>
      <c r="E72" s="145" t="str">
        <f>IF(E66="","",E66)</f>
        <v/>
      </c>
      <c r="F72" s="277"/>
      <c r="G72" s="189" t="str">
        <f>IF(E72="","",IF(R72="○",Q$5,IF(T72="○",S$5,IF(V72="○",U$5,IF(X72="○",W$5,"ERROR")))))</f>
        <v/>
      </c>
      <c r="H72" s="190" t="str">
        <f t="shared" ref="H72:H76" si="78">IF(E72="","",IF(R72="○",Q72,IF(T72="○",S72,IF(V72="○",U72,IF(X72="○",W72,"ERROR")))))</f>
        <v/>
      </c>
      <c r="I72" s="146" t="str">
        <f>IF($E72="","",IF($G72="正規職員","-",IF(AND(EXACT($C66,$C72),EXACT($E66,$E72),EXACT($G66,$G72)),I66,"賃金単価を記載")))</f>
        <v/>
      </c>
      <c r="J72" s="146" t="str">
        <f>IF($E72="","",IF($G72="正規職員","-","勤務日数を記載（定期利用の場合、1と記載)"))</f>
        <v/>
      </c>
      <c r="K72" s="146" t="str">
        <f>IF($E72="","",IF($G72="正規職員","-",IF(AND(EXACT($C66,$C72),EXACT($E66,$E72),EXACT($G66,$G72)),K66,"日額の交通費を記載（定期利用の場合は月額)")))</f>
        <v/>
      </c>
      <c r="L72" s="62" t="str">
        <f t="shared" ref="L72:L76" si="79">IF($E72="","",IF($G72="正規職員","-",(H72*I72+J72*K72)))</f>
        <v/>
      </c>
      <c r="M72" s="62">
        <f>$M$6</f>
        <v>199000</v>
      </c>
      <c r="N72" s="62">
        <f>IFERROR(IF($C72="-","",IF(E72="",0,IF(G72="正規職員",M72,MIN(L72:M72)))),0)</f>
        <v>0</v>
      </c>
      <c r="O72" s="64" t="str">
        <f>IF(E72="","",IF(COUNTIFS(E72,"*給食室*")=1,"○","エラー"))</f>
        <v/>
      </c>
      <c r="P72" s="65">
        <v>14</v>
      </c>
      <c r="Q72" s="65" t="e">
        <f>VLOOKUP($E72&amp;Q$5,'②-2勤務時間数入力'!$D$7:$Q$106,$P72,FALSE)</f>
        <v>#N/A</v>
      </c>
      <c r="R72" s="65" t="str">
        <f>IF(ISERROR(Q72),"×",IF(Q72="-","×","○"))</f>
        <v>×</v>
      </c>
      <c r="S72" s="65" t="e">
        <f>VLOOKUP($E72&amp;S$5,'②-2勤務時間数入力'!$D$7:$Q$106,$P72,FALSE)</f>
        <v>#N/A</v>
      </c>
      <c r="T72" s="65" t="str">
        <f>IF(ISERROR(S72),"×",IF(S72="-","×","○"))</f>
        <v>×</v>
      </c>
      <c r="U72" s="65" t="e">
        <f>VLOOKUP($E72&amp;U$5,'②-2勤務時間数入力'!$D$7:$Q$106,$P72,FALSE)</f>
        <v>#N/A</v>
      </c>
      <c r="V72" s="65" t="str">
        <f>IF(ISERROR(U72),"×",IF(U72="-","×","○"))</f>
        <v>×</v>
      </c>
      <c r="W72" s="65" t="e">
        <f>VLOOKUP($E72&amp;W$5,'②-2勤務時間数入力'!$D$7:$Q$106,$P72,FALSE)</f>
        <v>#N/A</v>
      </c>
      <c r="X72" s="65" t="str">
        <f>IF(ISERROR(W72),"×",IF(W72="-","×","○"))</f>
        <v>×</v>
      </c>
    </row>
    <row r="73" spans="1:24" ht="13.5" customHeight="1">
      <c r="A73" s="839"/>
      <c r="B73" s="842"/>
      <c r="C73" s="735"/>
      <c r="D73" s="834"/>
      <c r="E73" s="145" t="str">
        <f t="shared" ref="E73:E76" si="80">IF(E67="","",E67)</f>
        <v/>
      </c>
      <c r="F73" s="277"/>
      <c r="G73" s="189" t="str">
        <f t="shared" ref="G73:G76" si="81">IF(E73="","",IF(R73="○",Q$5,IF(T73="○",S$5,IF(V73="○",U$5,IF(X73="○",W$5,"ERROR")))))</f>
        <v/>
      </c>
      <c r="H73" s="190" t="str">
        <f t="shared" si="78"/>
        <v/>
      </c>
      <c r="I73" s="146" t="str">
        <f>IF($E73="","",IF($G73="正規職員","-",IF(AND(EXACT($C66,$C72),EXACT($E67,$E73),EXACT($G67,$G73)),I67,"賃金単価を記載")))</f>
        <v/>
      </c>
      <c r="J73" s="146" t="str">
        <f t="shared" ref="J73:J76" si="82">IF($E73="","",IF($G73="正規職員","-","勤務日数を記載（定期利用の場合、1と記載)"))</f>
        <v/>
      </c>
      <c r="K73" s="146" t="str">
        <f>IF($E73="","",IF($G73="正規職員","-",IF(AND(EXACT($C66,$C72),EXACT($E67,$E73),EXACT($G67,$G73)),K67,"日額の交通費を記載（定期利用の場合は月額)")))</f>
        <v/>
      </c>
      <c r="L73" s="62" t="str">
        <f t="shared" si="79"/>
        <v/>
      </c>
      <c r="M73" s="62">
        <f>$M$6</f>
        <v>199000</v>
      </c>
      <c r="N73" s="62">
        <f>IFERROR(IF($C72="-","",IF(E73="","",IF(G73="正規職員",M73-L72,MIN(MIN(L73:M73),M72-N72)))),0)</f>
        <v>0</v>
      </c>
      <c r="O73" s="64" t="str">
        <f t="shared" ref="O73:O76" si="83">IF(E73="","",IF(COUNTIFS(E73,"*給食室*")=1,"○","エラー"))</f>
        <v/>
      </c>
      <c r="P73" s="65">
        <f t="shared" ref="P73:P76" si="84">P72</f>
        <v>14</v>
      </c>
      <c r="Q73" s="65" t="e">
        <f>VLOOKUP($E73&amp;Q$5,'②-2勤務時間数入力'!$D$7:$Q$106,$P73,FALSE)</f>
        <v>#N/A</v>
      </c>
      <c r="R73" s="65" t="str">
        <f>IF(ISERROR(Q73),"×",IF(Q73="-","×","○"))</f>
        <v>×</v>
      </c>
      <c r="S73" s="65" t="e">
        <f>VLOOKUP($E73&amp;S$5,'②-2勤務時間数入力'!$D$7:$Q$106,$P73,FALSE)</f>
        <v>#N/A</v>
      </c>
      <c r="T73" s="65" t="str">
        <f>IF(ISERROR(S73),"×",IF(S73="-","×","○"))</f>
        <v>×</v>
      </c>
      <c r="U73" s="65" t="e">
        <f>VLOOKUP($E73&amp;U$5,'②-2勤務時間数入力'!$D$7:$Q$106,$P73,FALSE)</f>
        <v>#N/A</v>
      </c>
      <c r="V73" s="65" t="str">
        <f>IF(ISERROR(U73),"×",IF(U73="-","×","○"))</f>
        <v>×</v>
      </c>
      <c r="W73" s="65" t="e">
        <f>VLOOKUP($E73&amp;W$5,'②-2勤務時間数入力'!$D$7:$Q$106,$P73,FALSE)</f>
        <v>#N/A</v>
      </c>
      <c r="X73" s="65" t="str">
        <f>IF(ISERROR(W73),"×",IF(W73="-","×","○"))</f>
        <v>×</v>
      </c>
    </row>
    <row r="74" spans="1:24" ht="13.5" customHeight="1">
      <c r="A74" s="839"/>
      <c r="B74" s="842"/>
      <c r="C74" s="735"/>
      <c r="D74" s="834"/>
      <c r="E74" s="145" t="str">
        <f t="shared" si="80"/>
        <v/>
      </c>
      <c r="F74" s="277"/>
      <c r="G74" s="189" t="str">
        <f t="shared" si="81"/>
        <v/>
      </c>
      <c r="H74" s="190" t="str">
        <f t="shared" si="78"/>
        <v/>
      </c>
      <c r="I74" s="146" t="str">
        <f>IF($E74="","",IF($G74="正規職員","-",IF(AND(EXACT($C66,$C72),EXACT($E68,$E74),EXACT($G68,$G74)),I68,"賃金単価を記載")))</f>
        <v/>
      </c>
      <c r="J74" s="146" t="str">
        <f>IF($E74="","",IF($G74="正規職員","-","勤務日数を記載（定期利用の場合、1と記載)"))</f>
        <v/>
      </c>
      <c r="K74" s="146" t="str">
        <f>IF($E74="","",IF($G74="正規職員","-",IF(AND(EXACT($C66,$C72),EXACT($E68,$E74),EXACT($G68,$G74)),K68,"日額の交通費を記載（定期利用の場合は月額)")))</f>
        <v/>
      </c>
      <c r="L74" s="62" t="str">
        <f t="shared" si="79"/>
        <v/>
      </c>
      <c r="M74" s="62">
        <f>$M$6</f>
        <v>199000</v>
      </c>
      <c r="N74" s="62">
        <f>IFERROR(IF($C72="-","",IF(E74="","",IF(G74="正規職員",M74-L73,MIN(MIN(L74:M74),M73-N73)))),0)</f>
        <v>0</v>
      </c>
      <c r="O74" s="64" t="str">
        <f t="shared" si="83"/>
        <v/>
      </c>
      <c r="P74" s="65">
        <f t="shared" si="84"/>
        <v>14</v>
      </c>
      <c r="Q74" s="65" t="e">
        <f>VLOOKUP($E74&amp;Q$5,'②-2勤務時間数入力'!$D$7:$Q$106,$P74,FALSE)</f>
        <v>#N/A</v>
      </c>
      <c r="R74" s="65" t="str">
        <f>IF(ISERROR(Q74),"×",IF(Q74="-","×","○"))</f>
        <v>×</v>
      </c>
      <c r="S74" s="65" t="e">
        <f>VLOOKUP($E74&amp;S$5,'②-2勤務時間数入力'!$D$7:$Q$106,$P74,FALSE)</f>
        <v>#N/A</v>
      </c>
      <c r="T74" s="65" t="str">
        <f>IF(ISERROR(S74),"×",IF(S74="-","×","○"))</f>
        <v>×</v>
      </c>
      <c r="U74" s="65" t="e">
        <f>VLOOKUP($E74&amp;U$5,'②-2勤務時間数入力'!$D$7:$Q$106,$P74,FALSE)</f>
        <v>#N/A</v>
      </c>
      <c r="V74" s="65" t="str">
        <f>IF(ISERROR(U74),"×",IF(U74="-","×","○"))</f>
        <v>×</v>
      </c>
      <c r="W74" s="65" t="e">
        <f>VLOOKUP($E74&amp;W$5,'②-2勤務時間数入力'!$D$7:$Q$106,$P74,FALSE)</f>
        <v>#N/A</v>
      </c>
      <c r="X74" s="65" t="str">
        <f>IF(ISERROR(W74),"×",IF(W74="-","×","○"))</f>
        <v>×</v>
      </c>
    </row>
    <row r="75" spans="1:24" ht="13.5" customHeight="1">
      <c r="A75" s="839"/>
      <c r="B75" s="842"/>
      <c r="C75" s="735"/>
      <c r="D75" s="834"/>
      <c r="E75" s="145" t="str">
        <f t="shared" si="80"/>
        <v/>
      </c>
      <c r="F75" s="277"/>
      <c r="G75" s="189" t="str">
        <f t="shared" si="81"/>
        <v/>
      </c>
      <c r="H75" s="190" t="str">
        <f t="shared" si="78"/>
        <v/>
      </c>
      <c r="I75" s="146" t="str">
        <f>IF($E75="","",IF($G75="正規職員","-",IF(AND(EXACT($C66,$C72),EXACT($E69,$E75),EXACT($G69,$G75)),I69,"賃金単価を記載")))</f>
        <v/>
      </c>
      <c r="J75" s="146" t="str">
        <f t="shared" si="82"/>
        <v/>
      </c>
      <c r="K75" s="146" t="str">
        <f>IF($E75="","",IF($G75="正規職員","-",IF(AND(EXACT($C66,$C72),EXACT($E69,$E75),EXACT($G69,$G75)),K69,"日額の交通費を記載（定期利用の場合は月額)")))</f>
        <v/>
      </c>
      <c r="L75" s="62" t="str">
        <f t="shared" si="79"/>
        <v/>
      </c>
      <c r="M75" s="62">
        <f>$M$6</f>
        <v>199000</v>
      </c>
      <c r="N75" s="62">
        <f>IFERROR(IF($C72="-","",IF(E75="","",IF(G75="正規職員",M75-L74,MIN(MIN(L75:M75),M74-N74)))),0)</f>
        <v>0</v>
      </c>
      <c r="O75" s="64" t="str">
        <f t="shared" si="83"/>
        <v/>
      </c>
      <c r="P75" s="65">
        <f t="shared" si="84"/>
        <v>14</v>
      </c>
      <c r="Q75" s="65" t="e">
        <f>VLOOKUP($E75&amp;Q$5,'②-2勤務時間数入力'!$D$7:$Q$106,$P75,FALSE)</f>
        <v>#N/A</v>
      </c>
      <c r="R75" s="65" t="str">
        <f>IF(ISERROR(Q75),"×",IF(Q75="-","×","○"))</f>
        <v>×</v>
      </c>
      <c r="S75" s="65" t="e">
        <f>VLOOKUP($E75&amp;S$5,'②-2勤務時間数入力'!$D$7:$Q$106,$P75,FALSE)</f>
        <v>#N/A</v>
      </c>
      <c r="T75" s="65" t="str">
        <f>IF(ISERROR(S75),"×",IF(S75="-","×","○"))</f>
        <v>×</v>
      </c>
      <c r="U75" s="65" t="e">
        <f>VLOOKUP($E75&amp;U$5,'②-2勤務時間数入力'!$D$7:$Q$106,$P75,FALSE)</f>
        <v>#N/A</v>
      </c>
      <c r="V75" s="65" t="str">
        <f>IF(ISERROR(U75),"×",IF(U75="-","×","○"))</f>
        <v>×</v>
      </c>
      <c r="W75" s="65" t="e">
        <f>VLOOKUP($E75&amp;W$5,'②-2勤務時間数入力'!$D$7:$Q$106,$P75,FALSE)</f>
        <v>#N/A</v>
      </c>
      <c r="X75" s="65" t="str">
        <f>IF(ISERROR(W75),"×",IF(W75="-","×","○"))</f>
        <v>×</v>
      </c>
    </row>
    <row r="76" spans="1:24" ht="13.5" customHeight="1">
      <c r="A76" s="839"/>
      <c r="B76" s="842"/>
      <c r="C76" s="735"/>
      <c r="D76" s="834"/>
      <c r="E76" s="145" t="str">
        <f t="shared" si="80"/>
        <v/>
      </c>
      <c r="F76" s="277"/>
      <c r="G76" s="189" t="str">
        <f t="shared" si="81"/>
        <v/>
      </c>
      <c r="H76" s="190" t="str">
        <f t="shared" si="78"/>
        <v/>
      </c>
      <c r="I76" s="146" t="str">
        <f>IF($E76="","",IF($G76="正規職員","-",IF(AND(EXACT($C66,$C72),EXACT($E70,$E76),EXACT($G70,$G76)),I70,"賃金単価を記載")))</f>
        <v/>
      </c>
      <c r="J76" s="146" t="str">
        <f t="shared" si="82"/>
        <v/>
      </c>
      <c r="K76" s="146" t="str">
        <f>IF($E76="","",IF($G76="正規職員","-",IF(AND(EXACT($C66,$C72),EXACT($E70,$E76),EXACT($G70,$G76)),K70,"日額の交通費を記載（定期利用の場合は月額)")))</f>
        <v/>
      </c>
      <c r="L76" s="62" t="str">
        <f t="shared" si="79"/>
        <v/>
      </c>
      <c r="M76" s="62">
        <f>$M$6</f>
        <v>199000</v>
      </c>
      <c r="N76" s="62">
        <f>IFERROR(IF($C72="-","",IF(E76="","",IF(G76="正規職員",M76-L75,MIN(MIN(L76:M76),M75-N75)))),0)</f>
        <v>0</v>
      </c>
      <c r="O76" s="64" t="str">
        <f t="shared" si="83"/>
        <v/>
      </c>
      <c r="P76" s="65">
        <f t="shared" si="84"/>
        <v>14</v>
      </c>
      <c r="Q76" s="65" t="e">
        <f>VLOOKUP($E76&amp;Q$5,'②-2勤務時間数入力'!$D$7:$Q$106,$P76,FALSE)</f>
        <v>#N/A</v>
      </c>
      <c r="R76" s="65" t="str">
        <f>IF(ISERROR(Q76),"×",IF(Q76="-","×","○"))</f>
        <v>×</v>
      </c>
      <c r="S76" s="65" t="e">
        <f>VLOOKUP($E76&amp;S$5,'②-2勤務時間数入力'!$D$7:$Q$106,$P76,FALSE)</f>
        <v>#N/A</v>
      </c>
      <c r="T76" s="65" t="str">
        <f>IF(ISERROR(S76),"×",IF(S76="-","×","○"))</f>
        <v>×</v>
      </c>
      <c r="U76" s="65" t="e">
        <f>VLOOKUP($E76&amp;U$5,'②-2勤務時間数入力'!$D$7:$Q$106,$P76,FALSE)</f>
        <v>#N/A</v>
      </c>
      <c r="V76" s="65" t="str">
        <f>IF(ISERROR(U76),"×",IF(U76="-","×","○"))</f>
        <v>×</v>
      </c>
      <c r="W76" s="65" t="e">
        <f>VLOOKUP($E76&amp;W$5,'②-2勤務時間数入力'!$D$7:$Q$106,$P76,FALSE)</f>
        <v>#N/A</v>
      </c>
      <c r="X76" s="65" t="str">
        <f>IF(ISERROR(W76),"×",IF(W76="-","×","○"))</f>
        <v>×</v>
      </c>
    </row>
    <row r="77" spans="1:24" ht="13.5" customHeight="1">
      <c r="A77" s="840"/>
      <c r="B77" s="843"/>
      <c r="C77" s="736"/>
      <c r="D77" s="823"/>
      <c r="E77" s="1" t="s">
        <v>304</v>
      </c>
      <c r="F77" s="1"/>
      <c r="G77" s="189" t="s">
        <v>293</v>
      </c>
      <c r="H77" s="191"/>
      <c r="I77" s="63" t="s">
        <v>293</v>
      </c>
      <c r="J77" s="63"/>
      <c r="K77" s="63"/>
      <c r="L77" s="63" t="s">
        <v>293</v>
      </c>
      <c r="M77" s="63" t="s">
        <v>293</v>
      </c>
      <c r="N77" s="62">
        <f>MIN(IFERROR(IF(C72=1,IF(AND(B72="配置",OR(D72="調理師等",D72="栄養士")),MAX(SUM(N72:N76)-①基本情報!Q43+10000,0),SUM(N72:N76)),0),0),$M$6)</f>
        <v>0</v>
      </c>
      <c r="O77" s="64" t="e">
        <f>IF(SUM(N72:N76)&gt;#REF!*$M$6,MIN($M$6,SUM(N72:N76)-ROUNDDOWN(#REF!*$M$6,0)),0)</f>
        <v>#REF!</v>
      </c>
      <c r="P77" s="65"/>
      <c r="Q77" s="65"/>
      <c r="R77" s="65"/>
      <c r="S77" s="65"/>
      <c r="T77" s="65"/>
      <c r="U77" s="65"/>
      <c r="V77" s="65"/>
      <c r="W77" s="65"/>
      <c r="X77" s="65"/>
    </row>
    <row r="78" spans="1:24" ht="13.5" customHeight="1">
      <c r="A78" s="61" t="s">
        <v>284</v>
      </c>
      <c r="B78" s="61"/>
      <c r="C78" s="61"/>
      <c r="D78" s="61"/>
      <c r="E78" s="1"/>
      <c r="F78" s="1"/>
      <c r="G78" s="190"/>
      <c r="H78" s="190"/>
      <c r="I78" s="62"/>
      <c r="J78" s="62"/>
      <c r="K78" s="62"/>
      <c r="L78" s="62"/>
      <c r="M78" s="62"/>
      <c r="N78" s="66">
        <f>ROUNDDOWN(SUM(N11,N17,N23,N29,N35,N41,N47,N53,N59,N65,N71,N77),-3)</f>
        <v>0</v>
      </c>
    </row>
    <row r="79" spans="1:24">
      <c r="E79" s="64"/>
      <c r="F79" s="64"/>
      <c r="G79" s="64"/>
      <c r="H79" s="64"/>
      <c r="I79" s="64"/>
      <c r="J79" s="64"/>
      <c r="K79" s="64"/>
      <c r="L79" s="64"/>
      <c r="M79" s="64"/>
      <c r="N79" s="64"/>
    </row>
    <row r="82" spans="4:13">
      <c r="D82" s="85" t="s">
        <v>371</v>
      </c>
      <c r="E82" s="85"/>
      <c r="F82" s="85"/>
      <c r="G82" s="85"/>
      <c r="H82" s="85"/>
      <c r="I82" s="85"/>
      <c r="J82" s="85"/>
      <c r="M82" t="s">
        <v>1276</v>
      </c>
    </row>
    <row r="83" spans="4:13" ht="38.25" customHeight="1">
      <c r="D83" s="85" t="s">
        <v>375</v>
      </c>
      <c r="E83" s="85"/>
      <c r="F83" s="85"/>
      <c r="G83" s="85"/>
      <c r="H83" s="85"/>
      <c r="I83" s="85"/>
      <c r="J83" s="85"/>
      <c r="L83" t="s">
        <v>1272</v>
      </c>
      <c r="M83" t="str">
        <f>'②-1職員名簿'!C144</f>
        <v>保育士</v>
      </c>
    </row>
    <row r="84" spans="4:13">
      <c r="D84" s="85" t="s">
        <v>405</v>
      </c>
      <c r="E84" s="85"/>
      <c r="F84" s="85"/>
      <c r="G84" s="85"/>
      <c r="H84" s="85"/>
      <c r="I84" s="85"/>
      <c r="J84" s="85"/>
      <c r="L84" t="s">
        <v>1273</v>
      </c>
      <c r="M84" t="str">
        <f>'②-1職員名簿'!C145</f>
        <v>要件緩和</v>
      </c>
    </row>
    <row r="85" spans="4:13" ht="146.25" customHeight="1">
      <c r="D85" s="144" t="s">
        <v>344</v>
      </c>
      <c r="E85" s="830" t="s">
        <v>1604</v>
      </c>
      <c r="F85" s="830"/>
      <c r="G85" s="830"/>
      <c r="H85" s="830"/>
      <c r="I85" s="830"/>
      <c r="J85" s="830"/>
      <c r="L85" t="s">
        <v>1274</v>
      </c>
      <c r="M85" t="str">
        <f>'②-1職員名簿'!C146</f>
        <v>看護師等</v>
      </c>
    </row>
    <row r="86" spans="4:13" ht="79.5" hidden="1" customHeight="1">
      <c r="D86" s="144" t="s">
        <v>1583</v>
      </c>
      <c r="E86" s="830" t="s">
        <v>1585</v>
      </c>
      <c r="F86" s="830"/>
      <c r="G86" s="830"/>
      <c r="H86" s="830"/>
      <c r="I86" s="830"/>
      <c r="J86" s="1"/>
      <c r="L86" t="s">
        <v>1275</v>
      </c>
      <c r="M86" t="str">
        <f>'②-1職員名簿'!C147</f>
        <v>栄養士</v>
      </c>
    </row>
    <row r="87" spans="4:13" ht="50" customHeight="1">
      <c r="D87" s="144" t="s">
        <v>377</v>
      </c>
      <c r="E87" s="830" t="s">
        <v>373</v>
      </c>
      <c r="F87" s="830"/>
      <c r="G87" s="830"/>
      <c r="H87" s="830"/>
      <c r="I87" s="830"/>
      <c r="J87" s="830"/>
      <c r="L87" t="s">
        <v>1279</v>
      </c>
      <c r="M87" t="str">
        <f>'②-1職員名簿'!C148</f>
        <v>調理師等</v>
      </c>
    </row>
    <row r="88" spans="4:13" ht="60" customHeight="1">
      <c r="D88" s="144" t="s">
        <v>1079</v>
      </c>
      <c r="E88" s="830" t="s">
        <v>376</v>
      </c>
      <c r="F88" s="830"/>
      <c r="G88" s="830"/>
      <c r="H88" s="830"/>
      <c r="I88" s="830"/>
      <c r="J88" s="830"/>
      <c r="L88" t="s">
        <v>1280</v>
      </c>
      <c r="M88" t="str">
        <f>'②-1職員名簿'!C149</f>
        <v>保育支援者</v>
      </c>
    </row>
    <row r="89" spans="4:13" ht="72" customHeight="1">
      <c r="D89" s="144" t="s">
        <v>1080</v>
      </c>
      <c r="E89" s="830" t="s">
        <v>378</v>
      </c>
      <c r="F89" s="830"/>
      <c r="G89" s="830"/>
      <c r="H89" s="830"/>
      <c r="I89" s="830"/>
      <c r="J89" s="830"/>
    </row>
    <row r="92" spans="4:13">
      <c r="D92" s="838"/>
      <c r="E92" s="838"/>
      <c r="F92" s="838"/>
      <c r="G92" s="838"/>
      <c r="H92" s="838"/>
      <c r="I92" s="838"/>
    </row>
  </sheetData>
  <sheetProtection algorithmName="SHA-512" hashValue="yNSq4Xtt/Mh7D6oz2V0KCBxd6eOQ2nRYTfYTnwwJRJj/cHFbpZVz7g1Dh2joRXmgf2nAchSGWrPPBPMTrrSrKw==" saltValue="1IksRBgJyqBsHvIWZSORpg==" spinCount="100000" sheet="1" selectLockedCells="1"/>
  <mergeCells count="61">
    <mergeCell ref="A12:A17"/>
    <mergeCell ref="B12:B17"/>
    <mergeCell ref="C12:C17"/>
    <mergeCell ref="A1:N1"/>
    <mergeCell ref="G2:H2"/>
    <mergeCell ref="I2:N2"/>
    <mergeCell ref="D12:D17"/>
    <mergeCell ref="W5:X5"/>
    <mergeCell ref="A6:A11"/>
    <mergeCell ref="B6:B11"/>
    <mergeCell ref="C6:C11"/>
    <mergeCell ref="Q5:R5"/>
    <mergeCell ref="S5:T5"/>
    <mergeCell ref="U5:V5"/>
    <mergeCell ref="D6:D11"/>
    <mergeCell ref="A18:A23"/>
    <mergeCell ref="B18:B23"/>
    <mergeCell ref="C18:C23"/>
    <mergeCell ref="A24:A29"/>
    <mergeCell ref="B24:B29"/>
    <mergeCell ref="C24:C29"/>
    <mergeCell ref="C30:C35"/>
    <mergeCell ref="A36:A41"/>
    <mergeCell ref="B36:B41"/>
    <mergeCell ref="C36:C41"/>
    <mergeCell ref="A30:A35"/>
    <mergeCell ref="B30:B35"/>
    <mergeCell ref="A72:A77"/>
    <mergeCell ref="B72:B77"/>
    <mergeCell ref="C72:C77"/>
    <mergeCell ref="A54:A59"/>
    <mergeCell ref="B54:B59"/>
    <mergeCell ref="C54:C59"/>
    <mergeCell ref="A60:A65"/>
    <mergeCell ref="B60:B65"/>
    <mergeCell ref="C60:C65"/>
    <mergeCell ref="A66:A71"/>
    <mergeCell ref="B66:B71"/>
    <mergeCell ref="C66:C71"/>
    <mergeCell ref="A42:A47"/>
    <mergeCell ref="B42:B47"/>
    <mergeCell ref="C42:C47"/>
    <mergeCell ref="A48:A53"/>
    <mergeCell ref="B48:B53"/>
    <mergeCell ref="C48:C53"/>
    <mergeCell ref="D92:I92"/>
    <mergeCell ref="E86:I86"/>
    <mergeCell ref="E85:J85"/>
    <mergeCell ref="E87:J87"/>
    <mergeCell ref="E88:J88"/>
    <mergeCell ref="E89:J89"/>
    <mergeCell ref="D18:D23"/>
    <mergeCell ref="D24:D29"/>
    <mergeCell ref="D30:D35"/>
    <mergeCell ref="D36:D41"/>
    <mergeCell ref="D42:D47"/>
    <mergeCell ref="D48:D53"/>
    <mergeCell ref="D54:D59"/>
    <mergeCell ref="D60:D65"/>
    <mergeCell ref="D66:D71"/>
    <mergeCell ref="D72:D77"/>
  </mergeCells>
  <phoneticPr fontId="1"/>
  <conditionalFormatting sqref="E6:F10 E18:F22 E24:F28 E30:F34 E36:F40 E42:F46 E48:F52 E54:F58 E60:F64 E66:F70 E72:F76">
    <cfRule type="containsBlanks" dxfId="60" priority="1">
      <formula>LEN(TRIM(E6))=0</formula>
    </cfRule>
  </conditionalFormatting>
  <conditionalFormatting sqref="E12:F16">
    <cfRule type="containsBlanks" dxfId="59" priority="5">
      <formula>LEN(TRIM(E12))=0</formula>
    </cfRule>
  </conditionalFormatting>
  <conditionalFormatting sqref="I6:I77">
    <cfRule type="containsText" dxfId="58" priority="19" operator="containsText" text="賃金単価を記載">
      <formula>NOT(ISERROR(SEARCH("賃金単価を記載",I6)))</formula>
    </cfRule>
  </conditionalFormatting>
  <conditionalFormatting sqref="J6:J77">
    <cfRule type="containsText" dxfId="57" priority="6" operator="containsText" text="勤務日数を記載（定期利用の場合、1と記載)">
      <formula>NOT(ISERROR(SEARCH("勤務日数を記載（定期利用の場合、1と記載)",J6)))</formula>
    </cfRule>
  </conditionalFormatting>
  <conditionalFormatting sqref="K6:K78">
    <cfRule type="containsText" dxfId="56" priority="17" operator="containsText" text="日額の交通費を記載（定期利用の場合は月額)">
      <formula>NOT(ISERROR(SEARCH("日額の交通費を記載（定期利用の場合は月額)",K6)))</formula>
    </cfRule>
  </conditionalFormatting>
  <conditionalFormatting sqref="K12:K16">
    <cfRule type="containsText" dxfId="55" priority="4" operator="containsText" text="賃金単価を記載">
      <formula>NOT(ISERROR(SEARCH("賃金単価を記載",K12)))</formula>
    </cfRule>
  </conditionalFormatting>
  <conditionalFormatting sqref="K18:K22 K24:K28 K30:K34 K36:K40 K42:K46 K48:K52 K54:K58 K60:K64 K66:K70 K72:K76">
    <cfRule type="containsText" dxfId="54" priority="3" operator="containsText" text="賃金単価を記載">
      <formula>NOT(ISERROR(SEARCH("賃金単価を記載",K18)))</formula>
    </cfRule>
  </conditionalFormatting>
  <dataValidations xWindow="290" yWindow="490" count="1">
    <dataValidation type="list" allowBlank="1" showInputMessage="1" showErrorMessage="1" sqref="F6:F10" xr:uid="{03CE3F86-5EFC-430B-8A9B-ACD34813D2DB}">
      <formula1>"○"</formula1>
    </dataValidation>
  </dataValidations>
  <pageMargins left="0.70866141732283472" right="0.70866141732283472" top="0.74803149606299213" bottom="0.74803149606299213" header="0.31496062992125984" footer="0.31496062992125984"/>
  <pageSetup paperSize="9" scale="42" orientation="landscape" r:id="rId1"/>
  <drawing r:id="rId2"/>
  <extLst>
    <ext xmlns:x14="http://schemas.microsoft.com/office/spreadsheetml/2009/9/main" uri="{CCE6A557-97BC-4b89-ADB6-D9C93CAAB3DF}">
      <x14:dataValidations xmlns:xm="http://schemas.microsoft.com/office/excel/2006/main" xWindow="290" yWindow="490" count="1">
        <x14:dataValidation type="list" allowBlank="1" showInputMessage="1" showErrorMessage="1" prompt="「補助対象職種」の欄に記載された職種の方を優先的に選択_x000a_→他職種の方を選択することもできますが、複数の職種の方の混在はできません。_x000a_　例えば　「補助対象職種」が「保育士」の時に「保育士」と「保育支援者」の方を「対象者名」に入力することはできません。_x000a_※用語の定義_x000a_　看護師等→看護師、准看護師、保健師_x000a_　保育支援者→事務、通訳、補助者、調理員" xr:uid="{51F1DE9E-2CED-4CAD-A4BF-B4BFBA07E0A1}">
          <x14:formula1>
            <xm:f>'②-1職員名簿'!$Y$7:$Y$106</xm:f>
          </x14:formula1>
          <xm:sqref>E6:E10 E12:E77</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B065A-62BA-4779-93BA-CED3D8E72B83}">
  <sheetPr>
    <tabColor rgb="FF00B050"/>
  </sheetPr>
  <dimension ref="A1:X92"/>
  <sheetViews>
    <sheetView view="pageBreakPreview" zoomScale="85" zoomScaleNormal="115" zoomScaleSheetLayoutView="85" workbookViewId="0">
      <selection activeCell="E6" sqref="E6"/>
    </sheetView>
  </sheetViews>
  <sheetFormatPr defaultRowHeight="18"/>
  <cols>
    <col min="1" max="1" width="5.58203125" customWidth="1"/>
    <col min="2" max="2" width="6.83203125" customWidth="1"/>
    <col min="3" max="3" width="4.75" customWidth="1"/>
    <col min="4" max="4" width="8.08203125" customWidth="1"/>
    <col min="5" max="5" width="27.5" customWidth="1"/>
    <col min="6" max="6" width="21.25" hidden="1" customWidth="1"/>
    <col min="7" max="7" width="10" customWidth="1"/>
    <col min="8" max="8" width="10.58203125" customWidth="1"/>
    <col min="9" max="13" width="11.25" customWidth="1"/>
    <col min="14" max="14" width="12.83203125" bestFit="1" customWidth="1"/>
    <col min="15" max="15" width="0" hidden="1" customWidth="1"/>
  </cols>
  <sheetData>
    <row r="1" spans="1:24" s="21" customFormat="1" ht="19">
      <c r="A1" s="826" t="s">
        <v>305</v>
      </c>
      <c r="B1" s="826"/>
      <c r="C1" s="826"/>
      <c r="D1" s="826"/>
      <c r="E1" s="826"/>
      <c r="F1" s="826"/>
      <c r="G1" s="826"/>
      <c r="H1" s="826"/>
      <c r="I1" s="826"/>
      <c r="J1" s="826"/>
      <c r="K1" s="826"/>
      <c r="L1" s="826"/>
      <c r="M1" s="826"/>
      <c r="N1" s="826"/>
      <c r="O1" s="203"/>
      <c r="P1" s="203"/>
      <c r="Q1" s="203"/>
      <c r="R1" s="203"/>
      <c r="S1" s="203"/>
    </row>
    <row r="2" spans="1:24" s="21" customFormat="1" ht="19">
      <c r="G2" s="849" t="s">
        <v>114</v>
      </c>
      <c r="H2" s="849"/>
      <c r="I2" s="850">
        <f>①基本情報!D5</f>
        <v>0</v>
      </c>
      <c r="J2" s="850"/>
      <c r="K2" s="850"/>
      <c r="L2" s="850"/>
      <c r="M2" s="850"/>
      <c r="N2" s="850"/>
      <c r="P2" s="21" t="s">
        <v>148</v>
      </c>
    </row>
    <row r="3" spans="1:24" s="21" customFormat="1" ht="42" customHeight="1">
      <c r="G3" s="68"/>
      <c r="H3" s="68"/>
      <c r="I3" s="69"/>
      <c r="J3" s="69"/>
      <c r="K3" s="69"/>
      <c r="L3" s="69"/>
      <c r="M3" s="69"/>
      <c r="N3" s="69"/>
    </row>
    <row r="4" spans="1:24">
      <c r="A4" s="59" t="s">
        <v>291</v>
      </c>
      <c r="B4" t="s">
        <v>1417</v>
      </c>
    </row>
    <row r="5" spans="1:24" ht="36">
      <c r="B5" s="273" t="s">
        <v>1027</v>
      </c>
      <c r="C5" s="259" t="s">
        <v>1358</v>
      </c>
      <c r="D5" s="205" t="s">
        <v>1309</v>
      </c>
      <c r="E5" s="55" t="s">
        <v>274</v>
      </c>
      <c r="F5" s="205" t="s">
        <v>1555</v>
      </c>
      <c r="G5" s="188" t="s">
        <v>275</v>
      </c>
      <c r="H5" s="188" t="s">
        <v>276</v>
      </c>
      <c r="I5" s="55" t="s">
        <v>277</v>
      </c>
      <c r="J5" s="55" t="s">
        <v>307</v>
      </c>
      <c r="K5" s="55" t="s">
        <v>308</v>
      </c>
      <c r="L5" s="55" t="s">
        <v>278</v>
      </c>
      <c r="M5" s="55" t="s">
        <v>279</v>
      </c>
      <c r="N5" s="55" t="s">
        <v>280</v>
      </c>
      <c r="P5" s="60" t="s">
        <v>281</v>
      </c>
      <c r="Q5" s="828" t="s">
        <v>224</v>
      </c>
      <c r="R5" s="829"/>
      <c r="S5" s="828" t="s">
        <v>225</v>
      </c>
      <c r="T5" s="829"/>
      <c r="U5" s="828" t="s">
        <v>282</v>
      </c>
      <c r="V5" s="829"/>
      <c r="W5" s="828" t="s">
        <v>283</v>
      </c>
      <c r="X5" s="829"/>
    </row>
    <row r="6" spans="1:24" ht="13.5" customHeight="1">
      <c r="A6" s="820">
        <v>4</v>
      </c>
      <c r="B6" s="848" t="e">
        <f>IF(①基本情報!F41="有",①基本情報!F42,"無")</f>
        <v>#N/A</v>
      </c>
      <c r="C6" s="844" t="e">
        <f>IF(判定!AV9="NG","-",1)</f>
        <v>#N/A</v>
      </c>
      <c r="D6" s="822" t="str">
        <f>IFERROR(INDEX($L$83:$M$88,MATCH(判定!AV9,$L$83:$L$88,0),2),"-")</f>
        <v>-</v>
      </c>
      <c r="E6" s="145"/>
      <c r="F6" s="277"/>
      <c r="G6" s="189" t="str">
        <f t="shared" ref="G6:G10" si="0">IF(E6="","",IF(R6="○",Q$5,IF(T6="○",S$5,IF(V6="○",U$5,IF(X6="○",W$5,"ERROR")))))</f>
        <v/>
      </c>
      <c r="H6" s="190" t="str">
        <f t="shared" ref="H6:H10" si="1">IF(E6="","",IF(R6="○",Q6,IF(T6="○",S6,IF(V6="○",U6,IF(X6="○",W6,"ERROR")))))</f>
        <v/>
      </c>
      <c r="I6" s="146" t="str">
        <f t="shared" ref="I6:I10" si="2">IF($E6="","",IF($G6="正規職員","-","賃金単価を記載"))</f>
        <v/>
      </c>
      <c r="J6" s="146" t="str">
        <f>IF($E6="","",IF($G6="正規職員","-","勤務日数を記載（定期利用の場合、1と記載)"))</f>
        <v/>
      </c>
      <c r="K6" s="146" t="str">
        <f>IF($E6="","",IF($G6="正規職員","-","日額の交通費を記載（定期利用の場合は月額)"))</f>
        <v/>
      </c>
      <c r="L6" s="62" t="str">
        <f t="shared" ref="L6:L10" si="3">IF($E6="","",IF($G6="正規職員","-",(H6*I6+J6*K6)))</f>
        <v/>
      </c>
      <c r="M6" s="279">
        <f>⑧一般加算１!M6</f>
        <v>199000</v>
      </c>
      <c r="N6" s="62">
        <f>IFERROR(IF($C6="-","",IF(E6="",0,IF(G6="正規職員",M6,MIN(L6:M6)))),0)</f>
        <v>0</v>
      </c>
      <c r="O6" s="64" t="str">
        <f>IF(E6="","",IF(COUNTIFS(E6,"*給食室*")=1,"○","エラー"))</f>
        <v/>
      </c>
      <c r="P6" s="65">
        <v>3</v>
      </c>
      <c r="Q6" s="65" t="e">
        <f>VLOOKUP($E6&amp;Q$5,'②-2勤務時間数入力'!$D$7:$Q$106,$P6,FALSE)</f>
        <v>#N/A</v>
      </c>
      <c r="R6" s="65" t="str">
        <f>IF(ISERROR(Q6),"×",IF(Q6="-","×","○"))</f>
        <v>×</v>
      </c>
      <c r="S6" s="65" t="e">
        <f>VLOOKUP($E6&amp;S$5,'②-2勤務時間数入力'!$D$7:$Q$106,$P6,FALSE)</f>
        <v>#N/A</v>
      </c>
      <c r="T6" s="65" t="str">
        <f>IF(ISERROR(S6),"×",IF(S6="-","×","○"))</f>
        <v>×</v>
      </c>
      <c r="U6" s="65" t="e">
        <f>VLOOKUP($E6&amp;U$5,'②-2勤務時間数入力'!$D$7:$Q$106,$P6,FALSE)</f>
        <v>#N/A</v>
      </c>
      <c r="V6" s="65" t="str">
        <f>IF(ISERROR(U6),"×",IF(U6="-","×","○"))</f>
        <v>×</v>
      </c>
      <c r="W6" s="65" t="e">
        <f>VLOOKUP($E6&amp;W$5,'②-2勤務時間数入力'!$D$7:$Q$106,$P6,FALSE)</f>
        <v>#N/A</v>
      </c>
      <c r="X6" s="65" t="str">
        <f>IF(ISERROR(W6),"×",IF(W6="-","×","○"))</f>
        <v>×</v>
      </c>
    </row>
    <row r="7" spans="1:24" ht="13.5" customHeight="1">
      <c r="A7" s="839"/>
      <c r="B7" s="848"/>
      <c r="C7" s="735"/>
      <c r="D7" s="834"/>
      <c r="E7" s="145"/>
      <c r="F7" s="277"/>
      <c r="G7" s="189" t="str">
        <f t="shared" si="0"/>
        <v/>
      </c>
      <c r="H7" s="190" t="str">
        <f t="shared" si="1"/>
        <v/>
      </c>
      <c r="I7" s="146" t="str">
        <f t="shared" si="2"/>
        <v/>
      </c>
      <c r="J7" s="146" t="str">
        <f t="shared" ref="J7:J10" si="4">IF($E7="","",IF($G7="正規職員","-","勤務日数を記載（定期利用の場合、1と記載)"))</f>
        <v/>
      </c>
      <c r="K7" s="146" t="str">
        <f t="shared" ref="K7:K10" si="5">IF($E7="","",IF($G7="正規職員","-","日額の交通費を記載（定期利用の場合は月額)"))</f>
        <v/>
      </c>
      <c r="L7" s="62" t="str">
        <f t="shared" si="3"/>
        <v/>
      </c>
      <c r="M7" s="62">
        <f>$M$6</f>
        <v>199000</v>
      </c>
      <c r="N7" s="62">
        <f>IFERROR(IF($C6="-","",IF(E7="","",IF(G7="正規職員",M7-L6,MIN(MIN(L7:M7),M6-N6)))),0)</f>
        <v>0</v>
      </c>
      <c r="O7" s="64" t="str">
        <f t="shared" ref="O7:O10" si="6">IF(E7="","",IF(COUNTIFS(E7,"*給食室*")=1,"○","エラー"))</f>
        <v/>
      </c>
      <c r="P7" s="65">
        <f>P6</f>
        <v>3</v>
      </c>
      <c r="Q7" s="65" t="e">
        <f>VLOOKUP($E7&amp;Q$5,'②-2勤務時間数入力'!$D$7:$Q$106,$P7,FALSE)</f>
        <v>#N/A</v>
      </c>
      <c r="R7" s="65" t="str">
        <f>IF(ISERROR(Q7),"×",IF(Q7="-","×","○"))</f>
        <v>×</v>
      </c>
      <c r="S7" s="65" t="e">
        <f>VLOOKUP($E7&amp;S$5,'②-2勤務時間数入力'!$D$7:$Q$106,$P7,FALSE)</f>
        <v>#N/A</v>
      </c>
      <c r="T7" s="65" t="str">
        <f>IF(ISERROR(S7),"×",IF(S7="-","×","○"))</f>
        <v>×</v>
      </c>
      <c r="U7" s="65" t="e">
        <f>VLOOKUP($E7&amp;U$5,'②-2勤務時間数入力'!$D$7:$Q$106,$P7,FALSE)</f>
        <v>#N/A</v>
      </c>
      <c r="V7" s="65" t="str">
        <f>IF(ISERROR(U7),"×",IF(U7="-","×","○"))</f>
        <v>×</v>
      </c>
      <c r="W7" s="65" t="e">
        <f>VLOOKUP($E7&amp;W$5,'②-2勤務時間数入力'!$D$7:$Q$106,$P7,FALSE)</f>
        <v>#N/A</v>
      </c>
      <c r="X7" s="65" t="str">
        <f>IF(ISERROR(W7),"×",IF(W7="-","×","○"))</f>
        <v>×</v>
      </c>
    </row>
    <row r="8" spans="1:24" ht="13.5" customHeight="1">
      <c r="A8" s="839"/>
      <c r="B8" s="848"/>
      <c r="C8" s="735"/>
      <c r="D8" s="834"/>
      <c r="E8" s="145"/>
      <c r="F8" s="277"/>
      <c r="G8" s="189" t="str">
        <f t="shared" si="0"/>
        <v/>
      </c>
      <c r="H8" s="190" t="str">
        <f t="shared" si="1"/>
        <v/>
      </c>
      <c r="I8" s="146" t="str">
        <f>IF($E8="","",IF($G8="正規職員","-","賃金単価を記載"))</f>
        <v/>
      </c>
      <c r="J8" s="146" t="str">
        <f t="shared" si="4"/>
        <v/>
      </c>
      <c r="K8" s="146" t="str">
        <f t="shared" si="5"/>
        <v/>
      </c>
      <c r="L8" s="62" t="str">
        <f t="shared" si="3"/>
        <v/>
      </c>
      <c r="M8" s="62">
        <f>$M$6</f>
        <v>199000</v>
      </c>
      <c r="N8" s="62">
        <f>IFERROR(IF($C6="-","",IF(E8="","",IF(G8="正規職員",M8-L7,MIN(MIN(L8:M8),M7-N7)))),0)</f>
        <v>0</v>
      </c>
      <c r="O8" s="64" t="str">
        <f t="shared" si="6"/>
        <v/>
      </c>
      <c r="P8" s="65">
        <f t="shared" ref="P8:P9" si="7">P7</f>
        <v>3</v>
      </c>
      <c r="Q8" s="65" t="e">
        <f>VLOOKUP($E8&amp;Q$5,'②-2勤務時間数入力'!$D$7:$Q$106,$P8,FALSE)</f>
        <v>#N/A</v>
      </c>
      <c r="R8" s="65" t="str">
        <f>IF(ISERROR(Q8),"×",IF(Q8="-","×","○"))</f>
        <v>×</v>
      </c>
      <c r="S8" s="65" t="e">
        <f>VLOOKUP($E8&amp;S$5,'②-2勤務時間数入力'!$D$7:$Q$106,$P8,FALSE)</f>
        <v>#N/A</v>
      </c>
      <c r="T8" s="65" t="str">
        <f>IF(ISERROR(S8),"×",IF(S8="-","×","○"))</f>
        <v>×</v>
      </c>
      <c r="U8" s="65" t="e">
        <f>VLOOKUP($E8&amp;U$5,'②-2勤務時間数入力'!$D$7:$Q$106,$P8,FALSE)</f>
        <v>#N/A</v>
      </c>
      <c r="V8" s="65" t="str">
        <f>IF(ISERROR(U8),"×",IF(U8="-","×","○"))</f>
        <v>×</v>
      </c>
      <c r="W8" s="65" t="e">
        <f>VLOOKUP($E8&amp;W$5,'②-2勤務時間数入力'!$D$7:$Q$106,$P8,FALSE)</f>
        <v>#N/A</v>
      </c>
      <c r="X8" s="65" t="str">
        <f>IF(ISERROR(W8),"×",IF(W8="-","×","○"))</f>
        <v>×</v>
      </c>
    </row>
    <row r="9" spans="1:24" ht="13.5" customHeight="1">
      <c r="A9" s="839"/>
      <c r="B9" s="848"/>
      <c r="C9" s="735"/>
      <c r="D9" s="834"/>
      <c r="E9" s="145"/>
      <c r="F9" s="277"/>
      <c r="G9" s="189" t="str">
        <f t="shared" si="0"/>
        <v/>
      </c>
      <c r="H9" s="190" t="str">
        <f t="shared" si="1"/>
        <v/>
      </c>
      <c r="I9" s="146" t="str">
        <f t="shared" si="2"/>
        <v/>
      </c>
      <c r="J9" s="146" t="str">
        <f t="shared" si="4"/>
        <v/>
      </c>
      <c r="K9" s="146" t="str">
        <f t="shared" si="5"/>
        <v/>
      </c>
      <c r="L9" s="62" t="str">
        <f t="shared" si="3"/>
        <v/>
      </c>
      <c r="M9" s="62">
        <f>$M$6</f>
        <v>199000</v>
      </c>
      <c r="N9" s="62">
        <f>IFERROR(IF($C6="-","",IF(E9="","",IF(G9="正規職員",M9-L8,MIN(MIN(L9:M9),M8-N8)))),0)</f>
        <v>0</v>
      </c>
      <c r="O9" s="64" t="str">
        <f t="shared" si="6"/>
        <v/>
      </c>
      <c r="P9" s="65">
        <f t="shared" si="7"/>
        <v>3</v>
      </c>
      <c r="Q9" s="65" t="e">
        <f>VLOOKUP($E9&amp;Q$5,'②-2勤務時間数入力'!$D$7:$Q$106,$P9,FALSE)</f>
        <v>#N/A</v>
      </c>
      <c r="R9" s="65" t="str">
        <f>IF(ISERROR(Q9),"×",IF(Q9="-","×","○"))</f>
        <v>×</v>
      </c>
      <c r="S9" s="65" t="e">
        <f>VLOOKUP($E9&amp;S$5,'②-2勤務時間数入力'!$D$7:$Q$106,$P9,FALSE)</f>
        <v>#N/A</v>
      </c>
      <c r="T9" s="65" t="str">
        <f>IF(ISERROR(S9),"×",IF(S9="-","×","○"))</f>
        <v>×</v>
      </c>
      <c r="U9" s="65" t="e">
        <f>VLOOKUP($E9&amp;U$5,'②-2勤務時間数入力'!$D$7:$Q$106,$P9,FALSE)</f>
        <v>#N/A</v>
      </c>
      <c r="V9" s="65" t="str">
        <f>IF(ISERROR(U9),"×",IF(U9="-","×","○"))</f>
        <v>×</v>
      </c>
      <c r="W9" s="65" t="e">
        <f>VLOOKUP($E9&amp;W$5,'②-2勤務時間数入力'!$D$7:$Q$106,$P9,FALSE)</f>
        <v>#N/A</v>
      </c>
      <c r="X9" s="65" t="str">
        <f>IF(ISERROR(W9),"×",IF(W9="-","×","○"))</f>
        <v>×</v>
      </c>
    </row>
    <row r="10" spans="1:24" ht="13.5" customHeight="1">
      <c r="A10" s="839"/>
      <c r="B10" s="848"/>
      <c r="C10" s="735"/>
      <c r="D10" s="834"/>
      <c r="E10" s="145"/>
      <c r="F10" s="277"/>
      <c r="G10" s="189" t="str">
        <f t="shared" si="0"/>
        <v/>
      </c>
      <c r="H10" s="190" t="str">
        <f t="shared" si="1"/>
        <v/>
      </c>
      <c r="I10" s="146" t="str">
        <f t="shared" si="2"/>
        <v/>
      </c>
      <c r="J10" s="146" t="str">
        <f t="shared" si="4"/>
        <v/>
      </c>
      <c r="K10" s="146" t="str">
        <f t="shared" si="5"/>
        <v/>
      </c>
      <c r="L10" s="62" t="str">
        <f t="shared" si="3"/>
        <v/>
      </c>
      <c r="M10" s="62">
        <f>$M$6</f>
        <v>199000</v>
      </c>
      <c r="N10" s="62">
        <f>IFERROR(IF($C6="-","",IF(E10="","",IF(G10="正規職員",M10-L9,MIN(MIN(L10:M10),M9-N9)))),0)</f>
        <v>0</v>
      </c>
      <c r="O10" s="64" t="str">
        <f t="shared" si="6"/>
        <v/>
      </c>
      <c r="P10" s="65">
        <f>P9</f>
        <v>3</v>
      </c>
      <c r="Q10" s="65" t="e">
        <f>VLOOKUP($E10&amp;Q$5,'②-2勤務時間数入力'!$D$7:$Q$106,$P10,FALSE)</f>
        <v>#N/A</v>
      </c>
      <c r="R10" s="65" t="str">
        <f>IF(ISERROR(Q10),"×",IF(Q10="-","×","○"))</f>
        <v>×</v>
      </c>
      <c r="S10" s="65" t="e">
        <f>VLOOKUP($E10&amp;S$5,'②-2勤務時間数入力'!$D$7:$Q$106,$P10,FALSE)</f>
        <v>#N/A</v>
      </c>
      <c r="T10" s="65" t="str">
        <f>IF(ISERROR(S10),"×",IF(S10="-","×","○"))</f>
        <v>×</v>
      </c>
      <c r="U10" s="65" t="e">
        <f>VLOOKUP($E10&amp;U$5,'②-2勤務時間数入力'!$D$7:$Q$106,$P10,FALSE)</f>
        <v>#N/A</v>
      </c>
      <c r="V10" s="65" t="str">
        <f>IF(ISERROR(U10),"×",IF(U10="-","×","○"))</f>
        <v>×</v>
      </c>
      <c r="W10" s="65" t="e">
        <f>VLOOKUP($E10&amp;W$5,'②-2勤務時間数入力'!$D$7:$Q$106,$P10,FALSE)</f>
        <v>#N/A</v>
      </c>
      <c r="X10" s="65" t="str">
        <f>IF(ISERROR(W10),"×",IF(W10="-","×","○"))</f>
        <v>×</v>
      </c>
    </row>
    <row r="11" spans="1:24" ht="13.5" customHeight="1">
      <c r="A11" s="840"/>
      <c r="B11" s="848"/>
      <c r="C11" s="736"/>
      <c r="D11" s="823"/>
      <c r="E11" s="1" t="s">
        <v>292</v>
      </c>
      <c r="F11" s="1"/>
      <c r="G11" s="189" t="s">
        <v>293</v>
      </c>
      <c r="H11" s="191"/>
      <c r="I11" s="63" t="s">
        <v>293</v>
      </c>
      <c r="J11" s="63"/>
      <c r="K11" s="63"/>
      <c r="L11" s="63" t="s">
        <v>293</v>
      </c>
      <c r="M11" s="63" t="s">
        <v>293</v>
      </c>
      <c r="N11" s="62">
        <f>MIN(IFERROR(IF(C6=1,IF(AND(B6="配置",OR(D6="調理師等",D6="栄養士")),MAX(SUM(N6:N10)-①基本情報!F43+10000,0),SUM(N6:N10)),0),0),$M$6)</f>
        <v>0</v>
      </c>
      <c r="O11" s="64"/>
      <c r="P11" s="65"/>
      <c r="Q11" s="65"/>
      <c r="R11" s="65"/>
      <c r="S11" s="65"/>
      <c r="T11" s="65"/>
      <c r="U11" s="65"/>
      <c r="V11" s="65"/>
      <c r="W11" s="65"/>
      <c r="X11" s="65"/>
    </row>
    <row r="12" spans="1:24" ht="13.5" customHeight="1">
      <c r="A12" s="820">
        <v>5</v>
      </c>
      <c r="B12" s="841" t="e">
        <f>IF(①基本情報!G41="有",①基本情報!G42,"無")</f>
        <v>#N/A</v>
      </c>
      <c r="C12" s="844" t="e">
        <f>IF(判定!AV10="NG","-",1)</f>
        <v>#N/A</v>
      </c>
      <c r="D12" s="822" t="str">
        <f>IFERROR(INDEX($L$83:$M$88,MATCH(判定!AV10,$L$83:$L$88,0),2),"-")</f>
        <v>-</v>
      </c>
      <c r="E12" s="145" t="str">
        <f>IF(E6="","",E6)</f>
        <v/>
      </c>
      <c r="F12" s="145" t="str">
        <f>IF(F6="","",F6)</f>
        <v/>
      </c>
      <c r="G12" s="189" t="str">
        <f t="shared" ref="G12:G16" si="8">IF(E12="","",IF(R12="○",Q$5,IF(T12="○",S$5,IF(V12="○",U$5,IF(X12="○",W$5,"ERROR")))))</f>
        <v/>
      </c>
      <c r="H12" s="190" t="str">
        <f t="shared" ref="H12:H16" si="9">IF(E12="","",IF(R12="○",Q12,IF(T12="○",S12,IF(V12="○",U12,IF(X12="○",W12,"ERROR")))))</f>
        <v/>
      </c>
      <c r="I12" s="146" t="str">
        <f>IF($E12="","",IF($G12="正規職員","-",IF(AND(EXACT($C6,$C12),EXACT($E6,$E12),EXACT($G6,$G12)),I6,"賃金単価を記載")))</f>
        <v/>
      </c>
      <c r="J12" s="146" t="str">
        <f>IF($E12="","",IF($G12="正規職員","-","勤務日数を記載（定期利用の場合、1と記載)"))</f>
        <v/>
      </c>
      <c r="K12" s="146" t="str">
        <f>IF($E12="","",IF($G12="正規職員","-",IF(AND(EXACT($C6,$C12),EXACT($E6,$E12),EXACT($G6,$G12)),K6,"日額の交通費を記載（定期利用の場合は月額)")))</f>
        <v/>
      </c>
      <c r="L12" s="62" t="str">
        <f t="shared" ref="L12:L16" si="10">IF($E12="","",IF($G12="正規職員","-",(H12*I12+J12*K12)))</f>
        <v/>
      </c>
      <c r="M12" s="62">
        <f>$M$6</f>
        <v>199000</v>
      </c>
      <c r="N12" s="62">
        <f>IFERROR(IF($C12="-","",IF(E12="",0,IF(G12="正規職員",M12,MIN(L12:M12)))),0)</f>
        <v>0</v>
      </c>
      <c r="O12" s="64" t="str">
        <f>IF(E12="","",IF(COUNTIFS(E12,"*給食室*")=1,"○","エラー"))</f>
        <v/>
      </c>
      <c r="P12" s="65">
        <v>4</v>
      </c>
      <c r="Q12" s="65" t="e">
        <f>VLOOKUP($E12&amp;Q$5,'②-2勤務時間数入力'!$D$7:$Q$106,$P12,FALSE)</f>
        <v>#N/A</v>
      </c>
      <c r="R12" s="65" t="str">
        <f>IF(ISERROR(Q12),"×",IF(Q12="-","×","○"))</f>
        <v>×</v>
      </c>
      <c r="S12" s="65" t="e">
        <f>VLOOKUP($E12&amp;S$5,'②-2勤務時間数入力'!$D$7:$Q$106,$P12,FALSE)</f>
        <v>#N/A</v>
      </c>
      <c r="T12" s="65" t="str">
        <f>IF(ISERROR(S12),"×",IF(S12="-","×","○"))</f>
        <v>×</v>
      </c>
      <c r="U12" s="65" t="e">
        <f>VLOOKUP($E12&amp;U$5,'②-2勤務時間数入力'!$D$7:$Q$106,$P12,FALSE)</f>
        <v>#N/A</v>
      </c>
      <c r="V12" s="65" t="str">
        <f>IF(ISERROR(U12),"×",IF(U12="-","×","○"))</f>
        <v>×</v>
      </c>
      <c r="W12" s="65" t="e">
        <f>VLOOKUP($E12&amp;W$5,'②-2勤務時間数入力'!$D$7:$Q$106,$P12,FALSE)</f>
        <v>#N/A</v>
      </c>
      <c r="X12" s="65" t="str">
        <f>IF(ISERROR(W12),"×",IF(W12="-","×","○"))</f>
        <v>×</v>
      </c>
    </row>
    <row r="13" spans="1:24" ht="13.5" customHeight="1">
      <c r="A13" s="839"/>
      <c r="B13" s="842"/>
      <c r="C13" s="735"/>
      <c r="D13" s="834"/>
      <c r="E13" s="145" t="str">
        <f t="shared" ref="E13:F13" si="11">IF(E7="","",E7)</f>
        <v/>
      </c>
      <c r="F13" s="145" t="str">
        <f t="shared" si="11"/>
        <v/>
      </c>
      <c r="G13" s="189" t="str">
        <f t="shared" si="8"/>
        <v/>
      </c>
      <c r="H13" s="190" t="str">
        <f t="shared" si="9"/>
        <v/>
      </c>
      <c r="I13" s="146" t="str">
        <f>IF($E13="","",IF($G13="正規職員","-",IF(AND(EXACT($C6,$C12),EXACT($E7,$E13),EXACT($G7,$G13)),I7,"賃金単価を記載")))</f>
        <v/>
      </c>
      <c r="J13" s="146" t="str">
        <f t="shared" ref="J13:J16" si="12">IF($E13="","",IF($G13="正規職員","-","勤務日数を記載（定期利用の場合、1と記載)"))</f>
        <v/>
      </c>
      <c r="K13" s="146" t="str">
        <f>IF($E13="","",IF($G13="正規職員","-",IF(AND(EXACT($C6,$C12),EXACT($E7,$E13),EXACT($G7,$G13)),K7,"日額の交通費を記載（定期利用の場合は月額)")))</f>
        <v/>
      </c>
      <c r="L13" s="62" t="str">
        <f t="shared" si="10"/>
        <v/>
      </c>
      <c r="M13" s="62">
        <f>$M$6</f>
        <v>199000</v>
      </c>
      <c r="N13" s="62">
        <f>IFERROR(IF($C12="-","",IF(E13="","",IF(G13="正規職員",M13-L12,MIN(MIN(L13:M13),M12-N12)))),0)</f>
        <v>0</v>
      </c>
      <c r="O13" s="64" t="str">
        <f t="shared" ref="O13:O16" si="13">IF(E13="","",IF(COUNTIFS(E13,"*給食室*")=1,"○","エラー"))</f>
        <v/>
      </c>
      <c r="P13" s="65">
        <f t="shared" ref="P13:P16" si="14">P12</f>
        <v>4</v>
      </c>
      <c r="Q13" s="65" t="e">
        <f>VLOOKUP($E13&amp;Q$5,'②-2勤務時間数入力'!$D$7:$Q$106,$P13,FALSE)</f>
        <v>#N/A</v>
      </c>
      <c r="R13" s="65" t="str">
        <f>IF(ISERROR(Q13),"×",IF(Q13="-","×","○"))</f>
        <v>×</v>
      </c>
      <c r="S13" s="65" t="e">
        <f>VLOOKUP($E13&amp;S$5,'②-2勤務時間数入力'!$D$7:$Q$106,$P13,FALSE)</f>
        <v>#N/A</v>
      </c>
      <c r="T13" s="65" t="str">
        <f>IF(ISERROR(S13),"×",IF(S13="-","×","○"))</f>
        <v>×</v>
      </c>
      <c r="U13" s="65" t="e">
        <f>VLOOKUP($E13&amp;U$5,'②-2勤務時間数入力'!$D$7:$Q$106,$P13,FALSE)</f>
        <v>#N/A</v>
      </c>
      <c r="V13" s="65" t="str">
        <f>IF(ISERROR(U13),"×",IF(U13="-","×","○"))</f>
        <v>×</v>
      </c>
      <c r="W13" s="65" t="e">
        <f>VLOOKUP($E13&amp;W$5,'②-2勤務時間数入力'!$D$7:$Q$106,$P13,FALSE)</f>
        <v>#N/A</v>
      </c>
      <c r="X13" s="65" t="str">
        <f>IF(ISERROR(W13),"×",IF(W13="-","×","○"))</f>
        <v>×</v>
      </c>
    </row>
    <row r="14" spans="1:24" ht="13.5" customHeight="1">
      <c r="A14" s="839"/>
      <c r="B14" s="842"/>
      <c r="C14" s="735"/>
      <c r="D14" s="834"/>
      <c r="E14" s="145" t="str">
        <f t="shared" ref="E14:F14" si="15">IF(E8="","",E8)</f>
        <v/>
      </c>
      <c r="F14" s="145" t="str">
        <f t="shared" si="15"/>
        <v/>
      </c>
      <c r="G14" s="189" t="str">
        <f t="shared" si="8"/>
        <v/>
      </c>
      <c r="H14" s="190" t="str">
        <f t="shared" si="9"/>
        <v/>
      </c>
      <c r="I14" s="146" t="str">
        <f>IF($E14="","",IF($G14="正規職員","-",IF(AND(EXACT($C6,$C12),EXACT($E8,$E14),EXACT($G8,$G14)),I8,"賃金単価を記載")))</f>
        <v/>
      </c>
      <c r="J14" s="146" t="str">
        <f t="shared" si="12"/>
        <v/>
      </c>
      <c r="K14" s="146" t="str">
        <f>IF($E14="","",IF($G14="正規職員","-",IF(AND(EXACT($C6,$C12),EXACT($E8,$E14),EXACT($G8,$G14)),K8,"日額の交通費を記載（定期利用の場合は月額)")))</f>
        <v/>
      </c>
      <c r="L14" s="62" t="str">
        <f t="shared" si="10"/>
        <v/>
      </c>
      <c r="M14" s="62">
        <f>$M$6</f>
        <v>199000</v>
      </c>
      <c r="N14" s="62">
        <f>IFERROR(IF($C12="-","",IF(E14="","",IF(G14="正規職員",M14-L13,MIN(MIN(L14:M14),M13-N13)))),0)</f>
        <v>0</v>
      </c>
      <c r="O14" s="64" t="str">
        <f t="shared" si="13"/>
        <v/>
      </c>
      <c r="P14" s="65">
        <f t="shared" si="14"/>
        <v>4</v>
      </c>
      <c r="Q14" s="65" t="e">
        <f>VLOOKUP($E14&amp;Q$5,'②-2勤務時間数入力'!$D$7:$Q$106,$P14,FALSE)</f>
        <v>#N/A</v>
      </c>
      <c r="R14" s="65" t="str">
        <f>IF(ISERROR(Q14),"×",IF(Q14="-","×","○"))</f>
        <v>×</v>
      </c>
      <c r="S14" s="65" t="e">
        <f>VLOOKUP($E14&amp;S$5,'②-2勤務時間数入力'!$D$7:$Q$106,$P14,FALSE)</f>
        <v>#N/A</v>
      </c>
      <c r="T14" s="65" t="str">
        <f>IF(ISERROR(S14),"×",IF(S14="-","×","○"))</f>
        <v>×</v>
      </c>
      <c r="U14" s="65" t="e">
        <f>VLOOKUP($E14&amp;U$5,'②-2勤務時間数入力'!$D$7:$Q$106,$P14,FALSE)</f>
        <v>#N/A</v>
      </c>
      <c r="V14" s="65" t="str">
        <f>IF(ISERROR(U14),"×",IF(U14="-","×","○"))</f>
        <v>×</v>
      </c>
      <c r="W14" s="65" t="e">
        <f>VLOOKUP($E14&amp;W$5,'②-2勤務時間数入力'!$D$7:$Q$106,$P14,FALSE)</f>
        <v>#N/A</v>
      </c>
      <c r="X14" s="65" t="str">
        <f>IF(ISERROR(W14),"×",IF(W14="-","×","○"))</f>
        <v>×</v>
      </c>
    </row>
    <row r="15" spans="1:24" ht="13.5" customHeight="1">
      <c r="A15" s="839"/>
      <c r="B15" s="842"/>
      <c r="C15" s="735"/>
      <c r="D15" s="834"/>
      <c r="E15" s="145" t="str">
        <f t="shared" ref="E15:F15" si="16">IF(E9="","",E9)</f>
        <v/>
      </c>
      <c r="F15" s="145" t="str">
        <f t="shared" si="16"/>
        <v/>
      </c>
      <c r="G15" s="189" t="str">
        <f t="shared" si="8"/>
        <v/>
      </c>
      <c r="H15" s="190" t="str">
        <f t="shared" si="9"/>
        <v/>
      </c>
      <c r="I15" s="146" t="str">
        <f>IF($E15="","",IF($G15="正規職員","-",IF(AND(EXACT($C6,$C12),EXACT($E9,$E15),EXACT($G9,$G15)),I9,"賃金単価を記載")))</f>
        <v/>
      </c>
      <c r="J15" s="146" t="str">
        <f t="shared" si="12"/>
        <v/>
      </c>
      <c r="K15" s="146" t="str">
        <f>IF($E15="","",IF($G15="正規職員","-",IF(AND(EXACT($C6,$C12),EXACT($E9,$E15),EXACT($G9,$G15)),K9,"日額の交通費を記載（定期利用の場合は月額)")))</f>
        <v/>
      </c>
      <c r="L15" s="62" t="str">
        <f t="shared" si="10"/>
        <v/>
      </c>
      <c r="M15" s="62">
        <f>$M$6</f>
        <v>199000</v>
      </c>
      <c r="N15" s="62">
        <f>IFERROR(IF($C12="-","",IF(E15="","",IF(G15="正規職員",M15-L14,MIN(MIN(L15:M15),M14-N14)))),0)</f>
        <v>0</v>
      </c>
      <c r="O15" s="64" t="str">
        <f t="shared" si="13"/>
        <v/>
      </c>
      <c r="P15" s="65">
        <f t="shared" si="14"/>
        <v>4</v>
      </c>
      <c r="Q15" s="65" t="e">
        <f>VLOOKUP($E15&amp;Q$5,'②-2勤務時間数入力'!$D$7:$Q$106,$P15,FALSE)</f>
        <v>#N/A</v>
      </c>
      <c r="R15" s="65" t="str">
        <f>IF(ISERROR(Q15),"×",IF(Q15="-","×","○"))</f>
        <v>×</v>
      </c>
      <c r="S15" s="65" t="e">
        <f>VLOOKUP($E15&amp;S$5,'②-2勤務時間数入力'!$D$7:$Q$106,$P15,FALSE)</f>
        <v>#N/A</v>
      </c>
      <c r="T15" s="65" t="str">
        <f>IF(ISERROR(S15),"×",IF(S15="-","×","○"))</f>
        <v>×</v>
      </c>
      <c r="U15" s="65" t="e">
        <f>VLOOKUP($E15&amp;U$5,'②-2勤務時間数入力'!$D$7:$Q$106,$P15,FALSE)</f>
        <v>#N/A</v>
      </c>
      <c r="V15" s="65" t="str">
        <f>IF(ISERROR(U15),"×",IF(U15="-","×","○"))</f>
        <v>×</v>
      </c>
      <c r="W15" s="65" t="e">
        <f>VLOOKUP($E15&amp;W$5,'②-2勤務時間数入力'!$D$7:$Q$106,$P15,FALSE)</f>
        <v>#N/A</v>
      </c>
      <c r="X15" s="65" t="str">
        <f>IF(ISERROR(W15),"×",IF(W15="-","×","○"))</f>
        <v>×</v>
      </c>
    </row>
    <row r="16" spans="1:24" ht="13.5" customHeight="1">
      <c r="A16" s="839"/>
      <c r="B16" s="842"/>
      <c r="C16" s="735"/>
      <c r="D16" s="834"/>
      <c r="E16" s="145" t="str">
        <f t="shared" ref="E16:F16" si="17">IF(E10="","",E10)</f>
        <v/>
      </c>
      <c r="F16" s="145" t="str">
        <f t="shared" si="17"/>
        <v/>
      </c>
      <c r="G16" s="189" t="str">
        <f t="shared" si="8"/>
        <v/>
      </c>
      <c r="H16" s="190" t="str">
        <f t="shared" si="9"/>
        <v/>
      </c>
      <c r="I16" s="146" t="str">
        <f>IF($E16="","",IF($G16="正規職員","-",IF(AND(EXACT($C6,$C12),EXACT($E10,$E16),EXACT($G10,$G16)),I10,"賃金単価を記載")))</f>
        <v/>
      </c>
      <c r="J16" s="146" t="str">
        <f t="shared" si="12"/>
        <v/>
      </c>
      <c r="K16" s="146" t="str">
        <f>IF($E16="","",IF($G16="正規職員","-",IF(AND(EXACT($C6,$C12),EXACT($E10,$E16),EXACT($G10,$G16)),K10,"日額の交通費を記載（定期利用の場合は月額)")))</f>
        <v/>
      </c>
      <c r="L16" s="62" t="str">
        <f t="shared" si="10"/>
        <v/>
      </c>
      <c r="M16" s="62">
        <f>$M$6</f>
        <v>199000</v>
      </c>
      <c r="N16" s="62">
        <f>IFERROR(IF($C12="-","",IF(E16="","",IF(G16="正規職員",M16-L15,MIN(MIN(L16:M16),M15-N15)))),0)</f>
        <v>0</v>
      </c>
      <c r="O16" s="64" t="str">
        <f t="shared" si="13"/>
        <v/>
      </c>
      <c r="P16" s="65">
        <f t="shared" si="14"/>
        <v>4</v>
      </c>
      <c r="Q16" s="65" t="e">
        <f>VLOOKUP($E16&amp;Q$5,'②-2勤務時間数入力'!$D$7:$Q$106,$P16,FALSE)</f>
        <v>#N/A</v>
      </c>
      <c r="R16" s="65" t="str">
        <f>IF(ISERROR(Q16),"×",IF(Q16="-","×","○"))</f>
        <v>×</v>
      </c>
      <c r="S16" s="65" t="e">
        <f>VLOOKUP($E16&amp;S$5,'②-2勤務時間数入力'!$D$7:$Q$106,$P16,FALSE)</f>
        <v>#N/A</v>
      </c>
      <c r="T16" s="65" t="str">
        <f>IF(ISERROR(S16),"×",IF(S16="-","×","○"))</f>
        <v>×</v>
      </c>
      <c r="U16" s="65" t="e">
        <f>VLOOKUP($E16&amp;U$5,'②-2勤務時間数入力'!$D$7:$Q$106,$P16,FALSE)</f>
        <v>#N/A</v>
      </c>
      <c r="V16" s="65" t="str">
        <f>IF(ISERROR(U16),"×",IF(U16="-","×","○"))</f>
        <v>×</v>
      </c>
      <c r="W16" s="65" t="e">
        <f>VLOOKUP($E16&amp;W$5,'②-2勤務時間数入力'!$D$7:$Q$106,$P16,FALSE)</f>
        <v>#N/A</v>
      </c>
      <c r="X16" s="65" t="str">
        <f>IF(ISERROR(W16),"×",IF(W16="-","×","○"))</f>
        <v>×</v>
      </c>
    </row>
    <row r="17" spans="1:24" ht="13.5" customHeight="1">
      <c r="A17" s="840"/>
      <c r="B17" s="843"/>
      <c r="C17" s="736"/>
      <c r="D17" s="823"/>
      <c r="E17" s="1" t="s">
        <v>294</v>
      </c>
      <c r="F17" s="1"/>
      <c r="G17" s="189" t="s">
        <v>293</v>
      </c>
      <c r="H17" s="191"/>
      <c r="I17" s="63" t="s">
        <v>293</v>
      </c>
      <c r="J17" s="63"/>
      <c r="K17" s="63"/>
      <c r="L17" s="63" t="s">
        <v>293</v>
      </c>
      <c r="M17" s="63" t="s">
        <v>293</v>
      </c>
      <c r="N17" s="62">
        <f>MIN(IFERROR(IF(C12=1,IF(AND(B12="配置",OR(D12="調理師等",D12="栄養士")),MAX(SUM(N12:N16)-①基本情報!G43+10000,0),SUM(N12:N16)),0),0),$M$6)</f>
        <v>0</v>
      </c>
      <c r="O17" s="64" t="e">
        <f>IF(SUM(N12:N16)&gt;#REF!*$M$6,MIN($M$6,SUM(N12:N16)-ROUNDDOWN(#REF!*$M$6,0)),0)</f>
        <v>#REF!</v>
      </c>
      <c r="P17" s="65"/>
      <c r="Q17" s="65"/>
      <c r="R17" s="65"/>
      <c r="S17" s="65"/>
      <c r="T17" s="65"/>
      <c r="U17" s="65"/>
      <c r="V17" s="65"/>
      <c r="W17" s="65"/>
      <c r="X17" s="65"/>
    </row>
    <row r="18" spans="1:24" ht="13.5" customHeight="1">
      <c r="A18" s="820">
        <v>6</v>
      </c>
      <c r="B18" s="841" t="e">
        <f>IF(①基本情報!H41="有",①基本情報!H42,"無")</f>
        <v>#N/A</v>
      </c>
      <c r="C18" s="844" t="e">
        <f>IF(判定!AV11="NG","-",1)</f>
        <v>#N/A</v>
      </c>
      <c r="D18" s="822" t="str">
        <f>IFERROR(INDEX($L$83:$M$88,MATCH(判定!AV11,$L$83:$L$88,0),2),"-")</f>
        <v>-</v>
      </c>
      <c r="E18" s="145" t="str">
        <f>IF(E12="","",E12)</f>
        <v/>
      </c>
      <c r="F18" s="145" t="str">
        <f>IF(F12="","",F12)</f>
        <v/>
      </c>
      <c r="G18" s="189" t="str">
        <f t="shared" ref="G18:G22" si="18">IF(E18="","",IF(R18="○",Q$5,IF(T18="○",S$5,IF(V18="○",U$5,IF(X18="○",W$5,"ERROR")))))</f>
        <v/>
      </c>
      <c r="H18" s="190" t="str">
        <f t="shared" ref="H18:H22" si="19">IF(E18="","",IF(R18="○",Q18,IF(T18="○",S18,IF(V18="○",U18,IF(X18="○",W18,"ERROR")))))</f>
        <v/>
      </c>
      <c r="I18" s="146" t="str">
        <f>IF($E18="","",IF($G18="正規職員","-",IF(AND(EXACT($C12,$C18),EXACT($E12,$E18),EXACT($G12,$G18)),I12,"賃金単価を記載")))</f>
        <v/>
      </c>
      <c r="J18" s="146" t="str">
        <f>IF($E18="","",IF($G18="正規職員","-","勤務日数を記載（定期利用の場合、1と記載)"))</f>
        <v/>
      </c>
      <c r="K18" s="146" t="str">
        <f>IF($E18="","",IF($G18="正規職員","-",IF(AND(EXACT($C12,$C18),EXACT($E12,$E18),EXACT($G12,$G18)),K12,"日額の交通費を記載（定期利用の場合は月額)")))</f>
        <v/>
      </c>
      <c r="L18" s="62" t="str">
        <f t="shared" ref="L18:L22" si="20">IF($E18="","",IF($G18="正規職員","-",(H18*I18+J18*K18)))</f>
        <v/>
      </c>
      <c r="M18" s="62">
        <f>$M$6</f>
        <v>199000</v>
      </c>
      <c r="N18" s="62">
        <f>IFERROR(IF($C18="-","",IF(E18="",0,IF(G18="正規職員",M18,MIN(L18:M18)))),0)</f>
        <v>0</v>
      </c>
      <c r="O18" s="64" t="str">
        <f>IF(E18="","",IF(COUNTIFS(E18,"*給食室*")=1,"○","エラー"))</f>
        <v/>
      </c>
      <c r="P18" s="65">
        <v>5</v>
      </c>
      <c r="Q18" s="65" t="e">
        <f>VLOOKUP($E18&amp;Q$5,'②-2勤務時間数入力'!$D$7:$Q$106,$P18,FALSE)</f>
        <v>#N/A</v>
      </c>
      <c r="R18" s="65" t="str">
        <f>IF(ISERROR(Q18),"×",IF(Q18="-","×","○"))</f>
        <v>×</v>
      </c>
      <c r="S18" s="65" t="e">
        <f>VLOOKUP($E18&amp;S$5,'②-2勤務時間数入力'!$D$7:$Q$106,$P18,FALSE)</f>
        <v>#N/A</v>
      </c>
      <c r="T18" s="65" t="str">
        <f>IF(ISERROR(S18),"×",IF(S18="-","×","○"))</f>
        <v>×</v>
      </c>
      <c r="U18" s="65" t="e">
        <f>VLOOKUP($E18&amp;U$5,'②-2勤務時間数入力'!$D$7:$Q$106,$P18,FALSE)</f>
        <v>#N/A</v>
      </c>
      <c r="V18" s="65" t="str">
        <f>IF(ISERROR(U18),"×",IF(U18="-","×","○"))</f>
        <v>×</v>
      </c>
      <c r="W18" s="65" t="e">
        <f>VLOOKUP($E18&amp;W$5,'②-2勤務時間数入力'!$D$7:$Q$106,$P18,FALSE)</f>
        <v>#N/A</v>
      </c>
      <c r="X18" s="65" t="str">
        <f>IF(ISERROR(W18),"×",IF(W18="-","×","○"))</f>
        <v>×</v>
      </c>
    </row>
    <row r="19" spans="1:24" ht="13.5" customHeight="1">
      <c r="A19" s="839"/>
      <c r="B19" s="842"/>
      <c r="C19" s="735"/>
      <c r="D19" s="834"/>
      <c r="E19" s="145" t="str">
        <f t="shared" ref="E19:F19" si="21">IF(E13="","",E13)</f>
        <v/>
      </c>
      <c r="F19" s="145" t="str">
        <f t="shared" si="21"/>
        <v/>
      </c>
      <c r="G19" s="189" t="str">
        <f t="shared" si="18"/>
        <v/>
      </c>
      <c r="H19" s="190" t="str">
        <f t="shared" si="19"/>
        <v/>
      </c>
      <c r="I19" s="146" t="str">
        <f>IF($E19="","",IF($G19="正規職員","-",IF(AND(EXACT($C12,$C18),EXACT($E13,$E19),EXACT($G13,$G19)),I13,"賃金単価を記載")))</f>
        <v/>
      </c>
      <c r="J19" s="146" t="str">
        <f t="shared" ref="J19:J22" si="22">IF($E19="","",IF($G19="正規職員","-","勤務日数を記載（定期利用の場合、1と記載)"))</f>
        <v/>
      </c>
      <c r="K19" s="146" t="str">
        <f>IF($E19="","",IF($G19="正規職員","-",IF(AND(EXACT($C12,$C18),EXACT($E13,$E19),EXACT($G13,$G19)),K13,"日額の交通費を記載（定期利用の場合は月額)")))</f>
        <v/>
      </c>
      <c r="L19" s="62" t="str">
        <f t="shared" si="20"/>
        <v/>
      </c>
      <c r="M19" s="62">
        <f>$M$6</f>
        <v>199000</v>
      </c>
      <c r="N19" s="62">
        <f>IFERROR(IF($C18="-","",IF(E19="","",IF(G19="正規職員",M19-L18,MIN(MIN(L19:M19),M18-N18)))),0)</f>
        <v>0</v>
      </c>
      <c r="O19" s="64" t="str">
        <f t="shared" ref="O19:O22" si="23">IF(E19="","",IF(COUNTIFS(E19,"*給食室*")=1,"○","エラー"))</f>
        <v/>
      </c>
      <c r="P19" s="65">
        <f t="shared" ref="P19:P22" si="24">P18</f>
        <v>5</v>
      </c>
      <c r="Q19" s="65" t="e">
        <f>VLOOKUP($E19&amp;Q$5,'②-2勤務時間数入力'!$D$7:$Q$106,$P19,FALSE)</f>
        <v>#N/A</v>
      </c>
      <c r="R19" s="65" t="str">
        <f>IF(ISERROR(Q19),"×",IF(Q19="-","×","○"))</f>
        <v>×</v>
      </c>
      <c r="S19" s="65" t="e">
        <f>VLOOKUP($E19&amp;S$5,'②-2勤務時間数入力'!$D$7:$Q$106,$P19,FALSE)</f>
        <v>#N/A</v>
      </c>
      <c r="T19" s="65" t="str">
        <f>IF(ISERROR(S19),"×",IF(S19="-","×","○"))</f>
        <v>×</v>
      </c>
      <c r="U19" s="65" t="e">
        <f>VLOOKUP($E19&amp;U$5,'②-2勤務時間数入力'!$D$7:$Q$106,$P19,FALSE)</f>
        <v>#N/A</v>
      </c>
      <c r="V19" s="65" t="str">
        <f>IF(ISERROR(U19),"×",IF(U19="-","×","○"))</f>
        <v>×</v>
      </c>
      <c r="W19" s="65" t="e">
        <f>VLOOKUP($E19&amp;W$5,'②-2勤務時間数入力'!$D$7:$Q$106,$P19,FALSE)</f>
        <v>#N/A</v>
      </c>
      <c r="X19" s="65" t="str">
        <f>IF(ISERROR(W19),"×",IF(W19="-","×","○"))</f>
        <v>×</v>
      </c>
    </row>
    <row r="20" spans="1:24" ht="13.5" customHeight="1">
      <c r="A20" s="839"/>
      <c r="B20" s="842"/>
      <c r="C20" s="735"/>
      <c r="D20" s="834"/>
      <c r="E20" s="145" t="str">
        <f t="shared" ref="E20:F20" si="25">IF(E14="","",E14)</f>
        <v/>
      </c>
      <c r="F20" s="145" t="str">
        <f t="shared" si="25"/>
        <v/>
      </c>
      <c r="G20" s="189" t="str">
        <f t="shared" si="18"/>
        <v/>
      </c>
      <c r="H20" s="190" t="str">
        <f t="shared" si="19"/>
        <v/>
      </c>
      <c r="I20" s="146" t="str">
        <f>IF($E20="","",IF($G20="正規職員","-",IF(AND(EXACT($C12,$C18),EXACT($E14,$E20),EXACT($G14,$G20)),I14,"賃金単価を記載")))</f>
        <v/>
      </c>
      <c r="J20" s="146" t="str">
        <f t="shared" si="22"/>
        <v/>
      </c>
      <c r="K20" s="146" t="str">
        <f>IF($E20="","",IF($G20="正規職員","-",IF(AND(EXACT($C12,$C18),EXACT($E14,$E20),EXACT($G14,$G20)),K14,"日額の交通費を記載（定期利用の場合は月額)")))</f>
        <v/>
      </c>
      <c r="L20" s="62" t="str">
        <f t="shared" si="20"/>
        <v/>
      </c>
      <c r="M20" s="62">
        <f>$M$6</f>
        <v>199000</v>
      </c>
      <c r="N20" s="62">
        <f>IFERROR(IF($C18="-","",IF(E20="","",IF(G20="正規職員",M20-L19,MIN(MIN(L20:M20),M19-N19)))),0)</f>
        <v>0</v>
      </c>
      <c r="O20" s="64" t="str">
        <f t="shared" si="23"/>
        <v/>
      </c>
      <c r="P20" s="65">
        <f t="shared" si="24"/>
        <v>5</v>
      </c>
      <c r="Q20" s="65" t="e">
        <f>VLOOKUP($E20&amp;Q$5,'②-2勤務時間数入力'!$D$7:$Q$106,$P20,FALSE)</f>
        <v>#N/A</v>
      </c>
      <c r="R20" s="65" t="str">
        <f>IF(ISERROR(Q20),"×",IF(Q20="-","×","○"))</f>
        <v>×</v>
      </c>
      <c r="S20" s="65" t="e">
        <f>VLOOKUP($E20&amp;S$5,'②-2勤務時間数入力'!$D$7:$Q$106,$P20,FALSE)</f>
        <v>#N/A</v>
      </c>
      <c r="T20" s="65" t="str">
        <f>IF(ISERROR(S20),"×",IF(S20="-","×","○"))</f>
        <v>×</v>
      </c>
      <c r="U20" s="65" t="e">
        <f>VLOOKUP($E20&amp;U$5,'②-2勤務時間数入力'!$D$7:$Q$106,$P20,FALSE)</f>
        <v>#N/A</v>
      </c>
      <c r="V20" s="65" t="str">
        <f>IF(ISERROR(U20),"×",IF(U20="-","×","○"))</f>
        <v>×</v>
      </c>
      <c r="W20" s="65" t="e">
        <f>VLOOKUP($E20&amp;W$5,'②-2勤務時間数入力'!$D$7:$Q$106,$P20,FALSE)</f>
        <v>#N/A</v>
      </c>
      <c r="X20" s="65" t="str">
        <f>IF(ISERROR(W20),"×",IF(W20="-","×","○"))</f>
        <v>×</v>
      </c>
    </row>
    <row r="21" spans="1:24" ht="13.5" customHeight="1">
      <c r="A21" s="839"/>
      <c r="B21" s="842"/>
      <c r="C21" s="735"/>
      <c r="D21" s="834"/>
      <c r="E21" s="145" t="str">
        <f t="shared" ref="E21:F21" si="26">IF(E15="","",E15)</f>
        <v/>
      </c>
      <c r="F21" s="145" t="str">
        <f t="shared" si="26"/>
        <v/>
      </c>
      <c r="G21" s="189" t="str">
        <f t="shared" si="18"/>
        <v/>
      </c>
      <c r="H21" s="190" t="str">
        <f t="shared" si="19"/>
        <v/>
      </c>
      <c r="I21" s="146" t="str">
        <f>IF($E21="","",IF($G21="正規職員","-",IF(AND(EXACT($C12,$C18),EXACT($E15,$E21),EXACT($G15,$G21)),I15,"賃金単価を記載")))</f>
        <v/>
      </c>
      <c r="J21" s="146" t="str">
        <f t="shared" si="22"/>
        <v/>
      </c>
      <c r="K21" s="146" t="str">
        <f>IF($E21="","",IF($G21="正規職員","-",IF(AND(EXACT($C12,$C18),EXACT($E15,$E21),EXACT($G15,$G21)),K15,"日額の交通費を記載（定期利用の場合は月額)")))</f>
        <v/>
      </c>
      <c r="L21" s="62" t="str">
        <f t="shared" si="20"/>
        <v/>
      </c>
      <c r="M21" s="62">
        <f>$M$6</f>
        <v>199000</v>
      </c>
      <c r="N21" s="62">
        <f>IFERROR(IF($C18="-","",IF(E21="","",IF(G21="正規職員",M21-L20,MIN(MIN(L21:M21),M20-N20)))),0)</f>
        <v>0</v>
      </c>
      <c r="O21" s="64" t="str">
        <f t="shared" si="23"/>
        <v/>
      </c>
      <c r="P21" s="65">
        <f t="shared" si="24"/>
        <v>5</v>
      </c>
      <c r="Q21" s="65" t="e">
        <f>VLOOKUP($E21&amp;Q$5,'②-2勤務時間数入力'!$D$7:$Q$106,$P21,FALSE)</f>
        <v>#N/A</v>
      </c>
      <c r="R21" s="65" t="str">
        <f>IF(ISERROR(Q21),"×",IF(Q21="-","×","○"))</f>
        <v>×</v>
      </c>
      <c r="S21" s="65" t="e">
        <f>VLOOKUP($E21&amp;S$5,'②-2勤務時間数入力'!$D$7:$Q$106,$P21,FALSE)</f>
        <v>#N/A</v>
      </c>
      <c r="T21" s="65" t="str">
        <f>IF(ISERROR(S21),"×",IF(S21="-","×","○"))</f>
        <v>×</v>
      </c>
      <c r="U21" s="65" t="e">
        <f>VLOOKUP($E21&amp;U$5,'②-2勤務時間数入力'!$D$7:$Q$106,$P21,FALSE)</f>
        <v>#N/A</v>
      </c>
      <c r="V21" s="65" t="str">
        <f>IF(ISERROR(U21),"×",IF(U21="-","×","○"))</f>
        <v>×</v>
      </c>
      <c r="W21" s="65" t="e">
        <f>VLOOKUP($E21&amp;W$5,'②-2勤務時間数入力'!$D$7:$Q$106,$P21,FALSE)</f>
        <v>#N/A</v>
      </c>
      <c r="X21" s="65" t="str">
        <f>IF(ISERROR(W21),"×",IF(W21="-","×","○"))</f>
        <v>×</v>
      </c>
    </row>
    <row r="22" spans="1:24" ht="13.5" customHeight="1">
      <c r="A22" s="839"/>
      <c r="B22" s="842"/>
      <c r="C22" s="735"/>
      <c r="D22" s="834"/>
      <c r="E22" s="145" t="str">
        <f t="shared" ref="E22:F22" si="27">IF(E16="","",E16)</f>
        <v/>
      </c>
      <c r="F22" s="145" t="str">
        <f t="shared" si="27"/>
        <v/>
      </c>
      <c r="G22" s="189" t="str">
        <f t="shared" si="18"/>
        <v/>
      </c>
      <c r="H22" s="190" t="str">
        <f t="shared" si="19"/>
        <v/>
      </c>
      <c r="I22" s="146" t="str">
        <f>IF($E22="","",IF($G22="正規職員","-",IF(AND(EXACT($C12,$C18),EXACT($E16,$E22),EXACT($G16,$G22)),I16,"賃金単価を記載")))</f>
        <v/>
      </c>
      <c r="J22" s="146" t="str">
        <f t="shared" si="22"/>
        <v/>
      </c>
      <c r="K22" s="146" t="str">
        <f>IF($E22="","",IF($G22="正規職員","-",IF(AND(EXACT($C12,$C18),EXACT($E16,$E22),EXACT($G16,$G22)),K16,"日額の交通費を記載（定期利用の場合は月額)")))</f>
        <v/>
      </c>
      <c r="L22" s="62" t="str">
        <f t="shared" si="20"/>
        <v/>
      </c>
      <c r="M22" s="62">
        <f>$M$6</f>
        <v>199000</v>
      </c>
      <c r="N22" s="62">
        <f>IFERROR(IF($C18="-","",IF(E22="","",IF(G22="正規職員",M22-L21,MIN(MIN(L22:M22),M21-N21)))),0)</f>
        <v>0</v>
      </c>
      <c r="O22" s="64" t="str">
        <f t="shared" si="23"/>
        <v/>
      </c>
      <c r="P22" s="65">
        <f t="shared" si="24"/>
        <v>5</v>
      </c>
      <c r="Q22" s="65" t="e">
        <f>VLOOKUP($E22&amp;Q$5,'②-2勤務時間数入力'!$D$7:$Q$106,$P22,FALSE)</f>
        <v>#N/A</v>
      </c>
      <c r="R22" s="65" t="str">
        <f>IF(ISERROR(Q22),"×",IF(Q22="-","×","○"))</f>
        <v>×</v>
      </c>
      <c r="S22" s="65" t="e">
        <f>VLOOKUP($E22&amp;S$5,'②-2勤務時間数入力'!$D$7:$Q$106,$P22,FALSE)</f>
        <v>#N/A</v>
      </c>
      <c r="T22" s="65" t="str">
        <f>IF(ISERROR(S22),"×",IF(S22="-","×","○"))</f>
        <v>×</v>
      </c>
      <c r="U22" s="65" t="e">
        <f>VLOOKUP($E22&amp;U$5,'②-2勤務時間数入力'!$D$7:$Q$106,$P22,FALSE)</f>
        <v>#N/A</v>
      </c>
      <c r="V22" s="65" t="str">
        <f>IF(ISERROR(U22),"×",IF(U22="-","×","○"))</f>
        <v>×</v>
      </c>
      <c r="W22" s="65" t="e">
        <f>VLOOKUP($E22&amp;W$5,'②-2勤務時間数入力'!$D$7:$Q$106,$P22,FALSE)</f>
        <v>#N/A</v>
      </c>
      <c r="X22" s="65" t="str">
        <f>IF(ISERROR(W22),"×",IF(W22="-","×","○"))</f>
        <v>×</v>
      </c>
    </row>
    <row r="23" spans="1:24" ht="13.5" customHeight="1">
      <c r="A23" s="840"/>
      <c r="B23" s="843"/>
      <c r="C23" s="736"/>
      <c r="D23" s="823"/>
      <c r="E23" s="1" t="s">
        <v>295</v>
      </c>
      <c r="F23" s="1"/>
      <c r="G23" s="189" t="s">
        <v>293</v>
      </c>
      <c r="H23" s="191"/>
      <c r="I23" s="63" t="s">
        <v>293</v>
      </c>
      <c r="J23" s="63"/>
      <c r="K23" s="63"/>
      <c r="L23" s="63" t="s">
        <v>293</v>
      </c>
      <c r="M23" s="63" t="s">
        <v>293</v>
      </c>
      <c r="N23" s="62">
        <f>MIN(IFERROR(IF(C18=1,IF(AND(B18="配置",OR(D18="調理師等",D18="栄養士")),MAX(SUM(N18:N22)-①基本情報!H43+10000,0),SUM(N18:N22)),0),0),$M$6)</f>
        <v>0</v>
      </c>
      <c r="O23" s="64" t="e">
        <f>IF(SUM(N18:N22)&gt;#REF!*$M$6,MIN($M$6,SUM(N18:N22)-ROUNDDOWN(#REF!*$M$6,0)),0)</f>
        <v>#REF!</v>
      </c>
      <c r="P23" s="65"/>
      <c r="Q23" s="65"/>
      <c r="R23" s="65"/>
      <c r="S23" s="65"/>
      <c r="T23" s="65"/>
      <c r="U23" s="65"/>
      <c r="V23" s="65"/>
      <c r="W23" s="65"/>
      <c r="X23" s="65"/>
    </row>
    <row r="24" spans="1:24" ht="13.5" customHeight="1">
      <c r="A24" s="820">
        <v>7</v>
      </c>
      <c r="B24" s="841" t="e">
        <f>IF(①基本情報!I41="有",①基本情報!I42,"無")</f>
        <v>#N/A</v>
      </c>
      <c r="C24" s="844" t="e">
        <f>IF(判定!AV12="NG","-",1)</f>
        <v>#N/A</v>
      </c>
      <c r="D24" s="822" t="str">
        <f>IFERROR(INDEX($L$83:$M$88,MATCH(判定!AV12,$L$83:$L$88,0),2),"-")</f>
        <v>-</v>
      </c>
      <c r="E24" s="145" t="str">
        <f>IF(E18="","",E18)</f>
        <v/>
      </c>
      <c r="F24" s="145" t="str">
        <f>IF(F18="","",F18)</f>
        <v/>
      </c>
      <c r="G24" s="189" t="str">
        <f t="shared" ref="G24:G28" si="28">IF(E24="","",IF(R24="○",Q$5,IF(T24="○",S$5,IF(V24="○",U$5,IF(X24="○",W$5,"ERROR")))))</f>
        <v/>
      </c>
      <c r="H24" s="190" t="str">
        <f t="shared" ref="H24:H28" si="29">IF(E24="","",IF(R24="○",Q24,IF(T24="○",S24,IF(V24="○",U24,IF(X24="○",W24,"ERROR")))))</f>
        <v/>
      </c>
      <c r="I24" s="146" t="str">
        <f>IF($E24="","",IF($G24="正規職員","-",IF(AND(EXACT($C18,$C24),EXACT($E18,$E24),EXACT($G18,$G24)),I18,"賃金単価を記載")))</f>
        <v/>
      </c>
      <c r="J24" s="146" t="str">
        <f>IF($E24="","",IF($G24="正規職員","-","勤務日数を記載（定期利用の場合、1と記載)"))</f>
        <v/>
      </c>
      <c r="K24" s="146" t="str">
        <f>IF($E24="","",IF($G24="正規職員","-",IF(AND(EXACT($C18,$C24),EXACT($E18,$E24),EXACT($G18,$G24)),K18,"日額の交通費を記載（定期利用の場合は月額)")))</f>
        <v/>
      </c>
      <c r="L24" s="62" t="str">
        <f t="shared" ref="L24:L28" si="30">IF($E24="","",IF($G24="正規職員","-",(H24*I24+J24*K24)))</f>
        <v/>
      </c>
      <c r="M24" s="62">
        <f>$M$6</f>
        <v>199000</v>
      </c>
      <c r="N24" s="62">
        <f>IFERROR(IF($C24="-","",IF(E24="",0,IF(G24="正規職員",M24,MIN(L24:M24)))),0)</f>
        <v>0</v>
      </c>
      <c r="O24" s="64" t="str">
        <f>IF(E24="","",IF(COUNTIFS(E24,"*給食室*")=1,"○","エラー"))</f>
        <v/>
      </c>
      <c r="P24" s="65">
        <v>6</v>
      </c>
      <c r="Q24" s="65" t="e">
        <f>VLOOKUP($E24&amp;Q$5,'②-2勤務時間数入力'!$D$7:$Q$106,$P24,FALSE)</f>
        <v>#N/A</v>
      </c>
      <c r="R24" s="65" t="str">
        <f>IF(ISERROR(Q24),"×",IF(Q24="-","×","○"))</f>
        <v>×</v>
      </c>
      <c r="S24" s="65" t="e">
        <f>VLOOKUP($E24&amp;S$5,'②-2勤務時間数入力'!$D$7:$Q$106,$P24,FALSE)</f>
        <v>#N/A</v>
      </c>
      <c r="T24" s="65" t="str">
        <f>IF(ISERROR(S24),"×",IF(S24="-","×","○"))</f>
        <v>×</v>
      </c>
      <c r="U24" s="65" t="e">
        <f>VLOOKUP($E24&amp;U$5,'②-2勤務時間数入力'!$D$7:$Q$106,$P24,FALSE)</f>
        <v>#N/A</v>
      </c>
      <c r="V24" s="65" t="str">
        <f>IF(ISERROR(U24),"×",IF(U24="-","×","○"))</f>
        <v>×</v>
      </c>
      <c r="W24" s="65" t="e">
        <f>VLOOKUP($E24&amp;W$5,'②-2勤務時間数入力'!$D$7:$Q$106,$P24,FALSE)</f>
        <v>#N/A</v>
      </c>
      <c r="X24" s="65" t="str">
        <f>IF(ISERROR(W24),"×",IF(W24="-","×","○"))</f>
        <v>×</v>
      </c>
    </row>
    <row r="25" spans="1:24" ht="13.5" customHeight="1">
      <c r="A25" s="839"/>
      <c r="B25" s="842"/>
      <c r="C25" s="735"/>
      <c r="D25" s="834"/>
      <c r="E25" s="145" t="str">
        <f t="shared" ref="E25:F25" si="31">IF(E19="","",E19)</f>
        <v/>
      </c>
      <c r="F25" s="145" t="str">
        <f t="shared" si="31"/>
        <v/>
      </c>
      <c r="G25" s="189" t="str">
        <f t="shared" si="28"/>
        <v/>
      </c>
      <c r="H25" s="190" t="str">
        <f t="shared" si="29"/>
        <v/>
      </c>
      <c r="I25" s="146" t="str">
        <f>IF($E25="","",IF($G25="正規職員","-",IF(AND(EXACT($C18,$C24),EXACT($E19,$E25),EXACT($G19,$G25)),I19,"賃金単価を記載")))</f>
        <v/>
      </c>
      <c r="J25" s="146" t="str">
        <f t="shared" ref="J25:J28" si="32">IF($E25="","",IF($G25="正規職員","-","勤務日数を記載（定期利用の場合、1と記載)"))</f>
        <v/>
      </c>
      <c r="K25" s="146" t="str">
        <f>IF($E25="","",IF($G25="正規職員","-",IF(AND(EXACT($C18,$C24),EXACT($E19,$E25),EXACT($G19,$G25)),K19,"日額の交通費を記載（定期利用の場合は月額)")))</f>
        <v/>
      </c>
      <c r="L25" s="62" t="str">
        <f t="shared" si="30"/>
        <v/>
      </c>
      <c r="M25" s="62">
        <f>$M$6</f>
        <v>199000</v>
      </c>
      <c r="N25" s="62">
        <f>IFERROR(IF($C24="-","",IF(E25="","",IF(G25="正規職員",M25-L24,MIN(MIN(L25:M25),M24-N24)))),0)</f>
        <v>0</v>
      </c>
      <c r="O25" s="64" t="str">
        <f t="shared" ref="O25:O28" si="33">IF(E25="","",IF(COUNTIFS(E25,"*給食室*")=1,"○","エラー"))</f>
        <v/>
      </c>
      <c r="P25" s="65">
        <f t="shared" ref="P25:P28" si="34">P24</f>
        <v>6</v>
      </c>
      <c r="Q25" s="65" t="e">
        <f>VLOOKUP($E25&amp;Q$5,'②-2勤務時間数入力'!$D$7:$Q$106,$P25,FALSE)</f>
        <v>#N/A</v>
      </c>
      <c r="R25" s="65" t="str">
        <f>IF(ISERROR(Q25),"×",IF(Q25="-","×","○"))</f>
        <v>×</v>
      </c>
      <c r="S25" s="65" t="e">
        <f>VLOOKUP($E25&amp;S$5,'②-2勤務時間数入力'!$D$7:$Q$106,$P25,FALSE)</f>
        <v>#N/A</v>
      </c>
      <c r="T25" s="65" t="str">
        <f>IF(ISERROR(S25),"×",IF(S25="-","×","○"))</f>
        <v>×</v>
      </c>
      <c r="U25" s="65" t="e">
        <f>VLOOKUP($E25&amp;U$5,'②-2勤務時間数入力'!$D$7:$Q$106,$P25,FALSE)</f>
        <v>#N/A</v>
      </c>
      <c r="V25" s="65" t="str">
        <f>IF(ISERROR(U25),"×",IF(U25="-","×","○"))</f>
        <v>×</v>
      </c>
      <c r="W25" s="65" t="e">
        <f>VLOOKUP($E25&amp;W$5,'②-2勤務時間数入力'!$D$7:$Q$106,$P25,FALSE)</f>
        <v>#N/A</v>
      </c>
      <c r="X25" s="65" t="str">
        <f>IF(ISERROR(W25),"×",IF(W25="-","×","○"))</f>
        <v>×</v>
      </c>
    </row>
    <row r="26" spans="1:24" ht="13.5" customHeight="1">
      <c r="A26" s="839"/>
      <c r="B26" s="842"/>
      <c r="C26" s="735"/>
      <c r="D26" s="834"/>
      <c r="E26" s="145" t="str">
        <f t="shared" ref="E26:F26" si="35">IF(E20="","",E20)</f>
        <v/>
      </c>
      <c r="F26" s="145" t="str">
        <f t="shared" si="35"/>
        <v/>
      </c>
      <c r="G26" s="189" t="str">
        <f t="shared" si="28"/>
        <v/>
      </c>
      <c r="H26" s="190" t="str">
        <f t="shared" si="29"/>
        <v/>
      </c>
      <c r="I26" s="146" t="str">
        <f>IF($E26="","",IF($G26="正規職員","-",IF(AND(EXACT($C18,$C24),EXACT($E20,$E26),EXACT($G20,$G26)),I20,"賃金単価を記載")))</f>
        <v/>
      </c>
      <c r="J26" s="146" t="str">
        <f t="shared" si="32"/>
        <v/>
      </c>
      <c r="K26" s="146" t="str">
        <f>IF($E26="","",IF($G26="正規職員","-",IF(AND(EXACT($C18,$C24),EXACT($E20,$E26),EXACT($G20,$G26)),K20,"日額の交通費を記載（定期利用の場合は月額)")))</f>
        <v/>
      </c>
      <c r="L26" s="62" t="str">
        <f t="shared" si="30"/>
        <v/>
      </c>
      <c r="M26" s="62">
        <f>$M$6</f>
        <v>199000</v>
      </c>
      <c r="N26" s="62">
        <f>IFERROR(IF($C24="-","",IF(E26="","",IF(G26="正規職員",M26-L25,MIN(MIN(L26:M26),M25-N25)))),0)</f>
        <v>0</v>
      </c>
      <c r="O26" s="64" t="str">
        <f>IF(E26="","",IF(COUNTIFS(E26,"*給食室*")=1,"○","エラー"))</f>
        <v/>
      </c>
      <c r="P26" s="65">
        <f t="shared" si="34"/>
        <v>6</v>
      </c>
      <c r="Q26" s="65" t="e">
        <f>VLOOKUP($E26&amp;Q$5,'②-2勤務時間数入力'!$D$7:$Q$106,$P26,FALSE)</f>
        <v>#N/A</v>
      </c>
      <c r="R26" s="65" t="str">
        <f>IF(ISERROR(Q26),"×",IF(Q26="-","×","○"))</f>
        <v>×</v>
      </c>
      <c r="S26" s="65" t="e">
        <f>VLOOKUP($E26&amp;S$5,'②-2勤務時間数入力'!$D$7:$Q$106,$P26,FALSE)</f>
        <v>#N/A</v>
      </c>
      <c r="T26" s="65" t="str">
        <f>IF(ISERROR(S26),"×",IF(S26="-","×","○"))</f>
        <v>×</v>
      </c>
      <c r="U26" s="65" t="e">
        <f>VLOOKUP($E26&amp;U$5,'②-2勤務時間数入力'!$D$7:$Q$106,$P26,FALSE)</f>
        <v>#N/A</v>
      </c>
      <c r="V26" s="65" t="str">
        <f>IF(ISERROR(U26),"×",IF(U26="-","×","○"))</f>
        <v>×</v>
      </c>
      <c r="W26" s="65" t="e">
        <f>VLOOKUP($E26&amp;W$5,'②-2勤務時間数入力'!$D$7:$Q$106,$P26,FALSE)</f>
        <v>#N/A</v>
      </c>
      <c r="X26" s="65" t="str">
        <f>IF(ISERROR(W26),"×",IF(W26="-","×","○"))</f>
        <v>×</v>
      </c>
    </row>
    <row r="27" spans="1:24" ht="13.5" customHeight="1">
      <c r="A27" s="839"/>
      <c r="B27" s="842"/>
      <c r="C27" s="735"/>
      <c r="D27" s="834"/>
      <c r="E27" s="145" t="str">
        <f t="shared" ref="E27:F27" si="36">IF(E21="","",E21)</f>
        <v/>
      </c>
      <c r="F27" s="145" t="str">
        <f t="shared" si="36"/>
        <v/>
      </c>
      <c r="G27" s="189" t="str">
        <f t="shared" si="28"/>
        <v/>
      </c>
      <c r="H27" s="190" t="str">
        <f t="shared" si="29"/>
        <v/>
      </c>
      <c r="I27" s="146" t="str">
        <f>IF($E27="","",IF($G27="正規職員","-",IF(AND(EXACT($C18,$C24),EXACT($E21,$E27),EXACT($G21,$G27)),I21,"賃金単価を記載")))</f>
        <v/>
      </c>
      <c r="J27" s="146" t="str">
        <f t="shared" si="32"/>
        <v/>
      </c>
      <c r="K27" s="146" t="str">
        <f>IF($E27="","",IF($G27="正規職員","-",IF(AND(EXACT($C18,$C24),EXACT($E21,$E27),EXACT($G21,$G27)),K21,"日額の交通費を記載（定期利用の場合は月額)")))</f>
        <v/>
      </c>
      <c r="L27" s="62" t="str">
        <f t="shared" si="30"/>
        <v/>
      </c>
      <c r="M27" s="62">
        <f>$M$6</f>
        <v>199000</v>
      </c>
      <c r="N27" s="62">
        <f>IFERROR(IF($C24="-","",IF(E27="","",IF(G27="正規職員",M27-L26,MIN(MIN(L27:M27),M26-N26)))),0)</f>
        <v>0</v>
      </c>
      <c r="O27" s="64" t="str">
        <f t="shared" si="33"/>
        <v/>
      </c>
      <c r="P27" s="65">
        <f t="shared" si="34"/>
        <v>6</v>
      </c>
      <c r="Q27" s="65" t="e">
        <f>VLOOKUP($E27&amp;Q$5,'②-2勤務時間数入力'!$D$7:$Q$106,$P27,FALSE)</f>
        <v>#N/A</v>
      </c>
      <c r="R27" s="65" t="str">
        <f>IF(ISERROR(Q27),"×",IF(Q27="-","×","○"))</f>
        <v>×</v>
      </c>
      <c r="S27" s="65" t="e">
        <f>VLOOKUP($E27&amp;S$5,'②-2勤務時間数入力'!$D$7:$Q$106,$P27,FALSE)</f>
        <v>#N/A</v>
      </c>
      <c r="T27" s="65" t="str">
        <f>IF(ISERROR(S27),"×",IF(S27="-","×","○"))</f>
        <v>×</v>
      </c>
      <c r="U27" s="65" t="e">
        <f>VLOOKUP($E27&amp;U$5,'②-2勤務時間数入力'!$D$7:$Q$106,$P27,FALSE)</f>
        <v>#N/A</v>
      </c>
      <c r="V27" s="65" t="str">
        <f>IF(ISERROR(U27),"×",IF(U27="-","×","○"))</f>
        <v>×</v>
      </c>
      <c r="W27" s="65" t="e">
        <f>VLOOKUP($E27&amp;W$5,'②-2勤務時間数入力'!$D$7:$Q$106,$P27,FALSE)</f>
        <v>#N/A</v>
      </c>
      <c r="X27" s="65" t="str">
        <f>IF(ISERROR(W27),"×",IF(W27="-","×","○"))</f>
        <v>×</v>
      </c>
    </row>
    <row r="28" spans="1:24" ht="13.5" customHeight="1">
      <c r="A28" s="839"/>
      <c r="B28" s="842"/>
      <c r="C28" s="735"/>
      <c r="D28" s="834"/>
      <c r="E28" s="145" t="str">
        <f t="shared" ref="E28:F28" si="37">IF(E22="","",E22)</f>
        <v/>
      </c>
      <c r="F28" s="145" t="str">
        <f t="shared" si="37"/>
        <v/>
      </c>
      <c r="G28" s="189" t="str">
        <f t="shared" si="28"/>
        <v/>
      </c>
      <c r="H28" s="190" t="str">
        <f t="shared" si="29"/>
        <v/>
      </c>
      <c r="I28" s="146" t="str">
        <f>IF($E28="","",IF($G28="正規職員","-",IF(AND(EXACT($C18,$C24),EXACT($E22,$E28),EXACT($G22,$G28)),I22,"賃金単価を記載")))</f>
        <v/>
      </c>
      <c r="J28" s="146" t="str">
        <f t="shared" si="32"/>
        <v/>
      </c>
      <c r="K28" s="146" t="str">
        <f>IF($E28="","",IF($G28="正規職員","-",IF(AND(EXACT($C18,$C24),EXACT($E22,$E28),EXACT($G22,$G28)),K22,"日額の交通費を記載（定期利用の場合は月額)")))</f>
        <v/>
      </c>
      <c r="L28" s="62" t="str">
        <f t="shared" si="30"/>
        <v/>
      </c>
      <c r="M28" s="62">
        <f>$M$6</f>
        <v>199000</v>
      </c>
      <c r="N28" s="62">
        <f>IFERROR(IF($C24="-","",IF(E28="","",IF(G28="正規職員",M28-L27,MIN(MIN(L28:M28),M27-N27)))),0)</f>
        <v>0</v>
      </c>
      <c r="O28" s="64" t="str">
        <f t="shared" si="33"/>
        <v/>
      </c>
      <c r="P28" s="65">
        <f t="shared" si="34"/>
        <v>6</v>
      </c>
      <c r="Q28" s="65" t="e">
        <f>VLOOKUP($E28&amp;Q$5,'②-2勤務時間数入力'!$D$7:$Q$106,$P28,FALSE)</f>
        <v>#N/A</v>
      </c>
      <c r="R28" s="65" t="str">
        <f>IF(ISERROR(Q28),"×",IF(Q28="-","×","○"))</f>
        <v>×</v>
      </c>
      <c r="S28" s="65" t="e">
        <f>VLOOKUP($E28&amp;S$5,'②-2勤務時間数入力'!$D$7:$Q$106,$P28,FALSE)</f>
        <v>#N/A</v>
      </c>
      <c r="T28" s="65" t="str">
        <f>IF(ISERROR(S28),"×",IF(S28="-","×","○"))</f>
        <v>×</v>
      </c>
      <c r="U28" s="65" t="e">
        <f>VLOOKUP($E28&amp;U$5,'②-2勤務時間数入力'!$D$7:$Q$106,$P28,FALSE)</f>
        <v>#N/A</v>
      </c>
      <c r="V28" s="65" t="str">
        <f>IF(ISERROR(U28),"×",IF(U28="-","×","○"))</f>
        <v>×</v>
      </c>
      <c r="W28" s="65" t="e">
        <f>VLOOKUP($E28&amp;W$5,'②-2勤務時間数入力'!$D$7:$Q$106,$P28,FALSE)</f>
        <v>#N/A</v>
      </c>
      <c r="X28" s="65" t="str">
        <f>IF(ISERROR(W28),"×",IF(W28="-","×","○"))</f>
        <v>×</v>
      </c>
    </row>
    <row r="29" spans="1:24" ht="13.5" customHeight="1">
      <c r="A29" s="840"/>
      <c r="B29" s="843"/>
      <c r="C29" s="736"/>
      <c r="D29" s="823"/>
      <c r="E29" s="1" t="s">
        <v>296</v>
      </c>
      <c r="F29" s="1"/>
      <c r="G29" s="189" t="s">
        <v>293</v>
      </c>
      <c r="H29" s="191"/>
      <c r="I29" s="63" t="s">
        <v>293</v>
      </c>
      <c r="J29" s="63"/>
      <c r="K29" s="63"/>
      <c r="L29" s="63" t="s">
        <v>293</v>
      </c>
      <c r="M29" s="63" t="s">
        <v>293</v>
      </c>
      <c r="N29" s="62">
        <f>MIN(IFERROR(IF(C24=1,IF(AND(B24="配置",OR(D24="調理師等",D24="栄養士")),MAX(SUM(N24:N28)-①基本情報!I43+10000,0),SUM(N24:N28)),0),0),$M$6)</f>
        <v>0</v>
      </c>
      <c r="O29" s="64" t="e">
        <f>IF(SUM(N24:N28)&gt;#REF!*$M$6,MIN($M$6,SUM(N24:N28)-ROUNDDOWN(#REF!*$M$6,0)),0)</f>
        <v>#REF!</v>
      </c>
      <c r="P29" s="65"/>
      <c r="Q29" s="65"/>
      <c r="R29" s="65"/>
      <c r="S29" s="65"/>
      <c r="T29" s="65"/>
      <c r="U29" s="65"/>
      <c r="V29" s="65"/>
      <c r="W29" s="65"/>
      <c r="X29" s="65"/>
    </row>
    <row r="30" spans="1:24" ht="13.5" customHeight="1">
      <c r="A30" s="820">
        <v>8</v>
      </c>
      <c r="B30" s="841" t="e">
        <f>IF(①基本情報!J41="有",①基本情報!J42,"無")</f>
        <v>#N/A</v>
      </c>
      <c r="C30" s="844" t="e">
        <f>IF(判定!AV13="NG","-",1)</f>
        <v>#N/A</v>
      </c>
      <c r="D30" s="822" t="str">
        <f>IFERROR(INDEX($L$83:$M$88,MATCH(判定!AV13,$L$83:$L$88,0),2),"-")</f>
        <v>-</v>
      </c>
      <c r="E30" s="145" t="str">
        <f>IF(E24="","",E24)</f>
        <v/>
      </c>
      <c r="F30" s="145" t="str">
        <f>IF(F24="","",F24)</f>
        <v/>
      </c>
      <c r="G30" s="189" t="str">
        <f t="shared" ref="G30:G34" si="38">IF(E30="","",IF(R30="○",Q$5,IF(T30="○",S$5,IF(V30="○",U$5,IF(X30="○",W$5,"ERROR")))))</f>
        <v/>
      </c>
      <c r="H30" s="190" t="str">
        <f t="shared" ref="H30:H34" si="39">IF(E30="","",IF(R30="○",Q30,IF(T30="○",S30,IF(V30="○",U30,IF(X30="○",W30,"ERROR")))))</f>
        <v/>
      </c>
      <c r="I30" s="146" t="str">
        <f>IF($E30="","",IF($G30="正規職員","-",IF(AND(EXACT($C24,$C30),EXACT($E24,$E30),EXACT($G24,$G30)),I24,"賃金単価を記載")))</f>
        <v/>
      </c>
      <c r="J30" s="146" t="str">
        <f>IF($E30="","",IF($G30="正規職員","-","勤務日数を記載（定期利用の場合、1と記載)"))</f>
        <v/>
      </c>
      <c r="K30" s="146" t="str">
        <f>IF($E30="","",IF($G30="正規職員","-",IF(AND(EXACT($C24,$C30),EXACT($E24,$E30),EXACT($G24,$G30)),K24,"日額の交通費を記載（定期利用の場合は月額)")))</f>
        <v/>
      </c>
      <c r="L30" s="62" t="str">
        <f t="shared" ref="L30:L34" si="40">IF($E30="","",IF($G30="正規職員","-",(H30*I30+J30*K30)))</f>
        <v/>
      </c>
      <c r="M30" s="62">
        <f>$M$6</f>
        <v>199000</v>
      </c>
      <c r="N30" s="62">
        <f>IFERROR(IF($C30="-","",IF(E30="",0,IF(G30="正規職員",M30,MIN(L30:M30)))),0)</f>
        <v>0</v>
      </c>
      <c r="O30" s="64" t="str">
        <f>IF(E30="","",IF(COUNTIFS(E30,"*給食室*")=1,"○","エラー"))</f>
        <v/>
      </c>
      <c r="P30" s="65">
        <v>7</v>
      </c>
      <c r="Q30" s="65" t="e">
        <f>VLOOKUP($E30&amp;Q$5,'②-2勤務時間数入力'!$D$7:$Q$106,$P30,FALSE)</f>
        <v>#N/A</v>
      </c>
      <c r="R30" s="65" t="str">
        <f>IF(ISERROR(Q30),"×",IF(Q30="-","×","○"))</f>
        <v>×</v>
      </c>
      <c r="S30" s="65" t="e">
        <f>VLOOKUP($E30&amp;S$5,'②-2勤務時間数入力'!$D$7:$Q$106,$P30,FALSE)</f>
        <v>#N/A</v>
      </c>
      <c r="T30" s="65" t="str">
        <f>IF(ISERROR(S30),"×",IF(S30="-","×","○"))</f>
        <v>×</v>
      </c>
      <c r="U30" s="65" t="e">
        <f>VLOOKUP($E30&amp;U$5,'②-2勤務時間数入力'!$D$7:$Q$106,$P30,FALSE)</f>
        <v>#N/A</v>
      </c>
      <c r="V30" s="65" t="str">
        <f>IF(ISERROR(U30),"×",IF(U30="-","×","○"))</f>
        <v>×</v>
      </c>
      <c r="W30" s="65" t="e">
        <f>VLOOKUP($E30&amp;W$5,'②-2勤務時間数入力'!$D$7:$Q$106,$P30,FALSE)</f>
        <v>#N/A</v>
      </c>
      <c r="X30" s="65" t="str">
        <f>IF(ISERROR(W30),"×",IF(W30="-","×","○"))</f>
        <v>×</v>
      </c>
    </row>
    <row r="31" spans="1:24" ht="13.5" customHeight="1">
      <c r="A31" s="839"/>
      <c r="B31" s="842"/>
      <c r="C31" s="735"/>
      <c r="D31" s="834"/>
      <c r="E31" s="145" t="str">
        <f t="shared" ref="E31:F31" si="41">IF(E25="","",E25)</f>
        <v/>
      </c>
      <c r="F31" s="145" t="str">
        <f t="shared" si="41"/>
        <v/>
      </c>
      <c r="G31" s="189" t="str">
        <f t="shared" si="38"/>
        <v/>
      </c>
      <c r="H31" s="190" t="str">
        <f t="shared" si="39"/>
        <v/>
      </c>
      <c r="I31" s="146" t="str">
        <f>IF($E31="","",IF($G31="正規職員","-",IF(AND(EXACT($C24,$C30),EXACT($E25,$E31),EXACT($G25,$G31)),I25,"賃金単価を記載")))</f>
        <v/>
      </c>
      <c r="J31" s="146" t="str">
        <f t="shared" ref="J31:J34" si="42">IF($E31="","",IF($G31="正規職員","-","勤務日数を記載（定期利用の場合、1と記載)"))</f>
        <v/>
      </c>
      <c r="K31" s="146" t="str">
        <f>IF($E31="","",IF($G31="正規職員","-",IF(AND(EXACT($C24,$C30),EXACT($E25,$E31),EXACT($G25,$G31)),K25,"日額の交通費を記載（定期利用の場合は月額)")))</f>
        <v/>
      </c>
      <c r="L31" s="62" t="str">
        <f t="shared" si="40"/>
        <v/>
      </c>
      <c r="M31" s="62">
        <f>$M$6</f>
        <v>199000</v>
      </c>
      <c r="N31" s="62">
        <f>IFERROR(IF($C30="-","",IF(E31="","",IF(G31="正規職員",M31-L30,MIN(MIN(L31:M31),M30-N30)))),0)</f>
        <v>0</v>
      </c>
      <c r="O31" s="64" t="str">
        <f t="shared" ref="O31:O34" si="43">IF(E31="","",IF(COUNTIFS(E31,"*給食室*")=1,"○","エラー"))</f>
        <v/>
      </c>
      <c r="P31" s="65">
        <f t="shared" ref="P31:P34" si="44">P30</f>
        <v>7</v>
      </c>
      <c r="Q31" s="65" t="e">
        <f>VLOOKUP($E31&amp;Q$5,'②-2勤務時間数入力'!$D$7:$Q$106,$P31,FALSE)</f>
        <v>#N/A</v>
      </c>
      <c r="R31" s="65" t="str">
        <f>IF(ISERROR(Q31),"×",IF(Q31="-","×","○"))</f>
        <v>×</v>
      </c>
      <c r="S31" s="65" t="e">
        <f>VLOOKUP($E31&amp;S$5,'②-2勤務時間数入力'!$D$7:$Q$106,$P31,FALSE)</f>
        <v>#N/A</v>
      </c>
      <c r="T31" s="65" t="str">
        <f>IF(ISERROR(S31),"×",IF(S31="-","×","○"))</f>
        <v>×</v>
      </c>
      <c r="U31" s="65" t="e">
        <f>VLOOKUP($E31&amp;U$5,'②-2勤務時間数入力'!$D$7:$Q$106,$P31,FALSE)</f>
        <v>#N/A</v>
      </c>
      <c r="V31" s="65" t="str">
        <f>IF(ISERROR(U31),"×",IF(U31="-","×","○"))</f>
        <v>×</v>
      </c>
      <c r="W31" s="65" t="e">
        <f>VLOOKUP($E31&amp;W$5,'②-2勤務時間数入力'!$D$7:$Q$106,$P31,FALSE)</f>
        <v>#N/A</v>
      </c>
      <c r="X31" s="65" t="str">
        <f>IF(ISERROR(W31),"×",IF(W31="-","×","○"))</f>
        <v>×</v>
      </c>
    </row>
    <row r="32" spans="1:24" ht="13.5" customHeight="1">
      <c r="A32" s="839"/>
      <c r="B32" s="842"/>
      <c r="C32" s="735"/>
      <c r="D32" s="834"/>
      <c r="E32" s="145" t="str">
        <f t="shared" ref="E32:F32" si="45">IF(E26="","",E26)</f>
        <v/>
      </c>
      <c r="F32" s="145" t="str">
        <f t="shared" si="45"/>
        <v/>
      </c>
      <c r="G32" s="189" t="str">
        <f t="shared" si="38"/>
        <v/>
      </c>
      <c r="H32" s="190" t="str">
        <f t="shared" si="39"/>
        <v/>
      </c>
      <c r="I32" s="146" t="str">
        <f>IF($E32="","",IF($G32="正規職員","-",IF(AND(EXACT($C24,$C30),EXACT($E26,$E32),EXACT($G26,$G32)),I26,"賃金単価を記載")))</f>
        <v/>
      </c>
      <c r="J32" s="146" t="str">
        <f t="shared" si="42"/>
        <v/>
      </c>
      <c r="K32" s="146" t="str">
        <f>IF($E32="","",IF($G32="正規職員","-",IF(AND(EXACT($C24,$C30),EXACT($E26,$E32),EXACT($G26,$G32)),K26,"日額の交通費を記載（定期利用の場合は月額)")))</f>
        <v/>
      </c>
      <c r="L32" s="62" t="str">
        <f t="shared" si="40"/>
        <v/>
      </c>
      <c r="M32" s="62">
        <f>$M$6</f>
        <v>199000</v>
      </c>
      <c r="N32" s="62">
        <f>IFERROR(IF($C30="-","",IF(E32="","",IF(G32="正規職員",M32-L31,MIN(MIN(L32:M32),M31-N31)))),0)</f>
        <v>0</v>
      </c>
      <c r="O32" s="64" t="str">
        <f t="shared" si="43"/>
        <v/>
      </c>
      <c r="P32" s="65">
        <f t="shared" si="44"/>
        <v>7</v>
      </c>
      <c r="Q32" s="65" t="e">
        <f>VLOOKUP($E32&amp;Q$5,'②-2勤務時間数入力'!$D$7:$Q$106,$P32,FALSE)</f>
        <v>#N/A</v>
      </c>
      <c r="R32" s="65" t="str">
        <f>IF(ISERROR(Q32),"×",IF(Q32="-","×","○"))</f>
        <v>×</v>
      </c>
      <c r="S32" s="65" t="e">
        <f>VLOOKUP($E32&amp;S$5,'②-2勤務時間数入力'!$D$7:$Q$106,$P32,FALSE)</f>
        <v>#N/A</v>
      </c>
      <c r="T32" s="65" t="str">
        <f>IF(ISERROR(S32),"×",IF(S32="-","×","○"))</f>
        <v>×</v>
      </c>
      <c r="U32" s="65" t="e">
        <f>VLOOKUP($E32&amp;U$5,'②-2勤務時間数入力'!$D$7:$Q$106,$P32,FALSE)</f>
        <v>#N/A</v>
      </c>
      <c r="V32" s="65" t="str">
        <f>IF(ISERROR(U32),"×",IF(U32="-","×","○"))</f>
        <v>×</v>
      </c>
      <c r="W32" s="65" t="e">
        <f>VLOOKUP($E32&amp;W$5,'②-2勤務時間数入力'!$D$7:$Q$106,$P32,FALSE)</f>
        <v>#N/A</v>
      </c>
      <c r="X32" s="65" t="str">
        <f>IF(ISERROR(W32),"×",IF(W32="-","×","○"))</f>
        <v>×</v>
      </c>
    </row>
    <row r="33" spans="1:24" ht="13.5" customHeight="1">
      <c r="A33" s="839"/>
      <c r="B33" s="842"/>
      <c r="C33" s="735"/>
      <c r="D33" s="834"/>
      <c r="E33" s="145" t="str">
        <f t="shared" ref="E33:F33" si="46">IF(E27="","",E27)</f>
        <v/>
      </c>
      <c r="F33" s="145" t="str">
        <f t="shared" si="46"/>
        <v/>
      </c>
      <c r="G33" s="189" t="str">
        <f t="shared" si="38"/>
        <v/>
      </c>
      <c r="H33" s="190" t="str">
        <f t="shared" si="39"/>
        <v/>
      </c>
      <c r="I33" s="146" t="str">
        <f>IF($E33="","",IF($G33="正規職員","-",IF(AND(EXACT($C24,$C30),EXACT($E27,$E33),EXACT($G27,$G33)),I27,"賃金単価を記載")))</f>
        <v/>
      </c>
      <c r="J33" s="146" t="str">
        <f t="shared" si="42"/>
        <v/>
      </c>
      <c r="K33" s="146" t="str">
        <f>IF($E33="","",IF($G33="正規職員","-",IF(AND(EXACT($C24,$C30),EXACT($E27,$E33),EXACT($G27,$G33)),K27,"日額の交通費を記載（定期利用の場合は月額)")))</f>
        <v/>
      </c>
      <c r="L33" s="62" t="str">
        <f t="shared" si="40"/>
        <v/>
      </c>
      <c r="M33" s="62">
        <f>$M$6</f>
        <v>199000</v>
      </c>
      <c r="N33" s="62">
        <f>IFERROR(IF($C30="-","",IF(E33="","",IF(G33="正規職員",M33-L32,MIN(MIN(L33:M33),M32-N32)))),0)</f>
        <v>0</v>
      </c>
      <c r="O33" s="64" t="str">
        <f t="shared" si="43"/>
        <v/>
      </c>
      <c r="P33" s="65">
        <f t="shared" si="44"/>
        <v>7</v>
      </c>
      <c r="Q33" s="65" t="e">
        <f>VLOOKUP($E33&amp;Q$5,'②-2勤務時間数入力'!$D$7:$Q$106,$P33,FALSE)</f>
        <v>#N/A</v>
      </c>
      <c r="R33" s="65" t="str">
        <f>IF(ISERROR(Q33),"×",IF(Q33="-","×","○"))</f>
        <v>×</v>
      </c>
      <c r="S33" s="65" t="e">
        <f>VLOOKUP($E33&amp;S$5,'②-2勤務時間数入力'!$D$7:$Q$106,$P33,FALSE)</f>
        <v>#N/A</v>
      </c>
      <c r="T33" s="65" t="str">
        <f>IF(ISERROR(S33),"×",IF(S33="-","×","○"))</f>
        <v>×</v>
      </c>
      <c r="U33" s="65" t="e">
        <f>VLOOKUP($E33&amp;U$5,'②-2勤務時間数入力'!$D$7:$Q$106,$P33,FALSE)</f>
        <v>#N/A</v>
      </c>
      <c r="V33" s="65" t="str">
        <f>IF(ISERROR(U33),"×",IF(U33="-","×","○"))</f>
        <v>×</v>
      </c>
      <c r="W33" s="65" t="e">
        <f>VLOOKUP($E33&amp;W$5,'②-2勤務時間数入力'!$D$7:$Q$106,$P33,FALSE)</f>
        <v>#N/A</v>
      </c>
      <c r="X33" s="65" t="str">
        <f>IF(ISERROR(W33),"×",IF(W33="-","×","○"))</f>
        <v>×</v>
      </c>
    </row>
    <row r="34" spans="1:24" ht="13.5" customHeight="1">
      <c r="A34" s="839"/>
      <c r="B34" s="842"/>
      <c r="C34" s="735"/>
      <c r="D34" s="834"/>
      <c r="E34" s="145" t="str">
        <f t="shared" ref="E34:F34" si="47">IF(E28="","",E28)</f>
        <v/>
      </c>
      <c r="F34" s="145" t="str">
        <f t="shared" si="47"/>
        <v/>
      </c>
      <c r="G34" s="189" t="str">
        <f t="shared" si="38"/>
        <v/>
      </c>
      <c r="H34" s="190" t="str">
        <f t="shared" si="39"/>
        <v/>
      </c>
      <c r="I34" s="146" t="str">
        <f>IF($E34="","",IF($G34="正規職員","-",IF(AND(EXACT($C24,$C30),EXACT($E28,$E34),EXACT($G28,$G34)),I28,"賃金単価を記載")))</f>
        <v/>
      </c>
      <c r="J34" s="146" t="str">
        <f t="shared" si="42"/>
        <v/>
      </c>
      <c r="K34" s="146" t="str">
        <f>IF($E34="","",IF($G34="正規職員","-",IF(AND(EXACT($C24,$C30),EXACT($E28,$E34),EXACT($G28,$G34)),K28,"日額の交通費を記載（定期利用の場合は月額)")))</f>
        <v/>
      </c>
      <c r="L34" s="62" t="str">
        <f t="shared" si="40"/>
        <v/>
      </c>
      <c r="M34" s="62">
        <f>$M$6</f>
        <v>199000</v>
      </c>
      <c r="N34" s="62">
        <f>IFERROR(IF($C30="-","",IF(E34="","",IF(G34="正規職員",M34-L33,MIN(MIN(L34:M34),M33-N33)))),0)</f>
        <v>0</v>
      </c>
      <c r="O34" s="64" t="str">
        <f t="shared" si="43"/>
        <v/>
      </c>
      <c r="P34" s="65">
        <f t="shared" si="44"/>
        <v>7</v>
      </c>
      <c r="Q34" s="65" t="e">
        <f>VLOOKUP($E34&amp;Q$5,'②-2勤務時間数入力'!$D$7:$Q$106,$P34,FALSE)</f>
        <v>#N/A</v>
      </c>
      <c r="R34" s="65" t="str">
        <f>IF(ISERROR(Q34),"×",IF(Q34="-","×","○"))</f>
        <v>×</v>
      </c>
      <c r="S34" s="65" t="e">
        <f>VLOOKUP($E34&amp;S$5,'②-2勤務時間数入力'!$D$7:$Q$106,$P34,FALSE)</f>
        <v>#N/A</v>
      </c>
      <c r="T34" s="65" t="str">
        <f>IF(ISERROR(S34),"×",IF(S34="-","×","○"))</f>
        <v>×</v>
      </c>
      <c r="U34" s="65" t="e">
        <f>VLOOKUP($E34&amp;U$5,'②-2勤務時間数入力'!$D$7:$Q$106,$P34,FALSE)</f>
        <v>#N/A</v>
      </c>
      <c r="V34" s="65" t="str">
        <f>IF(ISERROR(U34),"×",IF(U34="-","×","○"))</f>
        <v>×</v>
      </c>
      <c r="W34" s="65" t="e">
        <f>VLOOKUP($E34&amp;W$5,'②-2勤務時間数入力'!$D$7:$Q$106,$P34,FALSE)</f>
        <v>#N/A</v>
      </c>
      <c r="X34" s="65" t="str">
        <f>IF(ISERROR(W34),"×",IF(W34="-","×","○"))</f>
        <v>×</v>
      </c>
    </row>
    <row r="35" spans="1:24" ht="13.5" customHeight="1">
      <c r="A35" s="840"/>
      <c r="B35" s="843"/>
      <c r="C35" s="736"/>
      <c r="D35" s="823"/>
      <c r="E35" s="1" t="s">
        <v>297</v>
      </c>
      <c r="F35" s="1"/>
      <c r="G35" s="189" t="s">
        <v>293</v>
      </c>
      <c r="H35" s="191"/>
      <c r="I35" s="63" t="s">
        <v>293</v>
      </c>
      <c r="J35" s="63"/>
      <c r="K35" s="63"/>
      <c r="L35" s="63" t="s">
        <v>293</v>
      </c>
      <c r="M35" s="63" t="s">
        <v>293</v>
      </c>
      <c r="N35" s="62">
        <f>MIN(IFERROR(IF(C30=1,IF(AND(B30="配置",OR(D30="調理師等",D30="栄養士")),MAX(SUM(N30:N34)-①基本情報!J43+10000,0),SUM(N30:N34)),0),0),$M$6)</f>
        <v>0</v>
      </c>
      <c r="O35" s="64" t="e">
        <f>IF(SUM(N30:N34)&gt;#REF!*$M$6,MIN($M$6,SUM(N30:N34)-ROUNDDOWN(#REF!*$M$6,0)),0)</f>
        <v>#REF!</v>
      </c>
      <c r="P35" s="65"/>
      <c r="Q35" s="65"/>
      <c r="R35" s="65"/>
      <c r="S35" s="65"/>
      <c r="T35" s="65"/>
      <c r="U35" s="65"/>
      <c r="V35" s="65"/>
      <c r="W35" s="65"/>
      <c r="X35" s="65"/>
    </row>
    <row r="36" spans="1:24" ht="13.5" customHeight="1">
      <c r="A36" s="820">
        <v>9</v>
      </c>
      <c r="B36" s="841" t="e">
        <f>IF(①基本情報!K41="有",①基本情報!K42,"無")</f>
        <v>#N/A</v>
      </c>
      <c r="C36" s="844" t="e">
        <f>IF(判定!AV14="NG","-",1)</f>
        <v>#N/A</v>
      </c>
      <c r="D36" s="822" t="str">
        <f>IFERROR(INDEX($L$83:$M$88,MATCH(判定!AV14,$L$83:$L$88,0),2),"-")</f>
        <v>-</v>
      </c>
      <c r="E36" s="145" t="str">
        <f>IF(E30="","",E30)</f>
        <v/>
      </c>
      <c r="F36" s="145" t="str">
        <f>IF(F30="","",F30)</f>
        <v/>
      </c>
      <c r="G36" s="189" t="str">
        <f t="shared" ref="G36:G40" si="48">IF(E36="","",IF(R36="○",Q$5,IF(T36="○",S$5,IF(V36="○",U$5,IF(X36="○",W$5,"ERROR")))))</f>
        <v/>
      </c>
      <c r="H36" s="190" t="str">
        <f t="shared" ref="H36:H40" si="49">IF(E36="","",IF(R36="○",Q36,IF(T36="○",S36,IF(V36="○",U36,IF(X36="○",W36,"ERROR")))))</f>
        <v/>
      </c>
      <c r="I36" s="146" t="str">
        <f>IF($E36="","",IF($G36="正規職員","-",IF(AND(EXACT($C30,$C36),EXACT($E30,$E36),EXACT($G30,$G36)),I30,"賃金単価を記載")))</f>
        <v/>
      </c>
      <c r="J36" s="146" t="str">
        <f>IF($E36="","",IF($G36="正規職員","-","勤務日数を記載（定期利用の場合、1と記載)"))</f>
        <v/>
      </c>
      <c r="K36" s="146" t="str">
        <f>IF($E36="","",IF($G36="正規職員","-",IF(AND(EXACT($C30,$C36),EXACT($E30,$E36),EXACT($G30,$G36)),K30,"日額の交通費を記載（定期利用の場合は月額)")))</f>
        <v/>
      </c>
      <c r="L36" s="62" t="str">
        <f t="shared" ref="L36:L40" si="50">IF($E36="","",IF($G36="正規職員","-",(H36*I36+J36*K36)))</f>
        <v/>
      </c>
      <c r="M36" s="62">
        <f>$M$6</f>
        <v>199000</v>
      </c>
      <c r="N36" s="62">
        <f>IFERROR(IF($C36="-","",IF(E36="",0,IF(G36="正規職員",M36,MIN(L36:M36)))),0)</f>
        <v>0</v>
      </c>
      <c r="O36" s="64" t="str">
        <f>IF(E36="","",IF(COUNTIFS(E36,"*給食室*")=1,"○","エラー"))</f>
        <v/>
      </c>
      <c r="P36" s="65">
        <v>8</v>
      </c>
      <c r="Q36" s="65" t="e">
        <f>VLOOKUP($E36&amp;Q$5,'②-2勤務時間数入力'!$D$7:$Q$106,$P36,FALSE)</f>
        <v>#N/A</v>
      </c>
      <c r="R36" s="65" t="str">
        <f>IF(ISERROR(Q36),"×",IF(Q36="-","×","○"))</f>
        <v>×</v>
      </c>
      <c r="S36" s="65" t="e">
        <f>VLOOKUP($E36&amp;S$5,'②-2勤務時間数入力'!$D$7:$Q$106,$P36,FALSE)</f>
        <v>#N/A</v>
      </c>
      <c r="T36" s="65" t="str">
        <f>IF(ISERROR(S36),"×",IF(S36="-","×","○"))</f>
        <v>×</v>
      </c>
      <c r="U36" s="65" t="e">
        <f>VLOOKUP($E36&amp;U$5,'②-2勤務時間数入力'!$D$7:$Q$106,$P36,FALSE)</f>
        <v>#N/A</v>
      </c>
      <c r="V36" s="65" t="str">
        <f>IF(ISERROR(U36),"×",IF(U36="-","×","○"))</f>
        <v>×</v>
      </c>
      <c r="W36" s="65" t="e">
        <f>VLOOKUP($E36&amp;W$5,'②-2勤務時間数入力'!$D$7:$Q$106,$P36,FALSE)</f>
        <v>#N/A</v>
      </c>
      <c r="X36" s="65" t="str">
        <f>IF(ISERROR(W36),"×",IF(W36="-","×","○"))</f>
        <v>×</v>
      </c>
    </row>
    <row r="37" spans="1:24" ht="13.5" customHeight="1">
      <c r="A37" s="839"/>
      <c r="B37" s="842"/>
      <c r="C37" s="735"/>
      <c r="D37" s="834"/>
      <c r="E37" s="145" t="str">
        <f t="shared" ref="E37:F37" si="51">IF(E31="","",E31)</f>
        <v/>
      </c>
      <c r="F37" s="145" t="str">
        <f t="shared" si="51"/>
        <v/>
      </c>
      <c r="G37" s="189" t="str">
        <f t="shared" si="48"/>
        <v/>
      </c>
      <c r="H37" s="190" t="str">
        <f t="shared" si="49"/>
        <v/>
      </c>
      <c r="I37" s="146" t="str">
        <f>IF($E37="","",IF($G37="正規職員","-",IF(AND(EXACT($C30,$C36),EXACT($E31,$E37),EXACT($G31,$G37)),I31,"賃金単価を記載")))</f>
        <v/>
      </c>
      <c r="J37" s="146" t="str">
        <f t="shared" ref="J37:J40" si="52">IF($E37="","",IF($G37="正規職員","-","勤務日数を記載（定期利用の場合、1と記載)"))</f>
        <v/>
      </c>
      <c r="K37" s="146" t="str">
        <f>IF($E37="","",IF($G37="正規職員","-",IF(AND(EXACT($C30,$C36),EXACT($E31,$E37),EXACT($G31,$G37)),K31,"日額の交通費を記載（定期利用の場合は月額)")))</f>
        <v/>
      </c>
      <c r="L37" s="62" t="str">
        <f t="shared" si="50"/>
        <v/>
      </c>
      <c r="M37" s="62">
        <f>$M$6</f>
        <v>199000</v>
      </c>
      <c r="N37" s="62">
        <f>IFERROR(IF($C36="-","",IF(E37="","",IF(G37="正規職員",M37-L36,MIN(MIN(L37:M37),M36-N36)))),0)</f>
        <v>0</v>
      </c>
      <c r="O37" s="64" t="str">
        <f t="shared" ref="O37:O40" si="53">IF(E37="","",IF(COUNTIFS(E37,"*給食室*")=1,"○","エラー"))</f>
        <v/>
      </c>
      <c r="P37" s="65">
        <f t="shared" ref="P37:P40" si="54">P36</f>
        <v>8</v>
      </c>
      <c r="Q37" s="65" t="e">
        <f>VLOOKUP($E37&amp;Q$5,'②-2勤務時間数入力'!$D$7:$Q$106,$P37,FALSE)</f>
        <v>#N/A</v>
      </c>
      <c r="R37" s="65" t="str">
        <f>IF(ISERROR(Q37),"×",IF(Q37="-","×","○"))</f>
        <v>×</v>
      </c>
      <c r="S37" s="65" t="e">
        <f>VLOOKUP($E37&amp;S$5,'②-2勤務時間数入力'!$D$7:$Q$106,$P37,FALSE)</f>
        <v>#N/A</v>
      </c>
      <c r="T37" s="65" t="str">
        <f>IF(ISERROR(S37),"×",IF(S37="-","×","○"))</f>
        <v>×</v>
      </c>
      <c r="U37" s="65" t="e">
        <f>VLOOKUP($E37&amp;U$5,'②-2勤務時間数入力'!$D$7:$Q$106,$P37,FALSE)</f>
        <v>#N/A</v>
      </c>
      <c r="V37" s="65" t="str">
        <f>IF(ISERROR(U37),"×",IF(U37="-","×","○"))</f>
        <v>×</v>
      </c>
      <c r="W37" s="65" t="e">
        <f>VLOOKUP($E37&amp;W$5,'②-2勤務時間数入力'!$D$7:$Q$106,$P37,FALSE)</f>
        <v>#N/A</v>
      </c>
      <c r="X37" s="65" t="str">
        <f>IF(ISERROR(W37),"×",IF(W37="-","×","○"))</f>
        <v>×</v>
      </c>
    </row>
    <row r="38" spans="1:24" ht="13.5" customHeight="1">
      <c r="A38" s="839"/>
      <c r="B38" s="842"/>
      <c r="C38" s="735"/>
      <c r="D38" s="834"/>
      <c r="E38" s="145" t="str">
        <f t="shared" ref="E38:F38" si="55">IF(E32="","",E32)</f>
        <v/>
      </c>
      <c r="F38" s="145" t="str">
        <f t="shared" si="55"/>
        <v/>
      </c>
      <c r="G38" s="189" t="str">
        <f t="shared" si="48"/>
        <v/>
      </c>
      <c r="H38" s="190" t="str">
        <f t="shared" si="49"/>
        <v/>
      </c>
      <c r="I38" s="146" t="str">
        <f>IF($E38="","",IF($G38="正規職員","-",IF(AND(EXACT($C30,$C36),EXACT($E32,$E38),EXACT($G32,$G38)),I32,"賃金単価を記載")))</f>
        <v/>
      </c>
      <c r="J38" s="146" t="str">
        <f t="shared" si="52"/>
        <v/>
      </c>
      <c r="K38" s="146" t="str">
        <f>IF($E38="","",IF($G38="正規職員","-",IF(AND(EXACT($C30,$C36),EXACT($E32,$E38),EXACT($G32,$G38)),K32,"日額の交通費を記載（定期利用の場合は月額)")))</f>
        <v/>
      </c>
      <c r="L38" s="62" t="str">
        <f t="shared" si="50"/>
        <v/>
      </c>
      <c r="M38" s="62">
        <f>$M$6</f>
        <v>199000</v>
      </c>
      <c r="N38" s="62">
        <f>IFERROR(IF($C36="-","",IF(E38="","",IF(G38="正規職員",M38-L37,MIN(MIN(L38:M38),M37-N37)))),0)</f>
        <v>0</v>
      </c>
      <c r="O38" s="64" t="str">
        <f t="shared" si="53"/>
        <v/>
      </c>
      <c r="P38" s="65">
        <f t="shared" si="54"/>
        <v>8</v>
      </c>
      <c r="Q38" s="65" t="e">
        <f>VLOOKUP($E38&amp;Q$5,'②-2勤務時間数入力'!$D$7:$Q$106,$P38,FALSE)</f>
        <v>#N/A</v>
      </c>
      <c r="R38" s="65" t="str">
        <f>IF(ISERROR(Q38),"×",IF(Q38="-","×","○"))</f>
        <v>×</v>
      </c>
      <c r="S38" s="65" t="e">
        <f>VLOOKUP($E38&amp;S$5,'②-2勤務時間数入力'!$D$7:$Q$106,$P38,FALSE)</f>
        <v>#N/A</v>
      </c>
      <c r="T38" s="65" t="str">
        <f>IF(ISERROR(S38),"×",IF(S38="-","×","○"))</f>
        <v>×</v>
      </c>
      <c r="U38" s="65" t="e">
        <f>VLOOKUP($E38&amp;U$5,'②-2勤務時間数入力'!$D$7:$Q$106,$P38,FALSE)</f>
        <v>#N/A</v>
      </c>
      <c r="V38" s="65" t="str">
        <f>IF(ISERROR(U38),"×",IF(U38="-","×","○"))</f>
        <v>×</v>
      </c>
      <c r="W38" s="65" t="e">
        <f>VLOOKUP($E38&amp;W$5,'②-2勤務時間数入力'!$D$7:$Q$106,$P38,FALSE)</f>
        <v>#N/A</v>
      </c>
      <c r="X38" s="65" t="str">
        <f>IF(ISERROR(W38),"×",IF(W38="-","×","○"))</f>
        <v>×</v>
      </c>
    </row>
    <row r="39" spans="1:24" ht="13.5" customHeight="1">
      <c r="A39" s="839"/>
      <c r="B39" s="842"/>
      <c r="C39" s="735"/>
      <c r="D39" s="834"/>
      <c r="E39" s="145" t="str">
        <f t="shared" ref="E39:F39" si="56">IF(E33="","",E33)</f>
        <v/>
      </c>
      <c r="F39" s="145" t="str">
        <f t="shared" si="56"/>
        <v/>
      </c>
      <c r="G39" s="189" t="str">
        <f t="shared" si="48"/>
        <v/>
      </c>
      <c r="H39" s="190" t="str">
        <f t="shared" si="49"/>
        <v/>
      </c>
      <c r="I39" s="146" t="str">
        <f>IF($E39="","",IF($G39="正規職員","-",IF(AND(EXACT($C30,$C36),EXACT($E33,$E39),EXACT($G33,$G39)),I33,"賃金単価を記載")))</f>
        <v/>
      </c>
      <c r="J39" s="146" t="str">
        <f t="shared" si="52"/>
        <v/>
      </c>
      <c r="K39" s="146" t="str">
        <f>IF($E39="","",IF($G39="正規職員","-",IF(AND(EXACT($C30,$C36),EXACT($E33,$E39),EXACT($G33,$G39)),K33,"日額の交通費を記載（定期利用の場合は月額)")))</f>
        <v/>
      </c>
      <c r="L39" s="62" t="str">
        <f t="shared" si="50"/>
        <v/>
      </c>
      <c r="M39" s="62">
        <f>$M$6</f>
        <v>199000</v>
      </c>
      <c r="N39" s="62">
        <f>IFERROR(IF($C36="-","",IF(E39="","",IF(G39="正規職員",M39-L38,MIN(MIN(L39:M39),M38-N38)))),0)</f>
        <v>0</v>
      </c>
      <c r="O39" s="64" t="str">
        <f t="shared" si="53"/>
        <v/>
      </c>
      <c r="P39" s="65">
        <f t="shared" si="54"/>
        <v>8</v>
      </c>
      <c r="Q39" s="65" t="e">
        <f>VLOOKUP($E39&amp;Q$5,'②-2勤務時間数入力'!$D$7:$Q$106,$P39,FALSE)</f>
        <v>#N/A</v>
      </c>
      <c r="R39" s="65" t="str">
        <f>IF(ISERROR(Q39),"×",IF(Q39="-","×","○"))</f>
        <v>×</v>
      </c>
      <c r="S39" s="65" t="e">
        <f>VLOOKUP($E39&amp;S$5,'②-2勤務時間数入力'!$D$7:$Q$106,$P39,FALSE)</f>
        <v>#N/A</v>
      </c>
      <c r="T39" s="65" t="str">
        <f>IF(ISERROR(S39),"×",IF(S39="-","×","○"))</f>
        <v>×</v>
      </c>
      <c r="U39" s="65" t="e">
        <f>VLOOKUP($E39&amp;U$5,'②-2勤務時間数入力'!$D$7:$Q$106,$P39,FALSE)</f>
        <v>#N/A</v>
      </c>
      <c r="V39" s="65" t="str">
        <f>IF(ISERROR(U39),"×",IF(U39="-","×","○"))</f>
        <v>×</v>
      </c>
      <c r="W39" s="65" t="e">
        <f>VLOOKUP($E39&amp;W$5,'②-2勤務時間数入力'!$D$7:$Q$106,$P39,FALSE)</f>
        <v>#N/A</v>
      </c>
      <c r="X39" s="65" t="str">
        <f>IF(ISERROR(W39),"×",IF(W39="-","×","○"))</f>
        <v>×</v>
      </c>
    </row>
    <row r="40" spans="1:24" ht="13.5" customHeight="1">
      <c r="A40" s="839"/>
      <c r="B40" s="842"/>
      <c r="C40" s="735"/>
      <c r="D40" s="834"/>
      <c r="E40" s="145" t="str">
        <f t="shared" ref="E40:F40" si="57">IF(E34="","",E34)</f>
        <v/>
      </c>
      <c r="F40" s="145" t="str">
        <f t="shared" si="57"/>
        <v/>
      </c>
      <c r="G40" s="189" t="str">
        <f t="shared" si="48"/>
        <v/>
      </c>
      <c r="H40" s="190" t="str">
        <f t="shared" si="49"/>
        <v/>
      </c>
      <c r="I40" s="146" t="str">
        <f>IF($E40="","",IF($G40="正規職員","-",IF(AND(EXACT($C30,$C36),EXACT($E34,$E40),EXACT($G34,$G40)),I34,"賃金単価を記載")))</f>
        <v/>
      </c>
      <c r="J40" s="146" t="str">
        <f t="shared" si="52"/>
        <v/>
      </c>
      <c r="K40" s="146" t="str">
        <f>IF($E40="","",IF($G40="正規職員","-",IF(AND(EXACT($C30,$C36),EXACT($E34,$E40),EXACT($G34,$G40)),K34,"日額の交通費を記載（定期利用の場合は月額)")))</f>
        <v/>
      </c>
      <c r="L40" s="62" t="str">
        <f t="shared" si="50"/>
        <v/>
      </c>
      <c r="M40" s="62">
        <f>$M$6</f>
        <v>199000</v>
      </c>
      <c r="N40" s="62">
        <f>IFERROR(IF($C36="-","",IF(E40="","",IF(G40="正規職員",M40-L39,MIN(MIN(L40:M40),M39-N39)))),0)</f>
        <v>0</v>
      </c>
      <c r="O40" s="64" t="str">
        <f t="shared" si="53"/>
        <v/>
      </c>
      <c r="P40" s="65">
        <f t="shared" si="54"/>
        <v>8</v>
      </c>
      <c r="Q40" s="65" t="e">
        <f>VLOOKUP($E40&amp;Q$5,'②-2勤務時間数入力'!$D$7:$Q$106,$P40,FALSE)</f>
        <v>#N/A</v>
      </c>
      <c r="R40" s="65" t="str">
        <f>IF(ISERROR(Q40),"×",IF(Q40="-","×","○"))</f>
        <v>×</v>
      </c>
      <c r="S40" s="65" t="e">
        <f>VLOOKUP($E40&amp;S$5,'②-2勤務時間数入力'!$D$7:$Q$106,$P40,FALSE)</f>
        <v>#N/A</v>
      </c>
      <c r="T40" s="65" t="str">
        <f>IF(ISERROR(S40),"×",IF(S40="-","×","○"))</f>
        <v>×</v>
      </c>
      <c r="U40" s="65" t="e">
        <f>VLOOKUP($E40&amp;U$5,'②-2勤務時間数入力'!$D$7:$Q$106,$P40,FALSE)</f>
        <v>#N/A</v>
      </c>
      <c r="V40" s="65" t="str">
        <f>IF(ISERROR(U40),"×",IF(U40="-","×","○"))</f>
        <v>×</v>
      </c>
      <c r="W40" s="65" t="e">
        <f>VLOOKUP($E40&amp;W$5,'②-2勤務時間数入力'!$D$7:$Q$106,$P40,FALSE)</f>
        <v>#N/A</v>
      </c>
      <c r="X40" s="65" t="str">
        <f>IF(ISERROR(W40),"×",IF(W40="-","×","○"))</f>
        <v>×</v>
      </c>
    </row>
    <row r="41" spans="1:24" ht="13.5" customHeight="1">
      <c r="A41" s="840"/>
      <c r="B41" s="843"/>
      <c r="C41" s="736"/>
      <c r="D41" s="823"/>
      <c r="E41" s="1" t="s">
        <v>298</v>
      </c>
      <c r="F41" s="1"/>
      <c r="G41" s="189" t="s">
        <v>293</v>
      </c>
      <c r="H41" s="191"/>
      <c r="I41" s="63" t="s">
        <v>293</v>
      </c>
      <c r="J41" s="63"/>
      <c r="K41" s="63"/>
      <c r="L41" s="63" t="s">
        <v>293</v>
      </c>
      <c r="M41" s="63" t="s">
        <v>293</v>
      </c>
      <c r="N41" s="62">
        <f>MIN(IFERROR(IF(C36=1,IF(AND(B36="配置",OR(D36="調理師等",D36="栄養士")),MAX(SUM(N36:N40)-①基本情報!K43+10000,0),SUM(N36:N40)),0),0),$M$6)</f>
        <v>0</v>
      </c>
      <c r="O41" s="64" t="e">
        <f>IF(SUM(N36:N40)&gt;#REF!*$M$6,MIN($M$6,SUM(N36:N40)-ROUNDDOWN(#REF!*$M$6,0)),0)</f>
        <v>#REF!</v>
      </c>
      <c r="P41" s="65"/>
      <c r="Q41" s="65"/>
      <c r="R41" s="65"/>
      <c r="S41" s="65"/>
      <c r="T41" s="65"/>
      <c r="U41" s="65"/>
      <c r="V41" s="65"/>
      <c r="W41" s="65"/>
      <c r="X41" s="65"/>
    </row>
    <row r="42" spans="1:24" ht="13.5" customHeight="1">
      <c r="A42" s="820">
        <v>10</v>
      </c>
      <c r="B42" s="841" t="e">
        <f>IF(①基本情報!L41="有",①基本情報!L42,"無")</f>
        <v>#N/A</v>
      </c>
      <c r="C42" s="844" t="e">
        <f>IF(判定!AV15="NG","-",1)</f>
        <v>#N/A</v>
      </c>
      <c r="D42" s="822" t="str">
        <f>IFERROR(INDEX($L$83:$M$88,MATCH(判定!AV15,$L$83:$L$88,0),2),"-")</f>
        <v>-</v>
      </c>
      <c r="E42" s="145" t="str">
        <f>IF(E36="","",E36)</f>
        <v/>
      </c>
      <c r="F42" s="145" t="str">
        <f>IF(F36="","",F36)</f>
        <v/>
      </c>
      <c r="G42" s="189" t="str">
        <f t="shared" ref="G42:G46" si="58">IF(E42="","",IF(R42="○",Q$5,IF(T42="○",S$5,IF(V42="○",U$5,IF(X42="○",W$5,"ERROR")))))</f>
        <v/>
      </c>
      <c r="H42" s="190" t="str">
        <f t="shared" ref="H42:H46" si="59">IF(E42="","",IF(R42="○",Q42,IF(T42="○",S42,IF(V42="○",U42,IF(X42="○",W42,"ERROR")))))</f>
        <v/>
      </c>
      <c r="I42" s="146" t="str">
        <f>IF($E42="","",IF($G42="正規職員","-",IF(AND(EXACT($C36,$C42),EXACT($E36,$E42),EXACT($G36,$G42)),I36,"賃金単価を記載")))</f>
        <v/>
      </c>
      <c r="J42" s="146" t="str">
        <f>IF($E42="","",IF($G42="正規職員","-","勤務日数を記載（定期利用の場合、1と記載)"))</f>
        <v/>
      </c>
      <c r="K42" s="146" t="str">
        <f>IF($E42="","",IF($G42="正規職員","-",IF(AND(EXACT($C36,$C42),EXACT($E36,$E42),EXACT($G36,$G42)),K36,"日額の交通費を記載（定期利用の場合は月額)")))</f>
        <v/>
      </c>
      <c r="L42" s="62" t="str">
        <f t="shared" ref="L42:L46" si="60">IF($E42="","",IF($G42="正規職員","-",(H42*I42+J42*K42)))</f>
        <v/>
      </c>
      <c r="M42" s="62">
        <f>$M$6</f>
        <v>199000</v>
      </c>
      <c r="N42" s="62">
        <f>IFERROR(IF($C42="-","",IF(E42="",0,IF(G42="正規職員",M42,MIN(L42:M42)))),0)</f>
        <v>0</v>
      </c>
      <c r="O42" s="64" t="str">
        <f>IF(E42="","",IF(COUNTIFS(E42,"*給食室*")=1,"○","エラー"))</f>
        <v/>
      </c>
      <c r="P42" s="65">
        <v>9</v>
      </c>
      <c r="Q42" s="65" t="e">
        <f>VLOOKUP($E42&amp;Q$5,'②-2勤務時間数入力'!$D$7:$Q$106,$P42,FALSE)</f>
        <v>#N/A</v>
      </c>
      <c r="R42" s="65" t="str">
        <f>IF(ISERROR(Q42),"×",IF(Q42="-","×","○"))</f>
        <v>×</v>
      </c>
      <c r="S42" s="65" t="e">
        <f>VLOOKUP($E42&amp;S$5,'②-2勤務時間数入力'!$D$7:$Q$106,$P42,FALSE)</f>
        <v>#N/A</v>
      </c>
      <c r="T42" s="65" t="str">
        <f>IF(ISERROR(S42),"×",IF(S42="-","×","○"))</f>
        <v>×</v>
      </c>
      <c r="U42" s="65" t="e">
        <f>VLOOKUP($E42&amp;U$5,'②-2勤務時間数入力'!$D$7:$Q$106,$P42,FALSE)</f>
        <v>#N/A</v>
      </c>
      <c r="V42" s="65" t="str">
        <f>IF(ISERROR(U42),"×",IF(U42="-","×","○"))</f>
        <v>×</v>
      </c>
      <c r="W42" s="65" t="e">
        <f>VLOOKUP($E42&amp;W$5,'②-2勤務時間数入力'!$D$7:$Q$106,$P42,FALSE)</f>
        <v>#N/A</v>
      </c>
      <c r="X42" s="65" t="str">
        <f>IF(ISERROR(W42),"×",IF(W42="-","×","○"))</f>
        <v>×</v>
      </c>
    </row>
    <row r="43" spans="1:24" ht="13.5" customHeight="1">
      <c r="A43" s="839"/>
      <c r="B43" s="842"/>
      <c r="C43" s="735"/>
      <c r="D43" s="834"/>
      <c r="E43" s="145" t="str">
        <f t="shared" ref="E43:F43" si="61">IF(E37="","",E37)</f>
        <v/>
      </c>
      <c r="F43" s="145" t="str">
        <f t="shared" si="61"/>
        <v/>
      </c>
      <c r="G43" s="189" t="str">
        <f t="shared" si="58"/>
        <v/>
      </c>
      <c r="H43" s="190" t="str">
        <f t="shared" si="59"/>
        <v/>
      </c>
      <c r="I43" s="146" t="str">
        <f>IF($E43="","",IF($G43="正規職員","-",IF(AND(EXACT($C36,$C42),EXACT($E37,$E43),EXACT($G37,$G43)),I37,"賃金単価を記載")))</f>
        <v/>
      </c>
      <c r="J43" s="146" t="str">
        <f t="shared" ref="J43:J46" si="62">IF($E43="","",IF($G43="正規職員","-","勤務日数を記載（定期利用の場合、1と記載)"))</f>
        <v/>
      </c>
      <c r="K43" s="146" t="str">
        <f>IF($E43="","",IF($G43="正規職員","-",IF(AND(EXACT($C36,$C42),EXACT($E37,$E43),EXACT($G37,$G43)),K37,"日額の交通費を記載（定期利用の場合は月額)")))</f>
        <v/>
      </c>
      <c r="L43" s="62" t="str">
        <f t="shared" si="60"/>
        <v/>
      </c>
      <c r="M43" s="62">
        <f>$M$6</f>
        <v>199000</v>
      </c>
      <c r="N43" s="62">
        <f>IFERROR(IF($C42="-","",IF(E43="","",IF(G43="正規職員",M43-L42,MIN(MIN(L43:M43),M42-N42)))),0)</f>
        <v>0</v>
      </c>
      <c r="O43" s="64" t="str">
        <f t="shared" ref="O43:O46" si="63">IF(E43="","",IF(COUNTIFS(E43,"*給食室*")=1,"○","エラー"))</f>
        <v/>
      </c>
      <c r="P43" s="65">
        <f t="shared" ref="P43:P46" si="64">P42</f>
        <v>9</v>
      </c>
      <c r="Q43" s="65" t="e">
        <f>VLOOKUP($E43&amp;Q$5,'②-2勤務時間数入力'!$D$7:$Q$106,$P43,FALSE)</f>
        <v>#N/A</v>
      </c>
      <c r="R43" s="65" t="str">
        <f>IF(ISERROR(Q43),"×",IF(Q43="-","×","○"))</f>
        <v>×</v>
      </c>
      <c r="S43" s="65" t="e">
        <f>VLOOKUP($E43&amp;S$5,'②-2勤務時間数入力'!$D$7:$Q$106,$P43,FALSE)</f>
        <v>#N/A</v>
      </c>
      <c r="T43" s="65" t="str">
        <f>IF(ISERROR(S43),"×",IF(S43="-","×","○"))</f>
        <v>×</v>
      </c>
      <c r="U43" s="65" t="e">
        <f>VLOOKUP($E43&amp;U$5,'②-2勤務時間数入力'!$D$7:$Q$106,$P43,FALSE)</f>
        <v>#N/A</v>
      </c>
      <c r="V43" s="65" t="str">
        <f>IF(ISERROR(U43),"×",IF(U43="-","×","○"))</f>
        <v>×</v>
      </c>
      <c r="W43" s="65" t="e">
        <f>VLOOKUP($E43&amp;W$5,'②-2勤務時間数入力'!$D$7:$Q$106,$P43,FALSE)</f>
        <v>#N/A</v>
      </c>
      <c r="X43" s="65" t="str">
        <f>IF(ISERROR(W43),"×",IF(W43="-","×","○"))</f>
        <v>×</v>
      </c>
    </row>
    <row r="44" spans="1:24" ht="13.5" customHeight="1">
      <c r="A44" s="839"/>
      <c r="B44" s="842"/>
      <c r="C44" s="735"/>
      <c r="D44" s="834"/>
      <c r="E44" s="145" t="str">
        <f t="shared" ref="E44:F44" si="65">IF(E38="","",E38)</f>
        <v/>
      </c>
      <c r="F44" s="145" t="str">
        <f t="shared" si="65"/>
        <v/>
      </c>
      <c r="G44" s="189" t="str">
        <f t="shared" si="58"/>
        <v/>
      </c>
      <c r="H44" s="190" t="str">
        <f t="shared" si="59"/>
        <v/>
      </c>
      <c r="I44" s="146" t="str">
        <f>IF($E44="","",IF($G44="正規職員","-",IF(AND(EXACT($C36,$C42),EXACT($E38,$E44),EXACT($G38,$G44)),I38,"賃金単価を記載")))</f>
        <v/>
      </c>
      <c r="J44" s="146" t="str">
        <f t="shared" si="62"/>
        <v/>
      </c>
      <c r="K44" s="146" t="str">
        <f>IF($E44="","",IF($G44="正規職員","-",IF(AND(EXACT($C36,$C42),EXACT($E38,$E44),EXACT($G38,$G44)),K38,"日額の交通費を記載（定期利用の場合は月額)")))</f>
        <v/>
      </c>
      <c r="L44" s="62" t="str">
        <f t="shared" si="60"/>
        <v/>
      </c>
      <c r="M44" s="62">
        <f>$M$6</f>
        <v>199000</v>
      </c>
      <c r="N44" s="62">
        <f>IFERROR(IF($C42="-","",IF(E44="","",IF(G44="正規職員",M44-L43,MIN(MIN(L44:M44),M43-N43)))),0)</f>
        <v>0</v>
      </c>
      <c r="O44" s="64" t="str">
        <f t="shared" si="63"/>
        <v/>
      </c>
      <c r="P44" s="65">
        <f t="shared" si="64"/>
        <v>9</v>
      </c>
      <c r="Q44" s="65" t="e">
        <f>VLOOKUP($E44&amp;Q$5,'②-2勤務時間数入力'!$D$7:$Q$106,$P44,FALSE)</f>
        <v>#N/A</v>
      </c>
      <c r="R44" s="65" t="str">
        <f>IF(ISERROR(Q44),"×",IF(Q44="-","×","○"))</f>
        <v>×</v>
      </c>
      <c r="S44" s="65" t="e">
        <f>VLOOKUP($E44&amp;S$5,'②-2勤務時間数入力'!$D$7:$Q$106,$P44,FALSE)</f>
        <v>#N/A</v>
      </c>
      <c r="T44" s="65" t="str">
        <f>IF(ISERROR(S44),"×",IF(S44="-","×","○"))</f>
        <v>×</v>
      </c>
      <c r="U44" s="65" t="e">
        <f>VLOOKUP($E44&amp;U$5,'②-2勤務時間数入力'!$D$7:$Q$106,$P44,FALSE)</f>
        <v>#N/A</v>
      </c>
      <c r="V44" s="65" t="str">
        <f>IF(ISERROR(U44),"×",IF(U44="-","×","○"))</f>
        <v>×</v>
      </c>
      <c r="W44" s="65" t="e">
        <f>VLOOKUP($E44&amp;W$5,'②-2勤務時間数入力'!$D$7:$Q$106,$P44,FALSE)</f>
        <v>#N/A</v>
      </c>
      <c r="X44" s="65" t="str">
        <f>IF(ISERROR(W44),"×",IF(W44="-","×","○"))</f>
        <v>×</v>
      </c>
    </row>
    <row r="45" spans="1:24" ht="13.5" customHeight="1">
      <c r="A45" s="839"/>
      <c r="B45" s="842"/>
      <c r="C45" s="735"/>
      <c r="D45" s="834"/>
      <c r="E45" s="145" t="str">
        <f t="shared" ref="E45:F45" si="66">IF(E39="","",E39)</f>
        <v/>
      </c>
      <c r="F45" s="145" t="str">
        <f t="shared" si="66"/>
        <v/>
      </c>
      <c r="G45" s="189" t="str">
        <f t="shared" si="58"/>
        <v/>
      </c>
      <c r="H45" s="190" t="str">
        <f t="shared" si="59"/>
        <v/>
      </c>
      <c r="I45" s="146" t="str">
        <f>IF($E45="","",IF($G45="正規職員","-",IF(AND(EXACT($C36,$C42),EXACT($E39,$E45),EXACT($G39,$G45)),I39,"賃金単価を記載")))</f>
        <v/>
      </c>
      <c r="J45" s="146" t="str">
        <f t="shared" si="62"/>
        <v/>
      </c>
      <c r="K45" s="146" t="str">
        <f>IF($E45="","",IF($G45="正規職員","-",IF(AND(EXACT($C36,$C42),EXACT($E39,$E45),EXACT($G39,$G45)),K39,"日額の交通費を記載（定期利用の場合は月額)")))</f>
        <v/>
      </c>
      <c r="L45" s="62" t="str">
        <f t="shared" si="60"/>
        <v/>
      </c>
      <c r="M45" s="62">
        <f>$M$6</f>
        <v>199000</v>
      </c>
      <c r="N45" s="62">
        <f>IFERROR(IF($C42="-","",IF(E45="","",IF(G45="正規職員",M45-L44,MIN(MIN(L45:M45),M44-N44)))),0)</f>
        <v>0</v>
      </c>
      <c r="O45" s="64" t="str">
        <f t="shared" si="63"/>
        <v/>
      </c>
      <c r="P45" s="65">
        <f t="shared" si="64"/>
        <v>9</v>
      </c>
      <c r="Q45" s="65" t="e">
        <f>VLOOKUP($E45&amp;Q$5,'②-2勤務時間数入力'!$D$7:$Q$106,$P45,FALSE)</f>
        <v>#N/A</v>
      </c>
      <c r="R45" s="65" t="str">
        <f>IF(ISERROR(Q45),"×",IF(Q45="-","×","○"))</f>
        <v>×</v>
      </c>
      <c r="S45" s="65" t="e">
        <f>VLOOKUP($E45&amp;S$5,'②-2勤務時間数入力'!$D$7:$Q$106,$P45,FALSE)</f>
        <v>#N/A</v>
      </c>
      <c r="T45" s="65" t="str">
        <f>IF(ISERROR(S45),"×",IF(S45="-","×","○"))</f>
        <v>×</v>
      </c>
      <c r="U45" s="65" t="e">
        <f>VLOOKUP($E45&amp;U$5,'②-2勤務時間数入力'!$D$7:$Q$106,$P45,FALSE)</f>
        <v>#N/A</v>
      </c>
      <c r="V45" s="65" t="str">
        <f>IF(ISERROR(U45),"×",IF(U45="-","×","○"))</f>
        <v>×</v>
      </c>
      <c r="W45" s="65" t="e">
        <f>VLOOKUP($E45&amp;W$5,'②-2勤務時間数入力'!$D$7:$Q$106,$P45,FALSE)</f>
        <v>#N/A</v>
      </c>
      <c r="X45" s="65" t="str">
        <f>IF(ISERROR(W45),"×",IF(W45="-","×","○"))</f>
        <v>×</v>
      </c>
    </row>
    <row r="46" spans="1:24" ht="13.5" customHeight="1">
      <c r="A46" s="839"/>
      <c r="B46" s="842"/>
      <c r="C46" s="735"/>
      <c r="D46" s="834"/>
      <c r="E46" s="145" t="str">
        <f t="shared" ref="E46:F46" si="67">IF(E40="","",E40)</f>
        <v/>
      </c>
      <c r="F46" s="145" t="str">
        <f t="shared" si="67"/>
        <v/>
      </c>
      <c r="G46" s="189" t="str">
        <f t="shared" si="58"/>
        <v/>
      </c>
      <c r="H46" s="190" t="str">
        <f t="shared" si="59"/>
        <v/>
      </c>
      <c r="I46" s="146" t="str">
        <f>IF($E46="","",IF($G46="正規職員","-",IF(AND(EXACT($C36,$C42),EXACT($E40,$E46),EXACT($G40,$G46)),I40,"賃金単価を記載")))</f>
        <v/>
      </c>
      <c r="J46" s="146" t="str">
        <f t="shared" si="62"/>
        <v/>
      </c>
      <c r="K46" s="146" t="str">
        <f>IF($E46="","",IF($G46="正規職員","-",IF(AND(EXACT($C36,$C42),EXACT($E40,$E46),EXACT($G40,$G46)),K40,"日額の交通費を記載（定期利用の場合は月額)")))</f>
        <v/>
      </c>
      <c r="L46" s="62" t="str">
        <f t="shared" si="60"/>
        <v/>
      </c>
      <c r="M46" s="62">
        <f>$M$6</f>
        <v>199000</v>
      </c>
      <c r="N46" s="62">
        <f>IFERROR(IF($C42="-","",IF(E46="","",IF(G46="正規職員",M46-L45,MIN(MIN(L46:M46),M45-N45)))),0)</f>
        <v>0</v>
      </c>
      <c r="O46" s="64" t="str">
        <f t="shared" si="63"/>
        <v/>
      </c>
      <c r="P46" s="65">
        <f t="shared" si="64"/>
        <v>9</v>
      </c>
      <c r="Q46" s="65" t="e">
        <f>VLOOKUP($E46&amp;Q$5,'②-2勤務時間数入力'!$D$7:$Q$106,$P46,FALSE)</f>
        <v>#N/A</v>
      </c>
      <c r="R46" s="65" t="str">
        <f>IF(ISERROR(Q46),"×",IF(Q46="-","×","○"))</f>
        <v>×</v>
      </c>
      <c r="S46" s="65" t="e">
        <f>VLOOKUP($E46&amp;S$5,'②-2勤務時間数入力'!$D$7:$Q$106,$P46,FALSE)</f>
        <v>#N/A</v>
      </c>
      <c r="T46" s="65" t="str">
        <f>IF(ISERROR(S46),"×",IF(S46="-","×","○"))</f>
        <v>×</v>
      </c>
      <c r="U46" s="65" t="e">
        <f>VLOOKUP($E46&amp;U$5,'②-2勤務時間数入力'!$D$7:$Q$106,$P46,FALSE)</f>
        <v>#N/A</v>
      </c>
      <c r="V46" s="65" t="str">
        <f>IF(ISERROR(U46),"×",IF(U46="-","×","○"))</f>
        <v>×</v>
      </c>
      <c r="W46" s="65" t="e">
        <f>VLOOKUP($E46&amp;W$5,'②-2勤務時間数入力'!$D$7:$Q$106,$P46,FALSE)</f>
        <v>#N/A</v>
      </c>
      <c r="X46" s="65" t="str">
        <f>IF(ISERROR(W46),"×",IF(W46="-","×","○"))</f>
        <v>×</v>
      </c>
    </row>
    <row r="47" spans="1:24" ht="13.5" customHeight="1">
      <c r="A47" s="840"/>
      <c r="B47" s="843"/>
      <c r="C47" s="736"/>
      <c r="D47" s="823"/>
      <c r="E47" s="1" t="s">
        <v>299</v>
      </c>
      <c r="F47" s="1"/>
      <c r="G47" s="189" t="s">
        <v>293</v>
      </c>
      <c r="H47" s="191"/>
      <c r="I47" s="63" t="s">
        <v>293</v>
      </c>
      <c r="J47" s="63"/>
      <c r="K47" s="63"/>
      <c r="L47" s="63" t="s">
        <v>293</v>
      </c>
      <c r="M47" s="63" t="s">
        <v>293</v>
      </c>
      <c r="N47" s="62">
        <f>MIN(IFERROR(IF(C42=1,IF(AND(B42="配置",OR(D42="調理師等",D42="栄養士")),MAX(SUM(N42:N46)-①基本情報!L43+10000,0),SUM(N42:N46)),0),0),$M$6)</f>
        <v>0</v>
      </c>
      <c r="O47" s="64" t="e">
        <f>IF(SUM(N42:N46)&gt;#REF!*$M$6,MIN($M$6,SUM(N42:N46)-ROUNDDOWN(#REF!*$M$6,0)),0)</f>
        <v>#REF!</v>
      </c>
      <c r="P47" s="65"/>
      <c r="Q47" s="65"/>
      <c r="R47" s="65"/>
      <c r="S47" s="65"/>
      <c r="T47" s="65"/>
      <c r="U47" s="65"/>
      <c r="V47" s="65"/>
      <c r="W47" s="65"/>
      <c r="X47" s="65"/>
    </row>
    <row r="48" spans="1:24" ht="13.5" customHeight="1">
      <c r="A48" s="820">
        <v>11</v>
      </c>
      <c r="B48" s="841" t="e">
        <f>IF(①基本情報!M41="有",①基本情報!M42,"無")</f>
        <v>#N/A</v>
      </c>
      <c r="C48" s="844" t="e">
        <f>IF(判定!AV16="NG","-",1)</f>
        <v>#N/A</v>
      </c>
      <c r="D48" s="822" t="str">
        <f>IFERROR(INDEX($L$83:$M$88,MATCH(判定!AV16,$L$83:$L$88,0),2),"-")</f>
        <v>-</v>
      </c>
      <c r="E48" s="145" t="str">
        <f>IF(E42="","",E42)</f>
        <v/>
      </c>
      <c r="F48" s="145" t="str">
        <f>IF(F42="","",F42)</f>
        <v/>
      </c>
      <c r="G48" s="189" t="str">
        <f t="shared" ref="G48:G52" si="68">IF(E48="","",IF(R48="○",Q$5,IF(T48="○",S$5,IF(V48="○",U$5,IF(X48="○",W$5,"ERROR")))))</f>
        <v/>
      </c>
      <c r="H48" s="190" t="str">
        <f t="shared" ref="H48:H52" si="69">IF(E48="","",IF(R48="○",Q48,IF(T48="○",S48,IF(V48="○",U48,IF(X48="○",W48,"ERROR")))))</f>
        <v/>
      </c>
      <c r="I48" s="146" t="str">
        <f>IF($E48="","",IF($G48="正規職員","-",IF(AND(EXACT($C42,$C48),EXACT($E42,$E48),EXACT($G42,$G48)),I42,"賃金単価を記載")))</f>
        <v/>
      </c>
      <c r="J48" s="146" t="str">
        <f>IF($E48="","",IF($G48="正規職員","-","勤務日数を記載（定期利用の場合、1と記載)"))</f>
        <v/>
      </c>
      <c r="K48" s="146" t="str">
        <f>IF($E48="","",IF($G48="正規職員","-",IF(AND(EXACT($C42,$C48),EXACT($E42,$E48),EXACT($G42,$G48)),K42,"日額の交通費を記載（定期利用の場合は月額)")))</f>
        <v/>
      </c>
      <c r="L48" s="62" t="str">
        <f t="shared" ref="L48:L52" si="70">IF($E48="","",IF($G48="正規職員","-",(H48*I48+J48*K48)))</f>
        <v/>
      </c>
      <c r="M48" s="62">
        <f>$M$6</f>
        <v>199000</v>
      </c>
      <c r="N48" s="62">
        <f>IFERROR(IF($C48="-","",IF(E48="",0,IF(G48="正規職員",M48,MIN(L48:M48)))),0)</f>
        <v>0</v>
      </c>
      <c r="O48" s="64" t="str">
        <f>IF(E48="","",IF(COUNTIFS(E48,"*給食室*")=1,"○","エラー"))</f>
        <v/>
      </c>
      <c r="P48" s="65">
        <v>10</v>
      </c>
      <c r="Q48" s="65" t="e">
        <f>VLOOKUP($E48&amp;Q$5,'②-2勤務時間数入力'!$D$7:$Q$106,$P48,FALSE)</f>
        <v>#N/A</v>
      </c>
      <c r="R48" s="65" t="str">
        <f>IF(ISERROR(Q48),"×",IF(Q48="-","×","○"))</f>
        <v>×</v>
      </c>
      <c r="S48" s="65" t="e">
        <f>VLOOKUP($E48&amp;S$5,'②-2勤務時間数入力'!$D$7:$Q$106,$P48,FALSE)</f>
        <v>#N/A</v>
      </c>
      <c r="T48" s="65" t="str">
        <f>IF(ISERROR(S48),"×",IF(S48="-","×","○"))</f>
        <v>×</v>
      </c>
      <c r="U48" s="65" t="e">
        <f>VLOOKUP($E48&amp;U$5,'②-2勤務時間数入力'!$D$7:$Q$106,$P48,FALSE)</f>
        <v>#N/A</v>
      </c>
      <c r="V48" s="65" t="str">
        <f>IF(ISERROR(U48),"×",IF(U48="-","×","○"))</f>
        <v>×</v>
      </c>
      <c r="W48" s="65" t="e">
        <f>VLOOKUP($E48&amp;W$5,'②-2勤務時間数入力'!$D$7:$Q$106,$P48,FALSE)</f>
        <v>#N/A</v>
      </c>
      <c r="X48" s="65" t="str">
        <f>IF(ISERROR(W48),"×",IF(W48="-","×","○"))</f>
        <v>×</v>
      </c>
    </row>
    <row r="49" spans="1:24" ht="13.5" customHeight="1">
      <c r="A49" s="839"/>
      <c r="B49" s="842"/>
      <c r="C49" s="735"/>
      <c r="D49" s="834"/>
      <c r="E49" s="145" t="str">
        <f t="shared" ref="E49:F49" si="71">IF(E43="","",E43)</f>
        <v/>
      </c>
      <c r="F49" s="145" t="str">
        <f t="shared" si="71"/>
        <v/>
      </c>
      <c r="G49" s="189" t="str">
        <f t="shared" si="68"/>
        <v/>
      </c>
      <c r="H49" s="190" t="str">
        <f t="shared" si="69"/>
        <v/>
      </c>
      <c r="I49" s="146" t="str">
        <f>IF($E49="","",IF($G49="正規職員","-",IF(AND(EXACT($C42,$C48),EXACT($E43,$E49),EXACT($G43,$G49)),I43,"賃金単価を記載")))</f>
        <v/>
      </c>
      <c r="J49" s="146" t="str">
        <f t="shared" ref="J49:J52" si="72">IF($E49="","",IF($G49="正規職員","-","勤務日数を記載（定期利用の場合、1と記載)"))</f>
        <v/>
      </c>
      <c r="K49" s="146" t="str">
        <f>IF($E49="","",IF($G49="正規職員","-",IF(AND(EXACT($C42,$C48),EXACT($E43,$E49),EXACT($G43,$G49)),K43,"日額の交通費を記載（定期利用の場合は月額)")))</f>
        <v/>
      </c>
      <c r="L49" s="62" t="str">
        <f t="shared" si="70"/>
        <v/>
      </c>
      <c r="M49" s="62">
        <f>$M$6</f>
        <v>199000</v>
      </c>
      <c r="N49" s="62">
        <f>IFERROR(IF($C48="-","",IF(E49="","",IF(G49="正規職員",M49-L48,MIN(MIN(L49:M49),M48-N48)))),0)</f>
        <v>0</v>
      </c>
      <c r="O49" s="64" t="str">
        <f t="shared" ref="O49:O52" si="73">IF(E49="","",IF(COUNTIFS(E49,"*給食室*")=1,"○","エラー"))</f>
        <v/>
      </c>
      <c r="P49" s="65">
        <f t="shared" ref="P49:P52" si="74">P48</f>
        <v>10</v>
      </c>
      <c r="Q49" s="65" t="e">
        <f>VLOOKUP($E49&amp;Q$5,'②-2勤務時間数入力'!$D$7:$Q$106,$P49,FALSE)</f>
        <v>#N/A</v>
      </c>
      <c r="R49" s="65" t="str">
        <f>IF(ISERROR(Q49),"×",IF(Q49="-","×","○"))</f>
        <v>×</v>
      </c>
      <c r="S49" s="65" t="e">
        <f>VLOOKUP($E49&amp;S$5,'②-2勤務時間数入力'!$D$7:$Q$106,$P49,FALSE)</f>
        <v>#N/A</v>
      </c>
      <c r="T49" s="65" t="str">
        <f>IF(ISERROR(S49),"×",IF(S49="-","×","○"))</f>
        <v>×</v>
      </c>
      <c r="U49" s="65" t="e">
        <f>VLOOKUP($E49&amp;U$5,'②-2勤務時間数入力'!$D$7:$Q$106,$P49,FALSE)</f>
        <v>#N/A</v>
      </c>
      <c r="V49" s="65" t="str">
        <f>IF(ISERROR(U49),"×",IF(U49="-","×","○"))</f>
        <v>×</v>
      </c>
      <c r="W49" s="65" t="e">
        <f>VLOOKUP($E49&amp;W$5,'②-2勤務時間数入力'!$D$7:$Q$106,$P49,FALSE)</f>
        <v>#N/A</v>
      </c>
      <c r="X49" s="65" t="str">
        <f>IF(ISERROR(W49),"×",IF(W49="-","×","○"))</f>
        <v>×</v>
      </c>
    </row>
    <row r="50" spans="1:24" ht="13.5" customHeight="1">
      <c r="A50" s="839"/>
      <c r="B50" s="842"/>
      <c r="C50" s="735"/>
      <c r="D50" s="834"/>
      <c r="E50" s="145" t="str">
        <f t="shared" ref="E50:F50" si="75">IF(E44="","",E44)</f>
        <v/>
      </c>
      <c r="F50" s="145" t="str">
        <f t="shared" si="75"/>
        <v/>
      </c>
      <c r="G50" s="189" t="str">
        <f t="shared" si="68"/>
        <v/>
      </c>
      <c r="H50" s="190" t="str">
        <f t="shared" si="69"/>
        <v/>
      </c>
      <c r="I50" s="146" t="str">
        <f>IF($E50="","",IF($G50="正規職員","-",IF(AND(EXACT($C42,$C48),EXACT($E44,$E50),EXACT($G44,$G50)),I44,"賃金単価を記載")))</f>
        <v/>
      </c>
      <c r="J50" s="146" t="str">
        <f t="shared" si="72"/>
        <v/>
      </c>
      <c r="K50" s="146" t="str">
        <f>IF($E50="","",IF($G50="正規職員","-",IF(AND(EXACT($C42,$C48),EXACT($E44,$E50),EXACT($G44,$G50)),K44,"日額の交通費を記載（定期利用の場合は月額)")))</f>
        <v/>
      </c>
      <c r="L50" s="62" t="str">
        <f t="shared" si="70"/>
        <v/>
      </c>
      <c r="M50" s="62">
        <f>$M$6</f>
        <v>199000</v>
      </c>
      <c r="N50" s="62">
        <f>IFERROR(IF($C48="-","",IF(E50="","",IF(G50="正規職員",M50-L49,MIN(MIN(L50:M50),M49-N49)))),0)</f>
        <v>0</v>
      </c>
      <c r="O50" s="64" t="str">
        <f t="shared" si="73"/>
        <v/>
      </c>
      <c r="P50" s="65">
        <f t="shared" si="74"/>
        <v>10</v>
      </c>
      <c r="Q50" s="65" t="e">
        <f>VLOOKUP($E50&amp;Q$5,'②-2勤務時間数入力'!$D$7:$Q$106,$P50,FALSE)</f>
        <v>#N/A</v>
      </c>
      <c r="R50" s="65" t="str">
        <f>IF(ISERROR(Q50),"×",IF(Q50="-","×","○"))</f>
        <v>×</v>
      </c>
      <c r="S50" s="65" t="e">
        <f>VLOOKUP($E50&amp;S$5,'②-2勤務時間数入力'!$D$7:$Q$106,$P50,FALSE)</f>
        <v>#N/A</v>
      </c>
      <c r="T50" s="65" t="str">
        <f>IF(ISERROR(S50),"×",IF(S50="-","×","○"))</f>
        <v>×</v>
      </c>
      <c r="U50" s="65" t="e">
        <f>VLOOKUP($E50&amp;U$5,'②-2勤務時間数入力'!$D$7:$Q$106,$P50,FALSE)</f>
        <v>#N/A</v>
      </c>
      <c r="V50" s="65" t="str">
        <f>IF(ISERROR(U50),"×",IF(U50="-","×","○"))</f>
        <v>×</v>
      </c>
      <c r="W50" s="65" t="e">
        <f>VLOOKUP($E50&amp;W$5,'②-2勤務時間数入力'!$D$7:$Q$106,$P50,FALSE)</f>
        <v>#N/A</v>
      </c>
      <c r="X50" s="65" t="str">
        <f>IF(ISERROR(W50),"×",IF(W50="-","×","○"))</f>
        <v>×</v>
      </c>
    </row>
    <row r="51" spans="1:24" ht="13.5" customHeight="1">
      <c r="A51" s="839"/>
      <c r="B51" s="842"/>
      <c r="C51" s="735"/>
      <c r="D51" s="834"/>
      <c r="E51" s="145" t="str">
        <f t="shared" ref="E51:F51" si="76">IF(E45="","",E45)</f>
        <v/>
      </c>
      <c r="F51" s="145" t="str">
        <f t="shared" si="76"/>
        <v/>
      </c>
      <c r="G51" s="189" t="str">
        <f t="shared" si="68"/>
        <v/>
      </c>
      <c r="H51" s="190" t="str">
        <f t="shared" si="69"/>
        <v/>
      </c>
      <c r="I51" s="146" t="str">
        <f>IF($E51="","",IF($G51="正規職員","-",IF(AND(EXACT($C42,$C48),EXACT($E45,$E51),EXACT($G45,$G51)),I45,"賃金単価を記載")))</f>
        <v/>
      </c>
      <c r="J51" s="146" t="str">
        <f t="shared" si="72"/>
        <v/>
      </c>
      <c r="K51" s="146" t="str">
        <f>IF($E51="","",IF($G51="正規職員","-",IF(AND(EXACT($C42,$C48),EXACT($E45,$E51),EXACT($G45,$G51)),K45,"日額の交通費を記載（定期利用の場合は月額)")))</f>
        <v/>
      </c>
      <c r="L51" s="62" t="str">
        <f t="shared" si="70"/>
        <v/>
      </c>
      <c r="M51" s="62">
        <f>$M$6</f>
        <v>199000</v>
      </c>
      <c r="N51" s="62">
        <f>IFERROR(IF($C48="-","",IF(E51="","",IF(G51="正規職員",M51-L50,MIN(MIN(L51:M51),M50-N50)))),0)</f>
        <v>0</v>
      </c>
      <c r="O51" s="64" t="str">
        <f t="shared" si="73"/>
        <v/>
      </c>
      <c r="P51" s="65">
        <f t="shared" si="74"/>
        <v>10</v>
      </c>
      <c r="Q51" s="65" t="e">
        <f>VLOOKUP($E51&amp;Q$5,'②-2勤務時間数入力'!$D$7:$Q$106,$P51,FALSE)</f>
        <v>#N/A</v>
      </c>
      <c r="R51" s="65" t="str">
        <f>IF(ISERROR(Q51),"×",IF(Q51="-","×","○"))</f>
        <v>×</v>
      </c>
      <c r="S51" s="65" t="e">
        <f>VLOOKUP($E51&amp;S$5,'②-2勤務時間数入力'!$D$7:$Q$106,$P51,FALSE)</f>
        <v>#N/A</v>
      </c>
      <c r="T51" s="65" t="str">
        <f>IF(ISERROR(S51),"×",IF(S51="-","×","○"))</f>
        <v>×</v>
      </c>
      <c r="U51" s="65" t="e">
        <f>VLOOKUP($E51&amp;U$5,'②-2勤務時間数入力'!$D$7:$Q$106,$P51,FALSE)</f>
        <v>#N/A</v>
      </c>
      <c r="V51" s="65" t="str">
        <f>IF(ISERROR(U51),"×",IF(U51="-","×","○"))</f>
        <v>×</v>
      </c>
      <c r="W51" s="65" t="e">
        <f>VLOOKUP($E51&amp;W$5,'②-2勤務時間数入力'!$D$7:$Q$106,$P51,FALSE)</f>
        <v>#N/A</v>
      </c>
      <c r="X51" s="65" t="str">
        <f>IF(ISERROR(W51),"×",IF(W51="-","×","○"))</f>
        <v>×</v>
      </c>
    </row>
    <row r="52" spans="1:24" ht="13.5" customHeight="1">
      <c r="A52" s="839"/>
      <c r="B52" s="842"/>
      <c r="C52" s="735"/>
      <c r="D52" s="834"/>
      <c r="E52" s="145" t="str">
        <f t="shared" ref="E52:F52" si="77">IF(E46="","",E46)</f>
        <v/>
      </c>
      <c r="F52" s="145" t="str">
        <f t="shared" si="77"/>
        <v/>
      </c>
      <c r="G52" s="189" t="str">
        <f t="shared" si="68"/>
        <v/>
      </c>
      <c r="H52" s="190" t="str">
        <f t="shared" si="69"/>
        <v/>
      </c>
      <c r="I52" s="146" t="str">
        <f>IF($E52="","",IF($G52="正規職員","-",IF(AND(EXACT($C42,$C48),EXACT($E46,$E52),EXACT($G46,$G52)),I46,"賃金単価を記載")))</f>
        <v/>
      </c>
      <c r="J52" s="146" t="str">
        <f t="shared" si="72"/>
        <v/>
      </c>
      <c r="K52" s="146" t="str">
        <f>IF($E52="","",IF($G52="正規職員","-",IF(AND(EXACT($C42,$C48),EXACT($E46,$E52),EXACT($G46,$G52)),K46,"日額の交通費を記載（定期利用の場合は月額)")))</f>
        <v/>
      </c>
      <c r="L52" s="62" t="str">
        <f t="shared" si="70"/>
        <v/>
      </c>
      <c r="M52" s="62">
        <f>$M$6</f>
        <v>199000</v>
      </c>
      <c r="N52" s="62">
        <f>IFERROR(IF($C48="-","",IF(E52="","",IF(G52="正規職員",M52-L51,MIN(MIN(L52:M52),M51-N51)))),0)</f>
        <v>0</v>
      </c>
      <c r="O52" s="64" t="str">
        <f t="shared" si="73"/>
        <v/>
      </c>
      <c r="P52" s="65">
        <f t="shared" si="74"/>
        <v>10</v>
      </c>
      <c r="Q52" s="65" t="e">
        <f>VLOOKUP($E52&amp;Q$5,'②-2勤務時間数入力'!$D$7:$Q$106,$P52,FALSE)</f>
        <v>#N/A</v>
      </c>
      <c r="R52" s="65" t="str">
        <f>IF(ISERROR(Q52),"×",IF(Q52="-","×","○"))</f>
        <v>×</v>
      </c>
      <c r="S52" s="65" t="e">
        <f>VLOOKUP($E52&amp;S$5,'②-2勤務時間数入力'!$D$7:$Q$106,$P52,FALSE)</f>
        <v>#N/A</v>
      </c>
      <c r="T52" s="65" t="str">
        <f>IF(ISERROR(S52),"×",IF(S52="-","×","○"))</f>
        <v>×</v>
      </c>
      <c r="U52" s="65" t="e">
        <f>VLOOKUP($E52&amp;U$5,'②-2勤務時間数入力'!$D$7:$Q$106,$P52,FALSE)</f>
        <v>#N/A</v>
      </c>
      <c r="V52" s="65" t="str">
        <f>IF(ISERROR(U52),"×",IF(U52="-","×","○"))</f>
        <v>×</v>
      </c>
      <c r="W52" s="65" t="e">
        <f>VLOOKUP($E52&amp;W$5,'②-2勤務時間数入力'!$D$7:$Q$106,$P52,FALSE)</f>
        <v>#N/A</v>
      </c>
      <c r="X52" s="65" t="str">
        <f>IF(ISERROR(W52),"×",IF(W52="-","×","○"))</f>
        <v>×</v>
      </c>
    </row>
    <row r="53" spans="1:24" ht="13.5" customHeight="1">
      <c r="A53" s="840"/>
      <c r="B53" s="843"/>
      <c r="C53" s="736"/>
      <c r="D53" s="823"/>
      <c r="E53" s="1" t="s">
        <v>300</v>
      </c>
      <c r="F53" s="1"/>
      <c r="G53" s="189" t="s">
        <v>293</v>
      </c>
      <c r="H53" s="191"/>
      <c r="I53" s="63" t="s">
        <v>293</v>
      </c>
      <c r="J53" s="63"/>
      <c r="K53" s="63"/>
      <c r="L53" s="63" t="s">
        <v>293</v>
      </c>
      <c r="M53" s="63" t="s">
        <v>293</v>
      </c>
      <c r="N53" s="62">
        <f>MIN(IFERROR(IF(C48=1,IF(AND(B48="配置",OR(D48="調理師等",D48="栄養士")),MAX(SUM(N48:N52)-①基本情報!M43+10000,0),SUM(N48:N52)),0),0),$M$6)</f>
        <v>0</v>
      </c>
      <c r="O53" s="64" t="e">
        <f>IF(SUM(N48:N52)&gt;#REF!*$M$6,MIN($M$6,SUM(N48:N52)-ROUNDDOWN(#REF!*$M$6,0)),0)</f>
        <v>#REF!</v>
      </c>
      <c r="P53" s="65"/>
      <c r="Q53" s="65"/>
      <c r="R53" s="65"/>
      <c r="S53" s="65"/>
      <c r="T53" s="65"/>
      <c r="U53" s="65"/>
      <c r="V53" s="65"/>
      <c r="W53" s="65"/>
      <c r="X53" s="65"/>
    </row>
    <row r="54" spans="1:24" ht="13.5" customHeight="1">
      <c r="A54" s="820">
        <v>12</v>
      </c>
      <c r="B54" s="841" t="e">
        <f>IF(①基本情報!N41="有",①基本情報!N42,"無")</f>
        <v>#N/A</v>
      </c>
      <c r="C54" s="844" t="e">
        <f>IF(判定!AV17="NG","-",1)</f>
        <v>#N/A</v>
      </c>
      <c r="D54" s="822" t="str">
        <f>IFERROR(INDEX($L$83:$M$88,MATCH(判定!AV17,$L$83:$L$88,0),2),"-")</f>
        <v>-</v>
      </c>
      <c r="E54" s="145" t="str">
        <f t="shared" ref="E54:F55" si="78">IF(E48="","",E48)</f>
        <v/>
      </c>
      <c r="F54" s="145" t="str">
        <f>IF(F48="","",F48)</f>
        <v/>
      </c>
      <c r="G54" s="189" t="str">
        <f t="shared" ref="G54:G58" si="79">IF(E54="","",IF(R54="○",Q$5,IF(T54="○",S$5,IF(V54="○",U$5,IF(X54="○",W$5,"ERROR")))))</f>
        <v/>
      </c>
      <c r="H54" s="190" t="str">
        <f t="shared" ref="H54:H58" si="80">IF(E54="","",IF(R54="○",Q54,IF(T54="○",S54,IF(V54="○",U54,IF(X54="○",W54,"ERROR")))))</f>
        <v/>
      </c>
      <c r="I54" s="146" t="str">
        <f>IF($E54="","",IF($G54="正規職員","-",IF(AND(EXACT($C48,$C54),EXACT($E48,$E54),EXACT($G48,$G54)),I48,"賃金単価を記載")))</f>
        <v/>
      </c>
      <c r="J54" s="146" t="str">
        <f>IF($E54="","",IF($G54="正規職員","-","勤務日数を記載（定期利用の場合、1と記載)"))</f>
        <v/>
      </c>
      <c r="K54" s="146" t="str">
        <f>IF($E54="","",IF($G54="正規職員","-",IF(AND(EXACT($C48,$C54),EXACT($E48,$E54),EXACT($G48,$G54)),K48,"日額の交通費を記載（定期利用の場合は月額)")))</f>
        <v/>
      </c>
      <c r="L54" s="62" t="str">
        <f t="shared" ref="L54:L58" si="81">IF($E54="","",IF($G54="正規職員","-",(H54*I54+J54*K54)))</f>
        <v/>
      </c>
      <c r="M54" s="62">
        <f>$M$6</f>
        <v>199000</v>
      </c>
      <c r="N54" s="62">
        <f>IFERROR(IF($C54="-","",IF(E54="",0,IF(G54="正規職員",M54,MIN(L54:M54)))),0)</f>
        <v>0</v>
      </c>
      <c r="O54" s="64" t="str">
        <f>IF(E54="","",IF(COUNTIFS(E54,"*給食室*")=1,"○","エラー"))</f>
        <v/>
      </c>
      <c r="P54" s="65">
        <v>11</v>
      </c>
      <c r="Q54" s="65" t="e">
        <f>VLOOKUP($E54&amp;Q$5,'②-2勤務時間数入力'!$D$7:$Q$106,$P54,FALSE)</f>
        <v>#N/A</v>
      </c>
      <c r="R54" s="65" t="str">
        <f>IF(ISERROR(Q54),"×",IF(Q54="-","×","○"))</f>
        <v>×</v>
      </c>
      <c r="S54" s="65" t="e">
        <f>VLOOKUP($E54&amp;S$5,'②-2勤務時間数入力'!$D$7:$Q$106,$P54,FALSE)</f>
        <v>#N/A</v>
      </c>
      <c r="T54" s="65" t="str">
        <f>IF(ISERROR(S54),"×",IF(S54="-","×","○"))</f>
        <v>×</v>
      </c>
      <c r="U54" s="65" t="e">
        <f>VLOOKUP($E54&amp;U$5,'②-2勤務時間数入力'!$D$7:$Q$106,$P54,FALSE)</f>
        <v>#N/A</v>
      </c>
      <c r="V54" s="65" t="str">
        <f>IF(ISERROR(U54),"×",IF(U54="-","×","○"))</f>
        <v>×</v>
      </c>
      <c r="W54" s="65" t="e">
        <f>VLOOKUP($E54&amp;W$5,'②-2勤務時間数入力'!$D$7:$Q$106,$P54,FALSE)</f>
        <v>#N/A</v>
      </c>
      <c r="X54" s="65" t="str">
        <f>IF(ISERROR(W54),"×",IF(W54="-","×","○"))</f>
        <v>×</v>
      </c>
    </row>
    <row r="55" spans="1:24" ht="13.5" customHeight="1">
      <c r="A55" s="839"/>
      <c r="B55" s="842"/>
      <c r="C55" s="735"/>
      <c r="D55" s="834"/>
      <c r="E55" s="145" t="str">
        <f t="shared" si="78"/>
        <v/>
      </c>
      <c r="F55" s="145" t="str">
        <f t="shared" si="78"/>
        <v/>
      </c>
      <c r="G55" s="189" t="str">
        <f t="shared" si="79"/>
        <v/>
      </c>
      <c r="H55" s="190" t="str">
        <f t="shared" si="80"/>
        <v/>
      </c>
      <c r="I55" s="146" t="str">
        <f>IF($E55="","",IF($G55="正規職員","-",IF(AND(EXACT($C48,$C54),EXACT($E49,$E55),EXACT($G49,$G55)),I49,"賃金単価を記載")))</f>
        <v/>
      </c>
      <c r="J55" s="146" t="str">
        <f t="shared" ref="J55:J58" si="82">IF($E55="","",IF($G55="正規職員","-","勤務日数を記載（定期利用の場合、1と記載)"))</f>
        <v/>
      </c>
      <c r="K55" s="146" t="str">
        <f>IF($E55="","",IF($G55="正規職員","-",IF(AND(EXACT($C48,$C54),EXACT($E49,$E55),EXACT($G49,$G55)),K49,"日額の交通費を記載（定期利用の場合は月額)")))</f>
        <v/>
      </c>
      <c r="L55" s="62" t="str">
        <f t="shared" si="81"/>
        <v/>
      </c>
      <c r="M55" s="62">
        <f>$M$6</f>
        <v>199000</v>
      </c>
      <c r="N55" s="62">
        <f>IFERROR(IF($C54="-","",IF(E55="","",IF(G55="正規職員",M55-L54,MIN(MIN(L55:M55),M54-N54)))),0)</f>
        <v>0</v>
      </c>
      <c r="O55" s="64" t="str">
        <f t="shared" ref="O55:O58" si="83">IF(E55="","",IF(COUNTIFS(E55,"*給食室*")=1,"○","エラー"))</f>
        <v/>
      </c>
      <c r="P55" s="65">
        <f t="shared" ref="P55:P58" si="84">P54</f>
        <v>11</v>
      </c>
      <c r="Q55" s="65" t="e">
        <f>VLOOKUP($E55&amp;Q$5,'②-2勤務時間数入力'!$D$7:$Q$106,$P55,FALSE)</f>
        <v>#N/A</v>
      </c>
      <c r="R55" s="65" t="str">
        <f>IF(ISERROR(Q55),"×",IF(Q55="-","×","○"))</f>
        <v>×</v>
      </c>
      <c r="S55" s="65" t="e">
        <f>VLOOKUP($E55&amp;S$5,'②-2勤務時間数入力'!$D$7:$Q$106,$P55,FALSE)</f>
        <v>#N/A</v>
      </c>
      <c r="T55" s="65" t="str">
        <f>IF(ISERROR(S55),"×",IF(S55="-","×","○"))</f>
        <v>×</v>
      </c>
      <c r="U55" s="65" t="e">
        <f>VLOOKUP($E55&amp;U$5,'②-2勤務時間数入力'!$D$7:$Q$106,$P55,FALSE)</f>
        <v>#N/A</v>
      </c>
      <c r="V55" s="65" t="str">
        <f>IF(ISERROR(U55),"×",IF(U55="-","×","○"))</f>
        <v>×</v>
      </c>
      <c r="W55" s="65" t="e">
        <f>VLOOKUP($E55&amp;W$5,'②-2勤務時間数入力'!$D$7:$Q$106,$P55,FALSE)</f>
        <v>#N/A</v>
      </c>
      <c r="X55" s="65" t="str">
        <f>IF(ISERROR(W55),"×",IF(W55="-","×","○"))</f>
        <v>×</v>
      </c>
    </row>
    <row r="56" spans="1:24" ht="13.5" customHeight="1">
      <c r="A56" s="839"/>
      <c r="B56" s="842"/>
      <c r="C56" s="735"/>
      <c r="D56" s="834"/>
      <c r="E56" s="145" t="str">
        <f t="shared" ref="E56:F56" si="85">IF(E50="","",E50)</f>
        <v/>
      </c>
      <c r="F56" s="145" t="str">
        <f t="shared" si="85"/>
        <v/>
      </c>
      <c r="G56" s="189" t="str">
        <f t="shared" si="79"/>
        <v/>
      </c>
      <c r="H56" s="190" t="str">
        <f t="shared" si="80"/>
        <v/>
      </c>
      <c r="I56" s="146" t="str">
        <f>IF($E56="","",IF($G56="正規職員","-",IF(AND(EXACT($C48,$C54),EXACT($E50,$E56),EXACT($G50,$G56)),I50,"賃金単価を記載")))</f>
        <v/>
      </c>
      <c r="J56" s="146" t="str">
        <f t="shared" si="82"/>
        <v/>
      </c>
      <c r="K56" s="146" t="str">
        <f>IF($E56="","",IF($G56="正規職員","-",IF(AND(EXACT($C48,$C54),EXACT($E50,$E56),EXACT($G50,$G56)),K50,"日額の交通費を記載（定期利用の場合は月額)")))</f>
        <v/>
      </c>
      <c r="L56" s="62" t="str">
        <f t="shared" si="81"/>
        <v/>
      </c>
      <c r="M56" s="62">
        <f>$M$6</f>
        <v>199000</v>
      </c>
      <c r="N56" s="62">
        <f>IFERROR(IF($C54="-","",IF(E56="","",IF(G56="正規職員",M56-L55,MIN(MIN(L56:M56),M55-N55)))),0)</f>
        <v>0</v>
      </c>
      <c r="O56" s="64" t="str">
        <f t="shared" si="83"/>
        <v/>
      </c>
      <c r="P56" s="65">
        <f t="shared" si="84"/>
        <v>11</v>
      </c>
      <c r="Q56" s="65" t="e">
        <f>VLOOKUP($E56&amp;Q$5,'②-2勤務時間数入力'!$D$7:$Q$106,$P56,FALSE)</f>
        <v>#N/A</v>
      </c>
      <c r="R56" s="65" t="str">
        <f>IF(ISERROR(Q56),"×",IF(Q56="-","×","○"))</f>
        <v>×</v>
      </c>
      <c r="S56" s="65" t="e">
        <f>VLOOKUP($E56&amp;S$5,'②-2勤務時間数入力'!$D$7:$Q$106,$P56,FALSE)</f>
        <v>#N/A</v>
      </c>
      <c r="T56" s="65" t="str">
        <f>IF(ISERROR(S56),"×",IF(S56="-","×","○"))</f>
        <v>×</v>
      </c>
      <c r="U56" s="65" t="e">
        <f>VLOOKUP($E56&amp;U$5,'②-2勤務時間数入力'!$D$7:$Q$106,$P56,FALSE)</f>
        <v>#N/A</v>
      </c>
      <c r="V56" s="65" t="str">
        <f>IF(ISERROR(U56),"×",IF(U56="-","×","○"))</f>
        <v>×</v>
      </c>
      <c r="W56" s="65" t="e">
        <f>VLOOKUP($E56&amp;W$5,'②-2勤務時間数入力'!$D$7:$Q$106,$P56,FALSE)</f>
        <v>#N/A</v>
      </c>
      <c r="X56" s="65" t="str">
        <f>IF(ISERROR(W56),"×",IF(W56="-","×","○"))</f>
        <v>×</v>
      </c>
    </row>
    <row r="57" spans="1:24" ht="13.5" customHeight="1">
      <c r="A57" s="839"/>
      <c r="B57" s="842"/>
      <c r="C57" s="735"/>
      <c r="D57" s="834"/>
      <c r="E57" s="145" t="str">
        <f t="shared" ref="E57:F57" si="86">IF(E51="","",E51)</f>
        <v/>
      </c>
      <c r="F57" s="145" t="str">
        <f t="shared" si="86"/>
        <v/>
      </c>
      <c r="G57" s="189" t="str">
        <f t="shared" si="79"/>
        <v/>
      </c>
      <c r="H57" s="190" t="str">
        <f t="shared" si="80"/>
        <v/>
      </c>
      <c r="I57" s="146" t="str">
        <f>IF($E57="","",IF($G57="正規職員","-",IF(AND(EXACT($C48,$C54),EXACT($E51,$E57),EXACT($G51,$G57)),I51,"賃金単価を記載")))</f>
        <v/>
      </c>
      <c r="J57" s="146" t="str">
        <f t="shared" si="82"/>
        <v/>
      </c>
      <c r="K57" s="146" t="str">
        <f>IF($E57="","",IF($G57="正規職員","-",IF(AND(EXACT($C48,$C54),EXACT($E51,$E57),EXACT($G51,$G57)),K51,"日額の交通費を記載（定期利用の場合は月額)")))</f>
        <v/>
      </c>
      <c r="L57" s="62" t="str">
        <f t="shared" si="81"/>
        <v/>
      </c>
      <c r="M57" s="62">
        <f>$M$6</f>
        <v>199000</v>
      </c>
      <c r="N57" s="62">
        <f>IFERROR(IF($C54="-","",IF(E57="","",IF(G57="正規職員",M57-L56,MIN(MIN(L57:M57),M56-N56)))),0)</f>
        <v>0</v>
      </c>
      <c r="O57" s="64" t="str">
        <f t="shared" si="83"/>
        <v/>
      </c>
      <c r="P57" s="65">
        <f t="shared" si="84"/>
        <v>11</v>
      </c>
      <c r="Q57" s="65" t="e">
        <f>VLOOKUP($E57&amp;Q$5,'②-2勤務時間数入力'!$D$7:$Q$106,$P57,FALSE)</f>
        <v>#N/A</v>
      </c>
      <c r="R57" s="65" t="str">
        <f>IF(ISERROR(Q57),"×",IF(Q57="-","×","○"))</f>
        <v>×</v>
      </c>
      <c r="S57" s="65" t="e">
        <f>VLOOKUP($E57&amp;S$5,'②-2勤務時間数入力'!$D$7:$Q$106,$P57,FALSE)</f>
        <v>#N/A</v>
      </c>
      <c r="T57" s="65" t="str">
        <f>IF(ISERROR(S57),"×",IF(S57="-","×","○"))</f>
        <v>×</v>
      </c>
      <c r="U57" s="65" t="e">
        <f>VLOOKUP($E57&amp;U$5,'②-2勤務時間数入力'!$D$7:$Q$106,$P57,FALSE)</f>
        <v>#N/A</v>
      </c>
      <c r="V57" s="65" t="str">
        <f>IF(ISERROR(U57),"×",IF(U57="-","×","○"))</f>
        <v>×</v>
      </c>
      <c r="W57" s="65" t="e">
        <f>VLOOKUP($E57&amp;W$5,'②-2勤務時間数入力'!$D$7:$Q$106,$P57,FALSE)</f>
        <v>#N/A</v>
      </c>
      <c r="X57" s="65" t="str">
        <f>IF(ISERROR(W57),"×",IF(W57="-","×","○"))</f>
        <v>×</v>
      </c>
    </row>
    <row r="58" spans="1:24" ht="13.5" customHeight="1">
      <c r="A58" s="839"/>
      <c r="B58" s="842"/>
      <c r="C58" s="735"/>
      <c r="D58" s="834"/>
      <c r="E58" s="145" t="str">
        <f t="shared" ref="E58:F58" si="87">IF(E52="","",E52)</f>
        <v/>
      </c>
      <c r="F58" s="145" t="str">
        <f t="shared" si="87"/>
        <v/>
      </c>
      <c r="G58" s="189" t="str">
        <f t="shared" si="79"/>
        <v/>
      </c>
      <c r="H58" s="190" t="str">
        <f t="shared" si="80"/>
        <v/>
      </c>
      <c r="I58" s="146" t="str">
        <f>IF($E58="","",IF($G58="正規職員","-",IF(AND(EXACT($C48,$C54),EXACT($E52,$E58),EXACT($G52,$G58)),I52,"賃金単価を記載")))</f>
        <v/>
      </c>
      <c r="J58" s="146" t="str">
        <f t="shared" si="82"/>
        <v/>
      </c>
      <c r="K58" s="146" t="str">
        <f>IF($E58="","",IF($G58="正規職員","-",IF(AND(EXACT($C48,$C54),EXACT($E52,$E58),EXACT($G52,$G58)),K52,"日額の交通費を記載（定期利用の場合は月額)")))</f>
        <v/>
      </c>
      <c r="L58" s="62" t="str">
        <f t="shared" si="81"/>
        <v/>
      </c>
      <c r="M58" s="62">
        <f>$M$6</f>
        <v>199000</v>
      </c>
      <c r="N58" s="62">
        <f>IFERROR(IF($C54="-","",IF(E58="","",IF(G58="正規職員",M58-L57,MIN(MIN(L58:M58),M57-N57)))),0)</f>
        <v>0</v>
      </c>
      <c r="O58" s="64" t="str">
        <f t="shared" si="83"/>
        <v/>
      </c>
      <c r="P58" s="65">
        <f t="shared" si="84"/>
        <v>11</v>
      </c>
      <c r="Q58" s="65" t="e">
        <f>VLOOKUP($E58&amp;Q$5,'②-2勤務時間数入力'!$D$7:$Q$106,$P58,FALSE)</f>
        <v>#N/A</v>
      </c>
      <c r="R58" s="65" t="str">
        <f>IF(ISERROR(Q58),"×",IF(Q58="-","×","○"))</f>
        <v>×</v>
      </c>
      <c r="S58" s="65" t="e">
        <f>VLOOKUP($E58&amp;S$5,'②-2勤務時間数入力'!$D$7:$Q$106,$P58,FALSE)</f>
        <v>#N/A</v>
      </c>
      <c r="T58" s="65" t="str">
        <f>IF(ISERROR(S58),"×",IF(S58="-","×","○"))</f>
        <v>×</v>
      </c>
      <c r="U58" s="65" t="e">
        <f>VLOOKUP($E58&amp;U$5,'②-2勤務時間数入力'!$D$7:$Q$106,$P58,FALSE)</f>
        <v>#N/A</v>
      </c>
      <c r="V58" s="65" t="str">
        <f>IF(ISERROR(U58),"×",IF(U58="-","×","○"))</f>
        <v>×</v>
      </c>
      <c r="W58" s="65" t="e">
        <f>VLOOKUP($E58&amp;W$5,'②-2勤務時間数入力'!$D$7:$Q$106,$P58,FALSE)</f>
        <v>#N/A</v>
      </c>
      <c r="X58" s="65" t="str">
        <f>IF(ISERROR(W58),"×",IF(W58="-","×","○"))</f>
        <v>×</v>
      </c>
    </row>
    <row r="59" spans="1:24" ht="13.5" customHeight="1">
      <c r="A59" s="840"/>
      <c r="B59" s="843"/>
      <c r="C59" s="736"/>
      <c r="D59" s="823"/>
      <c r="E59" s="1" t="s">
        <v>301</v>
      </c>
      <c r="F59" s="1"/>
      <c r="G59" s="189" t="s">
        <v>293</v>
      </c>
      <c r="H59" s="191"/>
      <c r="I59" s="63" t="s">
        <v>293</v>
      </c>
      <c r="J59" s="63"/>
      <c r="K59" s="63"/>
      <c r="L59" s="63" t="s">
        <v>293</v>
      </c>
      <c r="M59" s="63" t="s">
        <v>293</v>
      </c>
      <c r="N59" s="62">
        <f>MIN(IFERROR(IF(C54=1,IF(AND(B54="配置",OR(D54="調理師等",D54="栄養士")),MAX(SUM(N54:N58)-①基本情報!N43+10000,0),SUM(N54:N58)),0),0),$M$6)</f>
        <v>0</v>
      </c>
      <c r="O59" s="64" t="e">
        <f>IF(SUM(N54:N58)&gt;#REF!*$M$6,MIN($M$6,SUM(N54:N58)-ROUNDDOWN(#REF!*$M$6,0)),0)</f>
        <v>#REF!</v>
      </c>
      <c r="P59" s="65"/>
      <c r="Q59" s="65"/>
      <c r="R59" s="65"/>
      <c r="S59" s="65"/>
      <c r="T59" s="65"/>
      <c r="U59" s="65"/>
      <c r="V59" s="65"/>
      <c r="W59" s="65"/>
      <c r="X59" s="65"/>
    </row>
    <row r="60" spans="1:24" ht="13.5" customHeight="1">
      <c r="A60" s="820">
        <v>1</v>
      </c>
      <c r="B60" s="841" t="e">
        <f>IF(①基本情報!O41="有",①基本情報!O42,"無")</f>
        <v>#N/A</v>
      </c>
      <c r="C60" s="844" t="e">
        <f>IF(判定!AV18="NG","-",1)</f>
        <v>#N/A</v>
      </c>
      <c r="D60" s="822" t="str">
        <f>IFERROR(INDEX($L$83:$M$88,MATCH(判定!AV18,$L$83:$L$88,0),2),"-")</f>
        <v>-</v>
      </c>
      <c r="E60" s="145" t="str">
        <f>IF(E54="","",E54)</f>
        <v/>
      </c>
      <c r="F60" s="145" t="str">
        <f>IF(F54="","",F54)</f>
        <v/>
      </c>
      <c r="G60" s="189" t="str">
        <f t="shared" ref="G60:G64" si="88">IF(E60="","",IF(R60="○",Q$5,IF(T60="○",S$5,IF(V60="○",U$5,IF(X60="○",W$5,"ERROR")))))</f>
        <v/>
      </c>
      <c r="H60" s="190" t="str">
        <f t="shared" ref="H60:H64" si="89">IF(E60="","",IF(R60="○",Q60,IF(T60="○",S60,IF(V60="○",U60,IF(X60="○",W60,"ERROR")))))</f>
        <v/>
      </c>
      <c r="I60" s="146" t="str">
        <f>IF($E60="","",IF($G60="正規職員","-",IF(AND(EXACT($C54,$C60),EXACT($E54,$E60),EXACT($G54,$G60)),I54,"賃金単価を記載")))</f>
        <v/>
      </c>
      <c r="J60" s="146" t="str">
        <f>IF($E60="","",IF($G60="正規職員","-","勤務日数を記載（定期利用の場合、1と記載)"))</f>
        <v/>
      </c>
      <c r="K60" s="146" t="str">
        <f>IF($E60="","",IF($G60="正規職員","-",IF(AND(EXACT($C54,$C60),EXACT($E54,$E60),EXACT($G54,$G60)),K54,"日額の交通費を記載（定期利用の場合は月額)")))</f>
        <v/>
      </c>
      <c r="L60" s="62" t="str">
        <f t="shared" ref="L60:L64" si="90">IF($E60="","",IF($G60="正規職員","-",(H60*I60+J60*K60)))</f>
        <v/>
      </c>
      <c r="M60" s="62">
        <f>$M$6</f>
        <v>199000</v>
      </c>
      <c r="N60" s="62">
        <f>IFERROR(IF($C60="-","",IF(E60="",0,IF(G60="正規職員",M60,MIN(L60:M60)))),0)</f>
        <v>0</v>
      </c>
      <c r="O60" s="64" t="str">
        <f>IF(E60="","",IF(COUNTIFS(E60,"*給食室*")=1,"○","エラー"))</f>
        <v/>
      </c>
      <c r="P60" s="65">
        <v>12</v>
      </c>
      <c r="Q60" s="65" t="e">
        <f>VLOOKUP($E60&amp;Q$5,'②-2勤務時間数入力'!$D$7:$Q$106,$P60,FALSE)</f>
        <v>#N/A</v>
      </c>
      <c r="R60" s="65" t="str">
        <f>IF(ISERROR(Q60),"×",IF(Q60="-","×","○"))</f>
        <v>×</v>
      </c>
      <c r="S60" s="65" t="e">
        <f>VLOOKUP($E60&amp;S$5,'②-2勤務時間数入力'!$D$7:$Q$106,$P60,FALSE)</f>
        <v>#N/A</v>
      </c>
      <c r="T60" s="65" t="str">
        <f>IF(ISERROR(S60),"×",IF(S60="-","×","○"))</f>
        <v>×</v>
      </c>
      <c r="U60" s="65" t="e">
        <f>VLOOKUP($E60&amp;U$5,'②-2勤務時間数入力'!$D$7:$Q$106,$P60,FALSE)</f>
        <v>#N/A</v>
      </c>
      <c r="V60" s="65" t="str">
        <f>IF(ISERROR(U60),"×",IF(U60="-","×","○"))</f>
        <v>×</v>
      </c>
      <c r="W60" s="65" t="e">
        <f>VLOOKUP($E60&amp;W$5,'②-2勤務時間数入力'!$D$7:$Q$106,$P60,FALSE)</f>
        <v>#N/A</v>
      </c>
      <c r="X60" s="65" t="str">
        <f>IF(ISERROR(W60),"×",IF(W60="-","×","○"))</f>
        <v>×</v>
      </c>
    </row>
    <row r="61" spans="1:24" ht="13.5" customHeight="1">
      <c r="A61" s="839"/>
      <c r="B61" s="842"/>
      <c r="C61" s="735"/>
      <c r="D61" s="834"/>
      <c r="E61" s="145" t="str">
        <f t="shared" ref="E61:F61" si="91">IF(E55="","",E55)</f>
        <v/>
      </c>
      <c r="F61" s="145" t="str">
        <f t="shared" si="91"/>
        <v/>
      </c>
      <c r="G61" s="189" t="str">
        <f t="shared" si="88"/>
        <v/>
      </c>
      <c r="H61" s="190" t="str">
        <f t="shared" si="89"/>
        <v/>
      </c>
      <c r="I61" s="146" t="str">
        <f>IF($E61="","",IF($G61="正規職員","-",IF(AND(EXACT($C54,$C60),EXACT($E55,$E61),EXACT($G55,$G61)),I55,"賃金単価を記載")))</f>
        <v/>
      </c>
      <c r="J61" s="146" t="str">
        <f t="shared" ref="J61:J64" si="92">IF($E61="","",IF($G61="正規職員","-","勤務日数を記載（定期利用の場合、1と記載)"))</f>
        <v/>
      </c>
      <c r="K61" s="146" t="str">
        <f>IF($E61="","",IF($G61="正規職員","-",IF(AND(EXACT($C54,$C60),EXACT($E55,$E61),EXACT($G55,$G61)),K55,"日額の交通費を記載（定期利用の場合は月額)")))</f>
        <v/>
      </c>
      <c r="L61" s="62" t="str">
        <f t="shared" si="90"/>
        <v/>
      </c>
      <c r="M61" s="62">
        <f>$M$6</f>
        <v>199000</v>
      </c>
      <c r="N61" s="62">
        <f>IFERROR(IF($C60="-","",IF(E61="","",IF(G61="正規職員",M61-L60,MIN(MIN(L61:M61),M60-N60)))),0)</f>
        <v>0</v>
      </c>
      <c r="O61" s="64" t="str">
        <f t="shared" ref="O61:O64" si="93">IF(E61="","",IF(COUNTIFS(E61,"*給食室*")=1,"○","エラー"))</f>
        <v/>
      </c>
      <c r="P61" s="65">
        <f t="shared" ref="P61:P64" si="94">P60</f>
        <v>12</v>
      </c>
      <c r="Q61" s="65" t="e">
        <f>VLOOKUP($E61&amp;Q$5,'②-2勤務時間数入力'!$D$7:$Q$106,$P61,FALSE)</f>
        <v>#N/A</v>
      </c>
      <c r="R61" s="65" t="str">
        <f>IF(ISERROR(Q61),"×",IF(Q61="-","×","○"))</f>
        <v>×</v>
      </c>
      <c r="S61" s="65" t="e">
        <f>VLOOKUP($E61&amp;S$5,'②-2勤務時間数入力'!$D$7:$Q$106,$P61,FALSE)</f>
        <v>#N/A</v>
      </c>
      <c r="T61" s="65" t="str">
        <f>IF(ISERROR(S61),"×",IF(S61="-","×","○"))</f>
        <v>×</v>
      </c>
      <c r="U61" s="65" t="e">
        <f>VLOOKUP($E61&amp;U$5,'②-2勤務時間数入力'!$D$7:$Q$106,$P61,FALSE)</f>
        <v>#N/A</v>
      </c>
      <c r="V61" s="65" t="str">
        <f>IF(ISERROR(U61),"×",IF(U61="-","×","○"))</f>
        <v>×</v>
      </c>
      <c r="W61" s="65" t="e">
        <f>VLOOKUP($E61&amp;W$5,'②-2勤務時間数入力'!$D$7:$Q$106,$P61,FALSE)</f>
        <v>#N/A</v>
      </c>
      <c r="X61" s="65" t="str">
        <f>IF(ISERROR(W61),"×",IF(W61="-","×","○"))</f>
        <v>×</v>
      </c>
    </row>
    <row r="62" spans="1:24" ht="13.5" customHeight="1">
      <c r="A62" s="839"/>
      <c r="B62" s="842"/>
      <c r="C62" s="735"/>
      <c r="D62" s="834"/>
      <c r="E62" s="145" t="str">
        <f t="shared" ref="E62:F62" si="95">IF(E56="","",E56)</f>
        <v/>
      </c>
      <c r="F62" s="145" t="str">
        <f t="shared" si="95"/>
        <v/>
      </c>
      <c r="G62" s="189" t="str">
        <f t="shared" si="88"/>
        <v/>
      </c>
      <c r="H62" s="190" t="str">
        <f t="shared" si="89"/>
        <v/>
      </c>
      <c r="I62" s="146" t="str">
        <f>IF($E62="","",IF($G62="正規職員","-",IF(AND(EXACT($C54,$C60),EXACT($E56,$E62),EXACT($G56,$G62)),I56,"賃金単価を記載")))</f>
        <v/>
      </c>
      <c r="J62" s="146" t="str">
        <f t="shared" si="92"/>
        <v/>
      </c>
      <c r="K62" s="146" t="str">
        <f>IF($E62="","",IF($G62="正規職員","-",IF(AND(EXACT($C54,$C60),EXACT($E56,$E62),EXACT($G56,$G62)),K56,"日額の交通費を記載（定期利用の場合は月額)")))</f>
        <v/>
      </c>
      <c r="L62" s="62" t="str">
        <f t="shared" si="90"/>
        <v/>
      </c>
      <c r="M62" s="62">
        <f>$M$6</f>
        <v>199000</v>
      </c>
      <c r="N62" s="62">
        <f>IFERROR(IF($C60="-","",IF(E62="","",IF(G62="正規職員",M62-L61,MIN(MIN(L62:M62),M61-N61)))),0)</f>
        <v>0</v>
      </c>
      <c r="O62" s="64" t="str">
        <f t="shared" si="93"/>
        <v/>
      </c>
      <c r="P62" s="65">
        <f t="shared" si="94"/>
        <v>12</v>
      </c>
      <c r="Q62" s="65" t="e">
        <f>VLOOKUP($E62&amp;Q$5,'②-2勤務時間数入力'!$D$7:$Q$106,$P62,FALSE)</f>
        <v>#N/A</v>
      </c>
      <c r="R62" s="65" t="str">
        <f>IF(ISERROR(Q62),"×",IF(Q62="-","×","○"))</f>
        <v>×</v>
      </c>
      <c r="S62" s="65" t="e">
        <f>VLOOKUP($E62&amp;S$5,'②-2勤務時間数入力'!$D$7:$Q$106,$P62,FALSE)</f>
        <v>#N/A</v>
      </c>
      <c r="T62" s="65" t="str">
        <f>IF(ISERROR(S62),"×",IF(S62="-","×","○"))</f>
        <v>×</v>
      </c>
      <c r="U62" s="65" t="e">
        <f>VLOOKUP($E62&amp;U$5,'②-2勤務時間数入力'!$D$7:$Q$106,$P62,FALSE)</f>
        <v>#N/A</v>
      </c>
      <c r="V62" s="65" t="str">
        <f>IF(ISERROR(U62),"×",IF(U62="-","×","○"))</f>
        <v>×</v>
      </c>
      <c r="W62" s="65" t="e">
        <f>VLOOKUP($E62&amp;W$5,'②-2勤務時間数入力'!$D$7:$Q$106,$P62,FALSE)</f>
        <v>#N/A</v>
      </c>
      <c r="X62" s="65" t="str">
        <f>IF(ISERROR(W62),"×",IF(W62="-","×","○"))</f>
        <v>×</v>
      </c>
    </row>
    <row r="63" spans="1:24" ht="13.5" customHeight="1">
      <c r="A63" s="839"/>
      <c r="B63" s="842"/>
      <c r="C63" s="735"/>
      <c r="D63" s="834"/>
      <c r="E63" s="145" t="str">
        <f t="shared" ref="E63:F63" si="96">IF(E57="","",E57)</f>
        <v/>
      </c>
      <c r="F63" s="145" t="str">
        <f t="shared" si="96"/>
        <v/>
      </c>
      <c r="G63" s="189" t="str">
        <f t="shared" si="88"/>
        <v/>
      </c>
      <c r="H63" s="190" t="str">
        <f t="shared" si="89"/>
        <v/>
      </c>
      <c r="I63" s="146" t="str">
        <f>IF($E63="","",IF($G63="正規職員","-",IF(AND(EXACT($C54,$C60),EXACT($E57,$E63),EXACT($G57,$G63)),I57,"賃金単価を記載")))</f>
        <v/>
      </c>
      <c r="J63" s="146" t="str">
        <f t="shared" si="92"/>
        <v/>
      </c>
      <c r="K63" s="146" t="str">
        <f>IF($E63="","",IF($G63="正規職員","-",IF(AND(EXACT($C54,$C60),EXACT($E57,$E63),EXACT($G57,$G63)),K57,"日額の交通費を記載（定期利用の場合は月額)")))</f>
        <v/>
      </c>
      <c r="L63" s="62" t="str">
        <f t="shared" si="90"/>
        <v/>
      </c>
      <c r="M63" s="62">
        <f>$M$6</f>
        <v>199000</v>
      </c>
      <c r="N63" s="62">
        <f>IFERROR(IF($C60="-","",IF(E63="","",IF(G63="正規職員",M63-L62,MIN(MIN(L63:M63),M62-N62)))),0)</f>
        <v>0</v>
      </c>
      <c r="O63" s="64" t="str">
        <f t="shared" si="93"/>
        <v/>
      </c>
      <c r="P63" s="65">
        <f t="shared" si="94"/>
        <v>12</v>
      </c>
      <c r="Q63" s="65" t="e">
        <f>VLOOKUP($E63&amp;Q$5,'②-2勤務時間数入力'!$D$7:$Q$106,$P63,FALSE)</f>
        <v>#N/A</v>
      </c>
      <c r="R63" s="65" t="str">
        <f>IF(ISERROR(Q63),"×",IF(Q63="-","×","○"))</f>
        <v>×</v>
      </c>
      <c r="S63" s="65" t="e">
        <f>VLOOKUP($E63&amp;S$5,'②-2勤務時間数入力'!$D$7:$Q$106,$P63,FALSE)</f>
        <v>#N/A</v>
      </c>
      <c r="T63" s="65" t="str">
        <f>IF(ISERROR(S63),"×",IF(S63="-","×","○"))</f>
        <v>×</v>
      </c>
      <c r="U63" s="65" t="e">
        <f>VLOOKUP($E63&amp;U$5,'②-2勤務時間数入力'!$D$7:$Q$106,$P63,FALSE)</f>
        <v>#N/A</v>
      </c>
      <c r="V63" s="65" t="str">
        <f>IF(ISERROR(U63),"×",IF(U63="-","×","○"))</f>
        <v>×</v>
      </c>
      <c r="W63" s="65" t="e">
        <f>VLOOKUP($E63&amp;W$5,'②-2勤務時間数入力'!$D$7:$Q$106,$P63,FALSE)</f>
        <v>#N/A</v>
      </c>
      <c r="X63" s="65" t="str">
        <f>IF(ISERROR(W63),"×",IF(W63="-","×","○"))</f>
        <v>×</v>
      </c>
    </row>
    <row r="64" spans="1:24" ht="13.5" customHeight="1">
      <c r="A64" s="839"/>
      <c r="B64" s="842"/>
      <c r="C64" s="735"/>
      <c r="D64" s="834"/>
      <c r="E64" s="145" t="str">
        <f t="shared" ref="E64:F64" si="97">IF(E58="","",E58)</f>
        <v/>
      </c>
      <c r="F64" s="145" t="str">
        <f t="shared" si="97"/>
        <v/>
      </c>
      <c r="G64" s="189" t="str">
        <f t="shared" si="88"/>
        <v/>
      </c>
      <c r="H64" s="190" t="str">
        <f t="shared" si="89"/>
        <v/>
      </c>
      <c r="I64" s="146" t="str">
        <f>IF($E64="","",IF($G64="正規職員","-",IF(AND(EXACT($C54,$C60),EXACT($E58,$E64),EXACT($G58,$G64)),I58,"賃金単価を記載")))</f>
        <v/>
      </c>
      <c r="J64" s="146" t="str">
        <f t="shared" si="92"/>
        <v/>
      </c>
      <c r="K64" s="146" t="str">
        <f>IF($E64="","",IF($G64="正規職員","-",IF(AND(EXACT($C54,$C60),EXACT($E58,$E64),EXACT($G58,$G64)),K58,"日額の交通費を記載（定期利用の場合は月額)")))</f>
        <v/>
      </c>
      <c r="L64" s="62" t="str">
        <f t="shared" si="90"/>
        <v/>
      </c>
      <c r="M64" s="62">
        <f>$M$6</f>
        <v>199000</v>
      </c>
      <c r="N64" s="62">
        <f>IFERROR(IF($C60="-","",IF(E64="","",IF(G64="正規職員",M64-L63,MIN(MIN(L64:M64),M63-N63)))),0)</f>
        <v>0</v>
      </c>
      <c r="O64" s="64" t="str">
        <f t="shared" si="93"/>
        <v/>
      </c>
      <c r="P64" s="65">
        <f t="shared" si="94"/>
        <v>12</v>
      </c>
      <c r="Q64" s="65" t="e">
        <f>VLOOKUP($E64&amp;Q$5,'②-2勤務時間数入力'!$D$7:$Q$106,$P64,FALSE)</f>
        <v>#N/A</v>
      </c>
      <c r="R64" s="65" t="str">
        <f>IF(ISERROR(Q64),"×",IF(Q64="-","×","○"))</f>
        <v>×</v>
      </c>
      <c r="S64" s="65" t="e">
        <f>VLOOKUP($E64&amp;S$5,'②-2勤務時間数入力'!$D$7:$Q$106,$P64,FALSE)</f>
        <v>#N/A</v>
      </c>
      <c r="T64" s="65" t="str">
        <f>IF(ISERROR(S64),"×",IF(S64="-","×","○"))</f>
        <v>×</v>
      </c>
      <c r="U64" s="65" t="e">
        <f>VLOOKUP($E64&amp;U$5,'②-2勤務時間数入力'!$D$7:$Q$106,$P64,FALSE)</f>
        <v>#N/A</v>
      </c>
      <c r="V64" s="65" t="str">
        <f>IF(ISERROR(U64),"×",IF(U64="-","×","○"))</f>
        <v>×</v>
      </c>
      <c r="W64" s="65" t="e">
        <f>VLOOKUP($E64&amp;W$5,'②-2勤務時間数入力'!$D$7:$Q$106,$P64,FALSE)</f>
        <v>#N/A</v>
      </c>
      <c r="X64" s="65" t="str">
        <f>IF(ISERROR(W64),"×",IF(W64="-","×","○"))</f>
        <v>×</v>
      </c>
    </row>
    <row r="65" spans="1:24" ht="13.5" customHeight="1">
      <c r="A65" s="840"/>
      <c r="B65" s="843"/>
      <c r="C65" s="736"/>
      <c r="D65" s="823"/>
      <c r="E65" s="1" t="s">
        <v>302</v>
      </c>
      <c r="F65" s="1"/>
      <c r="G65" s="189" t="s">
        <v>293</v>
      </c>
      <c r="H65" s="191"/>
      <c r="I65" s="63" t="s">
        <v>293</v>
      </c>
      <c r="J65" s="63"/>
      <c r="K65" s="63"/>
      <c r="L65" s="63" t="s">
        <v>293</v>
      </c>
      <c r="M65" s="63" t="s">
        <v>293</v>
      </c>
      <c r="N65" s="62">
        <f>MIN(IFERROR(IF(C60=1,IF(AND(B60="配置",OR(D60="調理師等",D60="栄養士")),MAX(SUM(N60:N64)-①基本情報!O43+10000,0),SUM(N60:N64)),0),0),$M$6)</f>
        <v>0</v>
      </c>
      <c r="O65" s="64" t="e">
        <f>IF(SUM(N60:N64)&gt;#REF!*$M$6,MIN($M$6,SUM(N60:N64)-ROUNDDOWN(#REF!*$M$6,0)),0)</f>
        <v>#REF!</v>
      </c>
      <c r="P65" s="65"/>
      <c r="Q65" s="65"/>
      <c r="R65" s="65"/>
      <c r="S65" s="65"/>
      <c r="T65" s="65"/>
      <c r="U65" s="65"/>
      <c r="V65" s="65"/>
      <c r="W65" s="65"/>
      <c r="X65" s="65"/>
    </row>
    <row r="66" spans="1:24" ht="13.5" customHeight="1">
      <c r="A66" s="820">
        <v>2</v>
      </c>
      <c r="B66" s="841" t="e">
        <f>IF(①基本情報!P41="有",①基本情報!P42,"無")</f>
        <v>#N/A</v>
      </c>
      <c r="C66" s="844" t="e">
        <f>IF(判定!AV19="NG","-",1)</f>
        <v>#N/A</v>
      </c>
      <c r="D66" s="822" t="str">
        <f>IFERROR(INDEX($L$83:$M$88,MATCH(判定!AV19,$L$83:$L$88,0),2),"-")</f>
        <v>-</v>
      </c>
      <c r="E66" s="145" t="str">
        <f>IF(E60="","",E60)</f>
        <v/>
      </c>
      <c r="F66" s="145" t="str">
        <f>IF(F60="","",F60)</f>
        <v/>
      </c>
      <c r="G66" s="189" t="str">
        <f t="shared" ref="G66:G70" si="98">IF(E66="","",IF(R66="○",Q$5,IF(T66="○",S$5,IF(V66="○",U$5,IF(X66="○",W$5,"ERROR")))))</f>
        <v/>
      </c>
      <c r="H66" s="190" t="str">
        <f t="shared" ref="H66:H70" si="99">IF(E66="","",IF(R66="○",Q66,IF(T66="○",S66,IF(V66="○",U66,IF(X66="○",W66,"ERROR")))))</f>
        <v/>
      </c>
      <c r="I66" s="146" t="str">
        <f>IF($E66="","",IF($G66="正規職員","-",IF(AND(EXACT($C60,$C66),EXACT($E60,$E66),EXACT($G60,$G66)),I60,"賃金単価を記載")))</f>
        <v/>
      </c>
      <c r="J66" s="146" t="str">
        <f>IF($E66="","",IF($G66="正規職員","-","勤務日数を記載（定期利用の場合、1と記載)"))</f>
        <v/>
      </c>
      <c r="K66" s="146" t="str">
        <f>IF($E66="","",IF($G66="正規職員","-",IF(AND(EXACT($C60,$C66),EXACT($E60,$E66),EXACT($G60,$G66)),K60,"日額の交通費を記載（定期利用の場合は月額)")))</f>
        <v/>
      </c>
      <c r="L66" s="62" t="str">
        <f t="shared" ref="L66:L70" si="100">IF($E66="","",IF($G66="正規職員","-",(H66*I66+J66*K66)))</f>
        <v/>
      </c>
      <c r="M66" s="62">
        <f>$M$6</f>
        <v>199000</v>
      </c>
      <c r="N66" s="62">
        <f>IFERROR(IF($C66="-","",IF(E66="",0,IF(G66="正規職員",M66,MIN(L66:M66)))),0)</f>
        <v>0</v>
      </c>
      <c r="O66" s="64" t="str">
        <f>IF(E66="","",IF(COUNTIFS(E66,"*給食室*")=1,"○","エラー"))</f>
        <v/>
      </c>
      <c r="P66" s="65">
        <v>13</v>
      </c>
      <c r="Q66" s="65" t="e">
        <f>VLOOKUP($E66&amp;Q$5,'②-2勤務時間数入力'!$D$7:$Q$106,$P66,FALSE)</f>
        <v>#N/A</v>
      </c>
      <c r="R66" s="65" t="str">
        <f>IF(ISERROR(Q66),"×",IF(Q66="-","×","○"))</f>
        <v>×</v>
      </c>
      <c r="S66" s="65" t="e">
        <f>VLOOKUP($E66&amp;S$5,'②-2勤務時間数入力'!$D$7:$Q$106,$P66,FALSE)</f>
        <v>#N/A</v>
      </c>
      <c r="T66" s="65" t="str">
        <f>IF(ISERROR(S66),"×",IF(S66="-","×","○"))</f>
        <v>×</v>
      </c>
      <c r="U66" s="65" t="e">
        <f>VLOOKUP($E66&amp;U$5,'②-2勤務時間数入力'!$D$7:$Q$106,$P66,FALSE)</f>
        <v>#N/A</v>
      </c>
      <c r="V66" s="65" t="str">
        <f>IF(ISERROR(U66),"×",IF(U66="-","×","○"))</f>
        <v>×</v>
      </c>
      <c r="W66" s="65" t="e">
        <f>VLOOKUP($E66&amp;W$5,'②-2勤務時間数入力'!$D$7:$Q$106,$P66,FALSE)</f>
        <v>#N/A</v>
      </c>
      <c r="X66" s="65" t="str">
        <f>IF(ISERROR(W66),"×",IF(W66="-","×","○"))</f>
        <v>×</v>
      </c>
    </row>
    <row r="67" spans="1:24" ht="13.5" customHeight="1">
      <c r="A67" s="839"/>
      <c r="B67" s="842"/>
      <c r="C67" s="735"/>
      <c r="D67" s="834"/>
      <c r="E67" s="145" t="str">
        <f t="shared" ref="E67:F67" si="101">IF(E61="","",E61)</f>
        <v/>
      </c>
      <c r="F67" s="145" t="str">
        <f t="shared" si="101"/>
        <v/>
      </c>
      <c r="G67" s="189" t="str">
        <f t="shared" si="98"/>
        <v/>
      </c>
      <c r="H67" s="190" t="str">
        <f t="shared" si="99"/>
        <v/>
      </c>
      <c r="I67" s="146" t="str">
        <f>IF($E67="","",IF($G67="正規職員","-",IF(AND(EXACT($C60,$C66),EXACT($E61,$E67),EXACT($G61,$G67)),I61,"賃金単価を記載")))</f>
        <v/>
      </c>
      <c r="J67" s="146" t="str">
        <f t="shared" ref="J67:J70" si="102">IF($E67="","",IF($G67="正規職員","-","勤務日数を記載（定期利用の場合、1と記載)"))</f>
        <v/>
      </c>
      <c r="K67" s="146" t="str">
        <f>IF($E67="","",IF($G67="正規職員","-",IF(AND(EXACT($C60,$C66),EXACT($E61,$E67),EXACT($G61,$G67)),K61,"日額の交通費を記載（定期利用の場合は月額)")))</f>
        <v/>
      </c>
      <c r="L67" s="62" t="str">
        <f t="shared" si="100"/>
        <v/>
      </c>
      <c r="M67" s="62">
        <f>$M$6</f>
        <v>199000</v>
      </c>
      <c r="N67" s="62">
        <f>IFERROR(IF($C66="-","",IF(E67="","",IF(G67="正規職員",M67-L66,MIN(MIN(L67:M67),M66-N66)))),0)</f>
        <v>0</v>
      </c>
      <c r="O67" s="64" t="str">
        <f t="shared" ref="O67:O70" si="103">IF(E67="","",IF(COUNTIFS(E67,"*給食室*")=1,"○","エラー"))</f>
        <v/>
      </c>
      <c r="P67" s="65">
        <f t="shared" ref="P67:P70" si="104">P66</f>
        <v>13</v>
      </c>
      <c r="Q67" s="65" t="e">
        <f>VLOOKUP($E67&amp;Q$5,'②-2勤務時間数入力'!$D$7:$Q$106,$P67,FALSE)</f>
        <v>#N/A</v>
      </c>
      <c r="R67" s="65" t="str">
        <f>IF(ISERROR(Q67),"×",IF(Q67="-","×","○"))</f>
        <v>×</v>
      </c>
      <c r="S67" s="65" t="e">
        <f>VLOOKUP($E67&amp;S$5,'②-2勤務時間数入力'!$D$7:$Q$106,$P67,FALSE)</f>
        <v>#N/A</v>
      </c>
      <c r="T67" s="65" t="str">
        <f>IF(ISERROR(S67),"×",IF(S67="-","×","○"))</f>
        <v>×</v>
      </c>
      <c r="U67" s="65" t="e">
        <f>VLOOKUP($E67&amp;U$5,'②-2勤務時間数入力'!$D$7:$Q$106,$P67,FALSE)</f>
        <v>#N/A</v>
      </c>
      <c r="V67" s="65" t="str">
        <f>IF(ISERROR(U67),"×",IF(U67="-","×","○"))</f>
        <v>×</v>
      </c>
      <c r="W67" s="65" t="e">
        <f>VLOOKUP($E67&amp;W$5,'②-2勤務時間数入力'!$D$7:$Q$106,$P67,FALSE)</f>
        <v>#N/A</v>
      </c>
      <c r="X67" s="65" t="str">
        <f>IF(ISERROR(W67),"×",IF(W67="-","×","○"))</f>
        <v>×</v>
      </c>
    </row>
    <row r="68" spans="1:24" ht="13.5" customHeight="1">
      <c r="A68" s="839"/>
      <c r="B68" s="842"/>
      <c r="C68" s="735"/>
      <c r="D68" s="834"/>
      <c r="E68" s="145" t="str">
        <f t="shared" ref="E68:F68" si="105">IF(E62="","",E62)</f>
        <v/>
      </c>
      <c r="F68" s="145" t="str">
        <f t="shared" si="105"/>
        <v/>
      </c>
      <c r="G68" s="189" t="str">
        <f t="shared" si="98"/>
        <v/>
      </c>
      <c r="H68" s="190" t="str">
        <f t="shared" si="99"/>
        <v/>
      </c>
      <c r="I68" s="146" t="str">
        <f>IF($E68="","",IF($G68="正規職員","-",IF(AND(EXACT($C60,$C66),EXACT($E62,$E68),EXACT($G62,$G68)),I62,"賃金単価を記載")))</f>
        <v/>
      </c>
      <c r="J68" s="146" t="str">
        <f t="shared" si="102"/>
        <v/>
      </c>
      <c r="K68" s="146" t="str">
        <f>IF($E68="","",IF($G68="正規職員","-",IF(AND(EXACT($C60,$C66),EXACT($E62,$E68),EXACT($G62,$G68)),K62,"日額の交通費を記載（定期利用の場合は月額)")))</f>
        <v/>
      </c>
      <c r="L68" s="62" t="str">
        <f t="shared" si="100"/>
        <v/>
      </c>
      <c r="M68" s="62">
        <f>$M$6</f>
        <v>199000</v>
      </c>
      <c r="N68" s="62">
        <f>IFERROR(IF($C66="-","",IF(E68="","",IF(G68="正規職員",M68-L67,MIN(MIN(L68:M68),M67-N67)))),0)</f>
        <v>0</v>
      </c>
      <c r="O68" s="64" t="str">
        <f t="shared" si="103"/>
        <v/>
      </c>
      <c r="P68" s="65">
        <f t="shared" si="104"/>
        <v>13</v>
      </c>
      <c r="Q68" s="65" t="e">
        <f>VLOOKUP($E68&amp;Q$5,'②-2勤務時間数入力'!$D$7:$Q$106,$P68,FALSE)</f>
        <v>#N/A</v>
      </c>
      <c r="R68" s="65" t="str">
        <f>IF(ISERROR(Q68),"×",IF(Q68="-","×","○"))</f>
        <v>×</v>
      </c>
      <c r="S68" s="65" t="e">
        <f>VLOOKUP($E68&amp;S$5,'②-2勤務時間数入力'!$D$7:$Q$106,$P68,FALSE)</f>
        <v>#N/A</v>
      </c>
      <c r="T68" s="65" t="str">
        <f>IF(ISERROR(S68),"×",IF(S68="-","×","○"))</f>
        <v>×</v>
      </c>
      <c r="U68" s="65" t="e">
        <f>VLOOKUP($E68&amp;U$5,'②-2勤務時間数入力'!$D$7:$Q$106,$P68,FALSE)</f>
        <v>#N/A</v>
      </c>
      <c r="V68" s="65" t="str">
        <f>IF(ISERROR(U68),"×",IF(U68="-","×","○"))</f>
        <v>×</v>
      </c>
      <c r="W68" s="65" t="e">
        <f>VLOOKUP($E68&amp;W$5,'②-2勤務時間数入力'!$D$7:$Q$106,$P68,FALSE)</f>
        <v>#N/A</v>
      </c>
      <c r="X68" s="65" t="str">
        <f>IF(ISERROR(W68),"×",IF(W68="-","×","○"))</f>
        <v>×</v>
      </c>
    </row>
    <row r="69" spans="1:24" ht="13.5" customHeight="1">
      <c r="A69" s="839"/>
      <c r="B69" s="842"/>
      <c r="C69" s="735"/>
      <c r="D69" s="834"/>
      <c r="E69" s="145" t="str">
        <f t="shared" ref="E69:F69" si="106">IF(E63="","",E63)</f>
        <v/>
      </c>
      <c r="F69" s="145" t="str">
        <f t="shared" si="106"/>
        <v/>
      </c>
      <c r="G69" s="189" t="str">
        <f t="shared" si="98"/>
        <v/>
      </c>
      <c r="H69" s="190" t="str">
        <f t="shared" si="99"/>
        <v/>
      </c>
      <c r="I69" s="146" t="str">
        <f>IF($E69="","",IF($G69="正規職員","-",IF(AND(EXACT($C60,$C66),EXACT($E63,$E69),EXACT($G63,$G69)),I63,"賃金単価を記載")))</f>
        <v/>
      </c>
      <c r="J69" s="146" t="str">
        <f t="shared" si="102"/>
        <v/>
      </c>
      <c r="K69" s="146" t="str">
        <f>IF($E69="","",IF($G69="正規職員","-",IF(AND(EXACT($C60,$C66),EXACT($E63,$E69),EXACT($G63,$G69)),K63,"日額の交通費を記載（定期利用の場合は月額)")))</f>
        <v/>
      </c>
      <c r="L69" s="62" t="str">
        <f t="shared" si="100"/>
        <v/>
      </c>
      <c r="M69" s="62">
        <f>$M$6</f>
        <v>199000</v>
      </c>
      <c r="N69" s="62">
        <f>IFERROR(IF($C66="-","",IF(E69="","",IF(G69="正規職員",M69-L68,MIN(MIN(L69:M69),M68-N68)))),0)</f>
        <v>0</v>
      </c>
      <c r="O69" s="64" t="str">
        <f t="shared" si="103"/>
        <v/>
      </c>
      <c r="P69" s="65">
        <f t="shared" si="104"/>
        <v>13</v>
      </c>
      <c r="Q69" s="65" t="e">
        <f>VLOOKUP($E69&amp;Q$5,'②-2勤務時間数入力'!$D$7:$Q$106,$P69,FALSE)</f>
        <v>#N/A</v>
      </c>
      <c r="R69" s="65" t="str">
        <f>IF(ISERROR(Q69),"×",IF(Q69="-","×","○"))</f>
        <v>×</v>
      </c>
      <c r="S69" s="65" t="e">
        <f>VLOOKUP($E69&amp;S$5,'②-2勤務時間数入力'!$D$7:$Q$106,$P69,FALSE)</f>
        <v>#N/A</v>
      </c>
      <c r="T69" s="65" t="str">
        <f>IF(ISERROR(S69),"×",IF(S69="-","×","○"))</f>
        <v>×</v>
      </c>
      <c r="U69" s="65" t="e">
        <f>VLOOKUP($E69&amp;U$5,'②-2勤務時間数入力'!$D$7:$Q$106,$P69,FALSE)</f>
        <v>#N/A</v>
      </c>
      <c r="V69" s="65" t="str">
        <f>IF(ISERROR(U69),"×",IF(U69="-","×","○"))</f>
        <v>×</v>
      </c>
      <c r="W69" s="65" t="e">
        <f>VLOOKUP($E69&amp;W$5,'②-2勤務時間数入力'!$D$7:$Q$106,$P69,FALSE)</f>
        <v>#N/A</v>
      </c>
      <c r="X69" s="65" t="str">
        <f>IF(ISERROR(W69),"×",IF(W69="-","×","○"))</f>
        <v>×</v>
      </c>
    </row>
    <row r="70" spans="1:24" ht="13.5" customHeight="1">
      <c r="A70" s="839"/>
      <c r="B70" s="842"/>
      <c r="C70" s="735"/>
      <c r="D70" s="834"/>
      <c r="E70" s="145" t="str">
        <f t="shared" ref="E70:F70" si="107">IF(E64="","",E64)</f>
        <v/>
      </c>
      <c r="F70" s="145" t="str">
        <f t="shared" si="107"/>
        <v/>
      </c>
      <c r="G70" s="189" t="str">
        <f t="shared" si="98"/>
        <v/>
      </c>
      <c r="H70" s="190" t="str">
        <f t="shared" si="99"/>
        <v/>
      </c>
      <c r="I70" s="146" t="str">
        <f>IF($E70="","",IF($G70="正規職員","-",IF(AND(EXACT($C60,$C66),EXACT($E64,$E70),EXACT($G64,$G70)),I64,"賃金単価を記載")))</f>
        <v/>
      </c>
      <c r="J70" s="146" t="str">
        <f t="shared" si="102"/>
        <v/>
      </c>
      <c r="K70" s="146" t="str">
        <f>IF($E70="","",IF($G70="正規職員","-",IF(AND(EXACT($C60,$C66),EXACT($E64,$E70),EXACT($G64,$G70)),K64,"日額の交通費を記載（定期利用の場合は月額)")))</f>
        <v/>
      </c>
      <c r="L70" s="62" t="str">
        <f t="shared" si="100"/>
        <v/>
      </c>
      <c r="M70" s="62">
        <f>$M$6</f>
        <v>199000</v>
      </c>
      <c r="N70" s="62">
        <f>IFERROR(IF($C66="-","",IF(E70="","",IF(G70="正規職員",M70-L69,MIN(MIN(L70:M70),M69-N69)))),0)</f>
        <v>0</v>
      </c>
      <c r="O70" s="64" t="str">
        <f t="shared" si="103"/>
        <v/>
      </c>
      <c r="P70" s="65">
        <f t="shared" si="104"/>
        <v>13</v>
      </c>
      <c r="Q70" s="65" t="e">
        <f>VLOOKUP($E70&amp;Q$5,'②-2勤務時間数入力'!$D$7:$Q$106,$P70,FALSE)</f>
        <v>#N/A</v>
      </c>
      <c r="R70" s="65" t="str">
        <f>IF(ISERROR(Q70),"×",IF(Q70="-","×","○"))</f>
        <v>×</v>
      </c>
      <c r="S70" s="65" t="e">
        <f>VLOOKUP($E70&amp;S$5,'②-2勤務時間数入力'!$D$7:$Q$106,$P70,FALSE)</f>
        <v>#N/A</v>
      </c>
      <c r="T70" s="65" t="str">
        <f>IF(ISERROR(S70),"×",IF(S70="-","×","○"))</f>
        <v>×</v>
      </c>
      <c r="U70" s="65" t="e">
        <f>VLOOKUP($E70&amp;U$5,'②-2勤務時間数入力'!$D$7:$Q$106,$P70,FALSE)</f>
        <v>#N/A</v>
      </c>
      <c r="V70" s="65" t="str">
        <f>IF(ISERROR(U70),"×",IF(U70="-","×","○"))</f>
        <v>×</v>
      </c>
      <c r="W70" s="65" t="e">
        <f>VLOOKUP($E70&amp;W$5,'②-2勤務時間数入力'!$D$7:$Q$106,$P70,FALSE)</f>
        <v>#N/A</v>
      </c>
      <c r="X70" s="65" t="str">
        <f>IF(ISERROR(W70),"×",IF(W70="-","×","○"))</f>
        <v>×</v>
      </c>
    </row>
    <row r="71" spans="1:24" ht="13.5" customHeight="1">
      <c r="A71" s="840"/>
      <c r="B71" s="843"/>
      <c r="C71" s="736"/>
      <c r="D71" s="823"/>
      <c r="E71" s="1" t="s">
        <v>303</v>
      </c>
      <c r="F71" s="1"/>
      <c r="G71" s="189" t="s">
        <v>293</v>
      </c>
      <c r="H71" s="191"/>
      <c r="I71" s="63" t="s">
        <v>293</v>
      </c>
      <c r="J71" s="63"/>
      <c r="K71" s="63"/>
      <c r="L71" s="63" t="s">
        <v>293</v>
      </c>
      <c r="M71" s="63" t="s">
        <v>293</v>
      </c>
      <c r="N71" s="62">
        <f>MIN(IFERROR(IF(C66=1,IF(AND(B66="配置",OR(D66="調理師等",D66="栄養士")),MAX(SUM(N66:N70)-①基本情報!P43+10000,0),SUM(N66:N70)),0),0),$M$6)</f>
        <v>0</v>
      </c>
      <c r="O71" s="64" t="e">
        <f>IF(SUM(N66:N70)&gt;#REF!*$M$6,MIN($M$6,SUM(N66:N70)-ROUNDDOWN(#REF!*$M$6,0)),0)</f>
        <v>#REF!</v>
      </c>
      <c r="P71" s="65"/>
      <c r="Q71" s="65"/>
      <c r="R71" s="65"/>
      <c r="S71" s="65"/>
      <c r="T71" s="65"/>
      <c r="U71" s="65"/>
      <c r="V71" s="65"/>
      <c r="W71" s="65"/>
      <c r="X71" s="65"/>
    </row>
    <row r="72" spans="1:24" ht="13.5" customHeight="1">
      <c r="A72" s="820">
        <v>3</v>
      </c>
      <c r="B72" s="841" t="e">
        <f>IF(①基本情報!Q41="有",①基本情報!Q42,"無")</f>
        <v>#N/A</v>
      </c>
      <c r="C72" s="844" t="e">
        <f>IF(判定!AV20="NG","-",1)</f>
        <v>#N/A</v>
      </c>
      <c r="D72" s="822" t="str">
        <f>IFERROR(INDEX($L$83:$M$88,MATCH(判定!AV20,$L$83:$L$88,0),2),"-")</f>
        <v>-</v>
      </c>
      <c r="E72" s="145" t="str">
        <f>IF(E66="","",E66)</f>
        <v/>
      </c>
      <c r="F72" s="145" t="str">
        <f>IF(F66="","",F66)</f>
        <v/>
      </c>
      <c r="G72" s="189" t="str">
        <f>IF(E72="","",IF(R72="○",Q$5,IF(T72="○",S$5,IF(V72="○",U$5,IF(X72="○",W$5,"ERROR")))))</f>
        <v/>
      </c>
      <c r="H72" s="190" t="str">
        <f t="shared" ref="H72:H76" si="108">IF(E72="","",IF(R72="○",Q72,IF(T72="○",S72,IF(V72="○",U72,IF(X72="○",W72,"ERROR")))))</f>
        <v/>
      </c>
      <c r="I72" s="146" t="str">
        <f>IF($E72="","",IF($G72="正規職員","-",IF(AND(EXACT($C66,$C72),EXACT($E66,$E72),EXACT($G66,$G72)),I66,"賃金単価を記載")))</f>
        <v/>
      </c>
      <c r="J72" s="146" t="str">
        <f>IF($E72="","",IF($G72="正規職員","-","勤務日数を記載（定期利用の場合、1と記載)"))</f>
        <v/>
      </c>
      <c r="K72" s="146" t="str">
        <f>IF($E72="","",IF($G72="正規職員","-",IF(AND(EXACT($C66,$C72),EXACT($E66,$E72),EXACT($G66,$G72)),K66,"日額の交通費を記載（定期利用の場合は月額)")))</f>
        <v/>
      </c>
      <c r="L72" s="62" t="str">
        <f t="shared" ref="L72:L76" si="109">IF($E72="","",IF($G72="正規職員","-",(H72*I72+J72*K72)))</f>
        <v/>
      </c>
      <c r="M72" s="62">
        <f>$M$6</f>
        <v>199000</v>
      </c>
      <c r="N72" s="62">
        <f>IFERROR(IF($C72="-","",IF(E72="",0,IF(G72="正規職員",M72,MIN(L72:M72)))),0)</f>
        <v>0</v>
      </c>
      <c r="O72" s="64" t="str">
        <f>IF(E72="","",IF(COUNTIFS(E72,"*給食室*")=1,"○","エラー"))</f>
        <v/>
      </c>
      <c r="P72" s="65">
        <v>14</v>
      </c>
      <c r="Q72" s="65" t="e">
        <f>VLOOKUP($E72&amp;Q$5,'②-2勤務時間数入力'!$D$7:$Q$106,$P72,FALSE)</f>
        <v>#N/A</v>
      </c>
      <c r="R72" s="65" t="str">
        <f>IF(ISERROR(Q72),"×",IF(Q72="-","×","○"))</f>
        <v>×</v>
      </c>
      <c r="S72" s="65" t="e">
        <f>VLOOKUP($E72&amp;S$5,'②-2勤務時間数入力'!$D$7:$Q$106,$P72,FALSE)</f>
        <v>#N/A</v>
      </c>
      <c r="T72" s="65" t="str">
        <f>IF(ISERROR(S72),"×",IF(S72="-","×","○"))</f>
        <v>×</v>
      </c>
      <c r="U72" s="65" t="e">
        <f>VLOOKUP($E72&amp;U$5,'②-2勤務時間数入力'!$D$7:$Q$106,$P72,FALSE)</f>
        <v>#N/A</v>
      </c>
      <c r="V72" s="65" t="str">
        <f>IF(ISERROR(U72),"×",IF(U72="-","×","○"))</f>
        <v>×</v>
      </c>
      <c r="W72" s="65" t="e">
        <f>VLOOKUP($E72&amp;W$5,'②-2勤務時間数入力'!$D$7:$Q$106,$P72,FALSE)</f>
        <v>#N/A</v>
      </c>
      <c r="X72" s="65" t="str">
        <f>IF(ISERROR(W72),"×",IF(W72="-","×","○"))</f>
        <v>×</v>
      </c>
    </row>
    <row r="73" spans="1:24" ht="13.5" customHeight="1">
      <c r="A73" s="839"/>
      <c r="B73" s="842"/>
      <c r="C73" s="735"/>
      <c r="D73" s="834"/>
      <c r="E73" s="145" t="str">
        <f t="shared" ref="E73:F73" si="110">IF(E67="","",E67)</f>
        <v/>
      </c>
      <c r="F73" s="145" t="str">
        <f t="shared" si="110"/>
        <v/>
      </c>
      <c r="G73" s="189" t="str">
        <f t="shared" ref="G73:G76" si="111">IF(E73="","",IF(R73="○",Q$5,IF(T73="○",S$5,IF(V73="○",U$5,IF(X73="○",W$5,"ERROR")))))</f>
        <v/>
      </c>
      <c r="H73" s="190" t="str">
        <f t="shared" si="108"/>
        <v/>
      </c>
      <c r="I73" s="146" t="str">
        <f>IF($E73="","",IF($G73="正規職員","-",IF(AND(EXACT($C66,$C72),EXACT($E67,$E73),EXACT($G67,$G73)),I67,"賃金単価を記載")))</f>
        <v/>
      </c>
      <c r="J73" s="146" t="str">
        <f t="shared" ref="J73:J76" si="112">IF($E73="","",IF($G73="正規職員","-","勤務日数を記載（定期利用の場合、1と記載)"))</f>
        <v/>
      </c>
      <c r="K73" s="146" t="str">
        <f>IF($E73="","",IF($G73="正規職員","-",IF(AND(EXACT($C66,$C72),EXACT($E67,$E73),EXACT($G67,$G73)),K67,"日額の交通費を記載（定期利用の場合は月額)")))</f>
        <v/>
      </c>
      <c r="L73" s="62" t="str">
        <f t="shared" si="109"/>
        <v/>
      </c>
      <c r="M73" s="62">
        <f>$M$6</f>
        <v>199000</v>
      </c>
      <c r="N73" s="62">
        <f>IFERROR(IF($C72="-","",IF(E73="","",IF(G73="正規職員",M73-L72,MIN(MIN(L73:M73),M72-N72)))),0)</f>
        <v>0</v>
      </c>
      <c r="O73" s="64" t="str">
        <f t="shared" ref="O73:O76" si="113">IF(E73="","",IF(COUNTIFS(E73,"*給食室*")=1,"○","エラー"))</f>
        <v/>
      </c>
      <c r="P73" s="65">
        <f t="shared" ref="P73:P76" si="114">P72</f>
        <v>14</v>
      </c>
      <c r="Q73" s="65" t="e">
        <f>VLOOKUP($E73&amp;Q$5,'②-2勤務時間数入力'!$D$7:$Q$106,$P73,FALSE)</f>
        <v>#N/A</v>
      </c>
      <c r="R73" s="65" t="str">
        <f>IF(ISERROR(Q73),"×",IF(Q73="-","×","○"))</f>
        <v>×</v>
      </c>
      <c r="S73" s="65" t="e">
        <f>VLOOKUP($E73&amp;S$5,'②-2勤務時間数入力'!$D$7:$Q$106,$P73,FALSE)</f>
        <v>#N/A</v>
      </c>
      <c r="T73" s="65" t="str">
        <f>IF(ISERROR(S73),"×",IF(S73="-","×","○"))</f>
        <v>×</v>
      </c>
      <c r="U73" s="65" t="e">
        <f>VLOOKUP($E73&amp;U$5,'②-2勤務時間数入力'!$D$7:$Q$106,$P73,FALSE)</f>
        <v>#N/A</v>
      </c>
      <c r="V73" s="65" t="str">
        <f>IF(ISERROR(U73),"×",IF(U73="-","×","○"))</f>
        <v>×</v>
      </c>
      <c r="W73" s="65" t="e">
        <f>VLOOKUP($E73&amp;W$5,'②-2勤務時間数入力'!$D$7:$Q$106,$P73,FALSE)</f>
        <v>#N/A</v>
      </c>
      <c r="X73" s="65" t="str">
        <f>IF(ISERROR(W73),"×",IF(W73="-","×","○"))</f>
        <v>×</v>
      </c>
    </row>
    <row r="74" spans="1:24" ht="13.5" customHeight="1">
      <c r="A74" s="839"/>
      <c r="B74" s="842"/>
      <c r="C74" s="735"/>
      <c r="D74" s="834"/>
      <c r="E74" s="145" t="str">
        <f t="shared" ref="E74:F74" si="115">IF(E68="","",E68)</f>
        <v/>
      </c>
      <c r="F74" s="145" t="str">
        <f t="shared" si="115"/>
        <v/>
      </c>
      <c r="G74" s="189" t="str">
        <f t="shared" si="111"/>
        <v/>
      </c>
      <c r="H74" s="190" t="str">
        <f t="shared" si="108"/>
        <v/>
      </c>
      <c r="I74" s="146" t="str">
        <f>IF($E74="","",IF($G74="正規職員","-",IF(AND(EXACT($C66,$C72),EXACT($E68,$E74),EXACT($G68,$G74)),I68,"賃金単価を記載")))</f>
        <v/>
      </c>
      <c r="J74" s="146" t="str">
        <f>IF($E74="","",IF($G74="正規職員","-","勤務日数を記載（定期利用の場合、1と記載)"))</f>
        <v/>
      </c>
      <c r="K74" s="146" t="str">
        <f>IF($E74="","",IF($G74="正規職員","-",IF(AND(EXACT($C66,$C72),EXACT($E68,$E74),EXACT($G68,$G74)),K68,"日額の交通費を記載（定期利用の場合は月額)")))</f>
        <v/>
      </c>
      <c r="L74" s="62" t="str">
        <f t="shared" si="109"/>
        <v/>
      </c>
      <c r="M74" s="62">
        <f>$M$6</f>
        <v>199000</v>
      </c>
      <c r="N74" s="62">
        <f>IFERROR(IF($C72="-","",IF(E74="","",IF(G74="正規職員",M74-L73,MIN(MIN(L74:M74),M73-N73)))),0)</f>
        <v>0</v>
      </c>
      <c r="O74" s="64" t="str">
        <f t="shared" si="113"/>
        <v/>
      </c>
      <c r="P74" s="65">
        <f t="shared" si="114"/>
        <v>14</v>
      </c>
      <c r="Q74" s="65" t="e">
        <f>VLOOKUP($E74&amp;Q$5,'②-2勤務時間数入力'!$D$7:$Q$106,$P74,FALSE)</f>
        <v>#N/A</v>
      </c>
      <c r="R74" s="65" t="str">
        <f>IF(ISERROR(Q74),"×",IF(Q74="-","×","○"))</f>
        <v>×</v>
      </c>
      <c r="S74" s="65" t="e">
        <f>VLOOKUP($E74&amp;S$5,'②-2勤務時間数入力'!$D$7:$Q$106,$P74,FALSE)</f>
        <v>#N/A</v>
      </c>
      <c r="T74" s="65" t="str">
        <f>IF(ISERROR(S74),"×",IF(S74="-","×","○"))</f>
        <v>×</v>
      </c>
      <c r="U74" s="65" t="e">
        <f>VLOOKUP($E74&amp;U$5,'②-2勤務時間数入力'!$D$7:$Q$106,$P74,FALSE)</f>
        <v>#N/A</v>
      </c>
      <c r="V74" s="65" t="str">
        <f>IF(ISERROR(U74),"×",IF(U74="-","×","○"))</f>
        <v>×</v>
      </c>
      <c r="W74" s="65" t="e">
        <f>VLOOKUP($E74&amp;W$5,'②-2勤務時間数入力'!$D$7:$Q$106,$P74,FALSE)</f>
        <v>#N/A</v>
      </c>
      <c r="X74" s="65" t="str">
        <f>IF(ISERROR(W74),"×",IF(W74="-","×","○"))</f>
        <v>×</v>
      </c>
    </row>
    <row r="75" spans="1:24" ht="13.5" customHeight="1">
      <c r="A75" s="839"/>
      <c r="B75" s="842"/>
      <c r="C75" s="735"/>
      <c r="D75" s="834"/>
      <c r="E75" s="145" t="str">
        <f t="shared" ref="E75:F75" si="116">IF(E69="","",E69)</f>
        <v/>
      </c>
      <c r="F75" s="145" t="str">
        <f t="shared" si="116"/>
        <v/>
      </c>
      <c r="G75" s="189" t="str">
        <f t="shared" si="111"/>
        <v/>
      </c>
      <c r="H75" s="190" t="str">
        <f t="shared" si="108"/>
        <v/>
      </c>
      <c r="I75" s="146" t="str">
        <f>IF($E75="","",IF($G75="正規職員","-",IF(AND(EXACT($C66,$C72),EXACT($E69,$E75),EXACT($G69,$G75)),I69,"賃金単価を記載")))</f>
        <v/>
      </c>
      <c r="J75" s="146" t="str">
        <f t="shared" si="112"/>
        <v/>
      </c>
      <c r="K75" s="146" t="str">
        <f>IF($E75="","",IF($G75="正規職員","-",IF(AND(EXACT($C66,$C72),EXACT($E69,$E75),EXACT($G69,$G75)),K69,"日額の交通費を記載（定期利用の場合は月額)")))</f>
        <v/>
      </c>
      <c r="L75" s="62" t="str">
        <f t="shared" si="109"/>
        <v/>
      </c>
      <c r="M75" s="62">
        <f>$M$6</f>
        <v>199000</v>
      </c>
      <c r="N75" s="62">
        <f>IFERROR(IF($C72="-","",IF(E75="","",IF(G75="正規職員",M75-L74,MIN(MIN(L75:M75),M74-N74)))),0)</f>
        <v>0</v>
      </c>
      <c r="O75" s="64" t="str">
        <f t="shared" si="113"/>
        <v/>
      </c>
      <c r="P75" s="65">
        <f t="shared" si="114"/>
        <v>14</v>
      </c>
      <c r="Q75" s="65" t="e">
        <f>VLOOKUP($E75&amp;Q$5,'②-2勤務時間数入力'!$D$7:$Q$106,$P75,FALSE)</f>
        <v>#N/A</v>
      </c>
      <c r="R75" s="65" t="str">
        <f>IF(ISERROR(Q75),"×",IF(Q75="-","×","○"))</f>
        <v>×</v>
      </c>
      <c r="S75" s="65" t="e">
        <f>VLOOKUP($E75&amp;S$5,'②-2勤務時間数入力'!$D$7:$Q$106,$P75,FALSE)</f>
        <v>#N/A</v>
      </c>
      <c r="T75" s="65" t="str">
        <f>IF(ISERROR(S75),"×",IF(S75="-","×","○"))</f>
        <v>×</v>
      </c>
      <c r="U75" s="65" t="e">
        <f>VLOOKUP($E75&amp;U$5,'②-2勤務時間数入力'!$D$7:$Q$106,$P75,FALSE)</f>
        <v>#N/A</v>
      </c>
      <c r="V75" s="65" t="str">
        <f>IF(ISERROR(U75),"×",IF(U75="-","×","○"))</f>
        <v>×</v>
      </c>
      <c r="W75" s="65" t="e">
        <f>VLOOKUP($E75&amp;W$5,'②-2勤務時間数入力'!$D$7:$Q$106,$P75,FALSE)</f>
        <v>#N/A</v>
      </c>
      <c r="X75" s="65" t="str">
        <f>IF(ISERROR(W75),"×",IF(W75="-","×","○"))</f>
        <v>×</v>
      </c>
    </row>
    <row r="76" spans="1:24" ht="13.5" customHeight="1">
      <c r="A76" s="839"/>
      <c r="B76" s="842"/>
      <c r="C76" s="735"/>
      <c r="D76" s="834"/>
      <c r="E76" s="145" t="str">
        <f t="shared" ref="E76:F76" si="117">IF(E70="","",E70)</f>
        <v/>
      </c>
      <c r="F76" s="145" t="str">
        <f t="shared" si="117"/>
        <v/>
      </c>
      <c r="G76" s="189" t="str">
        <f t="shared" si="111"/>
        <v/>
      </c>
      <c r="H76" s="190" t="str">
        <f t="shared" si="108"/>
        <v/>
      </c>
      <c r="I76" s="146" t="str">
        <f>IF($E76="","",IF($G76="正規職員","-",IF(AND(EXACT($C66,$C72),EXACT($E70,$E76),EXACT($G70,$G76)),I70,"賃金単価を記載")))</f>
        <v/>
      </c>
      <c r="J76" s="146" t="str">
        <f t="shared" si="112"/>
        <v/>
      </c>
      <c r="K76" s="146" t="str">
        <f>IF($E76="","",IF($G76="正規職員","-",IF(AND(EXACT($C66,$C72),EXACT($E70,$E76),EXACT($G70,$G76)),K70,"日額の交通費を記載（定期利用の場合は月額)")))</f>
        <v/>
      </c>
      <c r="L76" s="62" t="str">
        <f t="shared" si="109"/>
        <v/>
      </c>
      <c r="M76" s="62">
        <f>$M$6</f>
        <v>199000</v>
      </c>
      <c r="N76" s="62">
        <f>IFERROR(IF($C72="-","",IF(E76="","",IF(G76="正規職員",M76-L75,MIN(MIN(L76:M76),M75-N75)))),0)</f>
        <v>0</v>
      </c>
      <c r="O76" s="64" t="str">
        <f t="shared" si="113"/>
        <v/>
      </c>
      <c r="P76" s="65">
        <f t="shared" si="114"/>
        <v>14</v>
      </c>
      <c r="Q76" s="65" t="e">
        <f>VLOOKUP($E76&amp;Q$5,'②-2勤務時間数入力'!$D$7:$Q$106,$P76,FALSE)</f>
        <v>#N/A</v>
      </c>
      <c r="R76" s="65" t="str">
        <f>IF(ISERROR(Q76),"×",IF(Q76="-","×","○"))</f>
        <v>×</v>
      </c>
      <c r="S76" s="65" t="e">
        <f>VLOOKUP($E76&amp;S$5,'②-2勤務時間数入力'!$D$7:$Q$106,$P76,FALSE)</f>
        <v>#N/A</v>
      </c>
      <c r="T76" s="65" t="str">
        <f>IF(ISERROR(S76),"×",IF(S76="-","×","○"))</f>
        <v>×</v>
      </c>
      <c r="U76" s="65" t="e">
        <f>VLOOKUP($E76&amp;U$5,'②-2勤務時間数入力'!$D$7:$Q$106,$P76,FALSE)</f>
        <v>#N/A</v>
      </c>
      <c r="V76" s="65" t="str">
        <f>IF(ISERROR(U76),"×",IF(U76="-","×","○"))</f>
        <v>×</v>
      </c>
      <c r="W76" s="65" t="e">
        <f>VLOOKUP($E76&amp;W$5,'②-2勤務時間数入力'!$D$7:$Q$106,$P76,FALSE)</f>
        <v>#N/A</v>
      </c>
      <c r="X76" s="65" t="str">
        <f>IF(ISERROR(W76),"×",IF(W76="-","×","○"))</f>
        <v>×</v>
      </c>
    </row>
    <row r="77" spans="1:24" ht="13.5" customHeight="1">
      <c r="A77" s="840"/>
      <c r="B77" s="843"/>
      <c r="C77" s="736"/>
      <c r="D77" s="823"/>
      <c r="E77" s="1" t="s">
        <v>304</v>
      </c>
      <c r="F77" s="1"/>
      <c r="G77" s="189" t="s">
        <v>293</v>
      </c>
      <c r="H77" s="191"/>
      <c r="I77" s="63" t="s">
        <v>293</v>
      </c>
      <c r="J77" s="63"/>
      <c r="K77" s="63"/>
      <c r="L77" s="63" t="s">
        <v>293</v>
      </c>
      <c r="M77" s="63" t="s">
        <v>293</v>
      </c>
      <c r="N77" s="62">
        <f>MIN(IFERROR(IF(C72=1,IF(AND(B72="配置",OR(D72="調理師等",D72="栄養士")),MAX(SUM(N72:N76)-①基本情報!Q43+10000,0),SUM(N72:N76)),0),0),$M$6)</f>
        <v>0</v>
      </c>
      <c r="O77" s="64" t="e">
        <f>IF(SUM(N72:N76)&gt;#REF!*$M$6,MIN($M$6,SUM(N72:N76)-ROUNDDOWN(#REF!*$M$6,0)),0)</f>
        <v>#REF!</v>
      </c>
      <c r="P77" s="65"/>
      <c r="Q77" s="65"/>
      <c r="R77" s="65"/>
      <c r="S77" s="65"/>
      <c r="T77" s="65"/>
      <c r="U77" s="65"/>
      <c r="V77" s="65"/>
      <c r="W77" s="65"/>
      <c r="X77" s="65"/>
    </row>
    <row r="78" spans="1:24" ht="13.5" customHeight="1">
      <c r="A78" s="61" t="s">
        <v>284</v>
      </c>
      <c r="B78" s="61"/>
      <c r="C78" s="61"/>
      <c r="D78" s="61"/>
      <c r="E78" s="1"/>
      <c r="F78" s="1"/>
      <c r="G78" s="190"/>
      <c r="H78" s="190"/>
      <c r="I78" s="62"/>
      <c r="J78" s="62"/>
      <c r="K78" s="62"/>
      <c r="L78" s="62"/>
      <c r="M78" s="62"/>
      <c r="N78" s="66">
        <f>ROUNDDOWN(SUM(N11,N17,N23,N29,N35,N41,N47,N53,N59,N65,N71,N77),-3)</f>
        <v>0</v>
      </c>
    </row>
    <row r="79" spans="1:24">
      <c r="E79" s="64"/>
      <c r="F79" s="64"/>
      <c r="G79" s="64"/>
      <c r="H79" s="64"/>
      <c r="I79" s="64"/>
      <c r="J79" s="64"/>
      <c r="K79" s="64"/>
      <c r="L79" s="64"/>
      <c r="M79" s="64"/>
      <c r="N79" s="64"/>
    </row>
    <row r="82" spans="3:13" hidden="1">
      <c r="D82" s="85" t="s">
        <v>371</v>
      </c>
      <c r="E82" s="85"/>
      <c r="F82" s="85"/>
      <c r="G82" s="85"/>
      <c r="H82" s="85"/>
      <c r="I82" s="85"/>
      <c r="M82" t="s">
        <v>1276</v>
      </c>
    </row>
    <row r="83" spans="3:13" ht="38.25" hidden="1" customHeight="1">
      <c r="D83" s="85" t="s">
        <v>375</v>
      </c>
      <c r="E83" s="85"/>
      <c r="F83" s="85"/>
      <c r="G83" s="85"/>
      <c r="H83" s="85"/>
      <c r="I83" s="85"/>
      <c r="L83" t="s">
        <v>1272</v>
      </c>
      <c r="M83" t="str">
        <f>'②-1職員名簿'!C144</f>
        <v>保育士</v>
      </c>
    </row>
    <row r="84" spans="3:13" hidden="1">
      <c r="D84" s="85" t="s">
        <v>405</v>
      </c>
      <c r="E84" s="85"/>
      <c r="F84" s="85"/>
      <c r="G84" s="85"/>
      <c r="H84" s="85"/>
      <c r="I84" s="85"/>
      <c r="L84" t="s">
        <v>1273</v>
      </c>
      <c r="M84" t="str">
        <f>'②-1職員名簿'!C145</f>
        <v>要件緩和</v>
      </c>
    </row>
    <row r="85" spans="3:13" ht="150" hidden="1" customHeight="1">
      <c r="D85" s="144" t="s">
        <v>344</v>
      </c>
      <c r="E85" s="830" t="s">
        <v>1604</v>
      </c>
      <c r="F85" s="830"/>
      <c r="G85" s="830"/>
      <c r="H85" s="830"/>
      <c r="I85" s="830"/>
      <c r="L85" t="s">
        <v>1274</v>
      </c>
      <c r="M85" t="str">
        <f>'②-1職員名簿'!C146</f>
        <v>看護師等</v>
      </c>
    </row>
    <row r="86" spans="3:13" ht="79.5" hidden="1" customHeight="1">
      <c r="D86" s="144" t="s">
        <v>1583</v>
      </c>
      <c r="E86" s="830" t="s">
        <v>1585</v>
      </c>
      <c r="F86" s="830"/>
      <c r="G86" s="830"/>
      <c r="H86" s="830"/>
      <c r="I86" s="830"/>
      <c r="L86" t="s">
        <v>1275</v>
      </c>
      <c r="M86" t="str">
        <f>'②-1職員名簿'!C147</f>
        <v>栄養士</v>
      </c>
    </row>
    <row r="87" spans="3:13" ht="60" hidden="1" customHeight="1">
      <c r="D87" s="144" t="s">
        <v>377</v>
      </c>
      <c r="E87" s="830" t="s">
        <v>373</v>
      </c>
      <c r="F87" s="830"/>
      <c r="G87" s="830"/>
      <c r="H87" s="830"/>
      <c r="I87" s="830"/>
      <c r="L87" t="s">
        <v>1279</v>
      </c>
      <c r="M87" t="str">
        <f>'②-1職員名簿'!C148</f>
        <v>調理師等</v>
      </c>
    </row>
    <row r="88" spans="3:13" ht="60" hidden="1" customHeight="1">
      <c r="D88" s="144" t="s">
        <v>1079</v>
      </c>
      <c r="E88" s="830" t="s">
        <v>376</v>
      </c>
      <c r="F88" s="830"/>
      <c r="G88" s="830"/>
      <c r="H88" s="830"/>
      <c r="I88" s="830"/>
      <c r="L88" t="s">
        <v>1280</v>
      </c>
      <c r="M88" t="str">
        <f>'②-1職員名簿'!C149</f>
        <v>保育支援者</v>
      </c>
    </row>
    <row r="89" spans="3:13" ht="60" hidden="1" customHeight="1">
      <c r="D89" s="144" t="s">
        <v>1080</v>
      </c>
      <c r="E89" s="830" t="s">
        <v>378</v>
      </c>
      <c r="F89" s="830"/>
      <c r="G89" s="830"/>
      <c r="H89" s="830"/>
      <c r="I89" s="830"/>
    </row>
    <row r="90" spans="3:13" hidden="1"/>
    <row r="92" spans="3:13">
      <c r="C92" s="851"/>
      <c r="D92" s="851"/>
      <c r="E92" s="852"/>
      <c r="F92" s="852"/>
      <c r="G92" s="852"/>
      <c r="H92" s="852"/>
    </row>
  </sheetData>
  <sheetProtection algorithmName="SHA-512" hashValue="m6J4NBuEf2b6FBGZiB8aDzbXI3j48TQFJK2F0mVCJ/Vf9uAjXY/qkfGmhMnPx3zNmd9rIR3C+dqPqf2/0LTnAA==" saltValue="TFMXMWQ2YWvhbKZwwPTegg==" spinCount="100000" sheet="1" selectLockedCells="1"/>
  <mergeCells count="61">
    <mergeCell ref="A1:N1"/>
    <mergeCell ref="G2:H2"/>
    <mergeCell ref="I2:N2"/>
    <mergeCell ref="Q5:R5"/>
    <mergeCell ref="S5:T5"/>
    <mergeCell ref="W5:X5"/>
    <mergeCell ref="A6:A11"/>
    <mergeCell ref="B6:B11"/>
    <mergeCell ref="C6:C11"/>
    <mergeCell ref="D6:D11"/>
    <mergeCell ref="U5:V5"/>
    <mergeCell ref="A12:A17"/>
    <mergeCell ref="B12:B17"/>
    <mergeCell ref="C12:C17"/>
    <mergeCell ref="A18:A23"/>
    <mergeCell ref="B18:B23"/>
    <mergeCell ref="C18:C23"/>
    <mergeCell ref="A24:A29"/>
    <mergeCell ref="B24:B29"/>
    <mergeCell ref="C24:C29"/>
    <mergeCell ref="A30:A35"/>
    <mergeCell ref="B30:B35"/>
    <mergeCell ref="C30:C35"/>
    <mergeCell ref="A36:A41"/>
    <mergeCell ref="B36:B41"/>
    <mergeCell ref="C36:C41"/>
    <mergeCell ref="A42:A47"/>
    <mergeCell ref="B42:B47"/>
    <mergeCell ref="C42:C47"/>
    <mergeCell ref="A48:A53"/>
    <mergeCell ref="B48:B53"/>
    <mergeCell ref="C48:C53"/>
    <mergeCell ref="A54:A59"/>
    <mergeCell ref="B54:B59"/>
    <mergeCell ref="C54:C59"/>
    <mergeCell ref="C92:H92"/>
    <mergeCell ref="E85:I85"/>
    <mergeCell ref="E86:I86"/>
    <mergeCell ref="A60:A65"/>
    <mergeCell ref="B60:B65"/>
    <mergeCell ref="C60:C65"/>
    <mergeCell ref="A66:A71"/>
    <mergeCell ref="B66:B71"/>
    <mergeCell ref="C66:C71"/>
    <mergeCell ref="E87:I87"/>
    <mergeCell ref="E88:I88"/>
    <mergeCell ref="E89:I89"/>
    <mergeCell ref="A72:A77"/>
    <mergeCell ref="B72:B77"/>
    <mergeCell ref="C72:C77"/>
    <mergeCell ref="D72:D77"/>
    <mergeCell ref="D12:D17"/>
    <mergeCell ref="D18:D23"/>
    <mergeCell ref="D24:D29"/>
    <mergeCell ref="D30:D35"/>
    <mergeCell ref="D36:D41"/>
    <mergeCell ref="D42:D47"/>
    <mergeCell ref="D48:D53"/>
    <mergeCell ref="D54:D59"/>
    <mergeCell ref="D60:D65"/>
    <mergeCell ref="D66:D71"/>
  </mergeCells>
  <phoneticPr fontId="1"/>
  <conditionalFormatting sqref="E6:F10">
    <cfRule type="containsBlanks" dxfId="53" priority="11">
      <formula>LEN(TRIM(E6))=0</formula>
    </cfRule>
  </conditionalFormatting>
  <conditionalFormatting sqref="E12:F16">
    <cfRule type="containsBlanks" dxfId="52" priority="15">
      <formula>LEN(TRIM(E12))=0</formula>
    </cfRule>
  </conditionalFormatting>
  <conditionalFormatting sqref="E18:F22">
    <cfRule type="containsBlanks" dxfId="51" priority="10">
      <formula>LEN(TRIM(E18))=0</formula>
    </cfRule>
  </conditionalFormatting>
  <conditionalFormatting sqref="E24:F28">
    <cfRule type="containsBlanks" dxfId="50" priority="9">
      <formula>LEN(TRIM(E24))=0</formula>
    </cfRule>
  </conditionalFormatting>
  <conditionalFormatting sqref="E30:F34">
    <cfRule type="containsBlanks" dxfId="49" priority="8">
      <formula>LEN(TRIM(E30))=0</formula>
    </cfRule>
  </conditionalFormatting>
  <conditionalFormatting sqref="E36:F40">
    <cfRule type="containsBlanks" dxfId="48" priority="7">
      <formula>LEN(TRIM(E36))=0</formula>
    </cfRule>
  </conditionalFormatting>
  <conditionalFormatting sqref="E42:F46">
    <cfRule type="containsBlanks" dxfId="47" priority="6">
      <formula>LEN(TRIM(E42))=0</formula>
    </cfRule>
  </conditionalFormatting>
  <conditionalFormatting sqref="E48:F52">
    <cfRule type="containsBlanks" dxfId="46" priority="5">
      <formula>LEN(TRIM(E48))=0</formula>
    </cfRule>
  </conditionalFormatting>
  <conditionalFormatting sqref="E54:F58">
    <cfRule type="containsBlanks" dxfId="45" priority="4">
      <formula>LEN(TRIM(E54))=0</formula>
    </cfRule>
  </conditionalFormatting>
  <conditionalFormatting sqref="E60:F64">
    <cfRule type="containsBlanks" dxfId="44" priority="3">
      <formula>LEN(TRIM(E60))=0</formula>
    </cfRule>
  </conditionalFormatting>
  <conditionalFormatting sqref="E66:F70">
    <cfRule type="containsBlanks" dxfId="43" priority="2">
      <formula>LEN(TRIM(E66))=0</formula>
    </cfRule>
  </conditionalFormatting>
  <conditionalFormatting sqref="E72:F76">
    <cfRule type="containsBlanks" dxfId="42" priority="1">
      <formula>LEN(TRIM(E72))=0</formula>
    </cfRule>
  </conditionalFormatting>
  <conditionalFormatting sqref="I6:I77">
    <cfRule type="containsText" dxfId="41" priority="29" operator="containsText" text="賃金単価を記載">
      <formula>NOT(ISERROR(SEARCH("賃金単価を記載",I6)))</formula>
    </cfRule>
  </conditionalFormatting>
  <conditionalFormatting sqref="J6:J77">
    <cfRule type="containsText" dxfId="40" priority="16" operator="containsText" text="勤務日数を記載（定期利用の場合、1と記載)">
      <formula>NOT(ISERROR(SEARCH("勤務日数を記載（定期利用の場合、1と記載)",J6)))</formula>
    </cfRule>
  </conditionalFormatting>
  <conditionalFormatting sqref="K6:K78">
    <cfRule type="containsText" dxfId="39" priority="27" operator="containsText" text="日額の交通費を記載（定期利用の場合は月額)">
      <formula>NOT(ISERROR(SEARCH("日額の交通費を記載（定期利用の場合は月額)",K6)))</formula>
    </cfRule>
  </conditionalFormatting>
  <conditionalFormatting sqref="K12:K16">
    <cfRule type="containsText" dxfId="38" priority="14" operator="containsText" text="賃金単価を記載">
      <formula>NOT(ISERROR(SEARCH("賃金単価を記載",K12)))</formula>
    </cfRule>
  </conditionalFormatting>
  <conditionalFormatting sqref="K18:K22 K24:K28 K30:K34 K36:K40 K42:K46 K48:K52 K54:K58 K60:K64 K66:K70 K72:K76">
    <cfRule type="containsText" dxfId="37" priority="13" operator="containsText" text="賃金単価を記載">
      <formula>NOT(ISERROR(SEARCH("賃金単価を記載",K18)))</formula>
    </cfRule>
  </conditionalFormatting>
  <dataValidations count="1">
    <dataValidation type="list" allowBlank="1" showInputMessage="1" showErrorMessage="1" sqref="F6:F10" xr:uid="{B6C61D1B-A0D2-4F4E-B522-D6D9BE35F115}">
      <formula1>"○"</formula1>
    </dataValidation>
  </dataValidations>
  <pageMargins left="0.70866141732283472" right="0.70866141732283472" top="0.74803149606299213" bottom="0.74803149606299213" header="0.31496062992125984" footer="0.31496062992125984"/>
  <pageSetup paperSize="9" scale="42"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補助対象職種」の欄に記載された職種の方を優先的に選択_x000a_→他職種の方を選択することもできますが、複数の職種の方の混在はできません。_x000a_　例えば　「補助対象職種」が「保育士」の時に「保育士」と「保育支援者」の方を「対象者名」に入力することはできません。_x000a_※用語の定義_x000a_　看護師等→看護師、准看護師、保健師_x000a_　保育支援者→事務、通訳、補助者、調理員" xr:uid="{FBE500F2-0ECF-433A-9D21-8B6E1022064E}">
          <x14:formula1>
            <xm:f>'②-1職員名簿'!$Y$7:$Y$106</xm:f>
          </x14:formula1>
          <xm:sqref>E6:E10 E12:E77</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3F6A7-66E1-4625-B9C2-DBCBF387048B}">
  <sheetPr>
    <tabColor rgb="FF00B050"/>
    <pageSetUpPr fitToPage="1"/>
  </sheetPr>
  <dimension ref="A1:T158"/>
  <sheetViews>
    <sheetView view="pageBreakPreview" zoomScale="85" zoomScaleNormal="100" zoomScaleSheetLayoutView="85" workbookViewId="0">
      <selection activeCell="D6" sqref="D6"/>
    </sheetView>
  </sheetViews>
  <sheetFormatPr defaultRowHeight="18"/>
  <cols>
    <col min="2" max="2" width="4.75" customWidth="1"/>
    <col min="3" max="3" width="13" customWidth="1"/>
    <col min="4" max="4" width="28.33203125" customWidth="1"/>
    <col min="5" max="9" width="11.25" customWidth="1"/>
    <col min="10" max="10" width="15" customWidth="1"/>
    <col min="11" max="11" width="0" hidden="1" customWidth="1"/>
  </cols>
  <sheetData>
    <row r="1" spans="1:20" s="21" customFormat="1" ht="19">
      <c r="A1" s="826" t="s">
        <v>1377</v>
      </c>
      <c r="B1" s="826"/>
      <c r="C1" s="826"/>
      <c r="D1" s="826"/>
      <c r="E1" s="826"/>
      <c r="F1" s="826"/>
      <c r="G1" s="826"/>
      <c r="H1" s="826"/>
      <c r="I1" s="826"/>
      <c r="J1" s="826"/>
      <c r="K1" s="203"/>
      <c r="L1" s="203"/>
      <c r="M1" s="203"/>
      <c r="N1" s="203"/>
      <c r="O1" s="203"/>
    </row>
    <row r="2" spans="1:20" s="21" customFormat="1" ht="13.5" customHeight="1">
      <c r="E2" s="849" t="s">
        <v>114</v>
      </c>
      <c r="F2" s="849"/>
      <c r="G2" s="850">
        <f>①基本情報!D5</f>
        <v>0</v>
      </c>
      <c r="H2" s="850"/>
      <c r="I2" s="850"/>
      <c r="J2" s="850"/>
      <c r="L2" s="21" t="s">
        <v>148</v>
      </c>
    </row>
    <row r="3" spans="1:20" s="21" customFormat="1" ht="2.25" customHeight="1">
      <c r="E3" s="68"/>
      <c r="F3" s="68"/>
      <c r="G3" s="69"/>
      <c r="H3" s="69"/>
      <c r="I3" s="69"/>
      <c r="J3" s="69"/>
    </row>
    <row r="4" spans="1:20" ht="15" customHeight="1">
      <c r="A4" s="59" t="s">
        <v>306</v>
      </c>
      <c r="B4" t="s">
        <v>1418</v>
      </c>
    </row>
    <row r="5" spans="1:20" ht="36">
      <c r="B5" s="67" t="s">
        <v>1283</v>
      </c>
      <c r="C5" s="205" t="s">
        <v>1309</v>
      </c>
      <c r="D5" s="55" t="s">
        <v>274</v>
      </c>
      <c r="E5" s="55" t="s">
        <v>275</v>
      </c>
      <c r="F5" s="55" t="s">
        <v>276</v>
      </c>
      <c r="G5" s="55" t="s">
        <v>277</v>
      </c>
      <c r="H5" s="55" t="s">
        <v>278</v>
      </c>
      <c r="I5" s="55" t="s">
        <v>279</v>
      </c>
      <c r="J5" s="55" t="s">
        <v>280</v>
      </c>
      <c r="L5" s="60" t="s">
        <v>281</v>
      </c>
      <c r="M5" s="828" t="s">
        <v>224</v>
      </c>
      <c r="N5" s="829"/>
      <c r="O5" s="828" t="s">
        <v>225</v>
      </c>
      <c r="P5" s="829"/>
      <c r="Q5" s="828" t="s">
        <v>282</v>
      </c>
      <c r="R5" s="829"/>
      <c r="S5" s="828" t="s">
        <v>283</v>
      </c>
      <c r="T5" s="829"/>
    </row>
    <row r="6" spans="1:20" ht="13.5" customHeight="1">
      <c r="A6" s="820">
        <v>4</v>
      </c>
      <c r="B6" s="855" t="str">
        <f>IF(判定!AY9&gt;=1,判定!AY9,"-")</f>
        <v>-</v>
      </c>
      <c r="C6" s="841" t="str">
        <f>IF(B6&gt;=1,IFERROR(INDEX($F$153:$G$158,MATCH(判定!AH9,$F$153:$F$158,0),2),"-"),"-")</f>
        <v>-</v>
      </c>
      <c r="D6" s="145"/>
      <c r="E6" s="63" t="str">
        <f>IF(D6="","",IF(N6="○",M$5,IF(P6="○",O$5,IF(R6="○",Q$5,IF(T6="○",S$5,"ERROR")))))</f>
        <v/>
      </c>
      <c r="F6" s="62" t="str">
        <f>IF(D6="","",IF(N6="○",M6,IF(P6="○",O6,IF(R6="○",Q6,IF(T6="○",S6,"ERROR")))))</f>
        <v/>
      </c>
      <c r="G6" s="146" t="str">
        <f>IF($D6="","",IF($E6="正規職員","-","賃金単価を記載"))</f>
        <v/>
      </c>
      <c r="H6" s="62" t="str">
        <f t="shared" ref="H6:H13" si="0">IF($D6="","",IF($E6="正規職員","-",F6*G6))</f>
        <v/>
      </c>
      <c r="I6" s="279">
        <v>242333.33333333401</v>
      </c>
      <c r="J6" s="62" t="str">
        <f>IFERROR(IF($C6="-","",IF(D6="",0,IF(E6="正規職員",I6,MIN(H6:I6)))),0)</f>
        <v/>
      </c>
      <c r="K6" s="64" t="str">
        <f>IF(D6="","",IF(OR(COUNTIFS(D6,"*要配慮*")=1,COUNTIFS(D6,"*医療的ケア*")=1),"○","エラー"))</f>
        <v/>
      </c>
      <c r="L6" s="65">
        <v>3</v>
      </c>
      <c r="M6" s="65" t="e">
        <f>VLOOKUP($D6&amp;M$5,'②-2勤務時間数入力'!$D$7:$Q$106,$L6,FALSE)</f>
        <v>#N/A</v>
      </c>
      <c r="N6" s="65" t="str">
        <f>IF(ISERROR(M6),"×",IF(M6="-","×","○"))</f>
        <v>×</v>
      </c>
      <c r="O6" s="65" t="e">
        <f>VLOOKUP($D6&amp;O$5,'②-2勤務時間数入力'!$D$7:$Q$106,$L6,FALSE)</f>
        <v>#N/A</v>
      </c>
      <c r="P6" s="65" t="str">
        <f>IF(ISERROR(O6),"×",IF(O6="-","×","○"))</f>
        <v>×</v>
      </c>
      <c r="Q6" s="65" t="e">
        <f>VLOOKUP($D6&amp;Q$5,'②-2勤務時間数入力'!$D$7:$Q$106,$L6,FALSE)</f>
        <v>#N/A</v>
      </c>
      <c r="R6" s="65" t="str">
        <f>IF(ISERROR(Q6),"×",IF(Q6="-","×","○"))</f>
        <v>×</v>
      </c>
      <c r="S6" s="65" t="e">
        <f>VLOOKUP($D6&amp;S$5,'②-2勤務時間数入力'!$D$7:$Q$106,$L6,FALSE)</f>
        <v>#N/A</v>
      </c>
      <c r="T6" s="65" t="str">
        <f>IF(ISERROR(S6),"×",IF(S6="-","×","○"))</f>
        <v>×</v>
      </c>
    </row>
    <row r="7" spans="1:20" ht="13.5" customHeight="1">
      <c r="A7" s="839"/>
      <c r="B7" s="856"/>
      <c r="C7" s="735"/>
      <c r="D7" s="145"/>
      <c r="E7" s="63" t="str">
        <f>IF(D7="","",IF(N7="○",M$5,IF(P7="○",O$5,IF(R7="○",Q$5,IF(T7="○",S$5,"ERROR")))))</f>
        <v/>
      </c>
      <c r="F7" s="62" t="str">
        <f>IF(D7="","",IF(N7="○",M7,IF(P7="○",O7,IF(R7="○",Q7,IF(T7="○",S7,"ERROR")))))</f>
        <v/>
      </c>
      <c r="G7" s="146" t="str">
        <f>IF($D7="","",IF($E7="正規職員","-","賃金単価を記載"))</f>
        <v/>
      </c>
      <c r="H7" s="62" t="str">
        <f t="shared" si="0"/>
        <v/>
      </c>
      <c r="I7" s="62">
        <f t="shared" ref="I7:I15" si="1">$I$6</f>
        <v>242333.33333333401</v>
      </c>
      <c r="J7" s="62" t="str">
        <f>IFERROR(IF($C6="-","",IF(D7="","",IF(E7="正規職員",I7-J6,MIN(MIN(H7:I7),I6-J6)))),0)</f>
        <v/>
      </c>
      <c r="K7" s="64" t="str">
        <f t="shared" ref="K7:K15" si="2">IF(D7="","",IF(OR(COUNTIFS(D7,"*要配慮*")=1,COUNTIFS(D7,"*医療的ケア*")=1),"○","エラー"))</f>
        <v/>
      </c>
      <c r="L7" s="65">
        <f>L6</f>
        <v>3</v>
      </c>
      <c r="M7" s="65" t="e">
        <f>VLOOKUP($D7&amp;M$5,'②-2勤務時間数入力'!$D$7:$Q$106,$L7,FALSE)</f>
        <v>#N/A</v>
      </c>
      <c r="N7" s="65" t="str">
        <f>IF(ISERROR(M7),"×",IF(M7="-","×","○"))</f>
        <v>×</v>
      </c>
      <c r="O7" s="65" t="e">
        <f>VLOOKUP($D7&amp;O$5,'②-2勤務時間数入力'!$D$7:$Q$106,$L7,FALSE)</f>
        <v>#N/A</v>
      </c>
      <c r="P7" s="65" t="str">
        <f>IF(ISERROR(O7),"×",IF(O7="-","×","○"))</f>
        <v>×</v>
      </c>
      <c r="Q7" s="65" t="e">
        <f>VLOOKUP($D7&amp;Q$5,'②-2勤務時間数入力'!$D$7:$Q$106,$L7,FALSE)</f>
        <v>#N/A</v>
      </c>
      <c r="R7" s="65" t="str">
        <f>IF(ISERROR(Q7),"×",IF(Q7="-","×","○"))</f>
        <v>×</v>
      </c>
      <c r="S7" s="65" t="e">
        <f>VLOOKUP($D7&amp;S$5,'②-2勤務時間数入力'!$D$7:$Q$106,$L7,FALSE)</f>
        <v>#N/A</v>
      </c>
      <c r="T7" s="65" t="str">
        <f>IF(ISERROR(S7),"×",IF(S7="-","×","○"))</f>
        <v>×</v>
      </c>
    </row>
    <row r="8" spans="1:20" ht="13.5" customHeight="1">
      <c r="A8" s="839"/>
      <c r="B8" s="856"/>
      <c r="C8" s="841" t="str">
        <f>IF(B6&gt;=1,IFERROR(INDEX($F$153:$G$158,MATCH(判定!AI9,$F$153:$F$158,0),2),"-"),"-")</f>
        <v>-</v>
      </c>
      <c r="D8" s="145"/>
      <c r="E8" s="63" t="str">
        <f t="shared" ref="E8:E12" si="3">IF(D8="","",IF(N8="○",M$5,IF(P8="○",O$5,IF(R8="○",Q$5,IF(T8="○",S$5,"ERROR")))))</f>
        <v/>
      </c>
      <c r="F8" s="62" t="str">
        <f t="shared" ref="F8:F12" si="4">IF(D8="","",IF(N8="○",M8,IF(P8="○",O8,IF(R8="○",Q8,IF(T8="○",S8,"ERROR")))))</f>
        <v/>
      </c>
      <c r="G8" s="146" t="str">
        <f t="shared" ref="G8:G15" si="5">IF($D8="","",IF($E8="正規職員","-","賃金単価を記載"))</f>
        <v/>
      </c>
      <c r="H8" s="62" t="str">
        <f t="shared" ref="H8:H12" si="6">IF($D8="","",IF($E8="正規職員","-",F8*G8))</f>
        <v/>
      </c>
      <c r="I8" s="62">
        <f t="shared" si="1"/>
        <v>242333.33333333401</v>
      </c>
      <c r="J8" s="62" t="str">
        <f>IFERROR(IF($C8="-","",IF(D8="",0,IF(E8="正規職員",I8,MIN(H8:I8)))),0)</f>
        <v/>
      </c>
      <c r="K8" s="64" t="str">
        <f t="shared" ref="K8:K12" si="7">IF(D8="","",IF(OR(COUNTIFS(D8,"*要配慮*")=1,COUNTIFS(D8,"*医療的ケア*")=1),"○","エラー"))</f>
        <v/>
      </c>
      <c r="L8" s="65">
        <f t="shared" ref="L8:L12" si="8">L7</f>
        <v>3</v>
      </c>
      <c r="M8" s="65" t="e">
        <f>VLOOKUP($D8&amp;M$5,'②-2勤務時間数入力'!$D$7:$Q$106,$L8,FALSE)</f>
        <v>#N/A</v>
      </c>
      <c r="N8" s="65" t="str">
        <f t="shared" ref="N8:N12" si="9">IF(ISERROR(M8),"×",IF(M8="-","×","○"))</f>
        <v>×</v>
      </c>
      <c r="O8" s="65" t="e">
        <f>VLOOKUP($D8&amp;O$5,'②-2勤務時間数入力'!$D$7:$Q$106,$L8,FALSE)</f>
        <v>#N/A</v>
      </c>
      <c r="P8" s="65" t="str">
        <f t="shared" ref="P8:P12" si="10">IF(ISERROR(O8),"×",IF(O8="-","×","○"))</f>
        <v>×</v>
      </c>
      <c r="Q8" s="65" t="e">
        <f>VLOOKUP($D8&amp;Q$5,'②-2勤務時間数入力'!$D$7:$Q$106,$L8,FALSE)</f>
        <v>#N/A</v>
      </c>
      <c r="R8" s="65" t="str">
        <f t="shared" ref="R8:R12" si="11">IF(ISERROR(Q8),"×",IF(Q8="-","×","○"))</f>
        <v>×</v>
      </c>
      <c r="S8" s="65" t="e">
        <f>VLOOKUP($D8&amp;S$5,'②-2勤務時間数入力'!$D$7:$Q$106,$L8,FALSE)</f>
        <v>#N/A</v>
      </c>
      <c r="T8" s="65" t="str">
        <f t="shared" ref="T8:T12" si="12">IF(ISERROR(S8),"×",IF(S8="-","×","○"))</f>
        <v>×</v>
      </c>
    </row>
    <row r="9" spans="1:20" ht="13.5" customHeight="1">
      <c r="A9" s="839"/>
      <c r="B9" s="856"/>
      <c r="C9" s="843"/>
      <c r="D9" s="145"/>
      <c r="E9" s="63" t="str">
        <f t="shared" si="3"/>
        <v/>
      </c>
      <c r="F9" s="62" t="str">
        <f t="shared" si="4"/>
        <v/>
      </c>
      <c r="G9" s="146" t="str">
        <f t="shared" si="5"/>
        <v/>
      </c>
      <c r="H9" s="62" t="str">
        <f t="shared" si="6"/>
        <v/>
      </c>
      <c r="I9" s="62">
        <f t="shared" si="1"/>
        <v>242333.33333333401</v>
      </c>
      <c r="J9" s="62" t="str">
        <f>IFERROR(IF($C8="-","",IF(D9="","",IF(E9="正規職員",I9-J8,MIN(MIN(H9:I9),I8-J8)))),0)</f>
        <v/>
      </c>
      <c r="K9" s="64" t="str">
        <f t="shared" si="7"/>
        <v/>
      </c>
      <c r="L9" s="65">
        <f t="shared" si="8"/>
        <v>3</v>
      </c>
      <c r="M9" s="65" t="e">
        <f>VLOOKUP($D9&amp;M$5,'②-2勤務時間数入力'!$D$7:$Q$106,$L9,FALSE)</f>
        <v>#N/A</v>
      </c>
      <c r="N9" s="65" t="str">
        <f t="shared" si="9"/>
        <v>×</v>
      </c>
      <c r="O9" s="65" t="e">
        <f>VLOOKUP($D9&amp;O$5,'②-2勤務時間数入力'!$D$7:$Q$106,$L9,FALSE)</f>
        <v>#N/A</v>
      </c>
      <c r="P9" s="65" t="str">
        <f t="shared" si="10"/>
        <v>×</v>
      </c>
      <c r="Q9" s="65" t="e">
        <f>VLOOKUP($D9&amp;Q$5,'②-2勤務時間数入力'!$D$7:$Q$106,$L9,FALSE)</f>
        <v>#N/A</v>
      </c>
      <c r="R9" s="65" t="str">
        <f t="shared" si="11"/>
        <v>×</v>
      </c>
      <c r="S9" s="65" t="e">
        <f>VLOOKUP($D9&amp;S$5,'②-2勤務時間数入力'!$D$7:$Q$106,$L9,FALSE)</f>
        <v>#N/A</v>
      </c>
      <c r="T9" s="65" t="str">
        <f t="shared" si="12"/>
        <v>×</v>
      </c>
    </row>
    <row r="10" spans="1:20" ht="13.5" customHeight="1">
      <c r="A10" s="839"/>
      <c r="B10" s="856"/>
      <c r="C10" s="841" t="str">
        <f>IF(B6&gt;=1,IFERROR(INDEX($F$153:$G$158,MATCH(判定!AJ9,$F$153:$F$158,0),2),"-"),"-")</f>
        <v>-</v>
      </c>
      <c r="D10" s="145"/>
      <c r="E10" s="63" t="str">
        <f t="shared" si="3"/>
        <v/>
      </c>
      <c r="F10" s="62" t="str">
        <f t="shared" si="4"/>
        <v/>
      </c>
      <c r="G10" s="146" t="str">
        <f t="shared" si="5"/>
        <v/>
      </c>
      <c r="H10" s="62" t="str">
        <f t="shared" si="6"/>
        <v/>
      </c>
      <c r="I10" s="62">
        <f t="shared" si="1"/>
        <v>242333.33333333401</v>
      </c>
      <c r="J10" s="62" t="str">
        <f>IFERROR(IF($C10="-","",IF(D10="",0,IF(E10="正規職員",I10,MIN(H10:I10)))),0)</f>
        <v/>
      </c>
      <c r="K10" s="64" t="str">
        <f t="shared" si="7"/>
        <v/>
      </c>
      <c r="L10" s="65">
        <f t="shared" si="8"/>
        <v>3</v>
      </c>
      <c r="M10" s="65" t="e">
        <f>VLOOKUP($D10&amp;M$5,'②-2勤務時間数入力'!$D$7:$Q$106,$L10,FALSE)</f>
        <v>#N/A</v>
      </c>
      <c r="N10" s="65" t="str">
        <f t="shared" si="9"/>
        <v>×</v>
      </c>
      <c r="O10" s="65" t="e">
        <f>VLOOKUP($D10&amp;O$5,'②-2勤務時間数入力'!$D$7:$Q$106,$L10,FALSE)</f>
        <v>#N/A</v>
      </c>
      <c r="P10" s="65" t="str">
        <f t="shared" si="10"/>
        <v>×</v>
      </c>
      <c r="Q10" s="65" t="e">
        <f>VLOOKUP($D10&amp;Q$5,'②-2勤務時間数入力'!$D$7:$Q$106,$L10,FALSE)</f>
        <v>#N/A</v>
      </c>
      <c r="R10" s="65" t="str">
        <f t="shared" si="11"/>
        <v>×</v>
      </c>
      <c r="S10" s="65" t="e">
        <f>VLOOKUP($D10&amp;S$5,'②-2勤務時間数入力'!$D$7:$Q$106,$L10,FALSE)</f>
        <v>#N/A</v>
      </c>
      <c r="T10" s="65" t="str">
        <f t="shared" si="12"/>
        <v>×</v>
      </c>
    </row>
    <row r="11" spans="1:20" ht="13.5" customHeight="1">
      <c r="A11" s="839"/>
      <c r="B11" s="856"/>
      <c r="C11" s="735"/>
      <c r="D11" s="145"/>
      <c r="E11" s="63" t="str">
        <f t="shared" si="3"/>
        <v/>
      </c>
      <c r="F11" s="62" t="str">
        <f t="shared" si="4"/>
        <v/>
      </c>
      <c r="G11" s="146" t="str">
        <f t="shared" si="5"/>
        <v/>
      </c>
      <c r="H11" s="62" t="str">
        <f t="shared" si="6"/>
        <v/>
      </c>
      <c r="I11" s="62">
        <f t="shared" si="1"/>
        <v>242333.33333333401</v>
      </c>
      <c r="J11" s="62" t="str">
        <f>IFERROR(IF($C10="-","",IF(D11="","",IF(E11="正規職員",I11-J10,MIN(MIN(H11:I11),I10-J10)))),0)</f>
        <v/>
      </c>
      <c r="K11" s="64" t="str">
        <f t="shared" si="7"/>
        <v/>
      </c>
      <c r="L11" s="65">
        <f t="shared" si="8"/>
        <v>3</v>
      </c>
      <c r="M11" s="65" t="e">
        <f>VLOOKUP($D11&amp;M$5,'②-2勤務時間数入力'!$D$7:$Q$106,$L11,FALSE)</f>
        <v>#N/A</v>
      </c>
      <c r="N11" s="65" t="str">
        <f t="shared" si="9"/>
        <v>×</v>
      </c>
      <c r="O11" s="65" t="e">
        <f>VLOOKUP($D11&amp;O$5,'②-2勤務時間数入力'!$D$7:$Q$106,$L11,FALSE)</f>
        <v>#N/A</v>
      </c>
      <c r="P11" s="65" t="str">
        <f t="shared" si="10"/>
        <v>×</v>
      </c>
      <c r="Q11" s="65" t="e">
        <f>VLOOKUP($D11&amp;Q$5,'②-2勤務時間数入力'!$D$7:$Q$106,$L11,FALSE)</f>
        <v>#N/A</v>
      </c>
      <c r="R11" s="65" t="str">
        <f t="shared" si="11"/>
        <v>×</v>
      </c>
      <c r="S11" s="65" t="e">
        <f>VLOOKUP($D11&amp;S$5,'②-2勤務時間数入力'!$D$7:$Q$106,$L11,FALSE)</f>
        <v>#N/A</v>
      </c>
      <c r="T11" s="65" t="str">
        <f t="shared" si="12"/>
        <v>×</v>
      </c>
    </row>
    <row r="12" spans="1:20" ht="13.5" customHeight="1">
      <c r="A12" s="839"/>
      <c r="B12" s="856"/>
      <c r="C12" s="841" t="str">
        <f>IF(B6&gt;=1,IFERROR(INDEX($F$153:$G$158,MATCH(判定!AK9,$F$153:$F$158,0),2),"-"),"-")</f>
        <v>-</v>
      </c>
      <c r="D12" s="145"/>
      <c r="E12" s="63" t="str">
        <f t="shared" si="3"/>
        <v/>
      </c>
      <c r="F12" s="62" t="str">
        <f t="shared" si="4"/>
        <v/>
      </c>
      <c r="G12" s="146" t="str">
        <f t="shared" si="5"/>
        <v/>
      </c>
      <c r="H12" s="62" t="str">
        <f t="shared" si="6"/>
        <v/>
      </c>
      <c r="I12" s="62">
        <f t="shared" si="1"/>
        <v>242333.33333333401</v>
      </c>
      <c r="J12" s="62" t="str">
        <f>IFERROR(IF($C12="-","",IF(D12="",0,IF(E12="正規職員",I12,MIN(H12:I12)))),0)</f>
        <v/>
      </c>
      <c r="K12" s="64" t="str">
        <f t="shared" si="7"/>
        <v/>
      </c>
      <c r="L12" s="65">
        <f t="shared" si="8"/>
        <v>3</v>
      </c>
      <c r="M12" s="65" t="e">
        <f>VLOOKUP($D12&amp;M$5,'②-2勤務時間数入力'!$D$7:$Q$106,$L12,FALSE)</f>
        <v>#N/A</v>
      </c>
      <c r="N12" s="65" t="str">
        <f t="shared" si="9"/>
        <v>×</v>
      </c>
      <c r="O12" s="65" t="e">
        <f>VLOOKUP($D12&amp;O$5,'②-2勤務時間数入力'!$D$7:$Q$106,$L12,FALSE)</f>
        <v>#N/A</v>
      </c>
      <c r="P12" s="65" t="str">
        <f t="shared" si="10"/>
        <v>×</v>
      </c>
      <c r="Q12" s="65" t="e">
        <f>VLOOKUP($D12&amp;Q$5,'②-2勤務時間数入力'!$D$7:$Q$106,$L12,FALSE)</f>
        <v>#N/A</v>
      </c>
      <c r="R12" s="65" t="str">
        <f t="shared" si="11"/>
        <v>×</v>
      </c>
      <c r="S12" s="65" t="e">
        <f>VLOOKUP($D12&amp;S$5,'②-2勤務時間数入力'!$D$7:$Q$106,$L12,FALSE)</f>
        <v>#N/A</v>
      </c>
      <c r="T12" s="65" t="str">
        <f t="shared" si="12"/>
        <v>×</v>
      </c>
    </row>
    <row r="13" spans="1:20" ht="13.5" customHeight="1">
      <c r="A13" s="839"/>
      <c r="B13" s="856"/>
      <c r="C13" s="735"/>
      <c r="D13" s="145"/>
      <c r="E13" s="63" t="str">
        <f t="shared" ref="E13:E15" si="13">IF(D13="","",IF(N13="○",M$5,IF(P13="○",O$5,IF(R13="○",Q$5,IF(T13="○",S$5,"ERROR")))))</f>
        <v/>
      </c>
      <c r="F13" s="62" t="str">
        <f t="shared" ref="F13:F15" si="14">IF(D13="","",IF(N13="○",M13,IF(P13="○",O13,IF(R13="○",Q13,IF(T13="○",S13,"ERROR")))))</f>
        <v/>
      </c>
      <c r="G13" s="146" t="str">
        <f t="shared" si="5"/>
        <v/>
      </c>
      <c r="H13" s="62" t="str">
        <f t="shared" si="0"/>
        <v/>
      </c>
      <c r="I13" s="62">
        <f t="shared" si="1"/>
        <v>242333.33333333401</v>
      </c>
      <c r="J13" s="62" t="str">
        <f>IFERROR(IF($C12="-","",IF(D13="","",IF(E13="正規職員",I13-J12,MIN(MIN(H13:I13),I12-J12)))),0)</f>
        <v/>
      </c>
      <c r="K13" s="64" t="str">
        <f t="shared" si="2"/>
        <v/>
      </c>
      <c r="L13" s="65">
        <f>L7</f>
        <v>3</v>
      </c>
      <c r="M13" s="65" t="e">
        <f>VLOOKUP($D13&amp;M$5,'②-2勤務時間数入力'!$D$7:$Q$106,$L13,FALSE)</f>
        <v>#N/A</v>
      </c>
      <c r="N13" s="65" t="str">
        <f>IF(ISERROR(M13),"×",IF(M13="-","×","○"))</f>
        <v>×</v>
      </c>
      <c r="O13" s="65" t="e">
        <f>VLOOKUP($D13&amp;O$5,'②-2勤務時間数入力'!$D$7:$Q$106,$L13,FALSE)</f>
        <v>#N/A</v>
      </c>
      <c r="P13" s="65" t="str">
        <f>IF(ISERROR(O13),"×",IF(O13="-","×","○"))</f>
        <v>×</v>
      </c>
      <c r="Q13" s="65" t="e">
        <f>VLOOKUP($D13&amp;Q$5,'②-2勤務時間数入力'!$D$7:$Q$106,$L13,FALSE)</f>
        <v>#N/A</v>
      </c>
      <c r="R13" s="65" t="str">
        <f>IF(ISERROR(Q13),"×",IF(Q13="-","×","○"))</f>
        <v>×</v>
      </c>
      <c r="S13" s="65" t="e">
        <f>VLOOKUP($D13&amp;S$5,'②-2勤務時間数入力'!$D$7:$Q$106,$L13,FALSE)</f>
        <v>#N/A</v>
      </c>
      <c r="T13" s="65" t="str">
        <f>IF(ISERROR(S13),"×",IF(S13="-","×","○"))</f>
        <v>×</v>
      </c>
    </row>
    <row r="14" spans="1:20" ht="13.5" customHeight="1">
      <c r="A14" s="839"/>
      <c r="B14" s="856"/>
      <c r="C14" s="854" t="str">
        <f>IF(B6&gt;=1,IFERROR(INDEX($F$153:$G$158,MATCH(判定!AL9,$F$153:$F$158,0),2),"-"),"-")</f>
        <v>-</v>
      </c>
      <c r="D14" s="145"/>
      <c r="E14" s="63" t="str">
        <f t="shared" si="13"/>
        <v/>
      </c>
      <c r="F14" s="62" t="str">
        <f t="shared" si="14"/>
        <v/>
      </c>
      <c r="G14" s="146" t="str">
        <f t="shared" si="5"/>
        <v/>
      </c>
      <c r="H14" s="62" t="str">
        <f>IF($D14="","",IF($E14="正規職員","-",F14*G14))</f>
        <v/>
      </c>
      <c r="I14" s="62">
        <f t="shared" si="1"/>
        <v>242333.33333333401</v>
      </c>
      <c r="J14" s="62" t="str">
        <f>IFERROR(IF($C14="-","",IF(D14="",0,IF(E14="正規職員",I14,MIN(H14:I14)))),0)</f>
        <v/>
      </c>
      <c r="K14" s="64" t="str">
        <f t="shared" si="2"/>
        <v/>
      </c>
      <c r="L14" s="65">
        <f t="shared" ref="L14:L15" si="15">L13</f>
        <v>3</v>
      </c>
      <c r="M14" s="65" t="e">
        <f>VLOOKUP($D14&amp;M$5,'②-2勤務時間数入力'!$D$7:$Q$106,$L14,FALSE)</f>
        <v>#N/A</v>
      </c>
      <c r="N14" s="65" t="str">
        <f>IF(ISERROR(M14),"×",IF(M14="-","×","○"))</f>
        <v>×</v>
      </c>
      <c r="O14" s="65" t="e">
        <f>VLOOKUP($D14&amp;O$5,'②-2勤務時間数入力'!$D$7:$Q$106,$L14,FALSE)</f>
        <v>#N/A</v>
      </c>
      <c r="P14" s="65" t="str">
        <f>IF(ISERROR(O14),"×",IF(O14="-","×","○"))</f>
        <v>×</v>
      </c>
      <c r="Q14" s="65" t="e">
        <f>VLOOKUP($D14&amp;Q$5,'②-2勤務時間数入力'!$D$7:$Q$106,$L14,FALSE)</f>
        <v>#N/A</v>
      </c>
      <c r="R14" s="65" t="str">
        <f>IF(ISERROR(Q14),"×",IF(Q14="-","×","○"))</f>
        <v>×</v>
      </c>
      <c r="S14" s="65" t="e">
        <f>VLOOKUP($D14&amp;S$5,'②-2勤務時間数入力'!$D$7:$Q$106,$L14,FALSE)</f>
        <v>#N/A</v>
      </c>
      <c r="T14" s="65" t="str">
        <f>IF(ISERROR(S14),"×",IF(S14="-","×","○"))</f>
        <v>×</v>
      </c>
    </row>
    <row r="15" spans="1:20" ht="13.5" customHeight="1">
      <c r="A15" s="853"/>
      <c r="B15" s="856"/>
      <c r="C15" s="726"/>
      <c r="D15" s="145"/>
      <c r="E15" s="63" t="str">
        <f t="shared" si="13"/>
        <v/>
      </c>
      <c r="F15" s="62" t="str">
        <f t="shared" si="14"/>
        <v/>
      </c>
      <c r="G15" s="146" t="str">
        <f t="shared" si="5"/>
        <v/>
      </c>
      <c r="H15" s="62" t="str">
        <f>IF($D15="","",IF($E15="正規職員","-",F15*G15))</f>
        <v/>
      </c>
      <c r="I15" s="62">
        <f t="shared" si="1"/>
        <v>242333.33333333401</v>
      </c>
      <c r="J15" s="62" t="str">
        <f>IFERROR(IF($C14="-","",IF(D15="","",IF(E15="正規職員",I15-J14,MIN(MIN(H15:I15),I14-J14)))),0)</f>
        <v/>
      </c>
      <c r="K15" s="64" t="str">
        <f t="shared" si="2"/>
        <v/>
      </c>
      <c r="L15" s="65">
        <f t="shared" si="15"/>
        <v>3</v>
      </c>
      <c r="M15" s="65" t="e">
        <f>VLOOKUP($D15&amp;M$5,'②-2勤務時間数入力'!$D$7:$Q$106,$L15,FALSE)</f>
        <v>#N/A</v>
      </c>
      <c r="N15" s="65" t="str">
        <f>IF(ISERROR(M15),"×",IF(M15="-","×","○"))</f>
        <v>×</v>
      </c>
      <c r="O15" s="65" t="e">
        <f>VLOOKUP($D15&amp;O$5,'②-2勤務時間数入力'!$D$7:$Q$106,$L15,FALSE)</f>
        <v>#N/A</v>
      </c>
      <c r="P15" s="65" t="str">
        <f>IF(ISERROR(O15),"×",IF(O15="-","×","○"))</f>
        <v>×</v>
      </c>
      <c r="Q15" s="65" t="e">
        <f>VLOOKUP($D15&amp;Q$5,'②-2勤務時間数入力'!$D$7:$Q$106,$L15,FALSE)</f>
        <v>#N/A</v>
      </c>
      <c r="R15" s="65" t="str">
        <f>IF(ISERROR(Q15),"×",IF(Q15="-","×","○"))</f>
        <v>×</v>
      </c>
      <c r="S15" s="65" t="e">
        <f>VLOOKUP($D15&amp;S$5,'②-2勤務時間数入力'!$D$7:$Q$106,$L15,FALSE)</f>
        <v>#N/A</v>
      </c>
      <c r="T15" s="65" t="str">
        <f>IF(ISERROR(S15),"×",IF(S15="-","×","○"))</f>
        <v>×</v>
      </c>
    </row>
    <row r="16" spans="1:20" ht="13.5" customHeight="1">
      <c r="A16" s="821"/>
      <c r="B16" s="857"/>
      <c r="C16" s="258"/>
      <c r="D16" s="1" t="s">
        <v>292</v>
      </c>
      <c r="E16" s="63" t="s">
        <v>293</v>
      </c>
      <c r="F16" s="70"/>
      <c r="G16" s="63" t="s">
        <v>293</v>
      </c>
      <c r="H16" s="63" t="s">
        <v>293</v>
      </c>
      <c r="I16" s="63" t="s">
        <v>293</v>
      </c>
      <c r="J16" s="62" t="str">
        <f>IFERROR(IF(J6="","",MIN(SUM(J6:J15),(B6*I6))),0)</f>
        <v/>
      </c>
      <c r="K16" s="64"/>
      <c r="L16" s="65"/>
      <c r="M16" s="65"/>
      <c r="N16" s="65"/>
      <c r="O16" s="65"/>
      <c r="P16" s="65"/>
      <c r="Q16" s="65"/>
      <c r="R16" s="65"/>
      <c r="S16" s="65"/>
      <c r="T16" s="65"/>
    </row>
    <row r="17" spans="1:20" ht="13.5" customHeight="1">
      <c r="A17" s="820">
        <v>5</v>
      </c>
      <c r="B17" s="855" t="str">
        <f>IF(判定!AY10&gt;=1,判定!AY10,"-")</f>
        <v>-</v>
      </c>
      <c r="C17" s="841" t="str">
        <f>IF(B17&gt;=1,IFERROR(INDEX($F$153:$G$158,MATCH(判定!AH10,$F$153:$F$158,0),2),"-"),"-")</f>
        <v>-</v>
      </c>
      <c r="D17" s="145" t="str">
        <f>IF(D6="","",D6)</f>
        <v/>
      </c>
      <c r="E17" s="63" t="str">
        <f>IF(D17="","",IF(N17="○",M$5,IF(P17="○",O$5,IF(R17="○",Q$5,IF(T17="○",S$5,"ERROR")))))</f>
        <v/>
      </c>
      <c r="F17" s="62" t="str">
        <f>IF(D17="","",IF(N17="○",M17,IF(P17="○",O17,IF(R17="○",Q17,IF(T17="○",S17,"ERROR")))))</f>
        <v/>
      </c>
      <c r="G17" s="146" t="str">
        <f>IF($D17="","",IF($E17="正規職員","-","賃金単価を記載"))</f>
        <v/>
      </c>
      <c r="H17" s="62" t="str">
        <f t="shared" ref="H17:H24" si="16">IF($D17="","",IF($E17="正規職員","-",F17*G17))</f>
        <v/>
      </c>
      <c r="I17" s="62">
        <f t="shared" ref="I17:I80" si="17">$I$6</f>
        <v>242333.33333333401</v>
      </c>
      <c r="J17" s="62" t="str">
        <f>IFERROR(IF($C17="-","",IF(D17="",0,IF(E17="正規職員",I17,MIN(H17:I17)))),0)</f>
        <v/>
      </c>
      <c r="K17" s="64" t="str">
        <f>IF(D17="","",IF(OR(COUNTIFS(D17,"*要配慮*")=1,COUNTIFS(D17,"*医療的ケア*")=1),"○","エラー"))</f>
        <v/>
      </c>
      <c r="L17" s="65">
        <f>L6+1</f>
        <v>4</v>
      </c>
      <c r="M17" s="65" t="e">
        <f>VLOOKUP($D17&amp;M$5,'②-2勤務時間数入力'!$D$7:$Q$106,$L17,FALSE)</f>
        <v>#N/A</v>
      </c>
      <c r="N17" s="65" t="str">
        <f t="shared" ref="N17:N26" si="18">IF(ISERROR(M17),"×",IF(M17="-","×","○"))</f>
        <v>×</v>
      </c>
      <c r="O17" s="65" t="e">
        <f>VLOOKUP($D17&amp;O$5,'②-2勤務時間数入力'!$D$7:$Q$106,$L17,FALSE)</f>
        <v>#N/A</v>
      </c>
      <c r="P17" s="65" t="str">
        <f t="shared" ref="P17:P26" si="19">IF(ISERROR(O17),"×",IF(O17="-","×","○"))</f>
        <v>×</v>
      </c>
      <c r="Q17" s="65" t="e">
        <f>VLOOKUP($D17&amp;Q$5,'②-2勤務時間数入力'!$D$7:$Q$106,$L17,FALSE)</f>
        <v>#N/A</v>
      </c>
      <c r="R17" s="65" t="str">
        <f t="shared" ref="R17:R26" si="20">IF(ISERROR(Q17),"×",IF(Q17="-","×","○"))</f>
        <v>×</v>
      </c>
      <c r="S17" s="65" t="e">
        <f>VLOOKUP($D17&amp;S$5,'②-2勤務時間数入力'!$D$7:$Q$106,$L17,FALSE)</f>
        <v>#N/A</v>
      </c>
      <c r="T17" s="65" t="str">
        <f t="shared" ref="T17:T26" si="21">IF(ISERROR(S17),"×",IF(S17="-","×","○"))</f>
        <v>×</v>
      </c>
    </row>
    <row r="18" spans="1:20" ht="13.5" customHeight="1">
      <c r="A18" s="839"/>
      <c r="B18" s="856"/>
      <c r="C18" s="735"/>
      <c r="D18" s="145" t="str">
        <f t="shared" ref="D18:D26" si="22">IF(D7="","",D7)</f>
        <v/>
      </c>
      <c r="E18" s="63" t="str">
        <f>IF(D18="","",IF(N18="○",M$5,IF(P18="○",O$5,IF(R18="○",Q$5,IF(T18="○",S$5,"ERROR")))))</f>
        <v/>
      </c>
      <c r="F18" s="62" t="str">
        <f t="shared" ref="F18:F22" si="23">IF(D18="","",IF(N18="○",M18,IF(P18="○",O18,IF(R18="○",Q18,IF(T18="○",S18,"ERROR")))))</f>
        <v/>
      </c>
      <c r="G18" s="146" t="str">
        <f>IF($D18="","",IF($E18="正規職員","-","賃金単価を記載"))</f>
        <v/>
      </c>
      <c r="H18" s="62" t="str">
        <f t="shared" ref="H18:H21" si="24">IF($D18="","",IF($E18="正規職員","-",F18*G18))</f>
        <v/>
      </c>
      <c r="I18" s="62">
        <f t="shared" si="17"/>
        <v>242333.33333333401</v>
      </c>
      <c r="J18" s="62" t="str">
        <f>IFERROR(IF($C17="-","",IF(D18="","",IF(E18="正規職員",I18-J17,MIN(MIN(H18:I18),I17-J17)))),0)</f>
        <v/>
      </c>
      <c r="K18" s="64" t="str">
        <f t="shared" ref="K18:K22" si="25">IF(D18="","",IF(OR(COUNTIFS(D18,"*要配慮*")=1,COUNTIFS(D18,"*医療的ケア*")=1),"○","エラー"))</f>
        <v/>
      </c>
      <c r="L18" s="65">
        <f>L17</f>
        <v>4</v>
      </c>
      <c r="M18" s="65" t="e">
        <f>VLOOKUP($D18&amp;M$5,'②-2勤務時間数入力'!$D$7:$Q$106,$L18,FALSE)</f>
        <v>#N/A</v>
      </c>
      <c r="N18" s="65" t="str">
        <f t="shared" si="18"/>
        <v>×</v>
      </c>
      <c r="O18" s="65" t="e">
        <f>VLOOKUP($D18&amp;O$5,'②-2勤務時間数入力'!$D$7:$Q$106,$L18,FALSE)</f>
        <v>#N/A</v>
      </c>
      <c r="P18" s="65" t="str">
        <f t="shared" si="19"/>
        <v>×</v>
      </c>
      <c r="Q18" s="65" t="e">
        <f>VLOOKUP($D18&amp;Q$5,'②-2勤務時間数入力'!$D$7:$Q$106,$L18,FALSE)</f>
        <v>#N/A</v>
      </c>
      <c r="R18" s="65" t="str">
        <f t="shared" si="20"/>
        <v>×</v>
      </c>
      <c r="S18" s="65" t="e">
        <f>VLOOKUP($D18&amp;S$5,'②-2勤務時間数入力'!$D$7:$Q$106,$L18,FALSE)</f>
        <v>#N/A</v>
      </c>
      <c r="T18" s="65" t="str">
        <f t="shared" si="21"/>
        <v>×</v>
      </c>
    </row>
    <row r="19" spans="1:20" ht="13.5" customHeight="1">
      <c r="A19" s="839"/>
      <c r="B19" s="856"/>
      <c r="C19" s="841" t="str">
        <f>IF(B17&gt;=1,IFERROR(INDEX($F$153:$G$158,MATCH(判定!AI10,$F$153:$F$158,0),2),"-"),"-")</f>
        <v>-</v>
      </c>
      <c r="D19" s="145" t="str">
        <f t="shared" si="22"/>
        <v/>
      </c>
      <c r="E19" s="63" t="str">
        <f>IF(D19="","",IF(N19="○",M$5,IF(P19="○",O$5,IF(R19="○",Q$5,IF(T19="○",S$5,"ERROR")))))</f>
        <v/>
      </c>
      <c r="F19" s="62" t="str">
        <f t="shared" ref="F19:F20" si="26">IF(D19="","",IF(N19="○",M19,IF(P19="○",O19,IF(R19="○",Q19,IF(T19="○",S19,"ERROR")))))</f>
        <v/>
      </c>
      <c r="G19" s="146" t="str">
        <f t="shared" ref="G19:G26" si="27">IF($D19="","",IF($E19="正規職員","-","賃金単価を記載"))</f>
        <v/>
      </c>
      <c r="H19" s="62" t="str">
        <f t="shared" ref="H19" si="28">IF($D19="","",IF($E19="正規職員","-",F19*G19))</f>
        <v/>
      </c>
      <c r="I19" s="62">
        <f t="shared" si="17"/>
        <v>242333.33333333401</v>
      </c>
      <c r="J19" s="62" t="str">
        <f>IFERROR(IF($C19="-","",IF(D19="",0,IF(E19="正規職員",I19,MIN(H19:I19)))),0)</f>
        <v/>
      </c>
      <c r="K19" s="64" t="str">
        <f t="shared" ref="K19:K20" si="29">IF(D19="","",IF(OR(COUNTIFS(D19,"*要配慮*")=1,COUNTIFS(D19,"*医療的ケア*")=1),"○","エラー"))</f>
        <v/>
      </c>
      <c r="L19" s="65">
        <f t="shared" ref="L19:L23" si="30">L18</f>
        <v>4</v>
      </c>
      <c r="M19" s="65" t="e">
        <f>VLOOKUP($D19&amp;M$5,'②-2勤務時間数入力'!$D$7:$Q$106,$L19,FALSE)</f>
        <v>#N/A</v>
      </c>
      <c r="N19" s="65" t="str">
        <f t="shared" si="18"/>
        <v>×</v>
      </c>
      <c r="O19" s="65" t="e">
        <f>VLOOKUP($D19&amp;O$5,'②-2勤務時間数入力'!$D$7:$Q$106,$L19,FALSE)</f>
        <v>#N/A</v>
      </c>
      <c r="P19" s="65" t="str">
        <f t="shared" si="19"/>
        <v>×</v>
      </c>
      <c r="Q19" s="65" t="e">
        <f>VLOOKUP($D19&amp;Q$5,'②-2勤務時間数入力'!$D$7:$Q$106,$L19,FALSE)</f>
        <v>#N/A</v>
      </c>
      <c r="R19" s="65" t="str">
        <f t="shared" si="20"/>
        <v>×</v>
      </c>
      <c r="S19" s="65" t="e">
        <f>VLOOKUP($D19&amp;S$5,'②-2勤務時間数入力'!$D$7:$Q$106,$L19,FALSE)</f>
        <v>#N/A</v>
      </c>
      <c r="T19" s="65" t="str">
        <f t="shared" si="21"/>
        <v>×</v>
      </c>
    </row>
    <row r="20" spans="1:20" ht="13.5" customHeight="1">
      <c r="A20" s="839"/>
      <c r="B20" s="856"/>
      <c r="C20" s="843"/>
      <c r="D20" s="145" t="str">
        <f t="shared" si="22"/>
        <v/>
      </c>
      <c r="E20" s="63" t="str">
        <f t="shared" ref="E20" si="31">IF(D20="","",IF(N20="○",M$5,IF(P20="○",O$5,IF(R20="○",Q$5,IF(T20="○",S$5,"ERROR")))))</f>
        <v/>
      </c>
      <c r="F20" s="62" t="str">
        <f t="shared" si="26"/>
        <v/>
      </c>
      <c r="G20" s="146" t="str">
        <f t="shared" si="27"/>
        <v/>
      </c>
      <c r="H20" s="62" t="str">
        <f>IF($D20="","",IF($E20="正規職員","-",F20*G20))</f>
        <v/>
      </c>
      <c r="I20" s="62">
        <f t="shared" si="17"/>
        <v>242333.33333333401</v>
      </c>
      <c r="J20" s="62" t="str">
        <f>IFERROR(IF($C19="-","",IF(D20="","",IF(E20="正規職員",I20-J19,MIN(MIN(H20:I20),I19-J19)))),0)</f>
        <v/>
      </c>
      <c r="K20" s="64" t="str">
        <f t="shared" si="29"/>
        <v/>
      </c>
      <c r="L20" s="65">
        <f t="shared" si="30"/>
        <v>4</v>
      </c>
      <c r="M20" s="65" t="e">
        <f>VLOOKUP($D20&amp;M$5,'②-2勤務時間数入力'!$D$7:$Q$106,$L20,FALSE)</f>
        <v>#N/A</v>
      </c>
      <c r="N20" s="65" t="str">
        <f t="shared" si="18"/>
        <v>×</v>
      </c>
      <c r="O20" s="65" t="e">
        <f>VLOOKUP($D20&amp;O$5,'②-2勤務時間数入力'!$D$7:$Q$106,$L20,FALSE)</f>
        <v>#N/A</v>
      </c>
      <c r="P20" s="65" t="str">
        <f t="shared" si="19"/>
        <v>×</v>
      </c>
      <c r="Q20" s="65" t="e">
        <f>VLOOKUP($D20&amp;Q$5,'②-2勤務時間数入力'!$D$7:$Q$106,$L20,FALSE)</f>
        <v>#N/A</v>
      </c>
      <c r="R20" s="65" t="str">
        <f t="shared" si="20"/>
        <v>×</v>
      </c>
      <c r="S20" s="65" t="e">
        <f>VLOOKUP($D20&amp;S$5,'②-2勤務時間数入力'!$D$7:$Q$106,$L20,FALSE)</f>
        <v>#N/A</v>
      </c>
      <c r="T20" s="65" t="str">
        <f t="shared" si="21"/>
        <v>×</v>
      </c>
    </row>
    <row r="21" spans="1:20" ht="13.5" customHeight="1">
      <c r="A21" s="839"/>
      <c r="B21" s="856"/>
      <c r="C21" s="841" t="str">
        <f>IF(B17&gt;=1,IFERROR(INDEX($F$153:$G$158,MATCH(判定!AJ10,$F$153:$F$158,0),2),"-"),"-")</f>
        <v>-</v>
      </c>
      <c r="D21" s="145" t="str">
        <f t="shared" si="22"/>
        <v/>
      </c>
      <c r="E21" s="63" t="str">
        <f t="shared" ref="E21:E22" si="32">IF(D21="","",IF(N21="○",M$5,IF(P21="○",O$5,IF(R21="○",Q$5,IF(T21="○",S$5,"ERROR")))))</f>
        <v/>
      </c>
      <c r="F21" s="62" t="str">
        <f t="shared" si="23"/>
        <v/>
      </c>
      <c r="G21" s="146" t="str">
        <f t="shared" si="27"/>
        <v/>
      </c>
      <c r="H21" s="62" t="str">
        <f t="shared" si="24"/>
        <v/>
      </c>
      <c r="I21" s="62">
        <f t="shared" si="17"/>
        <v>242333.33333333401</v>
      </c>
      <c r="J21" s="62" t="str">
        <f>IFERROR(IF($C21="-","",IF(D21="",0,IF(E21="正規職員",I21,MIN(H21:I21)))),0)</f>
        <v/>
      </c>
      <c r="K21" s="64" t="str">
        <f t="shared" si="25"/>
        <v/>
      </c>
      <c r="L21" s="65">
        <f t="shared" si="30"/>
        <v>4</v>
      </c>
      <c r="M21" s="65" t="e">
        <f>VLOOKUP($D21&amp;M$5,'②-2勤務時間数入力'!$D$7:$Q$106,$L21,FALSE)</f>
        <v>#N/A</v>
      </c>
      <c r="N21" s="65" t="str">
        <f t="shared" si="18"/>
        <v>×</v>
      </c>
      <c r="O21" s="65" t="e">
        <f>VLOOKUP($D21&amp;O$5,'②-2勤務時間数入力'!$D$7:$Q$106,$L21,FALSE)</f>
        <v>#N/A</v>
      </c>
      <c r="P21" s="65" t="str">
        <f t="shared" si="19"/>
        <v>×</v>
      </c>
      <c r="Q21" s="65" t="e">
        <f>VLOOKUP($D21&amp;Q$5,'②-2勤務時間数入力'!$D$7:$Q$106,$L21,FALSE)</f>
        <v>#N/A</v>
      </c>
      <c r="R21" s="65" t="str">
        <f t="shared" si="20"/>
        <v>×</v>
      </c>
      <c r="S21" s="65" t="e">
        <f>VLOOKUP($D21&amp;S$5,'②-2勤務時間数入力'!$D$7:$Q$106,$L21,FALSE)</f>
        <v>#N/A</v>
      </c>
      <c r="T21" s="65" t="str">
        <f t="shared" si="21"/>
        <v>×</v>
      </c>
    </row>
    <row r="22" spans="1:20" ht="13.5" customHeight="1">
      <c r="A22" s="839"/>
      <c r="B22" s="856"/>
      <c r="C22" s="735"/>
      <c r="D22" s="145" t="str">
        <f t="shared" si="22"/>
        <v/>
      </c>
      <c r="E22" s="63" t="str">
        <f t="shared" si="32"/>
        <v/>
      </c>
      <c r="F22" s="62" t="str">
        <f t="shared" si="23"/>
        <v/>
      </c>
      <c r="G22" s="146" t="str">
        <f t="shared" si="27"/>
        <v/>
      </c>
      <c r="H22" s="62" t="str">
        <f>IF($D22="","",IF($E22="正規職員","-",F22*G22))</f>
        <v/>
      </c>
      <c r="I22" s="62">
        <f t="shared" si="17"/>
        <v>242333.33333333401</v>
      </c>
      <c r="J22" s="62" t="str">
        <f>IFERROR(IF($C21="-","",IF(D22="","",IF(E22="正規職員",I22-J21,MIN(MIN(H22:I22),I21-J21)))),0)</f>
        <v/>
      </c>
      <c r="K22" s="64" t="str">
        <f t="shared" si="25"/>
        <v/>
      </c>
      <c r="L22" s="65">
        <f t="shared" si="30"/>
        <v>4</v>
      </c>
      <c r="M22" s="65" t="e">
        <f>VLOOKUP($D22&amp;M$5,'②-2勤務時間数入力'!$D$7:$Q$106,$L22,FALSE)</f>
        <v>#N/A</v>
      </c>
      <c r="N22" s="65" t="str">
        <f t="shared" si="18"/>
        <v>×</v>
      </c>
      <c r="O22" s="65" t="e">
        <f>VLOOKUP($D22&amp;O$5,'②-2勤務時間数入力'!$D$7:$Q$106,$L22,FALSE)</f>
        <v>#N/A</v>
      </c>
      <c r="P22" s="65" t="str">
        <f t="shared" si="19"/>
        <v>×</v>
      </c>
      <c r="Q22" s="65" t="e">
        <f>VLOOKUP($D22&amp;Q$5,'②-2勤務時間数入力'!$D$7:$Q$106,$L22,FALSE)</f>
        <v>#N/A</v>
      </c>
      <c r="R22" s="65" t="str">
        <f t="shared" si="20"/>
        <v>×</v>
      </c>
      <c r="S22" s="65" t="e">
        <f>VLOOKUP($D22&amp;S$5,'②-2勤務時間数入力'!$D$7:$Q$106,$L22,FALSE)</f>
        <v>#N/A</v>
      </c>
      <c r="T22" s="65" t="str">
        <f t="shared" si="21"/>
        <v>×</v>
      </c>
    </row>
    <row r="23" spans="1:20" ht="13.5" customHeight="1">
      <c r="A23" s="839"/>
      <c r="B23" s="856"/>
      <c r="C23" s="841" t="str">
        <f>IF(B17&gt;=1,IFERROR(INDEX($F$153:$G$158,MATCH(判定!AK10,$F$153:$F$158,0),2),"-"),"-")</f>
        <v>-</v>
      </c>
      <c r="D23" s="145" t="str">
        <f t="shared" si="22"/>
        <v/>
      </c>
      <c r="E23" s="63" t="str">
        <f t="shared" ref="E23:E26" si="33">IF(D23="","",IF(N23="○",M$5,IF(P23="○",O$5,IF(R23="○",Q$5,IF(T23="○",S$5,"ERROR")))))</f>
        <v/>
      </c>
      <c r="F23" s="62" t="str">
        <f t="shared" ref="F23:F26" si="34">IF(D23="","",IF(N23="○",M23,IF(P23="○",O23,IF(R23="○",Q23,IF(T23="○",S23,"ERROR")))))</f>
        <v/>
      </c>
      <c r="G23" s="146" t="str">
        <f t="shared" si="27"/>
        <v/>
      </c>
      <c r="H23" s="62" t="str">
        <f t="shared" si="16"/>
        <v/>
      </c>
      <c r="I23" s="62">
        <f t="shared" si="17"/>
        <v>242333.33333333401</v>
      </c>
      <c r="J23" s="62" t="str">
        <f>IFERROR(IF($C23="-","",IF(D23="",0,IF(E23="正規職員",I23,MIN(H23:I23)))),0)</f>
        <v/>
      </c>
      <c r="K23" s="64" t="str">
        <f t="shared" ref="K23:K26" si="35">IF(D23="","",IF(OR(COUNTIFS(D23,"*要配慮*")=1,COUNTIFS(D23,"*医療的ケア*")=1),"○","エラー"))</f>
        <v/>
      </c>
      <c r="L23" s="65">
        <f t="shared" si="30"/>
        <v>4</v>
      </c>
      <c r="M23" s="65" t="e">
        <f>VLOOKUP($D23&amp;M$5,'②-2勤務時間数入力'!$D$7:$Q$106,$L23,FALSE)</f>
        <v>#N/A</v>
      </c>
      <c r="N23" s="65" t="str">
        <f t="shared" si="18"/>
        <v>×</v>
      </c>
      <c r="O23" s="65" t="e">
        <f>VLOOKUP($D23&amp;O$5,'②-2勤務時間数入力'!$D$7:$Q$106,$L23,FALSE)</f>
        <v>#N/A</v>
      </c>
      <c r="P23" s="65" t="str">
        <f t="shared" si="19"/>
        <v>×</v>
      </c>
      <c r="Q23" s="65" t="e">
        <f>VLOOKUP($D23&amp;Q$5,'②-2勤務時間数入力'!$D$7:$Q$106,$L23,FALSE)</f>
        <v>#N/A</v>
      </c>
      <c r="R23" s="65" t="str">
        <f t="shared" si="20"/>
        <v>×</v>
      </c>
      <c r="S23" s="65" t="e">
        <f>VLOOKUP($D23&amp;S$5,'②-2勤務時間数入力'!$D$7:$Q$106,$L23,FALSE)</f>
        <v>#N/A</v>
      </c>
      <c r="T23" s="65" t="str">
        <f t="shared" si="21"/>
        <v>×</v>
      </c>
    </row>
    <row r="24" spans="1:20" ht="13.5" customHeight="1">
      <c r="A24" s="839"/>
      <c r="B24" s="856"/>
      <c r="C24" s="735"/>
      <c r="D24" s="145" t="str">
        <f t="shared" si="22"/>
        <v/>
      </c>
      <c r="E24" s="63" t="str">
        <f t="shared" si="33"/>
        <v/>
      </c>
      <c r="F24" s="62" t="str">
        <f t="shared" si="34"/>
        <v/>
      </c>
      <c r="G24" s="146" t="str">
        <f t="shared" si="27"/>
        <v/>
      </c>
      <c r="H24" s="62" t="str">
        <f t="shared" si="16"/>
        <v/>
      </c>
      <c r="I24" s="62">
        <f t="shared" si="17"/>
        <v>242333.33333333401</v>
      </c>
      <c r="J24" s="62" t="str">
        <f>IFERROR(IF($C23="-","",IF(D24="","",IF(E24="正規職員",I24-J23,MIN(MIN(H24:I24),I23-J23)))),0)</f>
        <v/>
      </c>
      <c r="K24" s="64" t="str">
        <f t="shared" si="35"/>
        <v/>
      </c>
      <c r="L24" s="65">
        <f>L18</f>
        <v>4</v>
      </c>
      <c r="M24" s="65" t="e">
        <f>VLOOKUP($D24&amp;M$5,'②-2勤務時間数入力'!$D$7:$Q$106,$L24,FALSE)</f>
        <v>#N/A</v>
      </c>
      <c r="N24" s="65" t="str">
        <f t="shared" si="18"/>
        <v>×</v>
      </c>
      <c r="O24" s="65" t="e">
        <f>VLOOKUP($D24&amp;O$5,'②-2勤務時間数入力'!$D$7:$Q$106,$L24,FALSE)</f>
        <v>#N/A</v>
      </c>
      <c r="P24" s="65" t="str">
        <f t="shared" si="19"/>
        <v>×</v>
      </c>
      <c r="Q24" s="65" t="e">
        <f>VLOOKUP($D24&amp;Q$5,'②-2勤務時間数入力'!$D$7:$Q$106,$L24,FALSE)</f>
        <v>#N/A</v>
      </c>
      <c r="R24" s="65" t="str">
        <f t="shared" si="20"/>
        <v>×</v>
      </c>
      <c r="S24" s="65" t="e">
        <f>VLOOKUP($D24&amp;S$5,'②-2勤務時間数入力'!$D$7:$Q$106,$L24,FALSE)</f>
        <v>#N/A</v>
      </c>
      <c r="T24" s="65" t="str">
        <f t="shared" si="21"/>
        <v>×</v>
      </c>
    </row>
    <row r="25" spans="1:20" ht="13.5" customHeight="1">
      <c r="A25" s="839"/>
      <c r="B25" s="856"/>
      <c r="C25" s="854" t="str">
        <f>IF(B17&gt;=1,IFERROR(INDEX($F$153:$G$158,MATCH(判定!AL10,$F$153:$F$158,0),2),"-"),"-")</f>
        <v>-</v>
      </c>
      <c r="D25" s="145" t="str">
        <f t="shared" si="22"/>
        <v/>
      </c>
      <c r="E25" s="63" t="str">
        <f t="shared" si="33"/>
        <v/>
      </c>
      <c r="F25" s="62" t="str">
        <f t="shared" si="34"/>
        <v/>
      </c>
      <c r="G25" s="146" t="str">
        <f t="shared" si="27"/>
        <v/>
      </c>
      <c r="H25" s="62" t="str">
        <f>IF($D25="","",IF($E25="正規職員","-",F25*G25))</f>
        <v/>
      </c>
      <c r="I25" s="62">
        <f t="shared" si="17"/>
        <v>242333.33333333401</v>
      </c>
      <c r="J25" s="62" t="str">
        <f>IFERROR(IF($C25="-","",IF(D25="",0,IF(E25="正規職員",I25,MIN(H25:I25)))),0)</f>
        <v/>
      </c>
      <c r="K25" s="64" t="str">
        <f t="shared" si="35"/>
        <v/>
      </c>
      <c r="L25" s="65">
        <f t="shared" ref="L25:L26" si="36">L24</f>
        <v>4</v>
      </c>
      <c r="M25" s="65" t="e">
        <f>VLOOKUP($D25&amp;M$5,'②-2勤務時間数入力'!$D$7:$Q$106,$L25,FALSE)</f>
        <v>#N/A</v>
      </c>
      <c r="N25" s="65" t="str">
        <f t="shared" si="18"/>
        <v>×</v>
      </c>
      <c r="O25" s="65" t="e">
        <f>VLOOKUP($D25&amp;O$5,'②-2勤務時間数入力'!$D$7:$Q$106,$L25,FALSE)</f>
        <v>#N/A</v>
      </c>
      <c r="P25" s="65" t="str">
        <f t="shared" si="19"/>
        <v>×</v>
      </c>
      <c r="Q25" s="65" t="e">
        <f>VLOOKUP($D25&amp;Q$5,'②-2勤務時間数入力'!$D$7:$Q$106,$L25,FALSE)</f>
        <v>#N/A</v>
      </c>
      <c r="R25" s="65" t="str">
        <f t="shared" si="20"/>
        <v>×</v>
      </c>
      <c r="S25" s="65" t="e">
        <f>VLOOKUP($D25&amp;S$5,'②-2勤務時間数入力'!$D$7:$Q$106,$L25,FALSE)</f>
        <v>#N/A</v>
      </c>
      <c r="T25" s="65" t="str">
        <f t="shared" si="21"/>
        <v>×</v>
      </c>
    </row>
    <row r="26" spans="1:20" ht="13.5" customHeight="1">
      <c r="A26" s="853"/>
      <c r="B26" s="856"/>
      <c r="C26" s="726"/>
      <c r="D26" s="145" t="str">
        <f t="shared" si="22"/>
        <v/>
      </c>
      <c r="E26" s="63" t="str">
        <f t="shared" si="33"/>
        <v/>
      </c>
      <c r="F26" s="62" t="str">
        <f t="shared" si="34"/>
        <v/>
      </c>
      <c r="G26" s="146" t="str">
        <f t="shared" si="27"/>
        <v/>
      </c>
      <c r="H26" s="62" t="str">
        <f>IF($D26="","",IF($E26="正規職員","-",F26*G26))</f>
        <v/>
      </c>
      <c r="I26" s="62">
        <f t="shared" si="17"/>
        <v>242333.33333333401</v>
      </c>
      <c r="J26" s="62" t="str">
        <f>IFERROR(IF($C25="-","",IF(D26="","",IF(E26="正規職員",I26-J25,MIN(MIN(H26:I26),I25-J25)))),0)</f>
        <v/>
      </c>
      <c r="K26" s="64" t="str">
        <f t="shared" si="35"/>
        <v/>
      </c>
      <c r="L26" s="65">
        <f t="shared" si="36"/>
        <v>4</v>
      </c>
      <c r="M26" s="65" t="e">
        <f>VLOOKUP($D26&amp;M$5,'②-2勤務時間数入力'!$D$7:$Q$106,$L26,FALSE)</f>
        <v>#N/A</v>
      </c>
      <c r="N26" s="65" t="str">
        <f t="shared" si="18"/>
        <v>×</v>
      </c>
      <c r="O26" s="65" t="e">
        <f>VLOOKUP($D26&amp;O$5,'②-2勤務時間数入力'!$D$7:$Q$106,$L26,FALSE)</f>
        <v>#N/A</v>
      </c>
      <c r="P26" s="65" t="str">
        <f t="shared" si="19"/>
        <v>×</v>
      </c>
      <c r="Q26" s="65" t="e">
        <f>VLOOKUP($D26&amp;Q$5,'②-2勤務時間数入力'!$D$7:$Q$106,$L26,FALSE)</f>
        <v>#N/A</v>
      </c>
      <c r="R26" s="65" t="str">
        <f t="shared" si="20"/>
        <v>×</v>
      </c>
      <c r="S26" s="65" t="e">
        <f>VLOOKUP($D26&amp;S$5,'②-2勤務時間数入力'!$D$7:$Q$106,$L26,FALSE)</f>
        <v>#N/A</v>
      </c>
      <c r="T26" s="65" t="str">
        <f t="shared" si="21"/>
        <v>×</v>
      </c>
    </row>
    <row r="27" spans="1:20" ht="13.5" customHeight="1">
      <c r="A27" s="821"/>
      <c r="B27" s="857"/>
      <c r="C27" s="258"/>
      <c r="D27" s="1" t="s">
        <v>294</v>
      </c>
      <c r="E27" s="63" t="s">
        <v>293</v>
      </c>
      <c r="F27" s="70"/>
      <c r="G27" s="63" t="s">
        <v>293</v>
      </c>
      <c r="H27" s="63" t="s">
        <v>293</v>
      </c>
      <c r="I27" s="63" t="s">
        <v>293</v>
      </c>
      <c r="J27" s="62" t="str">
        <f>IFERROR(IF(J17="","",MIN(SUM(J17:J26),(B17*I17))),0)</f>
        <v/>
      </c>
      <c r="K27" s="64"/>
      <c r="L27" s="65"/>
      <c r="M27" s="65"/>
      <c r="N27" s="65"/>
      <c r="O27" s="65"/>
      <c r="P27" s="65"/>
      <c r="Q27" s="65"/>
      <c r="R27" s="65"/>
      <c r="S27" s="65"/>
      <c r="T27" s="65"/>
    </row>
    <row r="28" spans="1:20" ht="13.5" customHeight="1">
      <c r="A28" s="820">
        <v>6</v>
      </c>
      <c r="B28" s="855" t="str">
        <f>IF(判定!AY11&gt;=1,判定!AY11,"-")</f>
        <v>-</v>
      </c>
      <c r="C28" s="841" t="str">
        <f>IF(B28&gt;=1,IFERROR(INDEX($F$153:$G$158,MATCH(判定!AH11,$F$153:$F$158,0),2),"-"),"-")</f>
        <v>-</v>
      </c>
      <c r="D28" s="145" t="str">
        <f>IF(D17="","",D17)</f>
        <v/>
      </c>
      <c r="E28" s="63" t="str">
        <f>IF(D28="","",IF(N28="○",M$5,IF(P28="○",O$5,IF(R28="○",Q$5,IF(T28="○",S$5,"ERROR")))))</f>
        <v/>
      </c>
      <c r="F28" s="62" t="str">
        <f>IF(D28="","",IF(N28="○",M28,IF(P28="○",O28,IF(R28="○",Q28,IF(T28="○",S28,"ERROR")))))</f>
        <v/>
      </c>
      <c r="G28" s="146" t="str">
        <f>IF($D28="","",IF($E28="正規職員","-","賃金単価を記載"))</f>
        <v/>
      </c>
      <c r="H28" s="62" t="str">
        <f t="shared" ref="H28:H30" si="37">IF($D28="","",IF($E28="正規職員","-",F28*G28))</f>
        <v/>
      </c>
      <c r="I28" s="62">
        <f t="shared" si="17"/>
        <v>242333.33333333401</v>
      </c>
      <c r="J28" s="62" t="str">
        <f>IFERROR(IF($C28="-","",IF(D28="",0,IF(E28="正規職員",I28,MIN(H28:I28)))),0)</f>
        <v/>
      </c>
      <c r="K28" s="64" t="str">
        <f>IF(D28="","",IF(OR(COUNTIFS(D28,"*要配慮*")=1,COUNTIFS(D28,"*医療的ケア*")=1),"○","エラー"))</f>
        <v/>
      </c>
      <c r="L28" s="65">
        <f>L17+1</f>
        <v>5</v>
      </c>
      <c r="M28" s="65" t="e">
        <f>VLOOKUP($D28&amp;M$5,'②-2勤務時間数入力'!$D$7:$Q$106,$L28,FALSE)</f>
        <v>#N/A</v>
      </c>
      <c r="N28" s="65" t="str">
        <f t="shared" ref="N28:N37" si="38">IF(ISERROR(M28),"×",IF(M28="-","×","○"))</f>
        <v>×</v>
      </c>
      <c r="O28" s="65" t="e">
        <f>VLOOKUP($D28&amp;O$5,'②-2勤務時間数入力'!$D$7:$Q$106,$L28,FALSE)</f>
        <v>#N/A</v>
      </c>
      <c r="P28" s="65" t="str">
        <f t="shared" ref="P28:P37" si="39">IF(ISERROR(O28),"×",IF(O28="-","×","○"))</f>
        <v>×</v>
      </c>
      <c r="Q28" s="65" t="e">
        <f>VLOOKUP($D28&amp;Q$5,'②-2勤務時間数入力'!$D$7:$Q$106,$L28,FALSE)</f>
        <v>#N/A</v>
      </c>
      <c r="R28" s="65" t="str">
        <f t="shared" ref="R28:R37" si="40">IF(ISERROR(Q28),"×",IF(Q28="-","×","○"))</f>
        <v>×</v>
      </c>
      <c r="S28" s="65" t="e">
        <f>VLOOKUP($D28&amp;S$5,'②-2勤務時間数入力'!$D$7:$Q$106,$L28,FALSE)</f>
        <v>#N/A</v>
      </c>
      <c r="T28" s="65" t="str">
        <f t="shared" ref="T28:T37" si="41">IF(ISERROR(S28),"×",IF(S28="-","×","○"))</f>
        <v>×</v>
      </c>
    </row>
    <row r="29" spans="1:20" ht="13.5" customHeight="1">
      <c r="A29" s="839"/>
      <c r="B29" s="856"/>
      <c r="C29" s="735"/>
      <c r="D29" s="145" t="str">
        <f t="shared" ref="D29:D37" si="42">IF(D18="","",D18)</f>
        <v/>
      </c>
      <c r="E29" s="63" t="str">
        <f>IF(D29="","",IF(N29="○",M$5,IF(P29="○",O$5,IF(R29="○",Q$5,IF(T29="○",S$5,"ERROR")))))</f>
        <v/>
      </c>
      <c r="F29" s="62" t="str">
        <f t="shared" ref="F29:F37" si="43">IF(D29="","",IF(N29="○",M29,IF(P29="○",O29,IF(R29="○",Q29,IF(T29="○",S29,"ERROR")))))</f>
        <v/>
      </c>
      <c r="G29" s="146" t="str">
        <f>IF($D29="","",IF($E29="正規職員","-","賃金単価を記載"))</f>
        <v/>
      </c>
      <c r="H29" s="62" t="str">
        <f t="shared" si="37"/>
        <v/>
      </c>
      <c r="I29" s="62">
        <f t="shared" si="17"/>
        <v>242333.33333333401</v>
      </c>
      <c r="J29" s="62" t="str">
        <f>IFERROR(IF($C28="-","",IF(D29="","",IF(E29="正規職員",I29-J28,MIN(MIN(H29:I29),I28-J28)))),0)</f>
        <v/>
      </c>
      <c r="K29" s="64" t="str">
        <f t="shared" ref="K29:K37" si="44">IF(D29="","",IF(OR(COUNTIFS(D29,"*要配慮*")=1,COUNTIFS(D29,"*医療的ケア*")=1),"○","エラー"))</f>
        <v/>
      </c>
      <c r="L29" s="65">
        <f>L28</f>
        <v>5</v>
      </c>
      <c r="M29" s="65" t="e">
        <f>VLOOKUP($D29&amp;M$5,'②-2勤務時間数入力'!$D$7:$Q$106,$L29,FALSE)</f>
        <v>#N/A</v>
      </c>
      <c r="N29" s="65" t="str">
        <f t="shared" si="38"/>
        <v>×</v>
      </c>
      <c r="O29" s="65" t="e">
        <f>VLOOKUP($D29&amp;O$5,'②-2勤務時間数入力'!$D$7:$Q$106,$L29,FALSE)</f>
        <v>#N/A</v>
      </c>
      <c r="P29" s="65" t="str">
        <f t="shared" si="39"/>
        <v>×</v>
      </c>
      <c r="Q29" s="65" t="e">
        <f>VLOOKUP($D29&amp;Q$5,'②-2勤務時間数入力'!$D$7:$Q$106,$L29,FALSE)</f>
        <v>#N/A</v>
      </c>
      <c r="R29" s="65" t="str">
        <f t="shared" si="40"/>
        <v>×</v>
      </c>
      <c r="S29" s="65" t="e">
        <f>VLOOKUP($D29&amp;S$5,'②-2勤務時間数入力'!$D$7:$Q$106,$L29,FALSE)</f>
        <v>#N/A</v>
      </c>
      <c r="T29" s="65" t="str">
        <f t="shared" si="41"/>
        <v>×</v>
      </c>
    </row>
    <row r="30" spans="1:20" ht="13.5" customHeight="1">
      <c r="A30" s="839"/>
      <c r="B30" s="856"/>
      <c r="C30" s="841" t="str">
        <f>IF(B28&gt;=1,IFERROR(INDEX($F$153:$G$158,MATCH(判定!AI11,$F$153:$F$158,0),2),"-"),"-")</f>
        <v>-</v>
      </c>
      <c r="D30" s="145" t="str">
        <f t="shared" si="42"/>
        <v/>
      </c>
      <c r="E30" s="63" t="str">
        <f>IF(D30="","",IF(N30="○",M$5,IF(P30="○",O$5,IF(R30="○",Q$5,IF(T30="○",S$5,"ERROR")))))</f>
        <v/>
      </c>
      <c r="F30" s="62" t="str">
        <f t="shared" si="43"/>
        <v/>
      </c>
      <c r="G30" s="146" t="str">
        <f t="shared" ref="G30:G37" si="45">IF($D30="","",IF($E30="正規職員","-","賃金単価を記載"))</f>
        <v/>
      </c>
      <c r="H30" s="62" t="str">
        <f t="shared" si="37"/>
        <v/>
      </c>
      <c r="I30" s="62">
        <f t="shared" si="17"/>
        <v>242333.33333333401</v>
      </c>
      <c r="J30" s="62" t="str">
        <f>IFERROR(IF($C30="-","",IF(D30="",0,IF(E30="正規職員",I30,MIN(H30:I30)))),0)</f>
        <v/>
      </c>
      <c r="K30" s="64" t="str">
        <f t="shared" si="44"/>
        <v/>
      </c>
      <c r="L30" s="65">
        <f t="shared" ref="L30:L34" si="46">L29</f>
        <v>5</v>
      </c>
      <c r="M30" s="65" t="e">
        <f>VLOOKUP($D30&amp;M$5,'②-2勤務時間数入力'!$D$7:$Q$106,$L30,FALSE)</f>
        <v>#N/A</v>
      </c>
      <c r="N30" s="65" t="str">
        <f t="shared" si="38"/>
        <v>×</v>
      </c>
      <c r="O30" s="65" t="e">
        <f>VLOOKUP($D30&amp;O$5,'②-2勤務時間数入力'!$D$7:$Q$106,$L30,FALSE)</f>
        <v>#N/A</v>
      </c>
      <c r="P30" s="65" t="str">
        <f t="shared" si="39"/>
        <v>×</v>
      </c>
      <c r="Q30" s="65" t="e">
        <f>VLOOKUP($D30&amp;Q$5,'②-2勤務時間数入力'!$D$7:$Q$106,$L30,FALSE)</f>
        <v>#N/A</v>
      </c>
      <c r="R30" s="65" t="str">
        <f t="shared" si="40"/>
        <v>×</v>
      </c>
      <c r="S30" s="65" t="e">
        <f>VLOOKUP($D30&amp;S$5,'②-2勤務時間数入力'!$D$7:$Q$106,$L30,FALSE)</f>
        <v>#N/A</v>
      </c>
      <c r="T30" s="65" t="str">
        <f t="shared" si="41"/>
        <v>×</v>
      </c>
    </row>
    <row r="31" spans="1:20" ht="13.5" customHeight="1">
      <c r="A31" s="839"/>
      <c r="B31" s="856"/>
      <c r="C31" s="843"/>
      <c r="D31" s="145" t="str">
        <f t="shared" si="42"/>
        <v/>
      </c>
      <c r="E31" s="63" t="str">
        <f t="shared" ref="E31:E37" si="47">IF(D31="","",IF(N31="○",M$5,IF(P31="○",O$5,IF(R31="○",Q$5,IF(T31="○",S$5,"ERROR")))))</f>
        <v/>
      </c>
      <c r="F31" s="62" t="str">
        <f t="shared" si="43"/>
        <v/>
      </c>
      <c r="G31" s="146" t="str">
        <f t="shared" si="45"/>
        <v/>
      </c>
      <c r="H31" s="62" t="str">
        <f>IF($D31="","",IF($E31="正規職員","-",F31*G31))</f>
        <v/>
      </c>
      <c r="I31" s="62">
        <f t="shared" si="17"/>
        <v>242333.33333333401</v>
      </c>
      <c r="J31" s="62" t="str">
        <f>IFERROR(IF($C30="-","",IF(D31="","",IF(E31="正規職員",I31-J30,MIN(MIN(H31:I31),I30-J30)))),0)</f>
        <v/>
      </c>
      <c r="K31" s="64" t="str">
        <f t="shared" si="44"/>
        <v/>
      </c>
      <c r="L31" s="65">
        <f t="shared" si="46"/>
        <v>5</v>
      </c>
      <c r="M31" s="65" t="e">
        <f>VLOOKUP($D31&amp;M$5,'②-2勤務時間数入力'!$D$7:$Q$106,$L31,FALSE)</f>
        <v>#N/A</v>
      </c>
      <c r="N31" s="65" t="str">
        <f t="shared" si="38"/>
        <v>×</v>
      </c>
      <c r="O31" s="65" t="e">
        <f>VLOOKUP($D31&amp;O$5,'②-2勤務時間数入力'!$D$7:$Q$106,$L31,FALSE)</f>
        <v>#N/A</v>
      </c>
      <c r="P31" s="65" t="str">
        <f t="shared" si="39"/>
        <v>×</v>
      </c>
      <c r="Q31" s="65" t="e">
        <f>VLOOKUP($D31&amp;Q$5,'②-2勤務時間数入力'!$D$7:$Q$106,$L31,FALSE)</f>
        <v>#N/A</v>
      </c>
      <c r="R31" s="65" t="str">
        <f t="shared" si="40"/>
        <v>×</v>
      </c>
      <c r="S31" s="65" t="e">
        <f>VLOOKUP($D31&amp;S$5,'②-2勤務時間数入力'!$D$7:$Q$106,$L31,FALSE)</f>
        <v>#N/A</v>
      </c>
      <c r="T31" s="65" t="str">
        <f t="shared" si="41"/>
        <v>×</v>
      </c>
    </row>
    <row r="32" spans="1:20" ht="13.5" customHeight="1">
      <c r="A32" s="839"/>
      <c r="B32" s="856"/>
      <c r="C32" s="841" t="str">
        <f>IF(B28&gt;=1,IFERROR(INDEX($F$153:$G$158,MATCH(判定!AJ11,$F$153:$F$158,0),2),"-"),"-")</f>
        <v>-</v>
      </c>
      <c r="D32" s="145" t="str">
        <f t="shared" si="42"/>
        <v/>
      </c>
      <c r="E32" s="63" t="str">
        <f t="shared" si="47"/>
        <v/>
      </c>
      <c r="F32" s="62" t="str">
        <f t="shared" si="43"/>
        <v/>
      </c>
      <c r="G32" s="146" t="str">
        <f t="shared" si="45"/>
        <v/>
      </c>
      <c r="H32" s="62" t="str">
        <f t="shared" ref="H32" si="48">IF($D32="","",IF($E32="正規職員","-",F32*G32))</f>
        <v/>
      </c>
      <c r="I32" s="62">
        <f t="shared" si="17"/>
        <v>242333.33333333401</v>
      </c>
      <c r="J32" s="62" t="str">
        <f>IFERROR(IF($C32="-","",IF(D32="",0,IF(E32="正規職員",I32,MIN(H32:I32)))),0)</f>
        <v/>
      </c>
      <c r="K32" s="64" t="str">
        <f t="shared" si="44"/>
        <v/>
      </c>
      <c r="L32" s="65">
        <f t="shared" si="46"/>
        <v>5</v>
      </c>
      <c r="M32" s="65" t="e">
        <f>VLOOKUP($D32&amp;M$5,'②-2勤務時間数入力'!$D$7:$Q$106,$L32,FALSE)</f>
        <v>#N/A</v>
      </c>
      <c r="N32" s="65" t="str">
        <f t="shared" si="38"/>
        <v>×</v>
      </c>
      <c r="O32" s="65" t="e">
        <f>VLOOKUP($D32&amp;O$5,'②-2勤務時間数入力'!$D$7:$Q$106,$L32,FALSE)</f>
        <v>#N/A</v>
      </c>
      <c r="P32" s="65" t="str">
        <f t="shared" si="39"/>
        <v>×</v>
      </c>
      <c r="Q32" s="65" t="e">
        <f>VLOOKUP($D32&amp;Q$5,'②-2勤務時間数入力'!$D$7:$Q$106,$L32,FALSE)</f>
        <v>#N/A</v>
      </c>
      <c r="R32" s="65" t="str">
        <f t="shared" si="40"/>
        <v>×</v>
      </c>
      <c r="S32" s="65" t="e">
        <f>VLOOKUP($D32&amp;S$5,'②-2勤務時間数入力'!$D$7:$Q$106,$L32,FALSE)</f>
        <v>#N/A</v>
      </c>
      <c r="T32" s="65" t="str">
        <f t="shared" si="41"/>
        <v>×</v>
      </c>
    </row>
    <row r="33" spans="1:20" ht="13.5" customHeight="1">
      <c r="A33" s="839"/>
      <c r="B33" s="856"/>
      <c r="C33" s="735"/>
      <c r="D33" s="145" t="str">
        <f t="shared" si="42"/>
        <v/>
      </c>
      <c r="E33" s="63" t="str">
        <f t="shared" si="47"/>
        <v/>
      </c>
      <c r="F33" s="62" t="str">
        <f t="shared" si="43"/>
        <v/>
      </c>
      <c r="G33" s="146" t="str">
        <f t="shared" si="45"/>
        <v/>
      </c>
      <c r="H33" s="62" t="str">
        <f>IF($D33="","",IF($E33="正規職員","-",F33*G33))</f>
        <v/>
      </c>
      <c r="I33" s="62">
        <f t="shared" si="17"/>
        <v>242333.33333333401</v>
      </c>
      <c r="J33" s="62" t="str">
        <f>IFERROR(IF($C32="-","",IF(D33="","",IF(E33="正規職員",I33-J32,MIN(MIN(H33:I33),I32-J32)))),0)</f>
        <v/>
      </c>
      <c r="K33" s="64" t="str">
        <f t="shared" si="44"/>
        <v/>
      </c>
      <c r="L33" s="65">
        <f t="shared" si="46"/>
        <v>5</v>
      </c>
      <c r="M33" s="65" t="e">
        <f>VLOOKUP($D33&amp;M$5,'②-2勤務時間数入力'!$D$7:$Q$106,$L33,FALSE)</f>
        <v>#N/A</v>
      </c>
      <c r="N33" s="65" t="str">
        <f t="shared" si="38"/>
        <v>×</v>
      </c>
      <c r="O33" s="65" t="e">
        <f>VLOOKUP($D33&amp;O$5,'②-2勤務時間数入力'!$D$7:$Q$106,$L33,FALSE)</f>
        <v>#N/A</v>
      </c>
      <c r="P33" s="65" t="str">
        <f t="shared" si="39"/>
        <v>×</v>
      </c>
      <c r="Q33" s="65" t="e">
        <f>VLOOKUP($D33&amp;Q$5,'②-2勤務時間数入力'!$D$7:$Q$106,$L33,FALSE)</f>
        <v>#N/A</v>
      </c>
      <c r="R33" s="65" t="str">
        <f t="shared" si="40"/>
        <v>×</v>
      </c>
      <c r="S33" s="65" t="e">
        <f>VLOOKUP($D33&amp;S$5,'②-2勤務時間数入力'!$D$7:$Q$106,$L33,FALSE)</f>
        <v>#N/A</v>
      </c>
      <c r="T33" s="65" t="str">
        <f t="shared" si="41"/>
        <v>×</v>
      </c>
    </row>
    <row r="34" spans="1:20" ht="13.5" customHeight="1">
      <c r="A34" s="839"/>
      <c r="B34" s="856"/>
      <c r="C34" s="841" t="str">
        <f>IF(B28&gt;=1,IFERROR(INDEX($F$153:$G$158,MATCH(判定!AK11,$F$153:$F$158,0),2),"-"),"-")</f>
        <v>-</v>
      </c>
      <c r="D34" s="145" t="str">
        <f t="shared" si="42"/>
        <v/>
      </c>
      <c r="E34" s="63" t="str">
        <f t="shared" si="47"/>
        <v/>
      </c>
      <c r="F34" s="62" t="str">
        <f t="shared" si="43"/>
        <v/>
      </c>
      <c r="G34" s="146" t="str">
        <f t="shared" si="45"/>
        <v/>
      </c>
      <c r="H34" s="62" t="str">
        <f t="shared" ref="H34:H35" si="49">IF($D34="","",IF($E34="正規職員","-",F34*G34))</f>
        <v/>
      </c>
      <c r="I34" s="62">
        <f t="shared" si="17"/>
        <v>242333.33333333401</v>
      </c>
      <c r="J34" s="62" t="str">
        <f>IFERROR(IF($C34="-","",IF(D34="",0,IF(E34="正規職員",I34,MIN(H34:I34)))),0)</f>
        <v/>
      </c>
      <c r="K34" s="64" t="str">
        <f t="shared" si="44"/>
        <v/>
      </c>
      <c r="L34" s="65">
        <f t="shared" si="46"/>
        <v>5</v>
      </c>
      <c r="M34" s="65" t="e">
        <f>VLOOKUP($D34&amp;M$5,'②-2勤務時間数入力'!$D$7:$Q$106,$L34,FALSE)</f>
        <v>#N/A</v>
      </c>
      <c r="N34" s="65" t="str">
        <f t="shared" si="38"/>
        <v>×</v>
      </c>
      <c r="O34" s="65" t="e">
        <f>VLOOKUP($D34&amp;O$5,'②-2勤務時間数入力'!$D$7:$Q$106,$L34,FALSE)</f>
        <v>#N/A</v>
      </c>
      <c r="P34" s="65" t="str">
        <f t="shared" si="39"/>
        <v>×</v>
      </c>
      <c r="Q34" s="65" t="e">
        <f>VLOOKUP($D34&amp;Q$5,'②-2勤務時間数入力'!$D$7:$Q$106,$L34,FALSE)</f>
        <v>#N/A</v>
      </c>
      <c r="R34" s="65" t="str">
        <f t="shared" si="40"/>
        <v>×</v>
      </c>
      <c r="S34" s="65" t="e">
        <f>VLOOKUP($D34&amp;S$5,'②-2勤務時間数入力'!$D$7:$Q$106,$L34,FALSE)</f>
        <v>#N/A</v>
      </c>
      <c r="T34" s="65" t="str">
        <f t="shared" si="41"/>
        <v>×</v>
      </c>
    </row>
    <row r="35" spans="1:20" ht="13.5" customHeight="1">
      <c r="A35" s="839"/>
      <c r="B35" s="856"/>
      <c r="C35" s="735"/>
      <c r="D35" s="145" t="str">
        <f t="shared" si="42"/>
        <v/>
      </c>
      <c r="E35" s="63" t="str">
        <f t="shared" si="47"/>
        <v/>
      </c>
      <c r="F35" s="62" t="str">
        <f t="shared" si="43"/>
        <v/>
      </c>
      <c r="G35" s="146" t="str">
        <f t="shared" si="45"/>
        <v/>
      </c>
      <c r="H35" s="62" t="str">
        <f t="shared" si="49"/>
        <v/>
      </c>
      <c r="I35" s="62">
        <f t="shared" si="17"/>
        <v>242333.33333333401</v>
      </c>
      <c r="J35" s="62" t="str">
        <f>IFERROR(IF($C34="-","",IF(D35="","",IF(E35="正規職員",I35-J34,MIN(MIN(H35:I35),I34-J34)))),0)</f>
        <v/>
      </c>
      <c r="K35" s="64" t="str">
        <f t="shared" si="44"/>
        <v/>
      </c>
      <c r="L35" s="65">
        <f>L29</f>
        <v>5</v>
      </c>
      <c r="M35" s="65" t="e">
        <f>VLOOKUP($D35&amp;M$5,'②-2勤務時間数入力'!$D$7:$Q$106,$L35,FALSE)</f>
        <v>#N/A</v>
      </c>
      <c r="N35" s="65" t="str">
        <f t="shared" si="38"/>
        <v>×</v>
      </c>
      <c r="O35" s="65" t="e">
        <f>VLOOKUP($D35&amp;O$5,'②-2勤務時間数入力'!$D$7:$Q$106,$L35,FALSE)</f>
        <v>#N/A</v>
      </c>
      <c r="P35" s="65" t="str">
        <f t="shared" si="39"/>
        <v>×</v>
      </c>
      <c r="Q35" s="65" t="e">
        <f>VLOOKUP($D35&amp;Q$5,'②-2勤務時間数入力'!$D$7:$Q$106,$L35,FALSE)</f>
        <v>#N/A</v>
      </c>
      <c r="R35" s="65" t="str">
        <f t="shared" si="40"/>
        <v>×</v>
      </c>
      <c r="S35" s="65" t="e">
        <f>VLOOKUP($D35&amp;S$5,'②-2勤務時間数入力'!$D$7:$Q$106,$L35,FALSE)</f>
        <v>#N/A</v>
      </c>
      <c r="T35" s="65" t="str">
        <f t="shared" si="41"/>
        <v>×</v>
      </c>
    </row>
    <row r="36" spans="1:20" ht="13.5" customHeight="1">
      <c r="A36" s="839"/>
      <c r="B36" s="856"/>
      <c r="C36" s="854" t="str">
        <f>IF(B28&gt;=1,IFERROR(INDEX($F$153:$G$158,MATCH(判定!AL11,$F$153:$F$158,0),2),"-"),"-")</f>
        <v>-</v>
      </c>
      <c r="D36" s="145" t="str">
        <f t="shared" si="42"/>
        <v/>
      </c>
      <c r="E36" s="63" t="str">
        <f t="shared" si="47"/>
        <v/>
      </c>
      <c r="F36" s="62" t="str">
        <f t="shared" si="43"/>
        <v/>
      </c>
      <c r="G36" s="146" t="str">
        <f t="shared" si="45"/>
        <v/>
      </c>
      <c r="H36" s="62" t="str">
        <f>IF($D36="","",IF($E36="正規職員","-",F36*G36))</f>
        <v/>
      </c>
      <c r="I36" s="62">
        <f t="shared" si="17"/>
        <v>242333.33333333401</v>
      </c>
      <c r="J36" s="62" t="str">
        <f>IFERROR(IF($C36="-","",IF(D36="",0,IF(E36="正規職員",I36,MIN(H36:I36)))),0)</f>
        <v/>
      </c>
      <c r="K36" s="64" t="str">
        <f t="shared" si="44"/>
        <v/>
      </c>
      <c r="L36" s="65">
        <f t="shared" ref="L36:L37" si="50">L35</f>
        <v>5</v>
      </c>
      <c r="M36" s="65" t="e">
        <f>VLOOKUP($D36&amp;M$5,'②-2勤務時間数入力'!$D$7:$Q$106,$L36,FALSE)</f>
        <v>#N/A</v>
      </c>
      <c r="N36" s="65" t="str">
        <f t="shared" si="38"/>
        <v>×</v>
      </c>
      <c r="O36" s="65" t="e">
        <f>VLOOKUP($D36&amp;O$5,'②-2勤務時間数入力'!$D$7:$Q$106,$L36,FALSE)</f>
        <v>#N/A</v>
      </c>
      <c r="P36" s="65" t="str">
        <f t="shared" si="39"/>
        <v>×</v>
      </c>
      <c r="Q36" s="65" t="e">
        <f>VLOOKUP($D36&amp;Q$5,'②-2勤務時間数入力'!$D$7:$Q$106,$L36,FALSE)</f>
        <v>#N/A</v>
      </c>
      <c r="R36" s="65" t="str">
        <f t="shared" si="40"/>
        <v>×</v>
      </c>
      <c r="S36" s="65" t="e">
        <f>VLOOKUP($D36&amp;S$5,'②-2勤務時間数入力'!$D$7:$Q$106,$L36,FALSE)</f>
        <v>#N/A</v>
      </c>
      <c r="T36" s="65" t="str">
        <f t="shared" si="41"/>
        <v>×</v>
      </c>
    </row>
    <row r="37" spans="1:20" ht="13.5" customHeight="1">
      <c r="A37" s="853"/>
      <c r="B37" s="856"/>
      <c r="C37" s="726"/>
      <c r="D37" s="145" t="str">
        <f t="shared" si="42"/>
        <v/>
      </c>
      <c r="E37" s="63" t="str">
        <f t="shared" si="47"/>
        <v/>
      </c>
      <c r="F37" s="62" t="str">
        <f t="shared" si="43"/>
        <v/>
      </c>
      <c r="G37" s="146" t="str">
        <f t="shared" si="45"/>
        <v/>
      </c>
      <c r="H37" s="62" t="str">
        <f>IF($D37="","",IF($E37="正規職員","-",F37*G37))</f>
        <v/>
      </c>
      <c r="I37" s="62">
        <f t="shared" si="17"/>
        <v>242333.33333333401</v>
      </c>
      <c r="J37" s="62" t="str">
        <f>IFERROR(IF($C36="-","",IF(D37="","",IF(E37="正規職員",I37-J36,MIN(MIN(H37:I37),I36-J36)))),0)</f>
        <v/>
      </c>
      <c r="K37" s="64" t="str">
        <f t="shared" si="44"/>
        <v/>
      </c>
      <c r="L37" s="65">
        <f t="shared" si="50"/>
        <v>5</v>
      </c>
      <c r="M37" s="65" t="e">
        <f>VLOOKUP($D37&amp;M$5,'②-2勤務時間数入力'!$D$7:$Q$106,$L37,FALSE)</f>
        <v>#N/A</v>
      </c>
      <c r="N37" s="65" t="str">
        <f t="shared" si="38"/>
        <v>×</v>
      </c>
      <c r="O37" s="65" t="e">
        <f>VLOOKUP($D37&amp;O$5,'②-2勤務時間数入力'!$D$7:$Q$106,$L37,FALSE)</f>
        <v>#N/A</v>
      </c>
      <c r="P37" s="65" t="str">
        <f t="shared" si="39"/>
        <v>×</v>
      </c>
      <c r="Q37" s="65" t="e">
        <f>VLOOKUP($D37&amp;Q$5,'②-2勤務時間数入力'!$D$7:$Q$106,$L37,FALSE)</f>
        <v>#N/A</v>
      </c>
      <c r="R37" s="65" t="str">
        <f t="shared" si="40"/>
        <v>×</v>
      </c>
      <c r="S37" s="65" t="e">
        <f>VLOOKUP($D37&amp;S$5,'②-2勤務時間数入力'!$D$7:$Q$106,$L37,FALSE)</f>
        <v>#N/A</v>
      </c>
      <c r="T37" s="65" t="str">
        <f t="shared" si="41"/>
        <v>×</v>
      </c>
    </row>
    <row r="38" spans="1:20" ht="13.5" customHeight="1">
      <c r="A38" s="821"/>
      <c r="B38" s="857"/>
      <c r="C38" s="258"/>
      <c r="D38" s="1" t="s">
        <v>295</v>
      </c>
      <c r="E38" s="63" t="s">
        <v>293</v>
      </c>
      <c r="F38" s="70"/>
      <c r="G38" s="63" t="s">
        <v>293</v>
      </c>
      <c r="H38" s="63" t="s">
        <v>293</v>
      </c>
      <c r="I38" s="63" t="s">
        <v>293</v>
      </c>
      <c r="J38" s="62" t="str">
        <f>IFERROR(IF(J28="","",MIN(SUM(J28:J37),(B28*I28))),0)</f>
        <v/>
      </c>
      <c r="K38" s="64"/>
      <c r="L38" s="65"/>
      <c r="M38" s="65"/>
      <c r="N38" s="65"/>
      <c r="O38" s="65"/>
      <c r="P38" s="65"/>
      <c r="Q38" s="65"/>
      <c r="R38" s="65"/>
      <c r="S38" s="65"/>
      <c r="T38" s="65"/>
    </row>
    <row r="39" spans="1:20" ht="13.5" customHeight="1">
      <c r="A39" s="820">
        <v>7</v>
      </c>
      <c r="B39" s="855" t="str">
        <f>IF(判定!AY12&gt;=1,判定!AY12,"-")</f>
        <v>-</v>
      </c>
      <c r="C39" s="841" t="str">
        <f>IF(B39&gt;=1,IFERROR(INDEX($F$153:$G$158,MATCH(判定!AH12,$F$153:$F$158,0),2),"-"),"-")</f>
        <v>-</v>
      </c>
      <c r="D39" s="145" t="str">
        <f>IF(D28="","",D28)</f>
        <v/>
      </c>
      <c r="E39" s="63" t="str">
        <f>IF(D39="","",IF(N39="○",M$5,IF(P39="○",O$5,IF(R39="○",Q$5,IF(T39="○",S$5,"ERROR")))))</f>
        <v/>
      </c>
      <c r="F39" s="62" t="str">
        <f>IF(D39="","",IF(N39="○",M39,IF(P39="○",O39,IF(R39="○",Q39,IF(T39="○",S39,"ERROR")))))</f>
        <v/>
      </c>
      <c r="G39" s="146" t="str">
        <f>IF($D39="","",IF($E39="正規職員","-","賃金単価を記載"))</f>
        <v/>
      </c>
      <c r="H39" s="62" t="str">
        <f t="shared" ref="H39:H41" si="51">IF($D39="","",IF($E39="正規職員","-",F39*G39))</f>
        <v/>
      </c>
      <c r="I39" s="62">
        <f t="shared" si="17"/>
        <v>242333.33333333401</v>
      </c>
      <c r="J39" s="62" t="str">
        <f>IFERROR(IF($C39="-","",IF(D39="",0,IF(E39="正規職員",I39,MIN(H39:I39)))),0)</f>
        <v/>
      </c>
      <c r="K39" s="64" t="str">
        <f>IF(D39="","",IF(OR(COUNTIFS(D39,"*要配慮*")=1,COUNTIFS(D39,"*医療的ケア*")=1),"○","エラー"))</f>
        <v/>
      </c>
      <c r="L39" s="65">
        <f>L28+1</f>
        <v>6</v>
      </c>
      <c r="M39" s="65" t="e">
        <f>VLOOKUP($D39&amp;M$5,'②-2勤務時間数入力'!$D$7:$Q$106,$L39,FALSE)</f>
        <v>#N/A</v>
      </c>
      <c r="N39" s="65" t="str">
        <f t="shared" ref="N39:N48" si="52">IF(ISERROR(M39),"×",IF(M39="-","×","○"))</f>
        <v>×</v>
      </c>
      <c r="O39" s="65" t="e">
        <f>VLOOKUP($D39&amp;O$5,'②-2勤務時間数入力'!$D$7:$Q$106,$L39,FALSE)</f>
        <v>#N/A</v>
      </c>
      <c r="P39" s="65" t="str">
        <f t="shared" ref="P39:P48" si="53">IF(ISERROR(O39),"×",IF(O39="-","×","○"))</f>
        <v>×</v>
      </c>
      <c r="Q39" s="65" t="e">
        <f>VLOOKUP($D39&amp;Q$5,'②-2勤務時間数入力'!$D$7:$Q$106,$L39,FALSE)</f>
        <v>#N/A</v>
      </c>
      <c r="R39" s="65" t="str">
        <f t="shared" ref="R39:R48" si="54">IF(ISERROR(Q39),"×",IF(Q39="-","×","○"))</f>
        <v>×</v>
      </c>
      <c r="S39" s="65" t="e">
        <f>VLOOKUP($D39&amp;S$5,'②-2勤務時間数入力'!$D$7:$Q$106,$L39,FALSE)</f>
        <v>#N/A</v>
      </c>
      <c r="T39" s="65" t="str">
        <f t="shared" ref="T39:T48" si="55">IF(ISERROR(S39),"×",IF(S39="-","×","○"))</f>
        <v>×</v>
      </c>
    </row>
    <row r="40" spans="1:20" ht="13.5" customHeight="1">
      <c r="A40" s="839"/>
      <c r="B40" s="856"/>
      <c r="C40" s="735"/>
      <c r="D40" s="145" t="str">
        <f t="shared" ref="D40:D48" si="56">IF(D29="","",D29)</f>
        <v/>
      </c>
      <c r="E40" s="63" t="str">
        <f>IF(D40="","",IF(N40="○",M$5,IF(P40="○",O$5,IF(R40="○",Q$5,IF(T40="○",S$5,"ERROR")))))</f>
        <v/>
      </c>
      <c r="F40" s="62" t="str">
        <f t="shared" ref="F40:F48" si="57">IF(D40="","",IF(N40="○",M40,IF(P40="○",O40,IF(R40="○",Q40,IF(T40="○",S40,"ERROR")))))</f>
        <v/>
      </c>
      <c r="G40" s="146" t="str">
        <f>IF($D40="","",IF($E40="正規職員","-","賃金単価を記載"))</f>
        <v/>
      </c>
      <c r="H40" s="62" t="str">
        <f t="shared" si="51"/>
        <v/>
      </c>
      <c r="I40" s="62">
        <f t="shared" si="17"/>
        <v>242333.33333333401</v>
      </c>
      <c r="J40" s="62" t="str">
        <f>IFERROR(IF($C39="-","",IF(D40="","",IF(E40="正規職員",I40-J39,MIN(MIN(H40:I40),I39-J39)))),0)</f>
        <v/>
      </c>
      <c r="K40" s="64" t="str">
        <f t="shared" ref="K40:K48" si="58">IF(D40="","",IF(OR(COUNTIFS(D40,"*要配慮*")=1,COUNTIFS(D40,"*医療的ケア*")=1),"○","エラー"))</f>
        <v/>
      </c>
      <c r="L40" s="65">
        <f>L39</f>
        <v>6</v>
      </c>
      <c r="M40" s="65" t="e">
        <f>VLOOKUP($D40&amp;M$5,'②-2勤務時間数入力'!$D$7:$Q$106,$L40,FALSE)</f>
        <v>#N/A</v>
      </c>
      <c r="N40" s="65" t="str">
        <f t="shared" si="52"/>
        <v>×</v>
      </c>
      <c r="O40" s="65" t="e">
        <f>VLOOKUP($D40&amp;O$5,'②-2勤務時間数入力'!$D$7:$Q$106,$L40,FALSE)</f>
        <v>#N/A</v>
      </c>
      <c r="P40" s="65" t="str">
        <f t="shared" si="53"/>
        <v>×</v>
      </c>
      <c r="Q40" s="65" t="e">
        <f>VLOOKUP($D40&amp;Q$5,'②-2勤務時間数入力'!$D$7:$Q$106,$L40,FALSE)</f>
        <v>#N/A</v>
      </c>
      <c r="R40" s="65" t="str">
        <f t="shared" si="54"/>
        <v>×</v>
      </c>
      <c r="S40" s="65" t="e">
        <f>VLOOKUP($D40&amp;S$5,'②-2勤務時間数入力'!$D$7:$Q$106,$L40,FALSE)</f>
        <v>#N/A</v>
      </c>
      <c r="T40" s="65" t="str">
        <f t="shared" si="55"/>
        <v>×</v>
      </c>
    </row>
    <row r="41" spans="1:20" ht="13.5" customHeight="1">
      <c r="A41" s="839"/>
      <c r="B41" s="856"/>
      <c r="C41" s="841" t="str">
        <f>IF(B39&gt;=1,IFERROR(INDEX($F$153:$G$158,MATCH(判定!AI12,$F$153:$F$158,0),2),"-"),"-")</f>
        <v>-</v>
      </c>
      <c r="D41" s="145" t="str">
        <f t="shared" si="56"/>
        <v/>
      </c>
      <c r="E41" s="63" t="str">
        <f>IF(D41="","",IF(N41="○",M$5,IF(P41="○",O$5,IF(R41="○",Q$5,IF(T41="○",S$5,"ERROR")))))</f>
        <v/>
      </c>
      <c r="F41" s="62" t="str">
        <f t="shared" si="57"/>
        <v/>
      </c>
      <c r="G41" s="146" t="str">
        <f t="shared" ref="G41:G48" si="59">IF($D41="","",IF($E41="正規職員","-","賃金単価を記載"))</f>
        <v/>
      </c>
      <c r="H41" s="62" t="str">
        <f t="shared" si="51"/>
        <v/>
      </c>
      <c r="I41" s="62">
        <f t="shared" si="17"/>
        <v>242333.33333333401</v>
      </c>
      <c r="J41" s="62" t="str">
        <f>IFERROR(IF($C41="-","",IF(D41="",0,IF(E41="正規職員",I41,MIN(H41:I41)))),0)</f>
        <v/>
      </c>
      <c r="K41" s="64" t="str">
        <f t="shared" si="58"/>
        <v/>
      </c>
      <c r="L41" s="65">
        <f t="shared" ref="L41:L45" si="60">L40</f>
        <v>6</v>
      </c>
      <c r="M41" s="65" t="e">
        <f>VLOOKUP($D41&amp;M$5,'②-2勤務時間数入力'!$D$7:$Q$106,$L41,FALSE)</f>
        <v>#N/A</v>
      </c>
      <c r="N41" s="65" t="str">
        <f t="shared" si="52"/>
        <v>×</v>
      </c>
      <c r="O41" s="65" t="e">
        <f>VLOOKUP($D41&amp;O$5,'②-2勤務時間数入力'!$D$7:$Q$106,$L41,FALSE)</f>
        <v>#N/A</v>
      </c>
      <c r="P41" s="65" t="str">
        <f t="shared" si="53"/>
        <v>×</v>
      </c>
      <c r="Q41" s="65" t="e">
        <f>VLOOKUP($D41&amp;Q$5,'②-2勤務時間数入力'!$D$7:$Q$106,$L41,FALSE)</f>
        <v>#N/A</v>
      </c>
      <c r="R41" s="65" t="str">
        <f t="shared" si="54"/>
        <v>×</v>
      </c>
      <c r="S41" s="65" t="e">
        <f>VLOOKUP($D41&amp;S$5,'②-2勤務時間数入力'!$D$7:$Q$106,$L41,FALSE)</f>
        <v>#N/A</v>
      </c>
      <c r="T41" s="65" t="str">
        <f t="shared" si="55"/>
        <v>×</v>
      </c>
    </row>
    <row r="42" spans="1:20" ht="13.5" customHeight="1">
      <c r="A42" s="839"/>
      <c r="B42" s="856"/>
      <c r="C42" s="843"/>
      <c r="D42" s="145" t="str">
        <f t="shared" si="56"/>
        <v/>
      </c>
      <c r="E42" s="63" t="str">
        <f t="shared" ref="E42:E48" si="61">IF(D42="","",IF(N42="○",M$5,IF(P42="○",O$5,IF(R42="○",Q$5,IF(T42="○",S$5,"ERROR")))))</f>
        <v/>
      </c>
      <c r="F42" s="62" t="str">
        <f t="shared" si="57"/>
        <v/>
      </c>
      <c r="G42" s="146" t="str">
        <f t="shared" si="59"/>
        <v/>
      </c>
      <c r="H42" s="62" t="str">
        <f>IF($D42="","",IF($E42="正規職員","-",F42*G42))</f>
        <v/>
      </c>
      <c r="I42" s="62">
        <f t="shared" si="17"/>
        <v>242333.33333333401</v>
      </c>
      <c r="J42" s="62" t="str">
        <f>IFERROR(IF($C41="-","",IF(D42="","",IF(E42="正規職員",I42-J41,MIN(MIN(H42:I42),I41-J41)))),0)</f>
        <v/>
      </c>
      <c r="K42" s="64" t="str">
        <f t="shared" si="58"/>
        <v/>
      </c>
      <c r="L42" s="65">
        <f t="shared" si="60"/>
        <v>6</v>
      </c>
      <c r="M42" s="65" t="e">
        <f>VLOOKUP($D42&amp;M$5,'②-2勤務時間数入力'!$D$7:$Q$106,$L42,FALSE)</f>
        <v>#N/A</v>
      </c>
      <c r="N42" s="65" t="str">
        <f t="shared" si="52"/>
        <v>×</v>
      </c>
      <c r="O42" s="65" t="e">
        <f>VLOOKUP($D42&amp;O$5,'②-2勤務時間数入力'!$D$7:$Q$106,$L42,FALSE)</f>
        <v>#N/A</v>
      </c>
      <c r="P42" s="65" t="str">
        <f t="shared" si="53"/>
        <v>×</v>
      </c>
      <c r="Q42" s="65" t="e">
        <f>VLOOKUP($D42&amp;Q$5,'②-2勤務時間数入力'!$D$7:$Q$106,$L42,FALSE)</f>
        <v>#N/A</v>
      </c>
      <c r="R42" s="65" t="str">
        <f t="shared" si="54"/>
        <v>×</v>
      </c>
      <c r="S42" s="65" t="e">
        <f>VLOOKUP($D42&amp;S$5,'②-2勤務時間数入力'!$D$7:$Q$106,$L42,FALSE)</f>
        <v>#N/A</v>
      </c>
      <c r="T42" s="65" t="str">
        <f t="shared" si="55"/>
        <v>×</v>
      </c>
    </row>
    <row r="43" spans="1:20" ht="13.5" customHeight="1">
      <c r="A43" s="839"/>
      <c r="B43" s="856"/>
      <c r="C43" s="841" t="str">
        <f>IF(B39&gt;=1,IFERROR(INDEX($F$153:$G$158,MATCH(判定!AJ12,$F$153:$F$158,0),2),"-"),"-")</f>
        <v>-</v>
      </c>
      <c r="D43" s="145" t="str">
        <f t="shared" si="56"/>
        <v/>
      </c>
      <c r="E43" s="63" t="str">
        <f t="shared" si="61"/>
        <v/>
      </c>
      <c r="F43" s="62" t="str">
        <f t="shared" si="57"/>
        <v/>
      </c>
      <c r="G43" s="146" t="str">
        <f t="shared" si="59"/>
        <v/>
      </c>
      <c r="H43" s="62" t="str">
        <f t="shared" ref="H43" si="62">IF($D43="","",IF($E43="正規職員","-",F43*G43))</f>
        <v/>
      </c>
      <c r="I43" s="62">
        <f t="shared" si="17"/>
        <v>242333.33333333401</v>
      </c>
      <c r="J43" s="62" t="str">
        <f>IFERROR(IF($C43="-","",IF(D43="",0,IF(E43="正規職員",I43,MIN(H43:I43)))),0)</f>
        <v/>
      </c>
      <c r="K43" s="64" t="str">
        <f t="shared" si="58"/>
        <v/>
      </c>
      <c r="L43" s="65">
        <f t="shared" si="60"/>
        <v>6</v>
      </c>
      <c r="M43" s="65" t="e">
        <f>VLOOKUP($D43&amp;M$5,'②-2勤務時間数入力'!$D$7:$Q$106,$L43,FALSE)</f>
        <v>#N/A</v>
      </c>
      <c r="N43" s="65" t="str">
        <f t="shared" si="52"/>
        <v>×</v>
      </c>
      <c r="O43" s="65" t="e">
        <f>VLOOKUP($D43&amp;O$5,'②-2勤務時間数入力'!$D$7:$Q$106,$L43,FALSE)</f>
        <v>#N/A</v>
      </c>
      <c r="P43" s="65" t="str">
        <f t="shared" si="53"/>
        <v>×</v>
      </c>
      <c r="Q43" s="65" t="e">
        <f>VLOOKUP($D43&amp;Q$5,'②-2勤務時間数入力'!$D$7:$Q$106,$L43,FALSE)</f>
        <v>#N/A</v>
      </c>
      <c r="R43" s="65" t="str">
        <f t="shared" si="54"/>
        <v>×</v>
      </c>
      <c r="S43" s="65" t="e">
        <f>VLOOKUP($D43&amp;S$5,'②-2勤務時間数入力'!$D$7:$Q$106,$L43,FALSE)</f>
        <v>#N/A</v>
      </c>
      <c r="T43" s="65" t="str">
        <f t="shared" si="55"/>
        <v>×</v>
      </c>
    </row>
    <row r="44" spans="1:20" ht="13.5" customHeight="1">
      <c r="A44" s="839"/>
      <c r="B44" s="856"/>
      <c r="C44" s="735"/>
      <c r="D44" s="145" t="str">
        <f t="shared" si="56"/>
        <v/>
      </c>
      <c r="E44" s="63" t="str">
        <f t="shared" si="61"/>
        <v/>
      </c>
      <c r="F44" s="62" t="str">
        <f t="shared" si="57"/>
        <v/>
      </c>
      <c r="G44" s="146" t="str">
        <f t="shared" si="59"/>
        <v/>
      </c>
      <c r="H44" s="62" t="str">
        <f>IF($D44="","",IF($E44="正規職員","-",F44*G44))</f>
        <v/>
      </c>
      <c r="I44" s="62">
        <f t="shared" si="17"/>
        <v>242333.33333333401</v>
      </c>
      <c r="J44" s="62" t="str">
        <f>IFERROR(IF($C43="-","",IF(D44="","",IF(E44="正規職員",I44-J43,MIN(MIN(H44:I44),I43-J43)))),0)</f>
        <v/>
      </c>
      <c r="K44" s="64" t="str">
        <f t="shared" si="58"/>
        <v/>
      </c>
      <c r="L44" s="65">
        <f t="shared" si="60"/>
        <v>6</v>
      </c>
      <c r="M44" s="65" t="e">
        <f>VLOOKUP($D44&amp;M$5,'②-2勤務時間数入力'!$D$7:$Q$106,$L44,FALSE)</f>
        <v>#N/A</v>
      </c>
      <c r="N44" s="65" t="str">
        <f t="shared" si="52"/>
        <v>×</v>
      </c>
      <c r="O44" s="65" t="e">
        <f>VLOOKUP($D44&amp;O$5,'②-2勤務時間数入力'!$D$7:$Q$106,$L44,FALSE)</f>
        <v>#N/A</v>
      </c>
      <c r="P44" s="65" t="str">
        <f t="shared" si="53"/>
        <v>×</v>
      </c>
      <c r="Q44" s="65" t="e">
        <f>VLOOKUP($D44&amp;Q$5,'②-2勤務時間数入力'!$D$7:$Q$106,$L44,FALSE)</f>
        <v>#N/A</v>
      </c>
      <c r="R44" s="65" t="str">
        <f t="shared" si="54"/>
        <v>×</v>
      </c>
      <c r="S44" s="65" t="e">
        <f>VLOOKUP($D44&amp;S$5,'②-2勤務時間数入力'!$D$7:$Q$106,$L44,FALSE)</f>
        <v>#N/A</v>
      </c>
      <c r="T44" s="65" t="str">
        <f t="shared" si="55"/>
        <v>×</v>
      </c>
    </row>
    <row r="45" spans="1:20" ht="13.5" customHeight="1">
      <c r="A45" s="839"/>
      <c r="B45" s="856"/>
      <c r="C45" s="841" t="str">
        <f>IF(B39&gt;=1,IFERROR(INDEX($F$153:$G$158,MATCH(判定!AK12,$F$153:$F$158,0),2),"-"),"-")</f>
        <v>-</v>
      </c>
      <c r="D45" s="145" t="str">
        <f t="shared" si="56"/>
        <v/>
      </c>
      <c r="E45" s="63" t="str">
        <f t="shared" si="61"/>
        <v/>
      </c>
      <c r="F45" s="62" t="str">
        <f t="shared" si="57"/>
        <v/>
      </c>
      <c r="G45" s="146" t="str">
        <f t="shared" si="59"/>
        <v/>
      </c>
      <c r="H45" s="62" t="str">
        <f t="shared" ref="H45:H46" si="63">IF($D45="","",IF($E45="正規職員","-",F45*G45))</f>
        <v/>
      </c>
      <c r="I45" s="62">
        <f t="shared" si="17"/>
        <v>242333.33333333401</v>
      </c>
      <c r="J45" s="62" t="str">
        <f>IFERROR(IF($C45="-","",IF(D45="",0,IF(E45="正規職員",I45,MIN(H45:I45)))),0)</f>
        <v/>
      </c>
      <c r="K45" s="64" t="str">
        <f t="shared" si="58"/>
        <v/>
      </c>
      <c r="L45" s="65">
        <f t="shared" si="60"/>
        <v>6</v>
      </c>
      <c r="M45" s="65" t="e">
        <f>VLOOKUP($D45&amp;M$5,'②-2勤務時間数入力'!$D$7:$Q$106,$L45,FALSE)</f>
        <v>#N/A</v>
      </c>
      <c r="N45" s="65" t="str">
        <f t="shared" si="52"/>
        <v>×</v>
      </c>
      <c r="O45" s="65" t="e">
        <f>VLOOKUP($D45&amp;O$5,'②-2勤務時間数入力'!$D$7:$Q$106,$L45,FALSE)</f>
        <v>#N/A</v>
      </c>
      <c r="P45" s="65" t="str">
        <f t="shared" si="53"/>
        <v>×</v>
      </c>
      <c r="Q45" s="65" t="e">
        <f>VLOOKUP($D45&amp;Q$5,'②-2勤務時間数入力'!$D$7:$Q$106,$L45,FALSE)</f>
        <v>#N/A</v>
      </c>
      <c r="R45" s="65" t="str">
        <f t="shared" si="54"/>
        <v>×</v>
      </c>
      <c r="S45" s="65" t="e">
        <f>VLOOKUP($D45&amp;S$5,'②-2勤務時間数入力'!$D$7:$Q$106,$L45,FALSE)</f>
        <v>#N/A</v>
      </c>
      <c r="T45" s="65" t="str">
        <f t="shared" si="55"/>
        <v>×</v>
      </c>
    </row>
    <row r="46" spans="1:20" ht="13.5" customHeight="1">
      <c r="A46" s="839"/>
      <c r="B46" s="856"/>
      <c r="C46" s="735"/>
      <c r="D46" s="145" t="str">
        <f t="shared" si="56"/>
        <v/>
      </c>
      <c r="E46" s="63" t="str">
        <f t="shared" si="61"/>
        <v/>
      </c>
      <c r="F46" s="62" t="str">
        <f t="shared" si="57"/>
        <v/>
      </c>
      <c r="G46" s="146" t="str">
        <f t="shared" si="59"/>
        <v/>
      </c>
      <c r="H46" s="62" t="str">
        <f t="shared" si="63"/>
        <v/>
      </c>
      <c r="I46" s="62">
        <f t="shared" si="17"/>
        <v>242333.33333333401</v>
      </c>
      <c r="J46" s="62" t="str">
        <f>IFERROR(IF($C45="-","",IF(D46="","",IF(E46="正規職員",I46-J45,MIN(MIN(H46:I46),I45-J45)))),0)</f>
        <v/>
      </c>
      <c r="K46" s="64" t="str">
        <f t="shared" si="58"/>
        <v/>
      </c>
      <c r="L46" s="65">
        <f>L40</f>
        <v>6</v>
      </c>
      <c r="M46" s="65" t="e">
        <f>VLOOKUP($D46&amp;M$5,'②-2勤務時間数入力'!$D$7:$Q$106,$L46,FALSE)</f>
        <v>#N/A</v>
      </c>
      <c r="N46" s="65" t="str">
        <f t="shared" si="52"/>
        <v>×</v>
      </c>
      <c r="O46" s="65" t="e">
        <f>VLOOKUP($D46&amp;O$5,'②-2勤務時間数入力'!$D$7:$Q$106,$L46,FALSE)</f>
        <v>#N/A</v>
      </c>
      <c r="P46" s="65" t="str">
        <f t="shared" si="53"/>
        <v>×</v>
      </c>
      <c r="Q46" s="65" t="e">
        <f>VLOOKUP($D46&amp;Q$5,'②-2勤務時間数入力'!$D$7:$Q$106,$L46,FALSE)</f>
        <v>#N/A</v>
      </c>
      <c r="R46" s="65" t="str">
        <f t="shared" si="54"/>
        <v>×</v>
      </c>
      <c r="S46" s="65" t="e">
        <f>VLOOKUP($D46&amp;S$5,'②-2勤務時間数入力'!$D$7:$Q$106,$L46,FALSE)</f>
        <v>#N/A</v>
      </c>
      <c r="T46" s="65" t="str">
        <f t="shared" si="55"/>
        <v>×</v>
      </c>
    </row>
    <row r="47" spans="1:20" ht="13.5" customHeight="1">
      <c r="A47" s="839"/>
      <c r="B47" s="856"/>
      <c r="C47" s="854" t="str">
        <f>IF(B39&gt;=1,IFERROR(INDEX($F$153:$G$158,MATCH(判定!AL12,$F$153:$F$158,0),2),"-"),"-")</f>
        <v>-</v>
      </c>
      <c r="D47" s="145" t="str">
        <f t="shared" si="56"/>
        <v/>
      </c>
      <c r="E47" s="63" t="str">
        <f t="shared" si="61"/>
        <v/>
      </c>
      <c r="F47" s="62" t="str">
        <f t="shared" si="57"/>
        <v/>
      </c>
      <c r="G47" s="146" t="str">
        <f t="shared" si="59"/>
        <v/>
      </c>
      <c r="H47" s="62" t="str">
        <f>IF($D47="","",IF($E47="正規職員","-",F47*G47))</f>
        <v/>
      </c>
      <c r="I47" s="62">
        <f t="shared" si="17"/>
        <v>242333.33333333401</v>
      </c>
      <c r="J47" s="62" t="str">
        <f>IFERROR(IF($C47="-","",IF(D47="",0,IF(E47="正規職員",I47,MIN(H47:I47)))),0)</f>
        <v/>
      </c>
      <c r="K47" s="64" t="str">
        <f t="shared" si="58"/>
        <v/>
      </c>
      <c r="L47" s="65">
        <f t="shared" ref="L47:L48" si="64">L46</f>
        <v>6</v>
      </c>
      <c r="M47" s="65" t="e">
        <f>VLOOKUP($D47&amp;M$5,'②-2勤務時間数入力'!$D$7:$Q$106,$L47,FALSE)</f>
        <v>#N/A</v>
      </c>
      <c r="N47" s="65" t="str">
        <f t="shared" si="52"/>
        <v>×</v>
      </c>
      <c r="O47" s="65" t="e">
        <f>VLOOKUP($D47&amp;O$5,'②-2勤務時間数入力'!$D$7:$Q$106,$L47,FALSE)</f>
        <v>#N/A</v>
      </c>
      <c r="P47" s="65" t="str">
        <f t="shared" si="53"/>
        <v>×</v>
      </c>
      <c r="Q47" s="65" t="e">
        <f>VLOOKUP($D47&amp;Q$5,'②-2勤務時間数入力'!$D$7:$Q$106,$L47,FALSE)</f>
        <v>#N/A</v>
      </c>
      <c r="R47" s="65" t="str">
        <f t="shared" si="54"/>
        <v>×</v>
      </c>
      <c r="S47" s="65" t="e">
        <f>VLOOKUP($D47&amp;S$5,'②-2勤務時間数入力'!$D$7:$Q$106,$L47,FALSE)</f>
        <v>#N/A</v>
      </c>
      <c r="T47" s="65" t="str">
        <f t="shared" si="55"/>
        <v>×</v>
      </c>
    </row>
    <row r="48" spans="1:20" ht="13.5" customHeight="1">
      <c r="A48" s="853"/>
      <c r="B48" s="856"/>
      <c r="C48" s="726"/>
      <c r="D48" s="145" t="str">
        <f t="shared" si="56"/>
        <v/>
      </c>
      <c r="E48" s="63" t="str">
        <f t="shared" si="61"/>
        <v/>
      </c>
      <c r="F48" s="62" t="str">
        <f t="shared" si="57"/>
        <v/>
      </c>
      <c r="G48" s="146" t="str">
        <f t="shared" si="59"/>
        <v/>
      </c>
      <c r="H48" s="62" t="str">
        <f>IF($D48="","",IF($E48="正規職員","-",F48*G48))</f>
        <v/>
      </c>
      <c r="I48" s="62">
        <f t="shared" si="17"/>
        <v>242333.33333333401</v>
      </c>
      <c r="J48" s="62" t="str">
        <f>IFERROR(IF($C47="-","",IF(D48="","",IF(E48="正規職員",I48-J47,MIN(MIN(H48:I48),I47-J47)))),0)</f>
        <v/>
      </c>
      <c r="K48" s="64" t="str">
        <f t="shared" si="58"/>
        <v/>
      </c>
      <c r="L48" s="65">
        <f t="shared" si="64"/>
        <v>6</v>
      </c>
      <c r="M48" s="65" t="e">
        <f>VLOOKUP($D48&amp;M$5,'②-2勤務時間数入力'!$D$7:$Q$106,$L48,FALSE)</f>
        <v>#N/A</v>
      </c>
      <c r="N48" s="65" t="str">
        <f t="shared" si="52"/>
        <v>×</v>
      </c>
      <c r="O48" s="65" t="e">
        <f>VLOOKUP($D48&amp;O$5,'②-2勤務時間数入力'!$D$7:$Q$106,$L48,FALSE)</f>
        <v>#N/A</v>
      </c>
      <c r="P48" s="65" t="str">
        <f t="shared" si="53"/>
        <v>×</v>
      </c>
      <c r="Q48" s="65" t="e">
        <f>VLOOKUP($D48&amp;Q$5,'②-2勤務時間数入力'!$D$7:$Q$106,$L48,FALSE)</f>
        <v>#N/A</v>
      </c>
      <c r="R48" s="65" t="str">
        <f t="shared" si="54"/>
        <v>×</v>
      </c>
      <c r="S48" s="65" t="e">
        <f>VLOOKUP($D48&amp;S$5,'②-2勤務時間数入力'!$D$7:$Q$106,$L48,FALSE)</f>
        <v>#N/A</v>
      </c>
      <c r="T48" s="65" t="str">
        <f t="shared" si="55"/>
        <v>×</v>
      </c>
    </row>
    <row r="49" spans="1:20" ht="13.5" customHeight="1">
      <c r="A49" s="821"/>
      <c r="B49" s="857"/>
      <c r="C49" s="258"/>
      <c r="D49" s="1" t="s">
        <v>296</v>
      </c>
      <c r="E49" s="63" t="s">
        <v>293</v>
      </c>
      <c r="F49" s="70"/>
      <c r="G49" s="63" t="s">
        <v>293</v>
      </c>
      <c r="H49" s="63" t="s">
        <v>293</v>
      </c>
      <c r="I49" s="63" t="s">
        <v>293</v>
      </c>
      <c r="J49" s="62" t="str">
        <f>IFERROR(IF(J39="","",MIN(SUM(J39:J48),(B39*I39))),0)</f>
        <v/>
      </c>
      <c r="K49" s="64"/>
      <c r="L49" s="65"/>
      <c r="M49" s="65"/>
      <c r="N49" s="65"/>
      <c r="O49" s="65"/>
      <c r="P49" s="65"/>
      <c r="Q49" s="65"/>
      <c r="R49" s="65"/>
      <c r="S49" s="65"/>
      <c r="T49" s="65"/>
    </row>
    <row r="50" spans="1:20" ht="13.5" customHeight="1">
      <c r="A50" s="820">
        <v>8</v>
      </c>
      <c r="B50" s="855" t="str">
        <f>IF(判定!AY13&gt;=1,判定!AY13,"-")</f>
        <v>-</v>
      </c>
      <c r="C50" s="841" t="str">
        <f>IF(B50&gt;=1,IFERROR(INDEX($F$153:$G$158,MATCH(判定!AH13,$F$153:$F$158,0),2),"-"),"-")</f>
        <v>-</v>
      </c>
      <c r="D50" s="145" t="str">
        <f>IF(D39="","",D39)</f>
        <v/>
      </c>
      <c r="E50" s="63" t="str">
        <f>IF(D50="","",IF(N50="○",M$5,IF(P50="○",O$5,IF(R50="○",Q$5,IF(T50="○",S$5,"ERROR")))))</f>
        <v/>
      </c>
      <c r="F50" s="62" t="str">
        <f>IF(D50="","",IF(N50="○",M50,IF(P50="○",O50,IF(R50="○",Q50,IF(T50="○",S50,"ERROR")))))</f>
        <v/>
      </c>
      <c r="G50" s="146" t="str">
        <f>IF($D50="","",IF($E50="正規職員","-","賃金単価を記載"))</f>
        <v/>
      </c>
      <c r="H50" s="62" t="str">
        <f t="shared" ref="H50:H52" si="65">IF($D50="","",IF($E50="正規職員","-",F50*G50))</f>
        <v/>
      </c>
      <c r="I50" s="62">
        <f t="shared" si="17"/>
        <v>242333.33333333401</v>
      </c>
      <c r="J50" s="62" t="str">
        <f>IFERROR(IF($C50="-","",IF(D50="",0,IF(E50="正規職員",I50,MIN(H50:I50)))),0)</f>
        <v/>
      </c>
      <c r="K50" s="64" t="str">
        <f>IF(D50="","",IF(OR(COUNTIFS(D50,"*要配慮*")=1,COUNTIFS(D50,"*医療的ケア*")=1),"○","エラー"))</f>
        <v/>
      </c>
      <c r="L50" s="65">
        <f>L39+1</f>
        <v>7</v>
      </c>
      <c r="M50" s="65" t="e">
        <f>VLOOKUP($D50&amp;M$5,'②-2勤務時間数入力'!$D$7:$Q$106,$L50,FALSE)</f>
        <v>#N/A</v>
      </c>
      <c r="N50" s="65" t="str">
        <f t="shared" ref="N50:N59" si="66">IF(ISERROR(M50),"×",IF(M50="-","×","○"))</f>
        <v>×</v>
      </c>
      <c r="O50" s="65" t="e">
        <f>VLOOKUP($D50&amp;O$5,'②-2勤務時間数入力'!$D$7:$Q$106,$L50,FALSE)</f>
        <v>#N/A</v>
      </c>
      <c r="P50" s="65" t="str">
        <f t="shared" ref="P50:P59" si="67">IF(ISERROR(O50),"×",IF(O50="-","×","○"))</f>
        <v>×</v>
      </c>
      <c r="Q50" s="65" t="e">
        <f>VLOOKUP($D50&amp;Q$5,'②-2勤務時間数入力'!$D$7:$Q$106,$L50,FALSE)</f>
        <v>#N/A</v>
      </c>
      <c r="R50" s="65" t="str">
        <f t="shared" ref="R50:R59" si="68">IF(ISERROR(Q50),"×",IF(Q50="-","×","○"))</f>
        <v>×</v>
      </c>
      <c r="S50" s="65" t="e">
        <f>VLOOKUP($D50&amp;S$5,'②-2勤務時間数入力'!$D$7:$Q$106,$L50,FALSE)</f>
        <v>#N/A</v>
      </c>
      <c r="T50" s="65" t="str">
        <f t="shared" ref="T50:T59" si="69">IF(ISERROR(S50),"×",IF(S50="-","×","○"))</f>
        <v>×</v>
      </c>
    </row>
    <row r="51" spans="1:20" ht="13.5" customHeight="1">
      <c r="A51" s="839"/>
      <c r="B51" s="856"/>
      <c r="C51" s="735"/>
      <c r="D51" s="145" t="str">
        <f t="shared" ref="D51:D59" si="70">IF(D40="","",D40)</f>
        <v/>
      </c>
      <c r="E51" s="63" t="str">
        <f>IF(D51="","",IF(N51="○",M$5,IF(P51="○",O$5,IF(R51="○",Q$5,IF(T51="○",S$5,"ERROR")))))</f>
        <v/>
      </c>
      <c r="F51" s="62" t="str">
        <f t="shared" ref="F51:F59" si="71">IF(D51="","",IF(N51="○",M51,IF(P51="○",O51,IF(R51="○",Q51,IF(T51="○",S51,"ERROR")))))</f>
        <v/>
      </c>
      <c r="G51" s="146" t="str">
        <f>IF($D51="","",IF($E51="正規職員","-","賃金単価を記載"))</f>
        <v/>
      </c>
      <c r="H51" s="62" t="str">
        <f t="shared" si="65"/>
        <v/>
      </c>
      <c r="I51" s="62">
        <f t="shared" si="17"/>
        <v>242333.33333333401</v>
      </c>
      <c r="J51" s="62" t="str">
        <f>IFERROR(IF($C50="-","",IF(D51="","",IF(E51="正規職員",I51-J50,MIN(MIN(H51:I51),I50-J50)))),0)</f>
        <v/>
      </c>
      <c r="K51" s="64" t="str">
        <f t="shared" ref="K51:K59" si="72">IF(D51="","",IF(OR(COUNTIFS(D51,"*要配慮*")=1,COUNTIFS(D51,"*医療的ケア*")=1),"○","エラー"))</f>
        <v/>
      </c>
      <c r="L51" s="65">
        <f>L50</f>
        <v>7</v>
      </c>
      <c r="M51" s="65" t="e">
        <f>VLOOKUP($D51&amp;M$5,'②-2勤務時間数入力'!$D$7:$Q$106,$L51,FALSE)</f>
        <v>#N/A</v>
      </c>
      <c r="N51" s="65" t="str">
        <f t="shared" si="66"/>
        <v>×</v>
      </c>
      <c r="O51" s="65" t="e">
        <f>VLOOKUP($D51&amp;O$5,'②-2勤務時間数入力'!$D$7:$Q$106,$L51,FALSE)</f>
        <v>#N/A</v>
      </c>
      <c r="P51" s="65" t="str">
        <f t="shared" si="67"/>
        <v>×</v>
      </c>
      <c r="Q51" s="65" t="e">
        <f>VLOOKUP($D51&amp;Q$5,'②-2勤務時間数入力'!$D$7:$Q$106,$L51,FALSE)</f>
        <v>#N/A</v>
      </c>
      <c r="R51" s="65" t="str">
        <f t="shared" si="68"/>
        <v>×</v>
      </c>
      <c r="S51" s="65" t="e">
        <f>VLOOKUP($D51&amp;S$5,'②-2勤務時間数入力'!$D$7:$Q$106,$L51,FALSE)</f>
        <v>#N/A</v>
      </c>
      <c r="T51" s="65" t="str">
        <f t="shared" si="69"/>
        <v>×</v>
      </c>
    </row>
    <row r="52" spans="1:20" ht="13.5" customHeight="1">
      <c r="A52" s="839"/>
      <c r="B52" s="856"/>
      <c r="C52" s="841" t="str">
        <f>IF(B50&gt;=1,IFERROR(INDEX($F$153:$G$158,MATCH(判定!AI13,$F$153:$F$158,0),2),"-"),"-")</f>
        <v>-</v>
      </c>
      <c r="D52" s="145" t="str">
        <f t="shared" si="70"/>
        <v/>
      </c>
      <c r="E52" s="63" t="str">
        <f>IF(D52="","",IF(N52="○",M$5,IF(P52="○",O$5,IF(R52="○",Q$5,IF(T52="○",S$5,"ERROR")))))</f>
        <v/>
      </c>
      <c r="F52" s="62" t="str">
        <f t="shared" si="71"/>
        <v/>
      </c>
      <c r="G52" s="146" t="str">
        <f t="shared" ref="G52:G59" si="73">IF($D52="","",IF($E52="正規職員","-","賃金単価を記載"))</f>
        <v/>
      </c>
      <c r="H52" s="62" t="str">
        <f t="shared" si="65"/>
        <v/>
      </c>
      <c r="I52" s="62">
        <f t="shared" si="17"/>
        <v>242333.33333333401</v>
      </c>
      <c r="J52" s="62" t="str">
        <f>IFERROR(IF($C52="-","",IF(D52="",0,IF(E52="正規職員",I52,MIN(H52:I52)))),0)</f>
        <v/>
      </c>
      <c r="K52" s="64" t="str">
        <f t="shared" si="72"/>
        <v/>
      </c>
      <c r="L52" s="65">
        <f t="shared" ref="L52:L56" si="74">L51</f>
        <v>7</v>
      </c>
      <c r="M52" s="65" t="e">
        <f>VLOOKUP($D52&amp;M$5,'②-2勤務時間数入力'!$D$7:$Q$106,$L52,FALSE)</f>
        <v>#N/A</v>
      </c>
      <c r="N52" s="65" t="str">
        <f t="shared" si="66"/>
        <v>×</v>
      </c>
      <c r="O52" s="65" t="e">
        <f>VLOOKUP($D52&amp;O$5,'②-2勤務時間数入力'!$D$7:$Q$106,$L52,FALSE)</f>
        <v>#N/A</v>
      </c>
      <c r="P52" s="65" t="str">
        <f t="shared" si="67"/>
        <v>×</v>
      </c>
      <c r="Q52" s="65" t="e">
        <f>VLOOKUP($D52&amp;Q$5,'②-2勤務時間数入力'!$D$7:$Q$106,$L52,FALSE)</f>
        <v>#N/A</v>
      </c>
      <c r="R52" s="65" t="str">
        <f t="shared" si="68"/>
        <v>×</v>
      </c>
      <c r="S52" s="65" t="e">
        <f>VLOOKUP($D52&amp;S$5,'②-2勤務時間数入力'!$D$7:$Q$106,$L52,FALSE)</f>
        <v>#N/A</v>
      </c>
      <c r="T52" s="65" t="str">
        <f t="shared" si="69"/>
        <v>×</v>
      </c>
    </row>
    <row r="53" spans="1:20" ht="13.5" customHeight="1">
      <c r="A53" s="839"/>
      <c r="B53" s="856"/>
      <c r="C53" s="843"/>
      <c r="D53" s="145" t="str">
        <f t="shared" si="70"/>
        <v/>
      </c>
      <c r="E53" s="63" t="str">
        <f t="shared" ref="E53:E59" si="75">IF(D53="","",IF(N53="○",M$5,IF(P53="○",O$5,IF(R53="○",Q$5,IF(T53="○",S$5,"ERROR")))))</f>
        <v/>
      </c>
      <c r="F53" s="62" t="str">
        <f t="shared" si="71"/>
        <v/>
      </c>
      <c r="G53" s="146" t="str">
        <f t="shared" si="73"/>
        <v/>
      </c>
      <c r="H53" s="62" t="str">
        <f>IF($D53="","",IF($E53="正規職員","-",F53*G53))</f>
        <v/>
      </c>
      <c r="I53" s="62">
        <f t="shared" si="17"/>
        <v>242333.33333333401</v>
      </c>
      <c r="J53" s="62" t="str">
        <f>IFERROR(IF($C52="-","",IF(D53="","",IF(E53="正規職員",I53-J52,MIN(MIN(H53:I53),I52-J52)))),0)</f>
        <v/>
      </c>
      <c r="K53" s="64" t="str">
        <f t="shared" si="72"/>
        <v/>
      </c>
      <c r="L53" s="65">
        <f t="shared" si="74"/>
        <v>7</v>
      </c>
      <c r="M53" s="65" t="e">
        <f>VLOOKUP($D53&amp;M$5,'②-2勤務時間数入力'!$D$7:$Q$106,$L53,FALSE)</f>
        <v>#N/A</v>
      </c>
      <c r="N53" s="65" t="str">
        <f t="shared" si="66"/>
        <v>×</v>
      </c>
      <c r="O53" s="65" t="e">
        <f>VLOOKUP($D53&amp;O$5,'②-2勤務時間数入力'!$D$7:$Q$106,$L53,FALSE)</f>
        <v>#N/A</v>
      </c>
      <c r="P53" s="65" t="str">
        <f t="shared" si="67"/>
        <v>×</v>
      </c>
      <c r="Q53" s="65" t="e">
        <f>VLOOKUP($D53&amp;Q$5,'②-2勤務時間数入力'!$D$7:$Q$106,$L53,FALSE)</f>
        <v>#N/A</v>
      </c>
      <c r="R53" s="65" t="str">
        <f t="shared" si="68"/>
        <v>×</v>
      </c>
      <c r="S53" s="65" t="e">
        <f>VLOOKUP($D53&amp;S$5,'②-2勤務時間数入力'!$D$7:$Q$106,$L53,FALSE)</f>
        <v>#N/A</v>
      </c>
      <c r="T53" s="65" t="str">
        <f t="shared" si="69"/>
        <v>×</v>
      </c>
    </row>
    <row r="54" spans="1:20" ht="13.5" customHeight="1">
      <c r="A54" s="839"/>
      <c r="B54" s="856"/>
      <c r="C54" s="841" t="str">
        <f>IF(B50&gt;=1,IFERROR(INDEX($F$153:$G$158,MATCH(判定!AJ13,$F$153:$F$158,0),2),"-"),"-")</f>
        <v>-</v>
      </c>
      <c r="D54" s="145" t="str">
        <f t="shared" si="70"/>
        <v/>
      </c>
      <c r="E54" s="63" t="str">
        <f t="shared" si="75"/>
        <v/>
      </c>
      <c r="F54" s="62" t="str">
        <f t="shared" si="71"/>
        <v/>
      </c>
      <c r="G54" s="146" t="str">
        <f t="shared" si="73"/>
        <v/>
      </c>
      <c r="H54" s="62" t="str">
        <f t="shared" ref="H54" si="76">IF($D54="","",IF($E54="正規職員","-",F54*G54))</f>
        <v/>
      </c>
      <c r="I54" s="62">
        <f t="shared" si="17"/>
        <v>242333.33333333401</v>
      </c>
      <c r="J54" s="62" t="str">
        <f>IFERROR(IF($C54="-","",IF(D54="",0,IF(E54="正規職員",I54,MIN(H54:I54)))),0)</f>
        <v/>
      </c>
      <c r="K54" s="64" t="str">
        <f t="shared" si="72"/>
        <v/>
      </c>
      <c r="L54" s="65">
        <f t="shared" si="74"/>
        <v>7</v>
      </c>
      <c r="M54" s="65" t="e">
        <f>VLOOKUP($D54&amp;M$5,'②-2勤務時間数入力'!$D$7:$Q$106,$L54,FALSE)</f>
        <v>#N/A</v>
      </c>
      <c r="N54" s="65" t="str">
        <f t="shared" si="66"/>
        <v>×</v>
      </c>
      <c r="O54" s="65" t="e">
        <f>VLOOKUP($D54&amp;O$5,'②-2勤務時間数入力'!$D$7:$Q$106,$L54,FALSE)</f>
        <v>#N/A</v>
      </c>
      <c r="P54" s="65" t="str">
        <f t="shared" si="67"/>
        <v>×</v>
      </c>
      <c r="Q54" s="65" t="e">
        <f>VLOOKUP($D54&amp;Q$5,'②-2勤務時間数入力'!$D$7:$Q$106,$L54,FALSE)</f>
        <v>#N/A</v>
      </c>
      <c r="R54" s="65" t="str">
        <f t="shared" si="68"/>
        <v>×</v>
      </c>
      <c r="S54" s="65" t="e">
        <f>VLOOKUP($D54&amp;S$5,'②-2勤務時間数入力'!$D$7:$Q$106,$L54,FALSE)</f>
        <v>#N/A</v>
      </c>
      <c r="T54" s="65" t="str">
        <f t="shared" si="69"/>
        <v>×</v>
      </c>
    </row>
    <row r="55" spans="1:20" ht="13.5" customHeight="1">
      <c r="A55" s="839"/>
      <c r="B55" s="856"/>
      <c r="C55" s="735"/>
      <c r="D55" s="145" t="str">
        <f t="shared" si="70"/>
        <v/>
      </c>
      <c r="E55" s="63" t="str">
        <f t="shared" si="75"/>
        <v/>
      </c>
      <c r="F55" s="62" t="str">
        <f t="shared" si="71"/>
        <v/>
      </c>
      <c r="G55" s="146" t="str">
        <f t="shared" si="73"/>
        <v/>
      </c>
      <c r="H55" s="62" t="str">
        <f>IF($D55="","",IF($E55="正規職員","-",F55*G55))</f>
        <v/>
      </c>
      <c r="I55" s="62">
        <f t="shared" si="17"/>
        <v>242333.33333333401</v>
      </c>
      <c r="J55" s="62" t="str">
        <f>IFERROR(IF($C54="-","",IF(D55="","",IF(E55="正規職員",I55-J54,MIN(MIN(H55:I55),I54-J54)))),0)</f>
        <v/>
      </c>
      <c r="K55" s="64" t="str">
        <f t="shared" si="72"/>
        <v/>
      </c>
      <c r="L55" s="65">
        <f t="shared" si="74"/>
        <v>7</v>
      </c>
      <c r="M55" s="65" t="e">
        <f>VLOOKUP($D55&amp;M$5,'②-2勤務時間数入力'!$D$7:$Q$106,$L55,FALSE)</f>
        <v>#N/A</v>
      </c>
      <c r="N55" s="65" t="str">
        <f t="shared" si="66"/>
        <v>×</v>
      </c>
      <c r="O55" s="65" t="e">
        <f>VLOOKUP($D55&amp;O$5,'②-2勤務時間数入力'!$D$7:$Q$106,$L55,FALSE)</f>
        <v>#N/A</v>
      </c>
      <c r="P55" s="65" t="str">
        <f t="shared" si="67"/>
        <v>×</v>
      </c>
      <c r="Q55" s="65" t="e">
        <f>VLOOKUP($D55&amp;Q$5,'②-2勤務時間数入力'!$D$7:$Q$106,$L55,FALSE)</f>
        <v>#N/A</v>
      </c>
      <c r="R55" s="65" t="str">
        <f t="shared" si="68"/>
        <v>×</v>
      </c>
      <c r="S55" s="65" t="e">
        <f>VLOOKUP($D55&amp;S$5,'②-2勤務時間数入力'!$D$7:$Q$106,$L55,FALSE)</f>
        <v>#N/A</v>
      </c>
      <c r="T55" s="65" t="str">
        <f t="shared" si="69"/>
        <v>×</v>
      </c>
    </row>
    <row r="56" spans="1:20" ht="13.5" customHeight="1">
      <c r="A56" s="839"/>
      <c r="B56" s="856"/>
      <c r="C56" s="841" t="str">
        <f>IF(B50&gt;=1,IFERROR(INDEX($F$153:$G$158,MATCH(判定!AK13,$F$153:$F$158,0),2),"-"),"-")</f>
        <v>-</v>
      </c>
      <c r="D56" s="145" t="str">
        <f t="shared" si="70"/>
        <v/>
      </c>
      <c r="E56" s="63" t="str">
        <f t="shared" si="75"/>
        <v/>
      </c>
      <c r="F56" s="62" t="str">
        <f t="shared" si="71"/>
        <v/>
      </c>
      <c r="G56" s="146" t="str">
        <f t="shared" si="73"/>
        <v/>
      </c>
      <c r="H56" s="62" t="str">
        <f t="shared" ref="H56:H57" si="77">IF($D56="","",IF($E56="正規職員","-",F56*G56))</f>
        <v/>
      </c>
      <c r="I56" s="62">
        <f t="shared" si="17"/>
        <v>242333.33333333401</v>
      </c>
      <c r="J56" s="62" t="str">
        <f>IFERROR(IF($C56="-","",IF(D56="",0,IF(E56="正規職員",I56,MIN(H56:I56)))),0)</f>
        <v/>
      </c>
      <c r="K56" s="64" t="str">
        <f t="shared" si="72"/>
        <v/>
      </c>
      <c r="L56" s="65">
        <f t="shared" si="74"/>
        <v>7</v>
      </c>
      <c r="M56" s="65" t="e">
        <f>VLOOKUP($D56&amp;M$5,'②-2勤務時間数入力'!$D$7:$Q$106,$L56,FALSE)</f>
        <v>#N/A</v>
      </c>
      <c r="N56" s="65" t="str">
        <f t="shared" si="66"/>
        <v>×</v>
      </c>
      <c r="O56" s="65" t="e">
        <f>VLOOKUP($D56&amp;O$5,'②-2勤務時間数入力'!$D$7:$Q$106,$L56,FALSE)</f>
        <v>#N/A</v>
      </c>
      <c r="P56" s="65" t="str">
        <f t="shared" si="67"/>
        <v>×</v>
      </c>
      <c r="Q56" s="65" t="e">
        <f>VLOOKUP($D56&amp;Q$5,'②-2勤務時間数入力'!$D$7:$Q$106,$L56,FALSE)</f>
        <v>#N/A</v>
      </c>
      <c r="R56" s="65" t="str">
        <f t="shared" si="68"/>
        <v>×</v>
      </c>
      <c r="S56" s="65" t="e">
        <f>VLOOKUP($D56&amp;S$5,'②-2勤務時間数入力'!$D$7:$Q$106,$L56,FALSE)</f>
        <v>#N/A</v>
      </c>
      <c r="T56" s="65" t="str">
        <f t="shared" si="69"/>
        <v>×</v>
      </c>
    </row>
    <row r="57" spans="1:20" ht="13.5" customHeight="1">
      <c r="A57" s="839"/>
      <c r="B57" s="856"/>
      <c r="C57" s="735"/>
      <c r="D57" s="145" t="str">
        <f t="shared" si="70"/>
        <v/>
      </c>
      <c r="E57" s="63" t="str">
        <f t="shared" si="75"/>
        <v/>
      </c>
      <c r="F57" s="62" t="str">
        <f t="shared" si="71"/>
        <v/>
      </c>
      <c r="G57" s="146" t="str">
        <f t="shared" si="73"/>
        <v/>
      </c>
      <c r="H57" s="62" t="str">
        <f t="shared" si="77"/>
        <v/>
      </c>
      <c r="I57" s="62">
        <f t="shared" si="17"/>
        <v>242333.33333333401</v>
      </c>
      <c r="J57" s="62" t="str">
        <f>IFERROR(IF($C56="-","",IF(D57="","",IF(E57="正規職員",I57-J56,MIN(MIN(H57:I57),I56-J56)))),0)</f>
        <v/>
      </c>
      <c r="K57" s="64" t="str">
        <f t="shared" si="72"/>
        <v/>
      </c>
      <c r="L57" s="65">
        <f>L51</f>
        <v>7</v>
      </c>
      <c r="M57" s="65" t="e">
        <f>VLOOKUP($D57&amp;M$5,'②-2勤務時間数入力'!$D$7:$Q$106,$L57,FALSE)</f>
        <v>#N/A</v>
      </c>
      <c r="N57" s="65" t="str">
        <f t="shared" si="66"/>
        <v>×</v>
      </c>
      <c r="O57" s="65" t="e">
        <f>VLOOKUP($D57&amp;O$5,'②-2勤務時間数入力'!$D$7:$Q$106,$L57,FALSE)</f>
        <v>#N/A</v>
      </c>
      <c r="P57" s="65" t="str">
        <f t="shared" si="67"/>
        <v>×</v>
      </c>
      <c r="Q57" s="65" t="e">
        <f>VLOOKUP($D57&amp;Q$5,'②-2勤務時間数入力'!$D$7:$Q$106,$L57,FALSE)</f>
        <v>#N/A</v>
      </c>
      <c r="R57" s="65" t="str">
        <f t="shared" si="68"/>
        <v>×</v>
      </c>
      <c r="S57" s="65" t="e">
        <f>VLOOKUP($D57&amp;S$5,'②-2勤務時間数入力'!$D$7:$Q$106,$L57,FALSE)</f>
        <v>#N/A</v>
      </c>
      <c r="T57" s="65" t="str">
        <f t="shared" si="69"/>
        <v>×</v>
      </c>
    </row>
    <row r="58" spans="1:20" ht="13.5" customHeight="1">
      <c r="A58" s="839"/>
      <c r="B58" s="856"/>
      <c r="C58" s="854" t="str">
        <f>IF(B50&gt;=1,IFERROR(INDEX($F$153:$G$158,MATCH(判定!AL13,$F$153:$F$158,0),2),"-"),"-")</f>
        <v>-</v>
      </c>
      <c r="D58" s="145" t="str">
        <f t="shared" si="70"/>
        <v/>
      </c>
      <c r="E58" s="63" t="str">
        <f t="shared" si="75"/>
        <v/>
      </c>
      <c r="F58" s="62" t="str">
        <f t="shared" si="71"/>
        <v/>
      </c>
      <c r="G58" s="146" t="str">
        <f t="shared" si="73"/>
        <v/>
      </c>
      <c r="H58" s="62" t="str">
        <f>IF($D58="","",IF($E58="正規職員","-",F58*G58))</f>
        <v/>
      </c>
      <c r="I58" s="62">
        <f t="shared" si="17"/>
        <v>242333.33333333401</v>
      </c>
      <c r="J58" s="62" t="str">
        <f>IFERROR(IF($C58="-","",IF(D58="",0,IF(E58="正規職員",I58,MIN(H58:I58)))),0)</f>
        <v/>
      </c>
      <c r="K58" s="64" t="str">
        <f t="shared" si="72"/>
        <v/>
      </c>
      <c r="L58" s="65">
        <f t="shared" ref="L58:L59" si="78">L57</f>
        <v>7</v>
      </c>
      <c r="M58" s="65" t="e">
        <f>VLOOKUP($D58&amp;M$5,'②-2勤務時間数入力'!$D$7:$Q$106,$L58,FALSE)</f>
        <v>#N/A</v>
      </c>
      <c r="N58" s="65" t="str">
        <f t="shared" si="66"/>
        <v>×</v>
      </c>
      <c r="O58" s="65" t="e">
        <f>VLOOKUP($D58&amp;O$5,'②-2勤務時間数入力'!$D$7:$Q$106,$L58,FALSE)</f>
        <v>#N/A</v>
      </c>
      <c r="P58" s="65" t="str">
        <f t="shared" si="67"/>
        <v>×</v>
      </c>
      <c r="Q58" s="65" t="e">
        <f>VLOOKUP($D58&amp;Q$5,'②-2勤務時間数入力'!$D$7:$Q$106,$L58,FALSE)</f>
        <v>#N/A</v>
      </c>
      <c r="R58" s="65" t="str">
        <f t="shared" si="68"/>
        <v>×</v>
      </c>
      <c r="S58" s="65" t="e">
        <f>VLOOKUP($D58&amp;S$5,'②-2勤務時間数入力'!$D$7:$Q$106,$L58,FALSE)</f>
        <v>#N/A</v>
      </c>
      <c r="T58" s="65" t="str">
        <f t="shared" si="69"/>
        <v>×</v>
      </c>
    </row>
    <row r="59" spans="1:20" ht="13.5" customHeight="1">
      <c r="A59" s="853"/>
      <c r="B59" s="856"/>
      <c r="C59" s="726"/>
      <c r="D59" s="145" t="str">
        <f t="shared" si="70"/>
        <v/>
      </c>
      <c r="E59" s="63" t="str">
        <f t="shared" si="75"/>
        <v/>
      </c>
      <c r="F59" s="62" t="str">
        <f t="shared" si="71"/>
        <v/>
      </c>
      <c r="G59" s="146" t="str">
        <f t="shared" si="73"/>
        <v/>
      </c>
      <c r="H59" s="62" t="str">
        <f>IF($D59="","",IF($E59="正規職員","-",F59*G59))</f>
        <v/>
      </c>
      <c r="I59" s="62">
        <f t="shared" si="17"/>
        <v>242333.33333333401</v>
      </c>
      <c r="J59" s="62" t="str">
        <f>IFERROR(IF($C58="-","",IF(D59="","",IF(E59="正規職員",I59-J58,MIN(MIN(H59:I59),I58-J58)))),0)</f>
        <v/>
      </c>
      <c r="K59" s="64" t="str">
        <f t="shared" si="72"/>
        <v/>
      </c>
      <c r="L59" s="65">
        <f t="shared" si="78"/>
        <v>7</v>
      </c>
      <c r="M59" s="65" t="e">
        <f>VLOOKUP($D59&amp;M$5,'②-2勤務時間数入力'!$D$7:$Q$106,$L59,FALSE)</f>
        <v>#N/A</v>
      </c>
      <c r="N59" s="65" t="str">
        <f t="shared" si="66"/>
        <v>×</v>
      </c>
      <c r="O59" s="65" t="e">
        <f>VLOOKUP($D59&amp;O$5,'②-2勤務時間数入力'!$D$7:$Q$106,$L59,FALSE)</f>
        <v>#N/A</v>
      </c>
      <c r="P59" s="65" t="str">
        <f t="shared" si="67"/>
        <v>×</v>
      </c>
      <c r="Q59" s="65" t="e">
        <f>VLOOKUP($D59&amp;Q$5,'②-2勤務時間数入力'!$D$7:$Q$106,$L59,FALSE)</f>
        <v>#N/A</v>
      </c>
      <c r="R59" s="65" t="str">
        <f t="shared" si="68"/>
        <v>×</v>
      </c>
      <c r="S59" s="65" t="e">
        <f>VLOOKUP($D59&amp;S$5,'②-2勤務時間数入力'!$D$7:$Q$106,$L59,FALSE)</f>
        <v>#N/A</v>
      </c>
      <c r="T59" s="65" t="str">
        <f t="shared" si="69"/>
        <v>×</v>
      </c>
    </row>
    <row r="60" spans="1:20" ht="13.5" customHeight="1">
      <c r="A60" s="821"/>
      <c r="B60" s="857"/>
      <c r="C60" s="258"/>
      <c r="D60" s="1" t="s">
        <v>297</v>
      </c>
      <c r="E60" s="63" t="s">
        <v>293</v>
      </c>
      <c r="F60" s="70"/>
      <c r="G60" s="63" t="s">
        <v>293</v>
      </c>
      <c r="H60" s="63" t="s">
        <v>293</v>
      </c>
      <c r="I60" s="63" t="s">
        <v>293</v>
      </c>
      <c r="J60" s="62" t="str">
        <f>IFERROR(IF(J50="","",MIN(SUM(J50:J59),(B50*I50))),0)</f>
        <v/>
      </c>
      <c r="K60" s="64"/>
      <c r="L60" s="65"/>
      <c r="M60" s="65"/>
      <c r="N60" s="65"/>
      <c r="O60" s="65"/>
      <c r="P60" s="65"/>
      <c r="Q60" s="65"/>
      <c r="R60" s="65"/>
      <c r="S60" s="65"/>
      <c r="T60" s="65"/>
    </row>
    <row r="61" spans="1:20" ht="13.5" customHeight="1">
      <c r="A61" s="820">
        <v>9</v>
      </c>
      <c r="B61" s="855" t="str">
        <f>IF(判定!AY14&gt;=1,判定!AY14,"-")</f>
        <v>-</v>
      </c>
      <c r="C61" s="841" t="str">
        <f>IF(B61&gt;=1,IFERROR(INDEX($F$153:$G$158,MATCH(判定!AH14,$F$153:$F$158,0),2),"-"),"-")</f>
        <v>-</v>
      </c>
      <c r="D61" s="145" t="str">
        <f>IF(D50="","",D50)</f>
        <v/>
      </c>
      <c r="E61" s="63" t="str">
        <f>IF(D61="","",IF(N61="○",M$5,IF(P61="○",O$5,IF(R61="○",Q$5,IF(T61="○",S$5,"ERROR")))))</f>
        <v/>
      </c>
      <c r="F61" s="62" t="str">
        <f>IF(D61="","",IF(N61="○",M61,IF(P61="○",O61,IF(R61="○",Q61,IF(T61="○",S61,"ERROR")))))</f>
        <v/>
      </c>
      <c r="G61" s="146" t="str">
        <f>IF($D61="","",IF($E61="正規職員","-","賃金単価を記載"))</f>
        <v/>
      </c>
      <c r="H61" s="62" t="str">
        <f t="shared" ref="H61:H63" si="79">IF($D61="","",IF($E61="正規職員","-",F61*G61))</f>
        <v/>
      </c>
      <c r="I61" s="62">
        <f t="shared" si="17"/>
        <v>242333.33333333401</v>
      </c>
      <c r="J61" s="62" t="str">
        <f>IFERROR(IF($C61="-","",IF(D61="",0,IF(E61="正規職員",I61,MIN(H61:I61)))),0)</f>
        <v/>
      </c>
      <c r="K61" s="64" t="str">
        <f>IF(D61="","",IF(OR(COUNTIFS(D61,"*要配慮*")=1,COUNTIFS(D61,"*医療的ケア*")=1),"○","エラー"))</f>
        <v/>
      </c>
      <c r="L61" s="65">
        <f>L50+1</f>
        <v>8</v>
      </c>
      <c r="M61" s="65" t="e">
        <f>VLOOKUP($D61&amp;M$5,'②-2勤務時間数入力'!$D$7:$Q$106,$L61,FALSE)</f>
        <v>#N/A</v>
      </c>
      <c r="N61" s="65" t="str">
        <f t="shared" ref="N61:N70" si="80">IF(ISERROR(M61),"×",IF(M61="-","×","○"))</f>
        <v>×</v>
      </c>
      <c r="O61" s="65" t="e">
        <f>VLOOKUP($D61&amp;O$5,'②-2勤務時間数入力'!$D$7:$Q$106,$L61,FALSE)</f>
        <v>#N/A</v>
      </c>
      <c r="P61" s="65" t="str">
        <f t="shared" ref="P61:P70" si="81">IF(ISERROR(O61),"×",IF(O61="-","×","○"))</f>
        <v>×</v>
      </c>
      <c r="Q61" s="65" t="e">
        <f>VLOOKUP($D61&amp;Q$5,'②-2勤務時間数入力'!$D$7:$Q$106,$L61,FALSE)</f>
        <v>#N/A</v>
      </c>
      <c r="R61" s="65" t="str">
        <f t="shared" ref="R61:R70" si="82">IF(ISERROR(Q61),"×",IF(Q61="-","×","○"))</f>
        <v>×</v>
      </c>
      <c r="S61" s="65" t="e">
        <f>VLOOKUP($D61&amp;S$5,'②-2勤務時間数入力'!$D$7:$Q$106,$L61,FALSE)</f>
        <v>#N/A</v>
      </c>
      <c r="T61" s="65" t="str">
        <f t="shared" ref="T61:T70" si="83">IF(ISERROR(S61),"×",IF(S61="-","×","○"))</f>
        <v>×</v>
      </c>
    </row>
    <row r="62" spans="1:20" ht="13.5" customHeight="1">
      <c r="A62" s="839"/>
      <c r="B62" s="856"/>
      <c r="C62" s="735"/>
      <c r="D62" s="145" t="str">
        <f t="shared" ref="D62:D70" si="84">IF(D51="","",D51)</f>
        <v/>
      </c>
      <c r="E62" s="63" t="str">
        <f>IF(D62="","",IF(N62="○",M$5,IF(P62="○",O$5,IF(R62="○",Q$5,IF(T62="○",S$5,"ERROR")))))</f>
        <v/>
      </c>
      <c r="F62" s="62" t="str">
        <f t="shared" ref="F62:F70" si="85">IF(D62="","",IF(N62="○",M62,IF(P62="○",O62,IF(R62="○",Q62,IF(T62="○",S62,"ERROR")))))</f>
        <v/>
      </c>
      <c r="G62" s="146" t="str">
        <f>IF($D62="","",IF($E62="正規職員","-","賃金単価を記載"))</f>
        <v/>
      </c>
      <c r="H62" s="62" t="str">
        <f t="shared" si="79"/>
        <v/>
      </c>
      <c r="I62" s="62">
        <f t="shared" si="17"/>
        <v>242333.33333333401</v>
      </c>
      <c r="J62" s="62" t="str">
        <f>IFERROR(IF($C61="-","",IF(D62="","",IF(E62="正規職員",I62-J61,MIN(MIN(H62:I62),I61-J61)))),0)</f>
        <v/>
      </c>
      <c r="K62" s="64" t="str">
        <f t="shared" ref="K62:K70" si="86">IF(D62="","",IF(OR(COUNTIFS(D62,"*要配慮*")=1,COUNTIFS(D62,"*医療的ケア*")=1),"○","エラー"))</f>
        <v/>
      </c>
      <c r="L62" s="65">
        <f>L61</f>
        <v>8</v>
      </c>
      <c r="M62" s="65" t="e">
        <f>VLOOKUP($D62&amp;M$5,'②-2勤務時間数入力'!$D$7:$Q$106,$L62,FALSE)</f>
        <v>#N/A</v>
      </c>
      <c r="N62" s="65" t="str">
        <f t="shared" si="80"/>
        <v>×</v>
      </c>
      <c r="O62" s="65" t="e">
        <f>VLOOKUP($D62&amp;O$5,'②-2勤務時間数入力'!$D$7:$Q$106,$L62,FALSE)</f>
        <v>#N/A</v>
      </c>
      <c r="P62" s="65" t="str">
        <f t="shared" si="81"/>
        <v>×</v>
      </c>
      <c r="Q62" s="65" t="e">
        <f>VLOOKUP($D62&amp;Q$5,'②-2勤務時間数入力'!$D$7:$Q$106,$L62,FALSE)</f>
        <v>#N/A</v>
      </c>
      <c r="R62" s="65" t="str">
        <f t="shared" si="82"/>
        <v>×</v>
      </c>
      <c r="S62" s="65" t="e">
        <f>VLOOKUP($D62&amp;S$5,'②-2勤務時間数入力'!$D$7:$Q$106,$L62,FALSE)</f>
        <v>#N/A</v>
      </c>
      <c r="T62" s="65" t="str">
        <f t="shared" si="83"/>
        <v>×</v>
      </c>
    </row>
    <row r="63" spans="1:20" ht="13.5" customHeight="1">
      <c r="A63" s="839"/>
      <c r="B63" s="856"/>
      <c r="C63" s="841" t="str">
        <f>IF(B61&gt;=1,IFERROR(INDEX($F$153:$G$158,MATCH(判定!AI14,$F$153:$F$158,0),2),"-"),"-")</f>
        <v>-</v>
      </c>
      <c r="D63" s="145" t="str">
        <f>IF(D52="","",D52)</f>
        <v/>
      </c>
      <c r="E63" s="63" t="str">
        <f>IF(D63="","",IF(N63="○",M$5,IF(P63="○",O$5,IF(R63="○",Q$5,IF(T63="○",S$5,"ERROR")))))</f>
        <v/>
      </c>
      <c r="F63" s="62" t="str">
        <f t="shared" si="85"/>
        <v/>
      </c>
      <c r="G63" s="146" t="str">
        <f t="shared" ref="G63:G70" si="87">IF($D63="","",IF($E63="正規職員","-","賃金単価を記載"))</f>
        <v/>
      </c>
      <c r="H63" s="62" t="str">
        <f t="shared" si="79"/>
        <v/>
      </c>
      <c r="I63" s="62">
        <f t="shared" si="17"/>
        <v>242333.33333333401</v>
      </c>
      <c r="J63" s="62" t="str">
        <f>IFERROR(IF($C63="-","",IF(D63="",0,IF(E63="正規職員",I63,MIN(H63:I63)))),0)</f>
        <v/>
      </c>
      <c r="K63" s="64" t="str">
        <f t="shared" si="86"/>
        <v/>
      </c>
      <c r="L63" s="65">
        <f t="shared" ref="L63:L67" si="88">L62</f>
        <v>8</v>
      </c>
      <c r="M63" s="65" t="e">
        <f>VLOOKUP($D63&amp;M$5,'②-2勤務時間数入力'!$D$7:$Q$106,$L63,FALSE)</f>
        <v>#N/A</v>
      </c>
      <c r="N63" s="65" t="str">
        <f t="shared" si="80"/>
        <v>×</v>
      </c>
      <c r="O63" s="65" t="e">
        <f>VLOOKUP($D63&amp;O$5,'②-2勤務時間数入力'!$D$7:$Q$106,$L63,FALSE)</f>
        <v>#N/A</v>
      </c>
      <c r="P63" s="65" t="str">
        <f t="shared" si="81"/>
        <v>×</v>
      </c>
      <c r="Q63" s="65" t="e">
        <f>VLOOKUP($D63&amp;Q$5,'②-2勤務時間数入力'!$D$7:$Q$106,$L63,FALSE)</f>
        <v>#N/A</v>
      </c>
      <c r="R63" s="65" t="str">
        <f t="shared" si="82"/>
        <v>×</v>
      </c>
      <c r="S63" s="65" t="e">
        <f>VLOOKUP($D63&amp;S$5,'②-2勤務時間数入力'!$D$7:$Q$106,$L63,FALSE)</f>
        <v>#N/A</v>
      </c>
      <c r="T63" s="65" t="str">
        <f t="shared" si="83"/>
        <v>×</v>
      </c>
    </row>
    <row r="64" spans="1:20" ht="13.5" customHeight="1">
      <c r="A64" s="839"/>
      <c r="B64" s="856"/>
      <c r="C64" s="843"/>
      <c r="D64" s="145" t="str">
        <f t="shared" si="84"/>
        <v/>
      </c>
      <c r="E64" s="63" t="str">
        <f t="shared" ref="E64:E70" si="89">IF(D64="","",IF(N64="○",M$5,IF(P64="○",O$5,IF(R64="○",Q$5,IF(T64="○",S$5,"ERROR")))))</f>
        <v/>
      </c>
      <c r="F64" s="62" t="str">
        <f t="shared" si="85"/>
        <v/>
      </c>
      <c r="G64" s="146" t="str">
        <f t="shared" si="87"/>
        <v/>
      </c>
      <c r="H64" s="62" t="str">
        <f>IF($D64="","",IF($E64="正規職員","-",F64*G64))</f>
        <v/>
      </c>
      <c r="I64" s="62">
        <f t="shared" si="17"/>
        <v>242333.33333333401</v>
      </c>
      <c r="J64" s="62" t="str">
        <f>IFERROR(IF($C63="-","",IF(D64="","",IF(E64="正規職員",I64-J63,MIN(MIN(H64:I64),I63-J63)))),0)</f>
        <v/>
      </c>
      <c r="K64" s="64" t="str">
        <f t="shared" si="86"/>
        <v/>
      </c>
      <c r="L64" s="65">
        <f t="shared" si="88"/>
        <v>8</v>
      </c>
      <c r="M64" s="65" t="e">
        <f>VLOOKUP($D64&amp;M$5,'②-2勤務時間数入力'!$D$7:$Q$106,$L64,FALSE)</f>
        <v>#N/A</v>
      </c>
      <c r="N64" s="65" t="str">
        <f t="shared" si="80"/>
        <v>×</v>
      </c>
      <c r="O64" s="65" t="e">
        <f>VLOOKUP($D64&amp;O$5,'②-2勤務時間数入力'!$D$7:$Q$106,$L64,FALSE)</f>
        <v>#N/A</v>
      </c>
      <c r="P64" s="65" t="str">
        <f t="shared" si="81"/>
        <v>×</v>
      </c>
      <c r="Q64" s="65" t="e">
        <f>VLOOKUP($D64&amp;Q$5,'②-2勤務時間数入力'!$D$7:$Q$106,$L64,FALSE)</f>
        <v>#N/A</v>
      </c>
      <c r="R64" s="65" t="str">
        <f t="shared" si="82"/>
        <v>×</v>
      </c>
      <c r="S64" s="65" t="e">
        <f>VLOOKUP($D64&amp;S$5,'②-2勤務時間数入力'!$D$7:$Q$106,$L64,FALSE)</f>
        <v>#N/A</v>
      </c>
      <c r="T64" s="65" t="str">
        <f t="shared" si="83"/>
        <v>×</v>
      </c>
    </row>
    <row r="65" spans="1:20" ht="13.5" customHeight="1">
      <c r="A65" s="839"/>
      <c r="B65" s="856"/>
      <c r="C65" s="841" t="str">
        <f>IF(B61&gt;=1,IFERROR(INDEX($F$153:$G$158,MATCH(判定!AJ14,$F$153:$F$158,0),2),"-"),"-")</f>
        <v>-</v>
      </c>
      <c r="D65" s="145" t="str">
        <f t="shared" si="84"/>
        <v/>
      </c>
      <c r="E65" s="63" t="str">
        <f t="shared" si="89"/>
        <v/>
      </c>
      <c r="F65" s="62" t="str">
        <f t="shared" si="85"/>
        <v/>
      </c>
      <c r="G65" s="146" t="str">
        <f t="shared" si="87"/>
        <v/>
      </c>
      <c r="H65" s="62" t="str">
        <f t="shared" ref="H65" si="90">IF($D65="","",IF($E65="正規職員","-",F65*G65))</f>
        <v/>
      </c>
      <c r="I65" s="62">
        <f t="shared" si="17"/>
        <v>242333.33333333401</v>
      </c>
      <c r="J65" s="62" t="str">
        <f>IFERROR(IF($C65="-","",IF(D65="",0,IF(E65="正規職員",I65,MIN(H65:I65)))),0)</f>
        <v/>
      </c>
      <c r="K65" s="64" t="str">
        <f t="shared" si="86"/>
        <v/>
      </c>
      <c r="L65" s="65">
        <f t="shared" si="88"/>
        <v>8</v>
      </c>
      <c r="M65" s="65" t="e">
        <f>VLOOKUP($D65&amp;M$5,'②-2勤務時間数入力'!$D$7:$Q$106,$L65,FALSE)</f>
        <v>#N/A</v>
      </c>
      <c r="N65" s="65" t="str">
        <f t="shared" si="80"/>
        <v>×</v>
      </c>
      <c r="O65" s="65" t="e">
        <f>VLOOKUP($D65&amp;O$5,'②-2勤務時間数入力'!$D$7:$Q$106,$L65,FALSE)</f>
        <v>#N/A</v>
      </c>
      <c r="P65" s="65" t="str">
        <f t="shared" si="81"/>
        <v>×</v>
      </c>
      <c r="Q65" s="65" t="e">
        <f>VLOOKUP($D65&amp;Q$5,'②-2勤務時間数入力'!$D$7:$Q$106,$L65,FALSE)</f>
        <v>#N/A</v>
      </c>
      <c r="R65" s="65" t="str">
        <f t="shared" si="82"/>
        <v>×</v>
      </c>
      <c r="S65" s="65" t="e">
        <f>VLOOKUP($D65&amp;S$5,'②-2勤務時間数入力'!$D$7:$Q$106,$L65,FALSE)</f>
        <v>#N/A</v>
      </c>
      <c r="T65" s="65" t="str">
        <f t="shared" si="83"/>
        <v>×</v>
      </c>
    </row>
    <row r="66" spans="1:20" ht="13.5" customHeight="1">
      <c r="A66" s="839"/>
      <c r="B66" s="856"/>
      <c r="C66" s="735"/>
      <c r="D66" s="145" t="str">
        <f t="shared" si="84"/>
        <v/>
      </c>
      <c r="E66" s="63" t="str">
        <f t="shared" si="89"/>
        <v/>
      </c>
      <c r="F66" s="62" t="str">
        <f t="shared" si="85"/>
        <v/>
      </c>
      <c r="G66" s="146" t="str">
        <f t="shared" si="87"/>
        <v/>
      </c>
      <c r="H66" s="62" t="str">
        <f>IF($D66="","",IF($E66="正規職員","-",F66*G66))</f>
        <v/>
      </c>
      <c r="I66" s="62">
        <f t="shared" si="17"/>
        <v>242333.33333333401</v>
      </c>
      <c r="J66" s="62" t="str">
        <f>IFERROR(IF($C65="-","",IF(D66="","",IF(E66="正規職員",I66-J65,MIN(MIN(H66:I66),I65-J65)))),0)</f>
        <v/>
      </c>
      <c r="K66" s="64" t="str">
        <f t="shared" si="86"/>
        <v/>
      </c>
      <c r="L66" s="65">
        <f t="shared" si="88"/>
        <v>8</v>
      </c>
      <c r="M66" s="65" t="e">
        <f>VLOOKUP($D66&amp;M$5,'②-2勤務時間数入力'!$D$7:$Q$106,$L66,FALSE)</f>
        <v>#N/A</v>
      </c>
      <c r="N66" s="65" t="str">
        <f t="shared" si="80"/>
        <v>×</v>
      </c>
      <c r="O66" s="65" t="e">
        <f>VLOOKUP($D66&amp;O$5,'②-2勤務時間数入力'!$D$7:$Q$106,$L66,FALSE)</f>
        <v>#N/A</v>
      </c>
      <c r="P66" s="65" t="str">
        <f t="shared" si="81"/>
        <v>×</v>
      </c>
      <c r="Q66" s="65" t="e">
        <f>VLOOKUP($D66&amp;Q$5,'②-2勤務時間数入力'!$D$7:$Q$106,$L66,FALSE)</f>
        <v>#N/A</v>
      </c>
      <c r="R66" s="65" t="str">
        <f t="shared" si="82"/>
        <v>×</v>
      </c>
      <c r="S66" s="65" t="e">
        <f>VLOOKUP($D66&amp;S$5,'②-2勤務時間数入力'!$D$7:$Q$106,$L66,FALSE)</f>
        <v>#N/A</v>
      </c>
      <c r="T66" s="65" t="str">
        <f t="shared" si="83"/>
        <v>×</v>
      </c>
    </row>
    <row r="67" spans="1:20" ht="13.5" customHeight="1">
      <c r="A67" s="839"/>
      <c r="B67" s="856"/>
      <c r="C67" s="841" t="str">
        <f>IF(B61&gt;=1,IFERROR(INDEX($F$153:$G$158,MATCH(判定!AK14,$F$153:$F$158,0),2),"-"),"-")</f>
        <v>-</v>
      </c>
      <c r="D67" s="145" t="str">
        <f t="shared" si="84"/>
        <v/>
      </c>
      <c r="E67" s="63" t="str">
        <f t="shared" si="89"/>
        <v/>
      </c>
      <c r="F67" s="62" t="str">
        <f t="shared" si="85"/>
        <v/>
      </c>
      <c r="G67" s="146" t="str">
        <f t="shared" si="87"/>
        <v/>
      </c>
      <c r="H67" s="62" t="str">
        <f t="shared" ref="H67:H68" si="91">IF($D67="","",IF($E67="正規職員","-",F67*G67))</f>
        <v/>
      </c>
      <c r="I67" s="62">
        <f t="shared" si="17"/>
        <v>242333.33333333401</v>
      </c>
      <c r="J67" s="62" t="str">
        <f>IFERROR(IF($C67="-","",IF(D67="",0,IF(E67="正規職員",I67,MIN(H67:I67)))),0)</f>
        <v/>
      </c>
      <c r="K67" s="64" t="str">
        <f t="shared" si="86"/>
        <v/>
      </c>
      <c r="L67" s="65">
        <f t="shared" si="88"/>
        <v>8</v>
      </c>
      <c r="M67" s="65" t="e">
        <f>VLOOKUP($D67&amp;M$5,'②-2勤務時間数入力'!$D$7:$Q$106,$L67,FALSE)</f>
        <v>#N/A</v>
      </c>
      <c r="N67" s="65" t="str">
        <f t="shared" si="80"/>
        <v>×</v>
      </c>
      <c r="O67" s="65" t="e">
        <f>VLOOKUP($D67&amp;O$5,'②-2勤務時間数入力'!$D$7:$Q$106,$L67,FALSE)</f>
        <v>#N/A</v>
      </c>
      <c r="P67" s="65" t="str">
        <f t="shared" si="81"/>
        <v>×</v>
      </c>
      <c r="Q67" s="65" t="e">
        <f>VLOOKUP($D67&amp;Q$5,'②-2勤務時間数入力'!$D$7:$Q$106,$L67,FALSE)</f>
        <v>#N/A</v>
      </c>
      <c r="R67" s="65" t="str">
        <f t="shared" si="82"/>
        <v>×</v>
      </c>
      <c r="S67" s="65" t="e">
        <f>VLOOKUP($D67&amp;S$5,'②-2勤務時間数入力'!$D$7:$Q$106,$L67,FALSE)</f>
        <v>#N/A</v>
      </c>
      <c r="T67" s="65" t="str">
        <f t="shared" si="83"/>
        <v>×</v>
      </c>
    </row>
    <row r="68" spans="1:20" ht="13.5" customHeight="1">
      <c r="A68" s="839"/>
      <c r="B68" s="856"/>
      <c r="C68" s="735"/>
      <c r="D68" s="145" t="str">
        <f t="shared" si="84"/>
        <v/>
      </c>
      <c r="E68" s="63" t="str">
        <f t="shared" si="89"/>
        <v/>
      </c>
      <c r="F68" s="62" t="str">
        <f t="shared" si="85"/>
        <v/>
      </c>
      <c r="G68" s="146" t="str">
        <f t="shared" si="87"/>
        <v/>
      </c>
      <c r="H68" s="62" t="str">
        <f t="shared" si="91"/>
        <v/>
      </c>
      <c r="I68" s="62">
        <f t="shared" si="17"/>
        <v>242333.33333333401</v>
      </c>
      <c r="J68" s="62" t="str">
        <f>IFERROR(IF($C67="-","",IF(D68="","",IF(E68="正規職員",I68-J67,MIN(MIN(H68:I68),I67-J67)))),0)</f>
        <v/>
      </c>
      <c r="K68" s="64" t="str">
        <f t="shared" si="86"/>
        <v/>
      </c>
      <c r="L68" s="65">
        <f>L62</f>
        <v>8</v>
      </c>
      <c r="M68" s="65" t="e">
        <f>VLOOKUP($D68&amp;M$5,'②-2勤務時間数入力'!$D$7:$Q$106,$L68,FALSE)</f>
        <v>#N/A</v>
      </c>
      <c r="N68" s="65" t="str">
        <f t="shared" si="80"/>
        <v>×</v>
      </c>
      <c r="O68" s="65" t="e">
        <f>VLOOKUP($D68&amp;O$5,'②-2勤務時間数入力'!$D$7:$Q$106,$L68,FALSE)</f>
        <v>#N/A</v>
      </c>
      <c r="P68" s="65" t="str">
        <f t="shared" si="81"/>
        <v>×</v>
      </c>
      <c r="Q68" s="65" t="e">
        <f>VLOOKUP($D68&amp;Q$5,'②-2勤務時間数入力'!$D$7:$Q$106,$L68,FALSE)</f>
        <v>#N/A</v>
      </c>
      <c r="R68" s="65" t="str">
        <f t="shared" si="82"/>
        <v>×</v>
      </c>
      <c r="S68" s="65" t="e">
        <f>VLOOKUP($D68&amp;S$5,'②-2勤務時間数入力'!$D$7:$Q$106,$L68,FALSE)</f>
        <v>#N/A</v>
      </c>
      <c r="T68" s="65" t="str">
        <f t="shared" si="83"/>
        <v>×</v>
      </c>
    </row>
    <row r="69" spans="1:20" ht="13.5" customHeight="1">
      <c r="A69" s="839"/>
      <c r="B69" s="856"/>
      <c r="C69" s="854" t="str">
        <f>IF(B61&gt;=1,IFERROR(INDEX($F$153:$G$158,MATCH(判定!AL14,$F$153:$F$158,0),2),"-"),"-")</f>
        <v>-</v>
      </c>
      <c r="D69" s="145" t="str">
        <f t="shared" si="84"/>
        <v/>
      </c>
      <c r="E69" s="63" t="str">
        <f t="shared" si="89"/>
        <v/>
      </c>
      <c r="F69" s="62" t="str">
        <f t="shared" si="85"/>
        <v/>
      </c>
      <c r="G69" s="146" t="str">
        <f t="shared" si="87"/>
        <v/>
      </c>
      <c r="H69" s="62" t="str">
        <f>IF($D69="","",IF($E69="正規職員","-",F69*G69))</f>
        <v/>
      </c>
      <c r="I69" s="62">
        <f t="shared" si="17"/>
        <v>242333.33333333401</v>
      </c>
      <c r="J69" s="62" t="str">
        <f>IFERROR(IF($C69="-","",IF(D69="",0,IF(E69="正規職員",I69,MIN(H69:I69)))),0)</f>
        <v/>
      </c>
      <c r="K69" s="64" t="str">
        <f t="shared" si="86"/>
        <v/>
      </c>
      <c r="L69" s="65">
        <f t="shared" ref="L69:L70" si="92">L68</f>
        <v>8</v>
      </c>
      <c r="M69" s="65" t="e">
        <f>VLOOKUP($D69&amp;M$5,'②-2勤務時間数入力'!$D$7:$Q$106,$L69,FALSE)</f>
        <v>#N/A</v>
      </c>
      <c r="N69" s="65" t="str">
        <f t="shared" si="80"/>
        <v>×</v>
      </c>
      <c r="O69" s="65" t="e">
        <f>VLOOKUP($D69&amp;O$5,'②-2勤務時間数入力'!$D$7:$Q$106,$L69,FALSE)</f>
        <v>#N/A</v>
      </c>
      <c r="P69" s="65" t="str">
        <f t="shared" si="81"/>
        <v>×</v>
      </c>
      <c r="Q69" s="65" t="e">
        <f>VLOOKUP($D69&amp;Q$5,'②-2勤務時間数入力'!$D$7:$Q$106,$L69,FALSE)</f>
        <v>#N/A</v>
      </c>
      <c r="R69" s="65" t="str">
        <f t="shared" si="82"/>
        <v>×</v>
      </c>
      <c r="S69" s="65" t="e">
        <f>VLOOKUP($D69&amp;S$5,'②-2勤務時間数入力'!$D$7:$Q$106,$L69,FALSE)</f>
        <v>#N/A</v>
      </c>
      <c r="T69" s="65" t="str">
        <f t="shared" si="83"/>
        <v>×</v>
      </c>
    </row>
    <row r="70" spans="1:20" ht="13.5" customHeight="1">
      <c r="A70" s="853"/>
      <c r="B70" s="856"/>
      <c r="C70" s="726"/>
      <c r="D70" s="145" t="str">
        <f t="shared" si="84"/>
        <v/>
      </c>
      <c r="E70" s="63" t="str">
        <f t="shared" si="89"/>
        <v/>
      </c>
      <c r="F70" s="62" t="str">
        <f t="shared" si="85"/>
        <v/>
      </c>
      <c r="G70" s="146" t="str">
        <f t="shared" si="87"/>
        <v/>
      </c>
      <c r="H70" s="62" t="str">
        <f>IF($D70="","",IF($E70="正規職員","-",F70*G70))</f>
        <v/>
      </c>
      <c r="I70" s="62">
        <f t="shared" si="17"/>
        <v>242333.33333333401</v>
      </c>
      <c r="J70" s="62" t="str">
        <f>IFERROR(IF($C69="-","",IF(D70="","",IF(E70="正規職員",I70-J69,MIN(MIN(H70:I70),I69-J69)))),0)</f>
        <v/>
      </c>
      <c r="K70" s="64" t="str">
        <f t="shared" si="86"/>
        <v/>
      </c>
      <c r="L70" s="65">
        <f t="shared" si="92"/>
        <v>8</v>
      </c>
      <c r="M70" s="65" t="e">
        <f>VLOOKUP($D70&amp;M$5,'②-2勤務時間数入力'!$D$7:$Q$106,$L70,FALSE)</f>
        <v>#N/A</v>
      </c>
      <c r="N70" s="65" t="str">
        <f t="shared" si="80"/>
        <v>×</v>
      </c>
      <c r="O70" s="65" t="e">
        <f>VLOOKUP($D70&amp;O$5,'②-2勤務時間数入力'!$D$7:$Q$106,$L70,FALSE)</f>
        <v>#N/A</v>
      </c>
      <c r="P70" s="65" t="str">
        <f t="shared" si="81"/>
        <v>×</v>
      </c>
      <c r="Q70" s="65" t="e">
        <f>VLOOKUP($D70&amp;Q$5,'②-2勤務時間数入力'!$D$7:$Q$106,$L70,FALSE)</f>
        <v>#N/A</v>
      </c>
      <c r="R70" s="65" t="str">
        <f t="shared" si="82"/>
        <v>×</v>
      </c>
      <c r="S70" s="65" t="e">
        <f>VLOOKUP($D70&amp;S$5,'②-2勤務時間数入力'!$D$7:$Q$106,$L70,FALSE)</f>
        <v>#N/A</v>
      </c>
      <c r="T70" s="65" t="str">
        <f t="shared" si="83"/>
        <v>×</v>
      </c>
    </row>
    <row r="71" spans="1:20" ht="13.5" customHeight="1">
      <c r="A71" s="821"/>
      <c r="B71" s="857"/>
      <c r="C71" s="258"/>
      <c r="D71" s="1" t="s">
        <v>298</v>
      </c>
      <c r="E71" s="63" t="s">
        <v>293</v>
      </c>
      <c r="F71" s="70"/>
      <c r="G71" s="63" t="s">
        <v>293</v>
      </c>
      <c r="H71" s="63" t="s">
        <v>293</v>
      </c>
      <c r="I71" s="63" t="s">
        <v>293</v>
      </c>
      <c r="J71" s="62" t="str">
        <f>IFERROR(IF(J61="","",MIN(SUM(J61:J70),(B61*I61))),0)</f>
        <v/>
      </c>
      <c r="K71" s="64"/>
      <c r="L71" s="65"/>
      <c r="M71" s="65"/>
      <c r="N71" s="65"/>
      <c r="O71" s="65"/>
      <c r="P71" s="65"/>
      <c r="Q71" s="65"/>
      <c r="R71" s="65"/>
      <c r="S71" s="65"/>
      <c r="T71" s="65"/>
    </row>
    <row r="72" spans="1:20" ht="13.5" customHeight="1">
      <c r="A72" s="820">
        <v>10</v>
      </c>
      <c r="B72" s="855" t="str">
        <f>IF(判定!AY15&gt;=1,判定!AY15,"-")</f>
        <v>-</v>
      </c>
      <c r="C72" s="841" t="str">
        <f>IF(B72&gt;=1,IFERROR(INDEX($F$153:$G$158,MATCH(判定!AH15,$F$153:$F$158,0),2),"-"),"-")</f>
        <v>-</v>
      </c>
      <c r="D72" s="145" t="str">
        <f>IF(D61="","",D61)</f>
        <v/>
      </c>
      <c r="E72" s="63" t="str">
        <f>IF(D72="","",IF(N72="○",M$5,IF(P72="○",O$5,IF(R72="○",Q$5,IF(T72="○",S$5,"ERROR")))))</f>
        <v/>
      </c>
      <c r="F72" s="62" t="str">
        <f>IF(D72="","",IF(N72="○",M72,IF(P72="○",O72,IF(R72="○",Q72,IF(T72="○",S72,"ERROR")))))</f>
        <v/>
      </c>
      <c r="G72" s="146" t="str">
        <f>IF($D72="","",IF($E72="正規職員","-","賃金単価を記載"))</f>
        <v/>
      </c>
      <c r="H72" s="62" t="str">
        <f t="shared" ref="H72:H74" si="93">IF($D72="","",IF($E72="正規職員","-",F72*G72))</f>
        <v/>
      </c>
      <c r="I72" s="62">
        <f t="shared" si="17"/>
        <v>242333.33333333401</v>
      </c>
      <c r="J72" s="62" t="str">
        <f>IFERROR(IF($C72="-","",IF(D72="",0,IF(E72="正規職員",I72,MIN(H72:I72)))),0)</f>
        <v/>
      </c>
      <c r="K72" s="64" t="str">
        <f>IF(D72="","",IF(OR(COUNTIFS(D72,"*要配慮*")=1,COUNTIFS(D72,"*医療的ケア*")=1),"○","エラー"))</f>
        <v/>
      </c>
      <c r="L72" s="65">
        <f>L61+1</f>
        <v>9</v>
      </c>
      <c r="M72" s="65" t="e">
        <f>VLOOKUP($D72&amp;M$5,'②-2勤務時間数入力'!$D$7:$Q$106,$L72,FALSE)</f>
        <v>#N/A</v>
      </c>
      <c r="N72" s="65" t="str">
        <f t="shared" ref="N72:N81" si="94">IF(ISERROR(M72),"×",IF(M72="-","×","○"))</f>
        <v>×</v>
      </c>
      <c r="O72" s="65" t="e">
        <f>VLOOKUP($D72&amp;O$5,'②-2勤務時間数入力'!$D$7:$Q$106,$L72,FALSE)</f>
        <v>#N/A</v>
      </c>
      <c r="P72" s="65" t="str">
        <f t="shared" ref="P72:P81" si="95">IF(ISERROR(O72),"×",IF(O72="-","×","○"))</f>
        <v>×</v>
      </c>
      <c r="Q72" s="65" t="e">
        <f>VLOOKUP($D72&amp;Q$5,'②-2勤務時間数入力'!$D$7:$Q$106,$L72,FALSE)</f>
        <v>#N/A</v>
      </c>
      <c r="R72" s="65" t="str">
        <f t="shared" ref="R72:R81" si="96">IF(ISERROR(Q72),"×",IF(Q72="-","×","○"))</f>
        <v>×</v>
      </c>
      <c r="S72" s="65" t="e">
        <f>VLOOKUP($D72&amp;S$5,'②-2勤務時間数入力'!$D$7:$Q$106,$L72,FALSE)</f>
        <v>#N/A</v>
      </c>
      <c r="T72" s="65" t="str">
        <f t="shared" ref="T72:T81" si="97">IF(ISERROR(S72),"×",IF(S72="-","×","○"))</f>
        <v>×</v>
      </c>
    </row>
    <row r="73" spans="1:20" ht="13.5" customHeight="1">
      <c r="A73" s="839"/>
      <c r="B73" s="856"/>
      <c r="C73" s="735"/>
      <c r="D73" s="145" t="str">
        <f t="shared" ref="D73:D81" si="98">IF(D62="","",D62)</f>
        <v/>
      </c>
      <c r="E73" s="63" t="str">
        <f>IF(D73="","",IF(N73="○",M$5,IF(P73="○",O$5,IF(R73="○",Q$5,IF(T73="○",S$5,"ERROR")))))</f>
        <v/>
      </c>
      <c r="F73" s="62" t="str">
        <f t="shared" ref="F73:F81" si="99">IF(D73="","",IF(N73="○",M73,IF(P73="○",O73,IF(R73="○",Q73,IF(T73="○",S73,"ERROR")))))</f>
        <v/>
      </c>
      <c r="G73" s="146" t="str">
        <f>IF($D73="","",IF($E73="正規職員","-","賃金単価を記載"))</f>
        <v/>
      </c>
      <c r="H73" s="62" t="str">
        <f t="shared" si="93"/>
        <v/>
      </c>
      <c r="I73" s="62">
        <f t="shared" si="17"/>
        <v>242333.33333333401</v>
      </c>
      <c r="J73" s="62" t="str">
        <f>IFERROR(IF($C72="-","",IF(D73="","",IF(E73="正規職員",I73-J72,MIN(MIN(H73:I73),I72-J72)))),0)</f>
        <v/>
      </c>
      <c r="K73" s="64" t="str">
        <f t="shared" ref="K73:K81" si="100">IF(D73="","",IF(OR(COUNTIFS(D73,"*要配慮*")=1,COUNTIFS(D73,"*医療的ケア*")=1),"○","エラー"))</f>
        <v/>
      </c>
      <c r="L73" s="65">
        <f>L72</f>
        <v>9</v>
      </c>
      <c r="M73" s="65" t="e">
        <f>VLOOKUP($D73&amp;M$5,'②-2勤務時間数入力'!$D$7:$Q$106,$L73,FALSE)</f>
        <v>#N/A</v>
      </c>
      <c r="N73" s="65" t="str">
        <f t="shared" si="94"/>
        <v>×</v>
      </c>
      <c r="O73" s="65" t="e">
        <f>VLOOKUP($D73&amp;O$5,'②-2勤務時間数入力'!$D$7:$Q$106,$L73,FALSE)</f>
        <v>#N/A</v>
      </c>
      <c r="P73" s="65" t="str">
        <f t="shared" si="95"/>
        <v>×</v>
      </c>
      <c r="Q73" s="65" t="e">
        <f>VLOOKUP($D73&amp;Q$5,'②-2勤務時間数入力'!$D$7:$Q$106,$L73,FALSE)</f>
        <v>#N/A</v>
      </c>
      <c r="R73" s="65" t="str">
        <f t="shared" si="96"/>
        <v>×</v>
      </c>
      <c r="S73" s="65" t="e">
        <f>VLOOKUP($D73&amp;S$5,'②-2勤務時間数入力'!$D$7:$Q$106,$L73,FALSE)</f>
        <v>#N/A</v>
      </c>
      <c r="T73" s="65" t="str">
        <f t="shared" si="97"/>
        <v>×</v>
      </c>
    </row>
    <row r="74" spans="1:20" ht="13.5" customHeight="1">
      <c r="A74" s="839"/>
      <c r="B74" s="856"/>
      <c r="C74" s="841" t="str">
        <f>IF(B72&gt;=1,IFERROR(INDEX($F$153:$G$158,MATCH(判定!AI15,$F$153:$F$158,0),2),"-"),"-")</f>
        <v>-</v>
      </c>
      <c r="D74" s="145" t="str">
        <f t="shared" si="98"/>
        <v/>
      </c>
      <c r="E74" s="63" t="str">
        <f>IF(D74="","",IF(N74="○",M$5,IF(P74="○",O$5,IF(R74="○",Q$5,IF(T74="○",S$5,"ERROR")))))</f>
        <v/>
      </c>
      <c r="F74" s="62" t="str">
        <f t="shared" si="99"/>
        <v/>
      </c>
      <c r="G74" s="146" t="str">
        <f t="shared" ref="G74:G81" si="101">IF($D74="","",IF($E74="正規職員","-","賃金単価を記載"))</f>
        <v/>
      </c>
      <c r="H74" s="62" t="str">
        <f t="shared" si="93"/>
        <v/>
      </c>
      <c r="I74" s="62">
        <f t="shared" si="17"/>
        <v>242333.33333333401</v>
      </c>
      <c r="J74" s="62" t="str">
        <f>IFERROR(IF($C74="-","",IF(D74="",0,IF(E74="正規職員",I74,MIN(H74:I74)))),0)</f>
        <v/>
      </c>
      <c r="K74" s="64" t="str">
        <f t="shared" si="100"/>
        <v/>
      </c>
      <c r="L74" s="65">
        <f t="shared" ref="L74:L78" si="102">L73</f>
        <v>9</v>
      </c>
      <c r="M74" s="65" t="e">
        <f>VLOOKUP($D74&amp;M$5,'②-2勤務時間数入力'!$D$7:$Q$106,$L74,FALSE)</f>
        <v>#N/A</v>
      </c>
      <c r="N74" s="65" t="str">
        <f t="shared" si="94"/>
        <v>×</v>
      </c>
      <c r="O74" s="65" t="e">
        <f>VLOOKUP($D74&amp;O$5,'②-2勤務時間数入力'!$D$7:$Q$106,$L74,FALSE)</f>
        <v>#N/A</v>
      </c>
      <c r="P74" s="65" t="str">
        <f t="shared" si="95"/>
        <v>×</v>
      </c>
      <c r="Q74" s="65" t="e">
        <f>VLOOKUP($D74&amp;Q$5,'②-2勤務時間数入力'!$D$7:$Q$106,$L74,FALSE)</f>
        <v>#N/A</v>
      </c>
      <c r="R74" s="65" t="str">
        <f t="shared" si="96"/>
        <v>×</v>
      </c>
      <c r="S74" s="65" t="e">
        <f>VLOOKUP($D74&amp;S$5,'②-2勤務時間数入力'!$D$7:$Q$106,$L74,FALSE)</f>
        <v>#N/A</v>
      </c>
      <c r="T74" s="65" t="str">
        <f t="shared" si="97"/>
        <v>×</v>
      </c>
    </row>
    <row r="75" spans="1:20" ht="13.5" customHeight="1">
      <c r="A75" s="839"/>
      <c r="B75" s="856"/>
      <c r="C75" s="843"/>
      <c r="D75" s="145" t="str">
        <f t="shared" si="98"/>
        <v/>
      </c>
      <c r="E75" s="63" t="str">
        <f t="shared" ref="E75:E81" si="103">IF(D75="","",IF(N75="○",M$5,IF(P75="○",O$5,IF(R75="○",Q$5,IF(T75="○",S$5,"ERROR")))))</f>
        <v/>
      </c>
      <c r="F75" s="62" t="str">
        <f t="shared" si="99"/>
        <v/>
      </c>
      <c r="G75" s="146" t="str">
        <f t="shared" si="101"/>
        <v/>
      </c>
      <c r="H75" s="62" t="str">
        <f>IF($D75="","",IF($E75="正規職員","-",F75*G75))</f>
        <v/>
      </c>
      <c r="I75" s="62">
        <f t="shared" si="17"/>
        <v>242333.33333333401</v>
      </c>
      <c r="J75" s="62" t="str">
        <f>IFERROR(IF($C74="-","",IF(D75="","",IF(E75="正規職員",I75-J74,MIN(MIN(H75:I75),I74-J74)))),0)</f>
        <v/>
      </c>
      <c r="K75" s="64" t="str">
        <f t="shared" si="100"/>
        <v/>
      </c>
      <c r="L75" s="65">
        <f t="shared" si="102"/>
        <v>9</v>
      </c>
      <c r="M75" s="65" t="e">
        <f>VLOOKUP($D75&amp;M$5,'②-2勤務時間数入力'!$D$7:$Q$106,$L75,FALSE)</f>
        <v>#N/A</v>
      </c>
      <c r="N75" s="65" t="str">
        <f t="shared" si="94"/>
        <v>×</v>
      </c>
      <c r="O75" s="65" t="e">
        <f>VLOOKUP($D75&amp;O$5,'②-2勤務時間数入力'!$D$7:$Q$106,$L75,FALSE)</f>
        <v>#N/A</v>
      </c>
      <c r="P75" s="65" t="str">
        <f t="shared" si="95"/>
        <v>×</v>
      </c>
      <c r="Q75" s="65" t="e">
        <f>VLOOKUP($D75&amp;Q$5,'②-2勤務時間数入力'!$D$7:$Q$106,$L75,FALSE)</f>
        <v>#N/A</v>
      </c>
      <c r="R75" s="65" t="str">
        <f t="shared" si="96"/>
        <v>×</v>
      </c>
      <c r="S75" s="65" t="e">
        <f>VLOOKUP($D75&amp;S$5,'②-2勤務時間数入力'!$D$7:$Q$106,$L75,FALSE)</f>
        <v>#N/A</v>
      </c>
      <c r="T75" s="65" t="str">
        <f t="shared" si="97"/>
        <v>×</v>
      </c>
    </row>
    <row r="76" spans="1:20" ht="13.5" customHeight="1">
      <c r="A76" s="839"/>
      <c r="B76" s="856"/>
      <c r="C76" s="841" t="str">
        <f>IF(B72&gt;=1,IFERROR(INDEX($F$153:$G$158,MATCH(判定!AJ15,$F$153:$F$158,0),2),"-"),"-")</f>
        <v>-</v>
      </c>
      <c r="D76" s="145" t="str">
        <f t="shared" si="98"/>
        <v/>
      </c>
      <c r="E76" s="63" t="str">
        <f t="shared" si="103"/>
        <v/>
      </c>
      <c r="F76" s="62" t="str">
        <f t="shared" si="99"/>
        <v/>
      </c>
      <c r="G76" s="146" t="str">
        <f t="shared" si="101"/>
        <v/>
      </c>
      <c r="H76" s="62" t="str">
        <f t="shared" ref="H76" si="104">IF($D76="","",IF($E76="正規職員","-",F76*G76))</f>
        <v/>
      </c>
      <c r="I76" s="62">
        <f t="shared" si="17"/>
        <v>242333.33333333401</v>
      </c>
      <c r="J76" s="62" t="str">
        <f>IFERROR(IF($C76="-","",IF(D76="",0,IF(E76="正規職員",I76,MIN(H76:I76)))),0)</f>
        <v/>
      </c>
      <c r="K76" s="64" t="str">
        <f t="shared" si="100"/>
        <v/>
      </c>
      <c r="L76" s="65">
        <f t="shared" si="102"/>
        <v>9</v>
      </c>
      <c r="M76" s="65" t="e">
        <f>VLOOKUP($D76&amp;M$5,'②-2勤務時間数入力'!$D$7:$Q$106,$L76,FALSE)</f>
        <v>#N/A</v>
      </c>
      <c r="N76" s="65" t="str">
        <f t="shared" si="94"/>
        <v>×</v>
      </c>
      <c r="O76" s="65" t="e">
        <f>VLOOKUP($D76&amp;O$5,'②-2勤務時間数入力'!$D$7:$Q$106,$L76,FALSE)</f>
        <v>#N/A</v>
      </c>
      <c r="P76" s="65" t="str">
        <f t="shared" si="95"/>
        <v>×</v>
      </c>
      <c r="Q76" s="65" t="e">
        <f>VLOOKUP($D76&amp;Q$5,'②-2勤務時間数入力'!$D$7:$Q$106,$L76,FALSE)</f>
        <v>#N/A</v>
      </c>
      <c r="R76" s="65" t="str">
        <f t="shared" si="96"/>
        <v>×</v>
      </c>
      <c r="S76" s="65" t="e">
        <f>VLOOKUP($D76&amp;S$5,'②-2勤務時間数入力'!$D$7:$Q$106,$L76,FALSE)</f>
        <v>#N/A</v>
      </c>
      <c r="T76" s="65" t="str">
        <f t="shared" si="97"/>
        <v>×</v>
      </c>
    </row>
    <row r="77" spans="1:20" ht="13.5" customHeight="1">
      <c r="A77" s="839"/>
      <c r="B77" s="856"/>
      <c r="C77" s="735"/>
      <c r="D77" s="145" t="str">
        <f t="shared" si="98"/>
        <v/>
      </c>
      <c r="E77" s="63" t="str">
        <f t="shared" si="103"/>
        <v/>
      </c>
      <c r="F77" s="62" t="str">
        <f t="shared" si="99"/>
        <v/>
      </c>
      <c r="G77" s="146" t="str">
        <f t="shared" si="101"/>
        <v/>
      </c>
      <c r="H77" s="62" t="str">
        <f>IF($D77="","",IF($E77="正規職員","-",F77*G77))</f>
        <v/>
      </c>
      <c r="I77" s="62">
        <f t="shared" si="17"/>
        <v>242333.33333333401</v>
      </c>
      <c r="J77" s="62" t="str">
        <f>IFERROR(IF($C76="-","",IF(D77="","",IF(E77="正規職員",I77-J76,MIN(MIN(H77:I77),I76-J76)))),0)</f>
        <v/>
      </c>
      <c r="K77" s="64" t="str">
        <f t="shared" si="100"/>
        <v/>
      </c>
      <c r="L77" s="65">
        <f t="shared" si="102"/>
        <v>9</v>
      </c>
      <c r="M77" s="65" t="e">
        <f>VLOOKUP($D77&amp;M$5,'②-2勤務時間数入力'!$D$7:$Q$106,$L77,FALSE)</f>
        <v>#N/A</v>
      </c>
      <c r="N77" s="65" t="str">
        <f t="shared" si="94"/>
        <v>×</v>
      </c>
      <c r="O77" s="65" t="e">
        <f>VLOOKUP($D77&amp;O$5,'②-2勤務時間数入力'!$D$7:$Q$106,$L77,FALSE)</f>
        <v>#N/A</v>
      </c>
      <c r="P77" s="65" t="str">
        <f t="shared" si="95"/>
        <v>×</v>
      </c>
      <c r="Q77" s="65" t="e">
        <f>VLOOKUP($D77&amp;Q$5,'②-2勤務時間数入力'!$D$7:$Q$106,$L77,FALSE)</f>
        <v>#N/A</v>
      </c>
      <c r="R77" s="65" t="str">
        <f t="shared" si="96"/>
        <v>×</v>
      </c>
      <c r="S77" s="65" t="e">
        <f>VLOOKUP($D77&amp;S$5,'②-2勤務時間数入力'!$D$7:$Q$106,$L77,FALSE)</f>
        <v>#N/A</v>
      </c>
      <c r="T77" s="65" t="str">
        <f t="shared" si="97"/>
        <v>×</v>
      </c>
    </row>
    <row r="78" spans="1:20" ht="13.5" customHeight="1">
      <c r="A78" s="839"/>
      <c r="B78" s="856"/>
      <c r="C78" s="841" t="str">
        <f>IF(B72&gt;=1,IFERROR(INDEX($F$153:$G$158,MATCH(判定!AK15,$F$153:$F$158,0),2),"-"),"-")</f>
        <v>-</v>
      </c>
      <c r="D78" s="145" t="str">
        <f t="shared" si="98"/>
        <v/>
      </c>
      <c r="E78" s="63" t="str">
        <f t="shared" si="103"/>
        <v/>
      </c>
      <c r="F78" s="62" t="str">
        <f t="shared" si="99"/>
        <v/>
      </c>
      <c r="G78" s="146" t="str">
        <f t="shared" si="101"/>
        <v/>
      </c>
      <c r="H78" s="62" t="str">
        <f t="shared" ref="H78:H79" si="105">IF($D78="","",IF($E78="正規職員","-",F78*G78))</f>
        <v/>
      </c>
      <c r="I78" s="62">
        <f t="shared" si="17"/>
        <v>242333.33333333401</v>
      </c>
      <c r="J78" s="62" t="str">
        <f>IFERROR(IF($C78="-","",IF(D78="",0,IF(E78="正規職員",I78,MIN(H78:I78)))),0)</f>
        <v/>
      </c>
      <c r="K78" s="64" t="str">
        <f t="shared" si="100"/>
        <v/>
      </c>
      <c r="L78" s="65">
        <f t="shared" si="102"/>
        <v>9</v>
      </c>
      <c r="M78" s="65" t="e">
        <f>VLOOKUP($D78&amp;M$5,'②-2勤務時間数入力'!$D$7:$Q$106,$L78,FALSE)</f>
        <v>#N/A</v>
      </c>
      <c r="N78" s="65" t="str">
        <f t="shared" si="94"/>
        <v>×</v>
      </c>
      <c r="O78" s="65" t="e">
        <f>VLOOKUP($D78&amp;O$5,'②-2勤務時間数入力'!$D$7:$Q$106,$L78,FALSE)</f>
        <v>#N/A</v>
      </c>
      <c r="P78" s="65" t="str">
        <f t="shared" si="95"/>
        <v>×</v>
      </c>
      <c r="Q78" s="65" t="e">
        <f>VLOOKUP($D78&amp;Q$5,'②-2勤務時間数入力'!$D$7:$Q$106,$L78,FALSE)</f>
        <v>#N/A</v>
      </c>
      <c r="R78" s="65" t="str">
        <f t="shared" si="96"/>
        <v>×</v>
      </c>
      <c r="S78" s="65" t="e">
        <f>VLOOKUP($D78&amp;S$5,'②-2勤務時間数入力'!$D$7:$Q$106,$L78,FALSE)</f>
        <v>#N/A</v>
      </c>
      <c r="T78" s="65" t="str">
        <f t="shared" si="97"/>
        <v>×</v>
      </c>
    </row>
    <row r="79" spans="1:20" ht="13.5" customHeight="1">
      <c r="A79" s="839"/>
      <c r="B79" s="856"/>
      <c r="C79" s="735"/>
      <c r="D79" s="145" t="str">
        <f t="shared" si="98"/>
        <v/>
      </c>
      <c r="E79" s="63" t="str">
        <f t="shared" si="103"/>
        <v/>
      </c>
      <c r="F79" s="62" t="str">
        <f t="shared" si="99"/>
        <v/>
      </c>
      <c r="G79" s="146" t="str">
        <f t="shared" si="101"/>
        <v/>
      </c>
      <c r="H79" s="62" t="str">
        <f t="shared" si="105"/>
        <v/>
      </c>
      <c r="I79" s="62">
        <f t="shared" si="17"/>
        <v>242333.33333333401</v>
      </c>
      <c r="J79" s="62" t="str">
        <f>IFERROR(IF($C78="-","",IF(D79="","",IF(E79="正規職員",I79-J78,MIN(MIN(H79:I79),I78-J78)))),0)</f>
        <v/>
      </c>
      <c r="K79" s="64" t="str">
        <f t="shared" si="100"/>
        <v/>
      </c>
      <c r="L79" s="65">
        <f>L73</f>
        <v>9</v>
      </c>
      <c r="M79" s="65" t="e">
        <f>VLOOKUP($D79&amp;M$5,'②-2勤務時間数入力'!$D$7:$Q$106,$L79,FALSE)</f>
        <v>#N/A</v>
      </c>
      <c r="N79" s="65" t="str">
        <f t="shared" si="94"/>
        <v>×</v>
      </c>
      <c r="O79" s="65" t="e">
        <f>VLOOKUP($D79&amp;O$5,'②-2勤務時間数入力'!$D$7:$Q$106,$L79,FALSE)</f>
        <v>#N/A</v>
      </c>
      <c r="P79" s="65" t="str">
        <f t="shared" si="95"/>
        <v>×</v>
      </c>
      <c r="Q79" s="65" t="e">
        <f>VLOOKUP($D79&amp;Q$5,'②-2勤務時間数入力'!$D$7:$Q$106,$L79,FALSE)</f>
        <v>#N/A</v>
      </c>
      <c r="R79" s="65" t="str">
        <f t="shared" si="96"/>
        <v>×</v>
      </c>
      <c r="S79" s="65" t="e">
        <f>VLOOKUP($D79&amp;S$5,'②-2勤務時間数入力'!$D$7:$Q$106,$L79,FALSE)</f>
        <v>#N/A</v>
      </c>
      <c r="T79" s="65" t="str">
        <f t="shared" si="97"/>
        <v>×</v>
      </c>
    </row>
    <row r="80" spans="1:20" ht="13.5" customHeight="1">
      <c r="A80" s="839"/>
      <c r="B80" s="856"/>
      <c r="C80" s="854" t="str">
        <f>IF(B72&gt;=1,IFERROR(INDEX($F$153:$G$158,MATCH(判定!AL15,$F$153:$F$158,0),2),"-"),"-")</f>
        <v>-</v>
      </c>
      <c r="D80" s="145" t="str">
        <f t="shared" si="98"/>
        <v/>
      </c>
      <c r="E80" s="63" t="str">
        <f t="shared" si="103"/>
        <v/>
      </c>
      <c r="F80" s="62" t="str">
        <f t="shared" si="99"/>
        <v/>
      </c>
      <c r="G80" s="146" t="str">
        <f t="shared" si="101"/>
        <v/>
      </c>
      <c r="H80" s="62" t="str">
        <f>IF($D80="","",IF($E80="正規職員","-",F80*G80))</f>
        <v/>
      </c>
      <c r="I80" s="62">
        <f t="shared" si="17"/>
        <v>242333.33333333401</v>
      </c>
      <c r="J80" s="62" t="str">
        <f>IFERROR(IF($C80="-","",IF(D80="",0,IF(E80="正規職員",I80,MIN(H80:I80)))),0)</f>
        <v/>
      </c>
      <c r="K80" s="64" t="str">
        <f t="shared" si="100"/>
        <v/>
      </c>
      <c r="L80" s="65">
        <f t="shared" ref="L80:L81" si="106">L79</f>
        <v>9</v>
      </c>
      <c r="M80" s="65" t="e">
        <f>VLOOKUP($D80&amp;M$5,'②-2勤務時間数入力'!$D$7:$Q$106,$L80,FALSE)</f>
        <v>#N/A</v>
      </c>
      <c r="N80" s="65" t="str">
        <f t="shared" si="94"/>
        <v>×</v>
      </c>
      <c r="O80" s="65" t="e">
        <f>VLOOKUP($D80&amp;O$5,'②-2勤務時間数入力'!$D$7:$Q$106,$L80,FALSE)</f>
        <v>#N/A</v>
      </c>
      <c r="P80" s="65" t="str">
        <f t="shared" si="95"/>
        <v>×</v>
      </c>
      <c r="Q80" s="65" t="e">
        <f>VLOOKUP($D80&amp;Q$5,'②-2勤務時間数入力'!$D$7:$Q$106,$L80,FALSE)</f>
        <v>#N/A</v>
      </c>
      <c r="R80" s="65" t="str">
        <f t="shared" si="96"/>
        <v>×</v>
      </c>
      <c r="S80" s="65" t="e">
        <f>VLOOKUP($D80&amp;S$5,'②-2勤務時間数入力'!$D$7:$Q$106,$L80,FALSE)</f>
        <v>#N/A</v>
      </c>
      <c r="T80" s="65" t="str">
        <f t="shared" si="97"/>
        <v>×</v>
      </c>
    </row>
    <row r="81" spans="1:20" ht="13.5" customHeight="1">
      <c r="A81" s="853"/>
      <c r="B81" s="856"/>
      <c r="C81" s="726"/>
      <c r="D81" s="145" t="str">
        <f t="shared" si="98"/>
        <v/>
      </c>
      <c r="E81" s="63" t="str">
        <f t="shared" si="103"/>
        <v/>
      </c>
      <c r="F81" s="62" t="str">
        <f t="shared" si="99"/>
        <v/>
      </c>
      <c r="G81" s="146" t="str">
        <f t="shared" si="101"/>
        <v/>
      </c>
      <c r="H81" s="62" t="str">
        <f>IF($D81="","",IF($E81="正規職員","-",F81*G81))</f>
        <v/>
      </c>
      <c r="I81" s="62">
        <f t="shared" ref="I81" si="107">$I$6</f>
        <v>242333.33333333401</v>
      </c>
      <c r="J81" s="62" t="str">
        <f>IFERROR(IF($C80="-","",IF(D81="","",IF(E81="正規職員",I81-J80,MIN(MIN(H81:I81),I80-J80)))),0)</f>
        <v/>
      </c>
      <c r="K81" s="64" t="str">
        <f t="shared" si="100"/>
        <v/>
      </c>
      <c r="L81" s="65">
        <f t="shared" si="106"/>
        <v>9</v>
      </c>
      <c r="M81" s="65" t="e">
        <f>VLOOKUP($D81&amp;M$5,'②-2勤務時間数入力'!$D$7:$Q$106,$L81,FALSE)</f>
        <v>#N/A</v>
      </c>
      <c r="N81" s="65" t="str">
        <f t="shared" si="94"/>
        <v>×</v>
      </c>
      <c r="O81" s="65" t="e">
        <f>VLOOKUP($D81&amp;O$5,'②-2勤務時間数入力'!$D$7:$Q$106,$L81,FALSE)</f>
        <v>#N/A</v>
      </c>
      <c r="P81" s="65" t="str">
        <f t="shared" si="95"/>
        <v>×</v>
      </c>
      <c r="Q81" s="65" t="e">
        <f>VLOOKUP($D81&amp;Q$5,'②-2勤務時間数入力'!$D$7:$Q$106,$L81,FALSE)</f>
        <v>#N/A</v>
      </c>
      <c r="R81" s="65" t="str">
        <f t="shared" si="96"/>
        <v>×</v>
      </c>
      <c r="S81" s="65" t="e">
        <f>VLOOKUP($D81&amp;S$5,'②-2勤務時間数入力'!$D$7:$Q$106,$L81,FALSE)</f>
        <v>#N/A</v>
      </c>
      <c r="T81" s="65" t="str">
        <f t="shared" si="97"/>
        <v>×</v>
      </c>
    </row>
    <row r="82" spans="1:20" ht="13.5" customHeight="1">
      <c r="A82" s="821"/>
      <c r="B82" s="857"/>
      <c r="C82" s="258"/>
      <c r="D82" s="1" t="s">
        <v>299</v>
      </c>
      <c r="E82" s="63" t="s">
        <v>293</v>
      </c>
      <c r="F82" s="70"/>
      <c r="G82" s="63" t="s">
        <v>293</v>
      </c>
      <c r="H82" s="63" t="s">
        <v>293</v>
      </c>
      <c r="I82" s="63" t="s">
        <v>293</v>
      </c>
      <c r="J82" s="62" t="str">
        <f>IFERROR(IF(J72="","",MIN(SUM(J72:J81),(B72*I72))),0)</f>
        <v/>
      </c>
      <c r="K82" s="64"/>
      <c r="L82" s="65"/>
      <c r="M82" s="65"/>
      <c r="N82" s="65"/>
      <c r="O82" s="65"/>
      <c r="P82" s="65"/>
      <c r="Q82" s="65"/>
      <c r="R82" s="65"/>
      <c r="S82" s="65"/>
      <c r="T82" s="65"/>
    </row>
    <row r="83" spans="1:20" ht="13.5" customHeight="1">
      <c r="A83" s="820">
        <v>11</v>
      </c>
      <c r="B83" s="855" t="str">
        <f>IF(判定!AY16&gt;=1,判定!AY16,"-")</f>
        <v>-</v>
      </c>
      <c r="C83" s="841" t="str">
        <f>IF(B83&gt;=1,IFERROR(INDEX($F$153:$G$158,MATCH(判定!AH16,$F$153:$F$158,0),2),"-"),"-")</f>
        <v>-</v>
      </c>
      <c r="D83" s="145" t="str">
        <f>IF(D72="","",D72)</f>
        <v/>
      </c>
      <c r="E83" s="63" t="str">
        <f>IF(D83="","",IF(N83="○",M$5,IF(P83="○",O$5,IF(R83="○",Q$5,IF(T83="○",S$5,"ERROR")))))</f>
        <v/>
      </c>
      <c r="F83" s="62" t="str">
        <f>IF(D83="","",IF(N83="○",M83,IF(P83="○",O83,IF(R83="○",Q83,IF(T83="○",S83,"ERROR")))))</f>
        <v/>
      </c>
      <c r="G83" s="146" t="str">
        <f>IF($D83="","",IF($E83="正規職員","-","賃金単価を記載"))</f>
        <v/>
      </c>
      <c r="H83" s="62" t="str">
        <f t="shared" ref="H83:H85" si="108">IF($D83="","",IF($E83="正規職員","-",F83*G83))</f>
        <v/>
      </c>
      <c r="I83" s="62">
        <f t="shared" ref="I83:I136" si="109">$I$6</f>
        <v>242333.33333333401</v>
      </c>
      <c r="J83" s="62" t="str">
        <f>IFERROR(IF($C83="-","",IF(D83="",0,IF(E83="正規職員",I83,MIN(H83:I83)))),0)</f>
        <v/>
      </c>
      <c r="K83" s="64" t="str">
        <f>IF(D83="","",IF(OR(COUNTIFS(D83,"*要配慮*")=1,COUNTIFS(D83,"*医療的ケア*")=1),"○","エラー"))</f>
        <v/>
      </c>
      <c r="L83" s="65">
        <f>L72+1</f>
        <v>10</v>
      </c>
      <c r="M83" s="65" t="e">
        <f>VLOOKUP($D83&amp;M$5,'②-2勤務時間数入力'!$D$7:$Q$106,$L83,FALSE)</f>
        <v>#N/A</v>
      </c>
      <c r="N83" s="65" t="str">
        <f t="shared" ref="N83:N92" si="110">IF(ISERROR(M83),"×",IF(M83="-","×","○"))</f>
        <v>×</v>
      </c>
      <c r="O83" s="65" t="e">
        <f>VLOOKUP($D83&amp;O$5,'②-2勤務時間数入力'!$D$7:$Q$106,$L83,FALSE)</f>
        <v>#N/A</v>
      </c>
      <c r="P83" s="65" t="str">
        <f t="shared" ref="P83:P92" si="111">IF(ISERROR(O83),"×",IF(O83="-","×","○"))</f>
        <v>×</v>
      </c>
      <c r="Q83" s="65" t="e">
        <f>VLOOKUP($D83&amp;Q$5,'②-2勤務時間数入力'!$D$7:$Q$106,$L83,FALSE)</f>
        <v>#N/A</v>
      </c>
      <c r="R83" s="65" t="str">
        <f t="shared" ref="R83:R92" si="112">IF(ISERROR(Q83),"×",IF(Q83="-","×","○"))</f>
        <v>×</v>
      </c>
      <c r="S83" s="65" t="e">
        <f>VLOOKUP($D83&amp;S$5,'②-2勤務時間数入力'!$D$7:$Q$106,$L83,FALSE)</f>
        <v>#N/A</v>
      </c>
      <c r="T83" s="65" t="str">
        <f t="shared" ref="T83:T92" si="113">IF(ISERROR(S83),"×",IF(S83="-","×","○"))</f>
        <v>×</v>
      </c>
    </row>
    <row r="84" spans="1:20" ht="13.5" customHeight="1">
      <c r="A84" s="839"/>
      <c r="B84" s="856"/>
      <c r="C84" s="735"/>
      <c r="D84" s="145" t="str">
        <f>IF(D73="","",D73)</f>
        <v/>
      </c>
      <c r="E84" s="63" t="str">
        <f>IF(D84="","",IF(N84="○",M$5,IF(P84="○",O$5,IF(R84="○",Q$5,IF(T84="○",S$5,"ERROR")))))</f>
        <v/>
      </c>
      <c r="F84" s="62" t="str">
        <f t="shared" ref="F84:F92" si="114">IF(D84="","",IF(N84="○",M84,IF(P84="○",O84,IF(R84="○",Q84,IF(T84="○",S84,"ERROR")))))</f>
        <v/>
      </c>
      <c r="G84" s="146" t="str">
        <f>IF($D84="","",IF($E84="正規職員","-","賃金単価を記載"))</f>
        <v/>
      </c>
      <c r="H84" s="62" t="str">
        <f t="shared" si="108"/>
        <v/>
      </c>
      <c r="I84" s="62">
        <f t="shared" si="109"/>
        <v>242333.33333333401</v>
      </c>
      <c r="J84" s="62" t="str">
        <f>IFERROR(IF($C83="-","",IF(D84="","",IF(E84="正規職員",I84-J83,MIN(MIN(H84:I84),I83-J83)))),0)</f>
        <v/>
      </c>
      <c r="K84" s="64" t="str">
        <f t="shared" ref="K84:K92" si="115">IF(D84="","",IF(OR(COUNTIFS(D84,"*要配慮*")=1,COUNTIFS(D84,"*医療的ケア*")=1),"○","エラー"))</f>
        <v/>
      </c>
      <c r="L84" s="65">
        <f>L83</f>
        <v>10</v>
      </c>
      <c r="M84" s="65" t="e">
        <f>VLOOKUP($D84&amp;M$5,'②-2勤務時間数入力'!$D$7:$Q$106,$L84,FALSE)</f>
        <v>#N/A</v>
      </c>
      <c r="N84" s="65" t="str">
        <f t="shared" si="110"/>
        <v>×</v>
      </c>
      <c r="O84" s="65" t="e">
        <f>VLOOKUP($D84&amp;O$5,'②-2勤務時間数入力'!$D$7:$Q$106,$L84,FALSE)</f>
        <v>#N/A</v>
      </c>
      <c r="P84" s="65" t="str">
        <f t="shared" si="111"/>
        <v>×</v>
      </c>
      <c r="Q84" s="65" t="e">
        <f>VLOOKUP($D84&amp;Q$5,'②-2勤務時間数入力'!$D$7:$Q$106,$L84,FALSE)</f>
        <v>#N/A</v>
      </c>
      <c r="R84" s="65" t="str">
        <f t="shared" si="112"/>
        <v>×</v>
      </c>
      <c r="S84" s="65" t="e">
        <f>VLOOKUP($D84&amp;S$5,'②-2勤務時間数入力'!$D$7:$Q$106,$L84,FALSE)</f>
        <v>#N/A</v>
      </c>
      <c r="T84" s="65" t="str">
        <f t="shared" si="113"/>
        <v>×</v>
      </c>
    </row>
    <row r="85" spans="1:20" ht="13.5" customHeight="1">
      <c r="A85" s="839"/>
      <c r="B85" s="856"/>
      <c r="C85" s="841" t="str">
        <f>IF(B83&gt;=1,IFERROR(INDEX($F$153:$G$158,MATCH(判定!AI16,$F$153:$F$158,0),2),"-"),"-")</f>
        <v>-</v>
      </c>
      <c r="D85" s="145" t="str">
        <f t="shared" ref="D85:D92" si="116">IF(D74="","",D74)</f>
        <v/>
      </c>
      <c r="E85" s="63" t="str">
        <f>IF(D85="","",IF(N85="○",M$5,IF(P85="○",O$5,IF(R85="○",Q$5,IF(T85="○",S$5,"ERROR")))))</f>
        <v/>
      </c>
      <c r="F85" s="62" t="str">
        <f t="shared" si="114"/>
        <v/>
      </c>
      <c r="G85" s="146" t="str">
        <f t="shared" ref="G85:G92" si="117">IF($D85="","",IF($E85="正規職員","-","賃金単価を記載"))</f>
        <v/>
      </c>
      <c r="H85" s="62" t="str">
        <f t="shared" si="108"/>
        <v/>
      </c>
      <c r="I85" s="62">
        <f t="shared" si="109"/>
        <v>242333.33333333401</v>
      </c>
      <c r="J85" s="62" t="str">
        <f>IFERROR(IF($C85="-","",IF(D85="",0,IF(E85="正規職員",I85,MIN(H85:I85)))),0)</f>
        <v/>
      </c>
      <c r="K85" s="64" t="str">
        <f t="shared" si="115"/>
        <v/>
      </c>
      <c r="L85" s="65">
        <f t="shared" ref="L85:L89" si="118">L84</f>
        <v>10</v>
      </c>
      <c r="M85" s="65" t="e">
        <f>VLOOKUP($D85&amp;M$5,'②-2勤務時間数入力'!$D$7:$Q$106,$L85,FALSE)</f>
        <v>#N/A</v>
      </c>
      <c r="N85" s="65" t="str">
        <f t="shared" si="110"/>
        <v>×</v>
      </c>
      <c r="O85" s="65" t="e">
        <f>VLOOKUP($D85&amp;O$5,'②-2勤務時間数入力'!$D$7:$Q$106,$L85,FALSE)</f>
        <v>#N/A</v>
      </c>
      <c r="P85" s="65" t="str">
        <f t="shared" si="111"/>
        <v>×</v>
      </c>
      <c r="Q85" s="65" t="e">
        <f>VLOOKUP($D85&amp;Q$5,'②-2勤務時間数入力'!$D$7:$Q$106,$L85,FALSE)</f>
        <v>#N/A</v>
      </c>
      <c r="R85" s="65" t="str">
        <f t="shared" si="112"/>
        <v>×</v>
      </c>
      <c r="S85" s="65" t="e">
        <f>VLOOKUP($D85&amp;S$5,'②-2勤務時間数入力'!$D$7:$Q$106,$L85,FALSE)</f>
        <v>#N/A</v>
      </c>
      <c r="T85" s="65" t="str">
        <f t="shared" si="113"/>
        <v>×</v>
      </c>
    </row>
    <row r="86" spans="1:20" ht="13.5" customHeight="1">
      <c r="A86" s="839"/>
      <c r="B86" s="856"/>
      <c r="C86" s="843"/>
      <c r="D86" s="145" t="str">
        <f t="shared" si="116"/>
        <v/>
      </c>
      <c r="E86" s="63" t="str">
        <f t="shared" ref="E86:E92" si="119">IF(D86="","",IF(N86="○",M$5,IF(P86="○",O$5,IF(R86="○",Q$5,IF(T86="○",S$5,"ERROR")))))</f>
        <v/>
      </c>
      <c r="F86" s="62" t="str">
        <f t="shared" si="114"/>
        <v/>
      </c>
      <c r="G86" s="146" t="str">
        <f t="shared" si="117"/>
        <v/>
      </c>
      <c r="H86" s="62" t="str">
        <f>IF($D86="","",IF($E86="正規職員","-",F86*G86))</f>
        <v/>
      </c>
      <c r="I86" s="62">
        <f t="shared" si="109"/>
        <v>242333.33333333401</v>
      </c>
      <c r="J86" s="62" t="str">
        <f>IFERROR(IF($C85="-","",IF(D86="","",IF(E86="正規職員",I86-J85,MIN(MIN(H86:I86),I85-J85)))),0)</f>
        <v/>
      </c>
      <c r="K86" s="64" t="str">
        <f t="shared" si="115"/>
        <v/>
      </c>
      <c r="L86" s="65">
        <f t="shared" si="118"/>
        <v>10</v>
      </c>
      <c r="M86" s="65" t="e">
        <f>VLOOKUP($D86&amp;M$5,'②-2勤務時間数入力'!$D$7:$Q$106,$L86,FALSE)</f>
        <v>#N/A</v>
      </c>
      <c r="N86" s="65" t="str">
        <f t="shared" si="110"/>
        <v>×</v>
      </c>
      <c r="O86" s="65" t="e">
        <f>VLOOKUP($D86&amp;O$5,'②-2勤務時間数入力'!$D$7:$Q$106,$L86,FALSE)</f>
        <v>#N/A</v>
      </c>
      <c r="P86" s="65" t="str">
        <f t="shared" si="111"/>
        <v>×</v>
      </c>
      <c r="Q86" s="65" t="e">
        <f>VLOOKUP($D86&amp;Q$5,'②-2勤務時間数入力'!$D$7:$Q$106,$L86,FALSE)</f>
        <v>#N/A</v>
      </c>
      <c r="R86" s="65" t="str">
        <f t="shared" si="112"/>
        <v>×</v>
      </c>
      <c r="S86" s="65" t="e">
        <f>VLOOKUP($D86&amp;S$5,'②-2勤務時間数入力'!$D$7:$Q$106,$L86,FALSE)</f>
        <v>#N/A</v>
      </c>
      <c r="T86" s="65" t="str">
        <f t="shared" si="113"/>
        <v>×</v>
      </c>
    </row>
    <row r="87" spans="1:20" ht="13.5" customHeight="1">
      <c r="A87" s="839"/>
      <c r="B87" s="856"/>
      <c r="C87" s="841" t="str">
        <f>IF(B83&gt;=1,IFERROR(INDEX($F$153:$G$158,MATCH(判定!AJ16,$F$153:$F$158,0),2),"-"),"-")</f>
        <v>-</v>
      </c>
      <c r="D87" s="145" t="str">
        <f t="shared" si="116"/>
        <v/>
      </c>
      <c r="E87" s="63" t="str">
        <f t="shared" si="119"/>
        <v/>
      </c>
      <c r="F87" s="62" t="str">
        <f t="shared" si="114"/>
        <v/>
      </c>
      <c r="G87" s="146" t="str">
        <f t="shared" si="117"/>
        <v/>
      </c>
      <c r="H87" s="62" t="str">
        <f t="shared" ref="H87" si="120">IF($D87="","",IF($E87="正規職員","-",F87*G87))</f>
        <v/>
      </c>
      <c r="I87" s="62">
        <f t="shared" si="109"/>
        <v>242333.33333333401</v>
      </c>
      <c r="J87" s="62" t="str">
        <f>IFERROR(IF($C87="-","",IF(D87="",0,IF(E87="正規職員",I87,MIN(H87:I87)))),0)</f>
        <v/>
      </c>
      <c r="K87" s="64" t="str">
        <f t="shared" si="115"/>
        <v/>
      </c>
      <c r="L87" s="65">
        <f t="shared" si="118"/>
        <v>10</v>
      </c>
      <c r="M87" s="65" t="e">
        <f>VLOOKUP($D87&amp;M$5,'②-2勤務時間数入力'!$D$7:$Q$106,$L87,FALSE)</f>
        <v>#N/A</v>
      </c>
      <c r="N87" s="65" t="str">
        <f t="shared" si="110"/>
        <v>×</v>
      </c>
      <c r="O87" s="65" t="e">
        <f>VLOOKUP($D87&amp;O$5,'②-2勤務時間数入力'!$D$7:$Q$106,$L87,FALSE)</f>
        <v>#N/A</v>
      </c>
      <c r="P87" s="65" t="str">
        <f t="shared" si="111"/>
        <v>×</v>
      </c>
      <c r="Q87" s="65" t="e">
        <f>VLOOKUP($D87&amp;Q$5,'②-2勤務時間数入力'!$D$7:$Q$106,$L87,FALSE)</f>
        <v>#N/A</v>
      </c>
      <c r="R87" s="65" t="str">
        <f t="shared" si="112"/>
        <v>×</v>
      </c>
      <c r="S87" s="65" t="e">
        <f>VLOOKUP($D87&amp;S$5,'②-2勤務時間数入力'!$D$7:$Q$106,$L87,FALSE)</f>
        <v>#N/A</v>
      </c>
      <c r="T87" s="65" t="str">
        <f t="shared" si="113"/>
        <v>×</v>
      </c>
    </row>
    <row r="88" spans="1:20" ht="13.5" customHeight="1">
      <c r="A88" s="839"/>
      <c r="B88" s="856"/>
      <c r="C88" s="735"/>
      <c r="D88" s="145" t="str">
        <f t="shared" si="116"/>
        <v/>
      </c>
      <c r="E88" s="63" t="str">
        <f t="shared" si="119"/>
        <v/>
      </c>
      <c r="F88" s="62" t="str">
        <f t="shared" si="114"/>
        <v/>
      </c>
      <c r="G88" s="146" t="str">
        <f t="shared" si="117"/>
        <v/>
      </c>
      <c r="H88" s="62" t="str">
        <f>IF($D88="","",IF($E88="正規職員","-",F88*G88))</f>
        <v/>
      </c>
      <c r="I88" s="62">
        <f t="shared" si="109"/>
        <v>242333.33333333401</v>
      </c>
      <c r="J88" s="62" t="str">
        <f>IFERROR(IF($C87="-","",IF(D88="","",IF(E88="正規職員",I88-J87,MIN(MIN(H88:I88),I87-J87)))),0)</f>
        <v/>
      </c>
      <c r="K88" s="64" t="str">
        <f t="shared" si="115"/>
        <v/>
      </c>
      <c r="L88" s="65">
        <f t="shared" si="118"/>
        <v>10</v>
      </c>
      <c r="M88" s="65" t="e">
        <f>VLOOKUP($D88&amp;M$5,'②-2勤務時間数入力'!$D$7:$Q$106,$L88,FALSE)</f>
        <v>#N/A</v>
      </c>
      <c r="N88" s="65" t="str">
        <f t="shared" si="110"/>
        <v>×</v>
      </c>
      <c r="O88" s="65" t="e">
        <f>VLOOKUP($D88&amp;O$5,'②-2勤務時間数入力'!$D$7:$Q$106,$L88,FALSE)</f>
        <v>#N/A</v>
      </c>
      <c r="P88" s="65" t="str">
        <f t="shared" si="111"/>
        <v>×</v>
      </c>
      <c r="Q88" s="65" t="e">
        <f>VLOOKUP($D88&amp;Q$5,'②-2勤務時間数入力'!$D$7:$Q$106,$L88,FALSE)</f>
        <v>#N/A</v>
      </c>
      <c r="R88" s="65" t="str">
        <f t="shared" si="112"/>
        <v>×</v>
      </c>
      <c r="S88" s="65" t="e">
        <f>VLOOKUP($D88&amp;S$5,'②-2勤務時間数入力'!$D$7:$Q$106,$L88,FALSE)</f>
        <v>#N/A</v>
      </c>
      <c r="T88" s="65" t="str">
        <f t="shared" si="113"/>
        <v>×</v>
      </c>
    </row>
    <row r="89" spans="1:20" ht="13.5" customHeight="1">
      <c r="A89" s="839"/>
      <c r="B89" s="856"/>
      <c r="C89" s="841" t="str">
        <f>IF(B83&gt;=1,IFERROR(INDEX($F$153:$G$158,MATCH(判定!AK16,$F$153:$F$158,0),2),"-"),"-")</f>
        <v>-</v>
      </c>
      <c r="D89" s="145" t="str">
        <f t="shared" si="116"/>
        <v/>
      </c>
      <c r="E89" s="63" t="str">
        <f t="shared" si="119"/>
        <v/>
      </c>
      <c r="F89" s="62" t="str">
        <f t="shared" si="114"/>
        <v/>
      </c>
      <c r="G89" s="146" t="str">
        <f t="shared" si="117"/>
        <v/>
      </c>
      <c r="H89" s="62" t="str">
        <f t="shared" ref="H89:H90" si="121">IF($D89="","",IF($E89="正規職員","-",F89*G89))</f>
        <v/>
      </c>
      <c r="I89" s="62">
        <f t="shared" si="109"/>
        <v>242333.33333333401</v>
      </c>
      <c r="J89" s="62" t="str">
        <f>IFERROR(IF($C89="-","",IF(D89="",0,IF(E89="正規職員",I89,MIN(H89:I89)))),0)</f>
        <v/>
      </c>
      <c r="K89" s="64" t="str">
        <f t="shared" si="115"/>
        <v/>
      </c>
      <c r="L89" s="65">
        <f t="shared" si="118"/>
        <v>10</v>
      </c>
      <c r="M89" s="65" t="e">
        <f>VLOOKUP($D89&amp;M$5,'②-2勤務時間数入力'!$D$7:$Q$106,$L89,FALSE)</f>
        <v>#N/A</v>
      </c>
      <c r="N89" s="65" t="str">
        <f t="shared" si="110"/>
        <v>×</v>
      </c>
      <c r="O89" s="65" t="e">
        <f>VLOOKUP($D89&amp;O$5,'②-2勤務時間数入力'!$D$7:$Q$106,$L89,FALSE)</f>
        <v>#N/A</v>
      </c>
      <c r="P89" s="65" t="str">
        <f t="shared" si="111"/>
        <v>×</v>
      </c>
      <c r="Q89" s="65" t="e">
        <f>VLOOKUP($D89&amp;Q$5,'②-2勤務時間数入力'!$D$7:$Q$106,$L89,FALSE)</f>
        <v>#N/A</v>
      </c>
      <c r="R89" s="65" t="str">
        <f t="shared" si="112"/>
        <v>×</v>
      </c>
      <c r="S89" s="65" t="e">
        <f>VLOOKUP($D89&amp;S$5,'②-2勤務時間数入力'!$D$7:$Q$106,$L89,FALSE)</f>
        <v>#N/A</v>
      </c>
      <c r="T89" s="65" t="str">
        <f t="shared" si="113"/>
        <v>×</v>
      </c>
    </row>
    <row r="90" spans="1:20" ht="13.5" customHeight="1">
      <c r="A90" s="839"/>
      <c r="B90" s="856"/>
      <c r="C90" s="735"/>
      <c r="D90" s="145" t="str">
        <f t="shared" si="116"/>
        <v/>
      </c>
      <c r="E90" s="63" t="str">
        <f t="shared" si="119"/>
        <v/>
      </c>
      <c r="F90" s="62" t="str">
        <f t="shared" si="114"/>
        <v/>
      </c>
      <c r="G90" s="146" t="str">
        <f t="shared" si="117"/>
        <v/>
      </c>
      <c r="H90" s="62" t="str">
        <f t="shared" si="121"/>
        <v/>
      </c>
      <c r="I90" s="62">
        <f t="shared" si="109"/>
        <v>242333.33333333401</v>
      </c>
      <c r="J90" s="62" t="str">
        <f>IFERROR(IF($C89="-","",IF(D90="","",IF(E90="正規職員",I90-J89,MIN(MIN(H90:I90),I89-J89)))),0)</f>
        <v/>
      </c>
      <c r="K90" s="64" t="str">
        <f t="shared" si="115"/>
        <v/>
      </c>
      <c r="L90" s="65">
        <f>L84</f>
        <v>10</v>
      </c>
      <c r="M90" s="65" t="e">
        <f>VLOOKUP($D90&amp;M$5,'②-2勤務時間数入力'!$D$7:$Q$106,$L90,FALSE)</f>
        <v>#N/A</v>
      </c>
      <c r="N90" s="65" t="str">
        <f t="shared" si="110"/>
        <v>×</v>
      </c>
      <c r="O90" s="65" t="e">
        <f>VLOOKUP($D90&amp;O$5,'②-2勤務時間数入力'!$D$7:$Q$106,$L90,FALSE)</f>
        <v>#N/A</v>
      </c>
      <c r="P90" s="65" t="str">
        <f t="shared" si="111"/>
        <v>×</v>
      </c>
      <c r="Q90" s="65" t="e">
        <f>VLOOKUP($D90&amp;Q$5,'②-2勤務時間数入力'!$D$7:$Q$106,$L90,FALSE)</f>
        <v>#N/A</v>
      </c>
      <c r="R90" s="65" t="str">
        <f t="shared" si="112"/>
        <v>×</v>
      </c>
      <c r="S90" s="65" t="e">
        <f>VLOOKUP($D90&amp;S$5,'②-2勤務時間数入力'!$D$7:$Q$106,$L90,FALSE)</f>
        <v>#N/A</v>
      </c>
      <c r="T90" s="65" t="str">
        <f t="shared" si="113"/>
        <v>×</v>
      </c>
    </row>
    <row r="91" spans="1:20" ht="13.5" customHeight="1">
      <c r="A91" s="839"/>
      <c r="B91" s="856"/>
      <c r="C91" s="854" t="str">
        <f>IF(B83&gt;=1,IFERROR(INDEX($F$153:$G$158,MATCH(判定!AL16,$F$153:$F$158,0),2),"-"),"-")</f>
        <v>-</v>
      </c>
      <c r="D91" s="145" t="str">
        <f t="shared" si="116"/>
        <v/>
      </c>
      <c r="E91" s="63" t="str">
        <f t="shared" si="119"/>
        <v/>
      </c>
      <c r="F91" s="62" t="str">
        <f t="shared" si="114"/>
        <v/>
      </c>
      <c r="G91" s="146" t="str">
        <f t="shared" si="117"/>
        <v/>
      </c>
      <c r="H91" s="62" t="str">
        <f>IF($D91="","",IF($E91="正規職員","-",F91*G91))</f>
        <v/>
      </c>
      <c r="I91" s="62">
        <f t="shared" si="109"/>
        <v>242333.33333333401</v>
      </c>
      <c r="J91" s="62" t="str">
        <f>IFERROR(IF($C91="-","",IF(D91="",0,IF(E91="正規職員",I91,MIN(H91:I91)))),0)</f>
        <v/>
      </c>
      <c r="K91" s="64" t="str">
        <f t="shared" si="115"/>
        <v/>
      </c>
      <c r="L91" s="65">
        <f t="shared" ref="L91:L92" si="122">L90</f>
        <v>10</v>
      </c>
      <c r="M91" s="65" t="e">
        <f>VLOOKUP($D91&amp;M$5,'②-2勤務時間数入力'!$D$7:$Q$106,$L91,FALSE)</f>
        <v>#N/A</v>
      </c>
      <c r="N91" s="65" t="str">
        <f t="shared" si="110"/>
        <v>×</v>
      </c>
      <c r="O91" s="65" t="e">
        <f>VLOOKUP($D91&amp;O$5,'②-2勤務時間数入力'!$D$7:$Q$106,$L91,FALSE)</f>
        <v>#N/A</v>
      </c>
      <c r="P91" s="65" t="str">
        <f t="shared" si="111"/>
        <v>×</v>
      </c>
      <c r="Q91" s="65" t="e">
        <f>VLOOKUP($D91&amp;Q$5,'②-2勤務時間数入力'!$D$7:$Q$106,$L91,FALSE)</f>
        <v>#N/A</v>
      </c>
      <c r="R91" s="65" t="str">
        <f t="shared" si="112"/>
        <v>×</v>
      </c>
      <c r="S91" s="65" t="e">
        <f>VLOOKUP($D91&amp;S$5,'②-2勤務時間数入力'!$D$7:$Q$106,$L91,FALSE)</f>
        <v>#N/A</v>
      </c>
      <c r="T91" s="65" t="str">
        <f t="shared" si="113"/>
        <v>×</v>
      </c>
    </row>
    <row r="92" spans="1:20" ht="13.5" customHeight="1">
      <c r="A92" s="853"/>
      <c r="B92" s="856"/>
      <c r="C92" s="726"/>
      <c r="D92" s="145" t="str">
        <f t="shared" si="116"/>
        <v/>
      </c>
      <c r="E92" s="63" t="str">
        <f t="shared" si="119"/>
        <v/>
      </c>
      <c r="F92" s="62" t="str">
        <f t="shared" si="114"/>
        <v/>
      </c>
      <c r="G92" s="146" t="str">
        <f t="shared" si="117"/>
        <v/>
      </c>
      <c r="H92" s="62" t="str">
        <f>IF($D92="","",IF($E92="正規職員","-",F92*G92))</f>
        <v/>
      </c>
      <c r="I92" s="62">
        <f t="shared" si="109"/>
        <v>242333.33333333401</v>
      </c>
      <c r="J92" s="62" t="str">
        <f>IFERROR(IF($C91="-","",IF(D92="","",IF(E92="正規職員",I92-J91,MIN(MIN(H92:I92),I91-J91)))),0)</f>
        <v/>
      </c>
      <c r="K92" s="64" t="str">
        <f t="shared" si="115"/>
        <v/>
      </c>
      <c r="L92" s="65">
        <f t="shared" si="122"/>
        <v>10</v>
      </c>
      <c r="M92" s="65" t="e">
        <f>VLOOKUP($D92&amp;M$5,'②-2勤務時間数入力'!$D$7:$Q$106,$L92,FALSE)</f>
        <v>#N/A</v>
      </c>
      <c r="N92" s="65" t="str">
        <f t="shared" si="110"/>
        <v>×</v>
      </c>
      <c r="O92" s="65" t="e">
        <f>VLOOKUP($D92&amp;O$5,'②-2勤務時間数入力'!$D$7:$Q$106,$L92,FALSE)</f>
        <v>#N/A</v>
      </c>
      <c r="P92" s="65" t="str">
        <f t="shared" si="111"/>
        <v>×</v>
      </c>
      <c r="Q92" s="65" t="e">
        <f>VLOOKUP($D92&amp;Q$5,'②-2勤務時間数入力'!$D$7:$Q$106,$L92,FALSE)</f>
        <v>#N/A</v>
      </c>
      <c r="R92" s="65" t="str">
        <f t="shared" si="112"/>
        <v>×</v>
      </c>
      <c r="S92" s="65" t="e">
        <f>VLOOKUP($D92&amp;S$5,'②-2勤務時間数入力'!$D$7:$Q$106,$L92,FALSE)</f>
        <v>#N/A</v>
      </c>
      <c r="T92" s="65" t="str">
        <f t="shared" si="113"/>
        <v>×</v>
      </c>
    </row>
    <row r="93" spans="1:20" ht="13.5" customHeight="1">
      <c r="A93" s="821"/>
      <c r="B93" s="857"/>
      <c r="C93" s="258"/>
      <c r="D93" s="1" t="s">
        <v>300</v>
      </c>
      <c r="E93" s="63" t="s">
        <v>293</v>
      </c>
      <c r="F93" s="70"/>
      <c r="G93" s="63" t="s">
        <v>293</v>
      </c>
      <c r="H93" s="63" t="s">
        <v>293</v>
      </c>
      <c r="I93" s="63" t="s">
        <v>293</v>
      </c>
      <c r="J93" s="62" t="str">
        <f>IFERROR(IF(J83="","",MIN(SUM(J83:J92),(B83*I83))),0)</f>
        <v/>
      </c>
      <c r="K93" s="64"/>
      <c r="L93" s="65"/>
      <c r="M93" s="65"/>
      <c r="N93" s="65"/>
      <c r="O93" s="65"/>
      <c r="P93" s="65"/>
      <c r="Q93" s="65"/>
      <c r="R93" s="65"/>
      <c r="S93" s="65"/>
      <c r="T93" s="65"/>
    </row>
    <row r="94" spans="1:20" ht="13.5" customHeight="1">
      <c r="A94" s="820">
        <v>12</v>
      </c>
      <c r="B94" s="855" t="str">
        <f>IF(判定!AY17&gt;=1,判定!AY17,"-")</f>
        <v>-</v>
      </c>
      <c r="C94" s="841" t="str">
        <f>IF(B94&gt;=1,IFERROR(INDEX($F$153:$G$158,MATCH(判定!AH17,$F$153:$F$158,0),2),"-"),"-")</f>
        <v>-</v>
      </c>
      <c r="D94" s="145" t="str">
        <f>IF(D83="","",D83)</f>
        <v/>
      </c>
      <c r="E94" s="63" t="str">
        <f>IF(D94="","",IF(N94="○",M$5,IF(P94="○",O$5,IF(R94="○",Q$5,IF(T94="○",S$5,"ERROR")))))</f>
        <v/>
      </c>
      <c r="F94" s="62" t="str">
        <f>IF(D94="","",IF(N94="○",M94,IF(P94="○",O94,IF(R94="○",Q94,IF(T94="○",S94,"ERROR")))))</f>
        <v/>
      </c>
      <c r="G94" s="146" t="str">
        <f>IF($D94="","",IF($E94="正規職員","-","賃金単価を記載"))</f>
        <v/>
      </c>
      <c r="H94" s="62" t="str">
        <f t="shared" ref="H94:H96" si="123">IF($D94="","",IF($E94="正規職員","-",F94*G94))</f>
        <v/>
      </c>
      <c r="I94" s="62">
        <f t="shared" si="109"/>
        <v>242333.33333333401</v>
      </c>
      <c r="J94" s="62" t="str">
        <f>IFERROR(IF($C94="-","",IF(D94="",0,IF(E94="正規職員",I94,MIN(H94:I94)))),0)</f>
        <v/>
      </c>
      <c r="K94" s="64" t="str">
        <f>IF(D94="","",IF(OR(COUNTIFS(D94,"*要配慮*")=1,COUNTIFS(D94,"*医療的ケア*")=1),"○","エラー"))</f>
        <v/>
      </c>
      <c r="L94" s="65">
        <f>L83+1</f>
        <v>11</v>
      </c>
      <c r="M94" s="65" t="e">
        <f>VLOOKUP($D94&amp;M$5,'②-2勤務時間数入力'!$D$7:$Q$106,$L94,FALSE)</f>
        <v>#N/A</v>
      </c>
      <c r="N94" s="65" t="str">
        <f t="shared" ref="N94:N103" si="124">IF(ISERROR(M94),"×",IF(M94="-","×","○"))</f>
        <v>×</v>
      </c>
      <c r="O94" s="65" t="e">
        <f>VLOOKUP($D94&amp;O$5,'②-2勤務時間数入力'!$D$7:$Q$106,$L94,FALSE)</f>
        <v>#N/A</v>
      </c>
      <c r="P94" s="65" t="str">
        <f t="shared" ref="P94:P103" si="125">IF(ISERROR(O94),"×",IF(O94="-","×","○"))</f>
        <v>×</v>
      </c>
      <c r="Q94" s="65" t="e">
        <f>VLOOKUP($D94&amp;Q$5,'②-2勤務時間数入力'!$D$7:$Q$106,$L94,FALSE)</f>
        <v>#N/A</v>
      </c>
      <c r="R94" s="65" t="str">
        <f t="shared" ref="R94:R103" si="126">IF(ISERROR(Q94),"×",IF(Q94="-","×","○"))</f>
        <v>×</v>
      </c>
      <c r="S94" s="65" t="e">
        <f>VLOOKUP($D94&amp;S$5,'②-2勤務時間数入力'!$D$7:$Q$106,$L94,FALSE)</f>
        <v>#N/A</v>
      </c>
      <c r="T94" s="65" t="str">
        <f t="shared" ref="T94:T103" si="127">IF(ISERROR(S94),"×",IF(S94="-","×","○"))</f>
        <v>×</v>
      </c>
    </row>
    <row r="95" spans="1:20" ht="13.5" customHeight="1">
      <c r="A95" s="839"/>
      <c r="B95" s="856"/>
      <c r="C95" s="735"/>
      <c r="D95" s="145" t="str">
        <f>IF(D84="","",D84)</f>
        <v/>
      </c>
      <c r="E95" s="63" t="str">
        <f>IF(D95="","",IF(N95="○",M$5,IF(P95="○",O$5,IF(R95="○",Q$5,IF(T95="○",S$5,"ERROR")))))</f>
        <v/>
      </c>
      <c r="F95" s="62" t="str">
        <f t="shared" ref="F95:F103" si="128">IF(D95="","",IF(N95="○",M95,IF(P95="○",O95,IF(R95="○",Q95,IF(T95="○",S95,"ERROR")))))</f>
        <v/>
      </c>
      <c r="G95" s="146" t="str">
        <f>IF($D95="","",IF($E95="正規職員","-","賃金単価を記載"))</f>
        <v/>
      </c>
      <c r="H95" s="62" t="str">
        <f t="shared" si="123"/>
        <v/>
      </c>
      <c r="I95" s="62">
        <f t="shared" si="109"/>
        <v>242333.33333333401</v>
      </c>
      <c r="J95" s="62" t="str">
        <f>IFERROR(IF($C94="-","",IF(D95="","",IF(E95="正規職員",I95-J94,MIN(MIN(H95:I95),I94-J94)))),0)</f>
        <v/>
      </c>
      <c r="K95" s="64" t="str">
        <f t="shared" ref="K95:K103" si="129">IF(D95="","",IF(OR(COUNTIFS(D95,"*要配慮*")=1,COUNTIFS(D95,"*医療的ケア*")=1),"○","エラー"))</f>
        <v/>
      </c>
      <c r="L95" s="65">
        <f>L94</f>
        <v>11</v>
      </c>
      <c r="M95" s="65" t="e">
        <f>VLOOKUP($D95&amp;M$5,'②-2勤務時間数入力'!$D$7:$Q$106,$L95,FALSE)</f>
        <v>#N/A</v>
      </c>
      <c r="N95" s="65" t="str">
        <f t="shared" si="124"/>
        <v>×</v>
      </c>
      <c r="O95" s="65" t="e">
        <f>VLOOKUP($D95&amp;O$5,'②-2勤務時間数入力'!$D$7:$Q$106,$L95,FALSE)</f>
        <v>#N/A</v>
      </c>
      <c r="P95" s="65" t="str">
        <f t="shared" si="125"/>
        <v>×</v>
      </c>
      <c r="Q95" s="65" t="e">
        <f>VLOOKUP($D95&amp;Q$5,'②-2勤務時間数入力'!$D$7:$Q$106,$L95,FALSE)</f>
        <v>#N/A</v>
      </c>
      <c r="R95" s="65" t="str">
        <f t="shared" si="126"/>
        <v>×</v>
      </c>
      <c r="S95" s="65" t="e">
        <f>VLOOKUP($D95&amp;S$5,'②-2勤務時間数入力'!$D$7:$Q$106,$L95,FALSE)</f>
        <v>#N/A</v>
      </c>
      <c r="T95" s="65" t="str">
        <f t="shared" si="127"/>
        <v>×</v>
      </c>
    </row>
    <row r="96" spans="1:20" ht="13.5" customHeight="1">
      <c r="A96" s="839"/>
      <c r="B96" s="856"/>
      <c r="C96" s="841" t="str">
        <f>IF(B94&gt;=1,IFERROR(INDEX($F$153:$G$158,MATCH(判定!AI17,$F$153:$F$158,0),2),"-"),"-")</f>
        <v>-</v>
      </c>
      <c r="D96" s="145" t="str">
        <f t="shared" ref="D96:D103" si="130">IF(D85="","",D85)</f>
        <v/>
      </c>
      <c r="E96" s="63" t="str">
        <f>IF(D96="","",IF(N96="○",M$5,IF(P96="○",O$5,IF(R96="○",Q$5,IF(T96="○",S$5,"ERROR")))))</f>
        <v/>
      </c>
      <c r="F96" s="62" t="str">
        <f t="shared" si="128"/>
        <v/>
      </c>
      <c r="G96" s="146" t="str">
        <f t="shared" ref="G96:G103" si="131">IF($D96="","",IF($E96="正規職員","-","賃金単価を記載"))</f>
        <v/>
      </c>
      <c r="H96" s="62" t="str">
        <f t="shared" si="123"/>
        <v/>
      </c>
      <c r="I96" s="62">
        <f t="shared" si="109"/>
        <v>242333.33333333401</v>
      </c>
      <c r="J96" s="62" t="str">
        <f>IFERROR(IF($C96="-","",IF(D96="",0,IF(E96="正規職員",I96,MIN(H96:I96)))),0)</f>
        <v/>
      </c>
      <c r="K96" s="64" t="str">
        <f t="shared" si="129"/>
        <v/>
      </c>
      <c r="L96" s="65">
        <f t="shared" ref="L96:L100" si="132">L95</f>
        <v>11</v>
      </c>
      <c r="M96" s="65" t="e">
        <f>VLOOKUP($D96&amp;M$5,'②-2勤務時間数入力'!$D$7:$Q$106,$L96,FALSE)</f>
        <v>#N/A</v>
      </c>
      <c r="N96" s="65" t="str">
        <f t="shared" si="124"/>
        <v>×</v>
      </c>
      <c r="O96" s="65" t="e">
        <f>VLOOKUP($D96&amp;O$5,'②-2勤務時間数入力'!$D$7:$Q$106,$L96,FALSE)</f>
        <v>#N/A</v>
      </c>
      <c r="P96" s="65" t="str">
        <f t="shared" si="125"/>
        <v>×</v>
      </c>
      <c r="Q96" s="65" t="e">
        <f>VLOOKUP($D96&amp;Q$5,'②-2勤務時間数入力'!$D$7:$Q$106,$L96,FALSE)</f>
        <v>#N/A</v>
      </c>
      <c r="R96" s="65" t="str">
        <f t="shared" si="126"/>
        <v>×</v>
      </c>
      <c r="S96" s="65" t="e">
        <f>VLOOKUP($D96&amp;S$5,'②-2勤務時間数入力'!$D$7:$Q$106,$L96,FALSE)</f>
        <v>#N/A</v>
      </c>
      <c r="T96" s="65" t="str">
        <f t="shared" si="127"/>
        <v>×</v>
      </c>
    </row>
    <row r="97" spans="1:20" ht="13.5" customHeight="1">
      <c r="A97" s="839"/>
      <c r="B97" s="856"/>
      <c r="C97" s="843"/>
      <c r="D97" s="145" t="str">
        <f t="shared" si="130"/>
        <v/>
      </c>
      <c r="E97" s="63" t="str">
        <f t="shared" ref="E97:E103" si="133">IF(D97="","",IF(N97="○",M$5,IF(P97="○",O$5,IF(R97="○",Q$5,IF(T97="○",S$5,"ERROR")))))</f>
        <v/>
      </c>
      <c r="F97" s="62" t="str">
        <f t="shared" si="128"/>
        <v/>
      </c>
      <c r="G97" s="146" t="str">
        <f t="shared" si="131"/>
        <v/>
      </c>
      <c r="H97" s="62" t="str">
        <f>IF($D97="","",IF($E97="正規職員","-",F97*G97))</f>
        <v/>
      </c>
      <c r="I97" s="62">
        <f t="shared" si="109"/>
        <v>242333.33333333401</v>
      </c>
      <c r="J97" s="62" t="str">
        <f>IFERROR(IF($C96="-","",IF(D97="","",IF(E97="正規職員",I97-J96,MIN(MIN(H97:I97),I96-J96)))),0)</f>
        <v/>
      </c>
      <c r="K97" s="64" t="str">
        <f t="shared" si="129"/>
        <v/>
      </c>
      <c r="L97" s="65">
        <f t="shared" si="132"/>
        <v>11</v>
      </c>
      <c r="M97" s="65" t="e">
        <f>VLOOKUP($D97&amp;M$5,'②-2勤務時間数入力'!$D$7:$Q$106,$L97,FALSE)</f>
        <v>#N/A</v>
      </c>
      <c r="N97" s="65" t="str">
        <f t="shared" si="124"/>
        <v>×</v>
      </c>
      <c r="O97" s="65" t="e">
        <f>VLOOKUP($D97&amp;O$5,'②-2勤務時間数入力'!$D$7:$Q$106,$L97,FALSE)</f>
        <v>#N/A</v>
      </c>
      <c r="P97" s="65" t="str">
        <f t="shared" si="125"/>
        <v>×</v>
      </c>
      <c r="Q97" s="65" t="e">
        <f>VLOOKUP($D97&amp;Q$5,'②-2勤務時間数入力'!$D$7:$Q$106,$L97,FALSE)</f>
        <v>#N/A</v>
      </c>
      <c r="R97" s="65" t="str">
        <f t="shared" si="126"/>
        <v>×</v>
      </c>
      <c r="S97" s="65" t="e">
        <f>VLOOKUP($D97&amp;S$5,'②-2勤務時間数入力'!$D$7:$Q$106,$L97,FALSE)</f>
        <v>#N/A</v>
      </c>
      <c r="T97" s="65" t="str">
        <f t="shared" si="127"/>
        <v>×</v>
      </c>
    </row>
    <row r="98" spans="1:20" ht="13.5" customHeight="1">
      <c r="A98" s="839"/>
      <c r="B98" s="856"/>
      <c r="C98" s="841" t="str">
        <f>IF(B94&gt;=1,IFERROR(INDEX($F$153:$G$158,MATCH(判定!AJ17,$F$153:$F$158,0),2),"-"),"-")</f>
        <v>-</v>
      </c>
      <c r="D98" s="145" t="str">
        <f t="shared" si="130"/>
        <v/>
      </c>
      <c r="E98" s="63" t="str">
        <f t="shared" si="133"/>
        <v/>
      </c>
      <c r="F98" s="62" t="str">
        <f t="shared" si="128"/>
        <v/>
      </c>
      <c r="G98" s="146" t="str">
        <f t="shared" si="131"/>
        <v/>
      </c>
      <c r="H98" s="62" t="str">
        <f t="shared" ref="H98" si="134">IF($D98="","",IF($E98="正規職員","-",F98*G98))</f>
        <v/>
      </c>
      <c r="I98" s="62">
        <f t="shared" si="109"/>
        <v>242333.33333333401</v>
      </c>
      <c r="J98" s="62" t="str">
        <f>IFERROR(IF($C98="-","",IF(D98="",0,IF(E98="正規職員",I98,MIN(H98:I98)))),0)</f>
        <v/>
      </c>
      <c r="K98" s="64" t="str">
        <f t="shared" si="129"/>
        <v/>
      </c>
      <c r="L98" s="65">
        <f t="shared" si="132"/>
        <v>11</v>
      </c>
      <c r="M98" s="65" t="e">
        <f>VLOOKUP($D98&amp;M$5,'②-2勤務時間数入力'!$D$7:$Q$106,$L98,FALSE)</f>
        <v>#N/A</v>
      </c>
      <c r="N98" s="65" t="str">
        <f t="shared" si="124"/>
        <v>×</v>
      </c>
      <c r="O98" s="65" t="e">
        <f>VLOOKUP($D98&amp;O$5,'②-2勤務時間数入力'!$D$7:$Q$106,$L98,FALSE)</f>
        <v>#N/A</v>
      </c>
      <c r="P98" s="65" t="str">
        <f t="shared" si="125"/>
        <v>×</v>
      </c>
      <c r="Q98" s="65" t="e">
        <f>VLOOKUP($D98&amp;Q$5,'②-2勤務時間数入力'!$D$7:$Q$106,$L98,FALSE)</f>
        <v>#N/A</v>
      </c>
      <c r="R98" s="65" t="str">
        <f t="shared" si="126"/>
        <v>×</v>
      </c>
      <c r="S98" s="65" t="e">
        <f>VLOOKUP($D98&amp;S$5,'②-2勤務時間数入力'!$D$7:$Q$106,$L98,FALSE)</f>
        <v>#N/A</v>
      </c>
      <c r="T98" s="65" t="str">
        <f t="shared" si="127"/>
        <v>×</v>
      </c>
    </row>
    <row r="99" spans="1:20" ht="13.5" customHeight="1">
      <c r="A99" s="839"/>
      <c r="B99" s="856"/>
      <c r="C99" s="735"/>
      <c r="D99" s="145" t="str">
        <f t="shared" si="130"/>
        <v/>
      </c>
      <c r="E99" s="63" t="str">
        <f t="shared" si="133"/>
        <v/>
      </c>
      <c r="F99" s="62" t="str">
        <f t="shared" si="128"/>
        <v/>
      </c>
      <c r="G99" s="146" t="str">
        <f t="shared" si="131"/>
        <v/>
      </c>
      <c r="H99" s="62" t="str">
        <f>IF($D99="","",IF($E99="正規職員","-",F99*G99))</f>
        <v/>
      </c>
      <c r="I99" s="62">
        <f t="shared" si="109"/>
        <v>242333.33333333401</v>
      </c>
      <c r="J99" s="62" t="str">
        <f>IFERROR(IF($C98="-","",IF(D99="","",IF(E99="正規職員",I99-J98,MIN(MIN(H99:I99),I98-J98)))),0)</f>
        <v/>
      </c>
      <c r="K99" s="64" t="str">
        <f t="shared" si="129"/>
        <v/>
      </c>
      <c r="L99" s="65">
        <f t="shared" si="132"/>
        <v>11</v>
      </c>
      <c r="M99" s="65" t="e">
        <f>VLOOKUP($D99&amp;M$5,'②-2勤務時間数入力'!$D$7:$Q$106,$L99,FALSE)</f>
        <v>#N/A</v>
      </c>
      <c r="N99" s="65" t="str">
        <f t="shared" si="124"/>
        <v>×</v>
      </c>
      <c r="O99" s="65" t="e">
        <f>VLOOKUP($D99&amp;O$5,'②-2勤務時間数入力'!$D$7:$Q$106,$L99,FALSE)</f>
        <v>#N/A</v>
      </c>
      <c r="P99" s="65" t="str">
        <f t="shared" si="125"/>
        <v>×</v>
      </c>
      <c r="Q99" s="65" t="e">
        <f>VLOOKUP($D99&amp;Q$5,'②-2勤務時間数入力'!$D$7:$Q$106,$L99,FALSE)</f>
        <v>#N/A</v>
      </c>
      <c r="R99" s="65" t="str">
        <f t="shared" si="126"/>
        <v>×</v>
      </c>
      <c r="S99" s="65" t="e">
        <f>VLOOKUP($D99&amp;S$5,'②-2勤務時間数入力'!$D$7:$Q$106,$L99,FALSE)</f>
        <v>#N/A</v>
      </c>
      <c r="T99" s="65" t="str">
        <f t="shared" si="127"/>
        <v>×</v>
      </c>
    </row>
    <row r="100" spans="1:20" ht="13.5" customHeight="1">
      <c r="A100" s="839"/>
      <c r="B100" s="856"/>
      <c r="C100" s="841" t="str">
        <f>IF(B94&gt;=1,IFERROR(INDEX($F$153:$G$158,MATCH(判定!AK17,$F$153:$F$158,0),2),"-"),"-")</f>
        <v>-</v>
      </c>
      <c r="D100" s="145" t="str">
        <f t="shared" si="130"/>
        <v/>
      </c>
      <c r="E100" s="63" t="str">
        <f t="shared" si="133"/>
        <v/>
      </c>
      <c r="F100" s="62" t="str">
        <f t="shared" si="128"/>
        <v/>
      </c>
      <c r="G100" s="146" t="str">
        <f t="shared" si="131"/>
        <v/>
      </c>
      <c r="H100" s="62" t="str">
        <f t="shared" ref="H100:H101" si="135">IF($D100="","",IF($E100="正規職員","-",F100*G100))</f>
        <v/>
      </c>
      <c r="I100" s="62">
        <f t="shared" si="109"/>
        <v>242333.33333333401</v>
      </c>
      <c r="J100" s="62" t="str">
        <f>IFERROR(IF($C100="-","",IF(D100="",0,IF(E100="正規職員",I100,MIN(H100:I100)))),0)</f>
        <v/>
      </c>
      <c r="K100" s="64" t="str">
        <f t="shared" si="129"/>
        <v/>
      </c>
      <c r="L100" s="65">
        <f t="shared" si="132"/>
        <v>11</v>
      </c>
      <c r="M100" s="65" t="e">
        <f>VLOOKUP($D100&amp;M$5,'②-2勤務時間数入力'!$D$7:$Q$106,$L100,FALSE)</f>
        <v>#N/A</v>
      </c>
      <c r="N100" s="65" t="str">
        <f t="shared" si="124"/>
        <v>×</v>
      </c>
      <c r="O100" s="65" t="e">
        <f>VLOOKUP($D100&amp;O$5,'②-2勤務時間数入力'!$D$7:$Q$106,$L100,FALSE)</f>
        <v>#N/A</v>
      </c>
      <c r="P100" s="65" t="str">
        <f t="shared" si="125"/>
        <v>×</v>
      </c>
      <c r="Q100" s="65" t="e">
        <f>VLOOKUP($D100&amp;Q$5,'②-2勤務時間数入力'!$D$7:$Q$106,$L100,FALSE)</f>
        <v>#N/A</v>
      </c>
      <c r="R100" s="65" t="str">
        <f t="shared" si="126"/>
        <v>×</v>
      </c>
      <c r="S100" s="65" t="e">
        <f>VLOOKUP($D100&amp;S$5,'②-2勤務時間数入力'!$D$7:$Q$106,$L100,FALSE)</f>
        <v>#N/A</v>
      </c>
      <c r="T100" s="65" t="str">
        <f t="shared" si="127"/>
        <v>×</v>
      </c>
    </row>
    <row r="101" spans="1:20" ht="13.5" customHeight="1">
      <c r="A101" s="839"/>
      <c r="B101" s="856"/>
      <c r="C101" s="735"/>
      <c r="D101" s="145" t="str">
        <f t="shared" si="130"/>
        <v/>
      </c>
      <c r="E101" s="63" t="str">
        <f t="shared" si="133"/>
        <v/>
      </c>
      <c r="F101" s="62" t="str">
        <f t="shared" si="128"/>
        <v/>
      </c>
      <c r="G101" s="146" t="str">
        <f t="shared" si="131"/>
        <v/>
      </c>
      <c r="H101" s="62" t="str">
        <f t="shared" si="135"/>
        <v/>
      </c>
      <c r="I101" s="62">
        <f t="shared" si="109"/>
        <v>242333.33333333401</v>
      </c>
      <c r="J101" s="62" t="str">
        <f>IFERROR(IF($C100="-","",IF(D101="","",IF(E101="正規職員",I101-J100,MIN(MIN(H101:I101),I100-J100)))),0)</f>
        <v/>
      </c>
      <c r="K101" s="64" t="str">
        <f t="shared" si="129"/>
        <v/>
      </c>
      <c r="L101" s="65">
        <f>L95</f>
        <v>11</v>
      </c>
      <c r="M101" s="65" t="e">
        <f>VLOOKUP($D101&amp;M$5,'②-2勤務時間数入力'!$D$7:$Q$106,$L101,FALSE)</f>
        <v>#N/A</v>
      </c>
      <c r="N101" s="65" t="str">
        <f t="shared" si="124"/>
        <v>×</v>
      </c>
      <c r="O101" s="65" t="e">
        <f>VLOOKUP($D101&amp;O$5,'②-2勤務時間数入力'!$D$7:$Q$106,$L101,FALSE)</f>
        <v>#N/A</v>
      </c>
      <c r="P101" s="65" t="str">
        <f t="shared" si="125"/>
        <v>×</v>
      </c>
      <c r="Q101" s="65" t="e">
        <f>VLOOKUP($D101&amp;Q$5,'②-2勤務時間数入力'!$D$7:$Q$106,$L101,FALSE)</f>
        <v>#N/A</v>
      </c>
      <c r="R101" s="65" t="str">
        <f t="shared" si="126"/>
        <v>×</v>
      </c>
      <c r="S101" s="65" t="e">
        <f>VLOOKUP($D101&amp;S$5,'②-2勤務時間数入力'!$D$7:$Q$106,$L101,FALSE)</f>
        <v>#N/A</v>
      </c>
      <c r="T101" s="65" t="str">
        <f t="shared" si="127"/>
        <v>×</v>
      </c>
    </row>
    <row r="102" spans="1:20" ht="13.5" customHeight="1">
      <c r="A102" s="839"/>
      <c r="B102" s="856"/>
      <c r="C102" s="854" t="str">
        <f>IF(B94&gt;=1,IFERROR(INDEX($F$153:$G$158,MATCH(判定!AL17,$F$153:$F$158,0),2),"-"),"-")</f>
        <v>-</v>
      </c>
      <c r="D102" s="145" t="str">
        <f t="shared" si="130"/>
        <v/>
      </c>
      <c r="E102" s="63" t="str">
        <f t="shared" si="133"/>
        <v/>
      </c>
      <c r="F102" s="62" t="str">
        <f t="shared" si="128"/>
        <v/>
      </c>
      <c r="G102" s="146" t="str">
        <f t="shared" si="131"/>
        <v/>
      </c>
      <c r="H102" s="62" t="str">
        <f>IF($D102="","",IF($E102="正規職員","-",F102*G102))</f>
        <v/>
      </c>
      <c r="I102" s="62">
        <f t="shared" si="109"/>
        <v>242333.33333333401</v>
      </c>
      <c r="J102" s="62" t="str">
        <f>IFERROR(IF($C102="-","",IF(D102="",0,IF(E102="正規職員",I102,MIN(H102:I102)))),0)</f>
        <v/>
      </c>
      <c r="K102" s="64" t="str">
        <f t="shared" si="129"/>
        <v/>
      </c>
      <c r="L102" s="65">
        <f t="shared" ref="L102:L103" si="136">L101</f>
        <v>11</v>
      </c>
      <c r="M102" s="65" t="e">
        <f>VLOOKUP($D102&amp;M$5,'②-2勤務時間数入力'!$D$7:$Q$106,$L102,FALSE)</f>
        <v>#N/A</v>
      </c>
      <c r="N102" s="65" t="str">
        <f t="shared" si="124"/>
        <v>×</v>
      </c>
      <c r="O102" s="65" t="e">
        <f>VLOOKUP($D102&amp;O$5,'②-2勤務時間数入力'!$D$7:$Q$106,$L102,FALSE)</f>
        <v>#N/A</v>
      </c>
      <c r="P102" s="65" t="str">
        <f t="shared" si="125"/>
        <v>×</v>
      </c>
      <c r="Q102" s="65" t="e">
        <f>VLOOKUP($D102&amp;Q$5,'②-2勤務時間数入力'!$D$7:$Q$106,$L102,FALSE)</f>
        <v>#N/A</v>
      </c>
      <c r="R102" s="65" t="str">
        <f t="shared" si="126"/>
        <v>×</v>
      </c>
      <c r="S102" s="65" t="e">
        <f>VLOOKUP($D102&amp;S$5,'②-2勤務時間数入力'!$D$7:$Q$106,$L102,FALSE)</f>
        <v>#N/A</v>
      </c>
      <c r="T102" s="65" t="str">
        <f t="shared" si="127"/>
        <v>×</v>
      </c>
    </row>
    <row r="103" spans="1:20" ht="13.5" customHeight="1">
      <c r="A103" s="853"/>
      <c r="B103" s="856"/>
      <c r="C103" s="726"/>
      <c r="D103" s="145" t="str">
        <f t="shared" si="130"/>
        <v/>
      </c>
      <c r="E103" s="63" t="str">
        <f t="shared" si="133"/>
        <v/>
      </c>
      <c r="F103" s="62" t="str">
        <f t="shared" si="128"/>
        <v/>
      </c>
      <c r="G103" s="146" t="str">
        <f t="shared" si="131"/>
        <v/>
      </c>
      <c r="H103" s="62" t="str">
        <f>IF($D103="","",IF($E103="正規職員","-",F103*G103))</f>
        <v/>
      </c>
      <c r="I103" s="62">
        <f t="shared" si="109"/>
        <v>242333.33333333401</v>
      </c>
      <c r="J103" s="62" t="str">
        <f>IFERROR(IF($C102="-","",IF(D103="","",IF(E103="正規職員",I103-J102,MIN(MIN(H103:I103),I102-J102)))),0)</f>
        <v/>
      </c>
      <c r="K103" s="64" t="str">
        <f t="shared" si="129"/>
        <v/>
      </c>
      <c r="L103" s="65">
        <f t="shared" si="136"/>
        <v>11</v>
      </c>
      <c r="M103" s="65" t="e">
        <f>VLOOKUP($D103&amp;M$5,'②-2勤務時間数入力'!$D$7:$Q$106,$L103,FALSE)</f>
        <v>#N/A</v>
      </c>
      <c r="N103" s="65" t="str">
        <f t="shared" si="124"/>
        <v>×</v>
      </c>
      <c r="O103" s="65" t="e">
        <f>VLOOKUP($D103&amp;O$5,'②-2勤務時間数入力'!$D$7:$Q$106,$L103,FALSE)</f>
        <v>#N/A</v>
      </c>
      <c r="P103" s="65" t="str">
        <f t="shared" si="125"/>
        <v>×</v>
      </c>
      <c r="Q103" s="65" t="e">
        <f>VLOOKUP($D103&amp;Q$5,'②-2勤務時間数入力'!$D$7:$Q$106,$L103,FALSE)</f>
        <v>#N/A</v>
      </c>
      <c r="R103" s="65" t="str">
        <f t="shared" si="126"/>
        <v>×</v>
      </c>
      <c r="S103" s="65" t="e">
        <f>VLOOKUP($D103&amp;S$5,'②-2勤務時間数入力'!$D$7:$Q$106,$L103,FALSE)</f>
        <v>#N/A</v>
      </c>
      <c r="T103" s="65" t="str">
        <f t="shared" si="127"/>
        <v>×</v>
      </c>
    </row>
    <row r="104" spans="1:20" ht="13.5" customHeight="1">
      <c r="A104" s="821"/>
      <c r="B104" s="857"/>
      <c r="C104" s="258"/>
      <c r="D104" s="1" t="s">
        <v>301</v>
      </c>
      <c r="E104" s="63" t="s">
        <v>293</v>
      </c>
      <c r="F104" s="70"/>
      <c r="G104" s="63" t="s">
        <v>293</v>
      </c>
      <c r="H104" s="63" t="s">
        <v>293</v>
      </c>
      <c r="I104" s="63" t="s">
        <v>293</v>
      </c>
      <c r="J104" s="62" t="str">
        <f>IFERROR(IF(J94="","",MIN(SUM(J94:J103),(B94*I94))),0)</f>
        <v/>
      </c>
      <c r="K104" s="64"/>
      <c r="L104" s="65"/>
      <c r="M104" s="65"/>
      <c r="N104" s="65"/>
      <c r="O104" s="65"/>
      <c r="P104" s="65"/>
      <c r="Q104" s="65"/>
      <c r="R104" s="65"/>
      <c r="S104" s="65"/>
      <c r="T104" s="65"/>
    </row>
    <row r="105" spans="1:20" ht="13.5" customHeight="1">
      <c r="A105" s="820">
        <v>1</v>
      </c>
      <c r="B105" s="855" t="str">
        <f>IF(判定!AY18&gt;=1,判定!AY18,"-")</f>
        <v>-</v>
      </c>
      <c r="C105" s="841" t="str">
        <f>IF(B105&gt;=1,IFERROR(INDEX($F$153:$G$158,MATCH(判定!AH18,$F$153:$F$158,0),2),"-"),"-")</f>
        <v>-</v>
      </c>
      <c r="D105" s="145" t="str">
        <f>IF(D94="","",D94)</f>
        <v/>
      </c>
      <c r="E105" s="63" t="str">
        <f>IF(D105="","",IF(N105="○",M$5,IF(P105="○",O$5,IF(R105="○",Q$5,IF(T105="○",S$5,"ERROR")))))</f>
        <v/>
      </c>
      <c r="F105" s="62" t="str">
        <f>IF(D105="","",IF(N105="○",M105,IF(P105="○",O105,IF(R105="○",Q105,IF(T105="○",S105,"ERROR")))))</f>
        <v/>
      </c>
      <c r="G105" s="146" t="str">
        <f>IF($D105="","",IF($E105="正規職員","-","賃金単価を記載"))</f>
        <v/>
      </c>
      <c r="H105" s="62" t="str">
        <f t="shared" ref="H105:H107" si="137">IF($D105="","",IF($E105="正規職員","-",F105*G105))</f>
        <v/>
      </c>
      <c r="I105" s="62">
        <f t="shared" si="109"/>
        <v>242333.33333333401</v>
      </c>
      <c r="J105" s="62" t="str">
        <f>IFERROR(IF($C105="-","",IF(D105="",0,IF(E105="正規職員",I105,MIN(H105:I105)))),0)</f>
        <v/>
      </c>
      <c r="K105" s="64" t="str">
        <f>IF(D105="","",IF(OR(COUNTIFS(D105,"*要配慮*")=1,COUNTIFS(D105,"*医療的ケア*")=1),"○","エラー"))</f>
        <v/>
      </c>
      <c r="L105" s="65">
        <f>L94+1</f>
        <v>12</v>
      </c>
      <c r="M105" s="65" t="e">
        <f>VLOOKUP($D105&amp;M$5,'②-2勤務時間数入力'!$D$7:$Q$106,$L105,FALSE)</f>
        <v>#N/A</v>
      </c>
      <c r="N105" s="65" t="str">
        <f t="shared" ref="N105:N114" si="138">IF(ISERROR(M105),"×",IF(M105="-","×","○"))</f>
        <v>×</v>
      </c>
      <c r="O105" s="65" t="e">
        <f>VLOOKUP($D105&amp;O$5,'②-2勤務時間数入力'!$D$7:$Q$106,$L105,FALSE)</f>
        <v>#N/A</v>
      </c>
      <c r="P105" s="65" t="str">
        <f t="shared" ref="P105:P114" si="139">IF(ISERROR(O105),"×",IF(O105="-","×","○"))</f>
        <v>×</v>
      </c>
      <c r="Q105" s="65" t="e">
        <f>VLOOKUP($D105&amp;Q$5,'②-2勤務時間数入力'!$D$7:$Q$106,$L105,FALSE)</f>
        <v>#N/A</v>
      </c>
      <c r="R105" s="65" t="str">
        <f t="shared" ref="R105:R114" si="140">IF(ISERROR(Q105),"×",IF(Q105="-","×","○"))</f>
        <v>×</v>
      </c>
      <c r="S105" s="65" t="e">
        <f>VLOOKUP($D105&amp;S$5,'②-2勤務時間数入力'!$D$7:$Q$106,$L105,FALSE)</f>
        <v>#N/A</v>
      </c>
      <c r="T105" s="65" t="str">
        <f t="shared" ref="T105:T114" si="141">IF(ISERROR(S105),"×",IF(S105="-","×","○"))</f>
        <v>×</v>
      </c>
    </row>
    <row r="106" spans="1:20" ht="13.5" customHeight="1">
      <c r="A106" s="839"/>
      <c r="B106" s="856"/>
      <c r="C106" s="735"/>
      <c r="D106" s="145" t="str">
        <f t="shared" ref="D106:D114" si="142">IF(D95="","",D95)</f>
        <v/>
      </c>
      <c r="E106" s="63" t="str">
        <f>IF(D106="","",IF(N106="○",M$5,IF(P106="○",O$5,IF(R106="○",Q$5,IF(T106="○",S$5,"ERROR")))))</f>
        <v/>
      </c>
      <c r="F106" s="62" t="str">
        <f t="shared" ref="F106:F114" si="143">IF(D106="","",IF(N106="○",M106,IF(P106="○",O106,IF(R106="○",Q106,IF(T106="○",S106,"ERROR")))))</f>
        <v/>
      </c>
      <c r="G106" s="146" t="str">
        <f>IF($D106="","",IF($E106="正規職員","-","賃金単価を記載"))</f>
        <v/>
      </c>
      <c r="H106" s="62" t="str">
        <f t="shared" si="137"/>
        <v/>
      </c>
      <c r="I106" s="62">
        <f t="shared" si="109"/>
        <v>242333.33333333401</v>
      </c>
      <c r="J106" s="62" t="str">
        <f>IFERROR(IF($C105="-","",IF(D106="","",IF(E106="正規職員",I106-J105,MIN(MIN(H106:I106),I105-J105)))),0)</f>
        <v/>
      </c>
      <c r="K106" s="64" t="str">
        <f t="shared" ref="K106:K114" si="144">IF(D106="","",IF(OR(COUNTIFS(D106,"*要配慮*")=1,COUNTIFS(D106,"*医療的ケア*")=1),"○","エラー"))</f>
        <v/>
      </c>
      <c r="L106" s="65">
        <f>L105</f>
        <v>12</v>
      </c>
      <c r="M106" s="65" t="e">
        <f>VLOOKUP($D106&amp;M$5,'②-2勤務時間数入力'!$D$7:$Q$106,$L106,FALSE)</f>
        <v>#N/A</v>
      </c>
      <c r="N106" s="65" t="str">
        <f t="shared" si="138"/>
        <v>×</v>
      </c>
      <c r="O106" s="65" t="e">
        <f>VLOOKUP($D106&amp;O$5,'②-2勤務時間数入力'!$D$7:$Q$106,$L106,FALSE)</f>
        <v>#N/A</v>
      </c>
      <c r="P106" s="65" t="str">
        <f t="shared" si="139"/>
        <v>×</v>
      </c>
      <c r="Q106" s="65" t="e">
        <f>VLOOKUP($D106&amp;Q$5,'②-2勤務時間数入力'!$D$7:$Q$106,$L106,FALSE)</f>
        <v>#N/A</v>
      </c>
      <c r="R106" s="65" t="str">
        <f t="shared" si="140"/>
        <v>×</v>
      </c>
      <c r="S106" s="65" t="e">
        <f>VLOOKUP($D106&amp;S$5,'②-2勤務時間数入力'!$D$7:$Q$106,$L106,FALSE)</f>
        <v>#N/A</v>
      </c>
      <c r="T106" s="65" t="str">
        <f t="shared" si="141"/>
        <v>×</v>
      </c>
    </row>
    <row r="107" spans="1:20" ht="13.5" customHeight="1">
      <c r="A107" s="839"/>
      <c r="B107" s="856"/>
      <c r="C107" s="841" t="str">
        <f>IF(B105&gt;=1,IFERROR(INDEX($F$153:$G$158,MATCH(判定!AI18,$F$153:$F$158,0),2),"-"),"-")</f>
        <v>-</v>
      </c>
      <c r="D107" s="145" t="str">
        <f t="shared" si="142"/>
        <v/>
      </c>
      <c r="E107" s="63" t="str">
        <f>IF(D107="","",IF(N107="○",M$5,IF(P107="○",O$5,IF(R107="○",Q$5,IF(T107="○",S$5,"ERROR")))))</f>
        <v/>
      </c>
      <c r="F107" s="62" t="str">
        <f t="shared" si="143"/>
        <v/>
      </c>
      <c r="G107" s="146" t="str">
        <f t="shared" ref="G107:G114" si="145">IF($D107="","",IF($E107="正規職員","-","賃金単価を記載"))</f>
        <v/>
      </c>
      <c r="H107" s="62" t="str">
        <f t="shared" si="137"/>
        <v/>
      </c>
      <c r="I107" s="62">
        <f t="shared" si="109"/>
        <v>242333.33333333401</v>
      </c>
      <c r="J107" s="62" t="str">
        <f>IFERROR(IF($C107="-","",IF(D107="",0,IF(E107="正規職員",I107,MIN(H107:I107)))),0)</f>
        <v/>
      </c>
      <c r="K107" s="64" t="str">
        <f t="shared" si="144"/>
        <v/>
      </c>
      <c r="L107" s="65">
        <f t="shared" ref="L107:L111" si="146">L106</f>
        <v>12</v>
      </c>
      <c r="M107" s="65" t="e">
        <f>VLOOKUP($D107&amp;M$5,'②-2勤務時間数入力'!$D$7:$Q$106,$L107,FALSE)</f>
        <v>#N/A</v>
      </c>
      <c r="N107" s="65" t="str">
        <f t="shared" si="138"/>
        <v>×</v>
      </c>
      <c r="O107" s="65" t="e">
        <f>VLOOKUP($D107&amp;O$5,'②-2勤務時間数入力'!$D$7:$Q$106,$L107,FALSE)</f>
        <v>#N/A</v>
      </c>
      <c r="P107" s="65" t="str">
        <f t="shared" si="139"/>
        <v>×</v>
      </c>
      <c r="Q107" s="65" t="e">
        <f>VLOOKUP($D107&amp;Q$5,'②-2勤務時間数入力'!$D$7:$Q$106,$L107,FALSE)</f>
        <v>#N/A</v>
      </c>
      <c r="R107" s="65" t="str">
        <f t="shared" si="140"/>
        <v>×</v>
      </c>
      <c r="S107" s="65" t="e">
        <f>VLOOKUP($D107&amp;S$5,'②-2勤務時間数入力'!$D$7:$Q$106,$L107,FALSE)</f>
        <v>#N/A</v>
      </c>
      <c r="T107" s="65" t="str">
        <f t="shared" si="141"/>
        <v>×</v>
      </c>
    </row>
    <row r="108" spans="1:20" ht="13.5" customHeight="1">
      <c r="A108" s="839"/>
      <c r="B108" s="856"/>
      <c r="C108" s="843"/>
      <c r="D108" s="145" t="str">
        <f t="shared" si="142"/>
        <v/>
      </c>
      <c r="E108" s="63" t="str">
        <f t="shared" ref="E108:E114" si="147">IF(D108="","",IF(N108="○",M$5,IF(P108="○",O$5,IF(R108="○",Q$5,IF(T108="○",S$5,"ERROR")))))</f>
        <v/>
      </c>
      <c r="F108" s="62" t="str">
        <f t="shared" si="143"/>
        <v/>
      </c>
      <c r="G108" s="146" t="str">
        <f t="shared" si="145"/>
        <v/>
      </c>
      <c r="H108" s="62" t="str">
        <f>IF($D108="","",IF($E108="正規職員","-",F108*G108))</f>
        <v/>
      </c>
      <c r="I108" s="62">
        <f t="shared" si="109"/>
        <v>242333.33333333401</v>
      </c>
      <c r="J108" s="62" t="str">
        <f>IFERROR(IF($C107="-","",IF(D108="","",IF(E108="正規職員",I108-J107,MIN(MIN(H108:I108),I107-J107)))),0)</f>
        <v/>
      </c>
      <c r="K108" s="64" t="str">
        <f t="shared" si="144"/>
        <v/>
      </c>
      <c r="L108" s="65">
        <f t="shared" si="146"/>
        <v>12</v>
      </c>
      <c r="M108" s="65" t="e">
        <f>VLOOKUP($D108&amp;M$5,'②-2勤務時間数入力'!$D$7:$Q$106,$L108,FALSE)</f>
        <v>#N/A</v>
      </c>
      <c r="N108" s="65" t="str">
        <f t="shared" si="138"/>
        <v>×</v>
      </c>
      <c r="O108" s="65" t="e">
        <f>VLOOKUP($D108&amp;O$5,'②-2勤務時間数入力'!$D$7:$Q$106,$L108,FALSE)</f>
        <v>#N/A</v>
      </c>
      <c r="P108" s="65" t="str">
        <f t="shared" si="139"/>
        <v>×</v>
      </c>
      <c r="Q108" s="65" t="e">
        <f>VLOOKUP($D108&amp;Q$5,'②-2勤務時間数入力'!$D$7:$Q$106,$L108,FALSE)</f>
        <v>#N/A</v>
      </c>
      <c r="R108" s="65" t="str">
        <f t="shared" si="140"/>
        <v>×</v>
      </c>
      <c r="S108" s="65" t="e">
        <f>VLOOKUP($D108&amp;S$5,'②-2勤務時間数入力'!$D$7:$Q$106,$L108,FALSE)</f>
        <v>#N/A</v>
      </c>
      <c r="T108" s="65" t="str">
        <f t="shared" si="141"/>
        <v>×</v>
      </c>
    </row>
    <row r="109" spans="1:20" ht="13.5" customHeight="1">
      <c r="A109" s="839"/>
      <c r="B109" s="856"/>
      <c r="C109" s="841" t="str">
        <f>IF(B105&gt;=1,IFERROR(INDEX($F$153:$G$158,MATCH(判定!AJ18,$F$153:$F$158,0),2),"-"),"-")</f>
        <v>-</v>
      </c>
      <c r="D109" s="145" t="str">
        <f t="shared" si="142"/>
        <v/>
      </c>
      <c r="E109" s="63" t="str">
        <f t="shared" si="147"/>
        <v/>
      </c>
      <c r="F109" s="62" t="str">
        <f t="shared" si="143"/>
        <v/>
      </c>
      <c r="G109" s="146" t="str">
        <f t="shared" si="145"/>
        <v/>
      </c>
      <c r="H109" s="62" t="str">
        <f t="shared" ref="H109" si="148">IF($D109="","",IF($E109="正規職員","-",F109*G109))</f>
        <v/>
      </c>
      <c r="I109" s="62">
        <f t="shared" si="109"/>
        <v>242333.33333333401</v>
      </c>
      <c r="J109" s="62" t="str">
        <f>IFERROR(IF($C109="-","",IF(D109="",0,IF(E109="正規職員",I109,MIN(H109:I109)))),0)</f>
        <v/>
      </c>
      <c r="K109" s="64" t="str">
        <f t="shared" si="144"/>
        <v/>
      </c>
      <c r="L109" s="65">
        <f t="shared" si="146"/>
        <v>12</v>
      </c>
      <c r="M109" s="65" t="e">
        <f>VLOOKUP($D109&amp;M$5,'②-2勤務時間数入力'!$D$7:$Q$106,$L109,FALSE)</f>
        <v>#N/A</v>
      </c>
      <c r="N109" s="65" t="str">
        <f t="shared" si="138"/>
        <v>×</v>
      </c>
      <c r="O109" s="65" t="e">
        <f>VLOOKUP($D109&amp;O$5,'②-2勤務時間数入力'!$D$7:$Q$106,$L109,FALSE)</f>
        <v>#N/A</v>
      </c>
      <c r="P109" s="65" t="str">
        <f t="shared" si="139"/>
        <v>×</v>
      </c>
      <c r="Q109" s="65" t="e">
        <f>VLOOKUP($D109&amp;Q$5,'②-2勤務時間数入力'!$D$7:$Q$106,$L109,FALSE)</f>
        <v>#N/A</v>
      </c>
      <c r="R109" s="65" t="str">
        <f t="shared" si="140"/>
        <v>×</v>
      </c>
      <c r="S109" s="65" t="e">
        <f>VLOOKUP($D109&amp;S$5,'②-2勤務時間数入力'!$D$7:$Q$106,$L109,FALSE)</f>
        <v>#N/A</v>
      </c>
      <c r="T109" s="65" t="str">
        <f t="shared" si="141"/>
        <v>×</v>
      </c>
    </row>
    <row r="110" spans="1:20" ht="13.5" customHeight="1">
      <c r="A110" s="839"/>
      <c r="B110" s="856"/>
      <c r="C110" s="735"/>
      <c r="D110" s="145" t="str">
        <f t="shared" si="142"/>
        <v/>
      </c>
      <c r="E110" s="63" t="str">
        <f t="shared" si="147"/>
        <v/>
      </c>
      <c r="F110" s="62" t="str">
        <f t="shared" si="143"/>
        <v/>
      </c>
      <c r="G110" s="146" t="str">
        <f t="shared" si="145"/>
        <v/>
      </c>
      <c r="H110" s="62" t="str">
        <f>IF($D110="","",IF($E110="正規職員","-",F110*G110))</f>
        <v/>
      </c>
      <c r="I110" s="62">
        <f t="shared" si="109"/>
        <v>242333.33333333401</v>
      </c>
      <c r="J110" s="62" t="str">
        <f>IFERROR(IF($C109="-","",IF(D110="","",IF(E110="正規職員",I110-J109,MIN(MIN(H110:I110),I109-J109)))),0)</f>
        <v/>
      </c>
      <c r="K110" s="64" t="str">
        <f t="shared" si="144"/>
        <v/>
      </c>
      <c r="L110" s="65">
        <f t="shared" si="146"/>
        <v>12</v>
      </c>
      <c r="M110" s="65" t="e">
        <f>VLOOKUP($D110&amp;M$5,'②-2勤務時間数入力'!$D$7:$Q$106,$L110,FALSE)</f>
        <v>#N/A</v>
      </c>
      <c r="N110" s="65" t="str">
        <f t="shared" si="138"/>
        <v>×</v>
      </c>
      <c r="O110" s="65" t="e">
        <f>VLOOKUP($D110&amp;O$5,'②-2勤務時間数入力'!$D$7:$Q$106,$L110,FALSE)</f>
        <v>#N/A</v>
      </c>
      <c r="P110" s="65" t="str">
        <f t="shared" si="139"/>
        <v>×</v>
      </c>
      <c r="Q110" s="65" t="e">
        <f>VLOOKUP($D110&amp;Q$5,'②-2勤務時間数入力'!$D$7:$Q$106,$L110,FALSE)</f>
        <v>#N/A</v>
      </c>
      <c r="R110" s="65" t="str">
        <f t="shared" si="140"/>
        <v>×</v>
      </c>
      <c r="S110" s="65" t="e">
        <f>VLOOKUP($D110&amp;S$5,'②-2勤務時間数入力'!$D$7:$Q$106,$L110,FALSE)</f>
        <v>#N/A</v>
      </c>
      <c r="T110" s="65" t="str">
        <f t="shared" si="141"/>
        <v>×</v>
      </c>
    </row>
    <row r="111" spans="1:20" ht="13.5" customHeight="1">
      <c r="A111" s="839"/>
      <c r="B111" s="856"/>
      <c r="C111" s="841" t="str">
        <f>IF(B105&gt;=1,IFERROR(INDEX($F$153:$G$158,MATCH(判定!AK18,$F$153:$F$158,0),2),"-"),"-")</f>
        <v>-</v>
      </c>
      <c r="D111" s="145" t="str">
        <f t="shared" si="142"/>
        <v/>
      </c>
      <c r="E111" s="63" t="str">
        <f t="shared" si="147"/>
        <v/>
      </c>
      <c r="F111" s="62" t="str">
        <f t="shared" si="143"/>
        <v/>
      </c>
      <c r="G111" s="146" t="str">
        <f t="shared" si="145"/>
        <v/>
      </c>
      <c r="H111" s="62" t="str">
        <f t="shared" ref="H111:H112" si="149">IF($D111="","",IF($E111="正規職員","-",F111*G111))</f>
        <v/>
      </c>
      <c r="I111" s="62">
        <f t="shared" si="109"/>
        <v>242333.33333333401</v>
      </c>
      <c r="J111" s="62" t="str">
        <f>IFERROR(IF($C111="-","",IF(D111="",0,IF(E111="正規職員",I111,MIN(H111:I111)))),0)</f>
        <v/>
      </c>
      <c r="K111" s="64" t="str">
        <f t="shared" si="144"/>
        <v/>
      </c>
      <c r="L111" s="65">
        <f t="shared" si="146"/>
        <v>12</v>
      </c>
      <c r="M111" s="65" t="e">
        <f>VLOOKUP($D111&amp;M$5,'②-2勤務時間数入力'!$D$7:$Q$106,$L111,FALSE)</f>
        <v>#N/A</v>
      </c>
      <c r="N111" s="65" t="str">
        <f t="shared" si="138"/>
        <v>×</v>
      </c>
      <c r="O111" s="65" t="e">
        <f>VLOOKUP($D111&amp;O$5,'②-2勤務時間数入力'!$D$7:$Q$106,$L111,FALSE)</f>
        <v>#N/A</v>
      </c>
      <c r="P111" s="65" t="str">
        <f t="shared" si="139"/>
        <v>×</v>
      </c>
      <c r="Q111" s="65" t="e">
        <f>VLOOKUP($D111&amp;Q$5,'②-2勤務時間数入力'!$D$7:$Q$106,$L111,FALSE)</f>
        <v>#N/A</v>
      </c>
      <c r="R111" s="65" t="str">
        <f t="shared" si="140"/>
        <v>×</v>
      </c>
      <c r="S111" s="65" t="e">
        <f>VLOOKUP($D111&amp;S$5,'②-2勤務時間数入力'!$D$7:$Q$106,$L111,FALSE)</f>
        <v>#N/A</v>
      </c>
      <c r="T111" s="65" t="str">
        <f t="shared" si="141"/>
        <v>×</v>
      </c>
    </row>
    <row r="112" spans="1:20" ht="13.5" customHeight="1">
      <c r="A112" s="839"/>
      <c r="B112" s="856"/>
      <c r="C112" s="735"/>
      <c r="D112" s="145" t="str">
        <f>IF(D101="","",D101)</f>
        <v/>
      </c>
      <c r="E112" s="63" t="str">
        <f t="shared" si="147"/>
        <v/>
      </c>
      <c r="F112" s="62" t="str">
        <f t="shared" si="143"/>
        <v/>
      </c>
      <c r="G112" s="146" t="str">
        <f t="shared" si="145"/>
        <v/>
      </c>
      <c r="H112" s="62" t="str">
        <f t="shared" si="149"/>
        <v/>
      </c>
      <c r="I112" s="62">
        <f t="shared" si="109"/>
        <v>242333.33333333401</v>
      </c>
      <c r="J112" s="62" t="str">
        <f>IFERROR(IF($C111="-","",IF(D112="","",IF(E112="正規職員",I112-J111,MIN(MIN(H112:I112),I111-J111)))),0)</f>
        <v/>
      </c>
      <c r="K112" s="64" t="str">
        <f t="shared" si="144"/>
        <v/>
      </c>
      <c r="L112" s="65">
        <f>L106</f>
        <v>12</v>
      </c>
      <c r="M112" s="65" t="e">
        <f>VLOOKUP($D112&amp;M$5,'②-2勤務時間数入力'!$D$7:$Q$106,$L112,FALSE)</f>
        <v>#N/A</v>
      </c>
      <c r="N112" s="65" t="str">
        <f t="shared" si="138"/>
        <v>×</v>
      </c>
      <c r="O112" s="65" t="e">
        <f>VLOOKUP($D112&amp;O$5,'②-2勤務時間数入力'!$D$7:$Q$106,$L112,FALSE)</f>
        <v>#N/A</v>
      </c>
      <c r="P112" s="65" t="str">
        <f t="shared" si="139"/>
        <v>×</v>
      </c>
      <c r="Q112" s="65" t="e">
        <f>VLOOKUP($D112&amp;Q$5,'②-2勤務時間数入力'!$D$7:$Q$106,$L112,FALSE)</f>
        <v>#N/A</v>
      </c>
      <c r="R112" s="65" t="str">
        <f t="shared" si="140"/>
        <v>×</v>
      </c>
      <c r="S112" s="65" t="e">
        <f>VLOOKUP($D112&amp;S$5,'②-2勤務時間数入力'!$D$7:$Q$106,$L112,FALSE)</f>
        <v>#N/A</v>
      </c>
      <c r="T112" s="65" t="str">
        <f t="shared" si="141"/>
        <v>×</v>
      </c>
    </row>
    <row r="113" spans="1:20" ht="13.5" customHeight="1">
      <c r="A113" s="839"/>
      <c r="B113" s="856"/>
      <c r="C113" s="854" t="str">
        <f>IF(B105&gt;=1,IFERROR(INDEX($F$153:$G$158,MATCH(判定!AL18,$F$153:$F$158,0),2),"-"),"-")</f>
        <v>-</v>
      </c>
      <c r="D113" s="145" t="str">
        <f t="shared" si="142"/>
        <v/>
      </c>
      <c r="E113" s="63" t="str">
        <f t="shared" si="147"/>
        <v/>
      </c>
      <c r="F113" s="62" t="str">
        <f t="shared" si="143"/>
        <v/>
      </c>
      <c r="G113" s="146" t="str">
        <f t="shared" si="145"/>
        <v/>
      </c>
      <c r="H113" s="62" t="str">
        <f>IF($D113="","",IF($E113="正規職員","-",F113*G113))</f>
        <v/>
      </c>
      <c r="I113" s="62">
        <f t="shared" si="109"/>
        <v>242333.33333333401</v>
      </c>
      <c r="J113" s="62" t="str">
        <f>IFERROR(IF($C113="-","",IF(D113="",0,IF(E113="正規職員",I113,MIN(H113:I113)))),0)</f>
        <v/>
      </c>
      <c r="K113" s="64" t="str">
        <f t="shared" si="144"/>
        <v/>
      </c>
      <c r="L113" s="65">
        <f t="shared" ref="L113:L114" si="150">L112</f>
        <v>12</v>
      </c>
      <c r="M113" s="65" t="e">
        <f>VLOOKUP($D113&amp;M$5,'②-2勤務時間数入力'!$D$7:$Q$106,$L113,FALSE)</f>
        <v>#N/A</v>
      </c>
      <c r="N113" s="65" t="str">
        <f t="shared" si="138"/>
        <v>×</v>
      </c>
      <c r="O113" s="65" t="e">
        <f>VLOOKUP($D113&amp;O$5,'②-2勤務時間数入力'!$D$7:$Q$106,$L113,FALSE)</f>
        <v>#N/A</v>
      </c>
      <c r="P113" s="65" t="str">
        <f t="shared" si="139"/>
        <v>×</v>
      </c>
      <c r="Q113" s="65" t="e">
        <f>VLOOKUP($D113&amp;Q$5,'②-2勤務時間数入力'!$D$7:$Q$106,$L113,FALSE)</f>
        <v>#N/A</v>
      </c>
      <c r="R113" s="65" t="str">
        <f t="shared" si="140"/>
        <v>×</v>
      </c>
      <c r="S113" s="65" t="e">
        <f>VLOOKUP($D113&amp;S$5,'②-2勤務時間数入力'!$D$7:$Q$106,$L113,FALSE)</f>
        <v>#N/A</v>
      </c>
      <c r="T113" s="65" t="str">
        <f t="shared" si="141"/>
        <v>×</v>
      </c>
    </row>
    <row r="114" spans="1:20" ht="13.5" customHeight="1">
      <c r="A114" s="853"/>
      <c r="B114" s="856"/>
      <c r="C114" s="726"/>
      <c r="D114" s="145" t="str">
        <f t="shared" si="142"/>
        <v/>
      </c>
      <c r="E114" s="63" t="str">
        <f t="shared" si="147"/>
        <v/>
      </c>
      <c r="F114" s="62" t="str">
        <f t="shared" si="143"/>
        <v/>
      </c>
      <c r="G114" s="146" t="str">
        <f t="shared" si="145"/>
        <v/>
      </c>
      <c r="H114" s="62" t="str">
        <f>IF($D114="","",IF($E114="正規職員","-",F114*G114))</f>
        <v/>
      </c>
      <c r="I114" s="62">
        <f t="shared" si="109"/>
        <v>242333.33333333401</v>
      </c>
      <c r="J114" s="62" t="str">
        <f>IFERROR(IF($C113="-","",IF(D114="","",IF(E114="正規職員",I114-J113,MIN(MIN(H114:I114),I113-J113)))),0)</f>
        <v/>
      </c>
      <c r="K114" s="64" t="str">
        <f t="shared" si="144"/>
        <v/>
      </c>
      <c r="L114" s="65">
        <f t="shared" si="150"/>
        <v>12</v>
      </c>
      <c r="M114" s="65" t="e">
        <f>VLOOKUP($D114&amp;M$5,'②-2勤務時間数入力'!$D$7:$Q$106,$L114,FALSE)</f>
        <v>#N/A</v>
      </c>
      <c r="N114" s="65" t="str">
        <f t="shared" si="138"/>
        <v>×</v>
      </c>
      <c r="O114" s="65" t="e">
        <f>VLOOKUP($D114&amp;O$5,'②-2勤務時間数入力'!$D$7:$Q$106,$L114,FALSE)</f>
        <v>#N/A</v>
      </c>
      <c r="P114" s="65" t="str">
        <f t="shared" si="139"/>
        <v>×</v>
      </c>
      <c r="Q114" s="65" t="e">
        <f>VLOOKUP($D114&amp;Q$5,'②-2勤務時間数入力'!$D$7:$Q$106,$L114,FALSE)</f>
        <v>#N/A</v>
      </c>
      <c r="R114" s="65" t="str">
        <f t="shared" si="140"/>
        <v>×</v>
      </c>
      <c r="S114" s="65" t="e">
        <f>VLOOKUP($D114&amp;S$5,'②-2勤務時間数入力'!$D$7:$Q$106,$L114,FALSE)</f>
        <v>#N/A</v>
      </c>
      <c r="T114" s="65" t="str">
        <f t="shared" si="141"/>
        <v>×</v>
      </c>
    </row>
    <row r="115" spans="1:20" ht="13.5" customHeight="1">
      <c r="A115" s="821"/>
      <c r="B115" s="857"/>
      <c r="C115" s="258"/>
      <c r="D115" s="1" t="s">
        <v>302</v>
      </c>
      <c r="E115" s="63" t="s">
        <v>293</v>
      </c>
      <c r="F115" s="70"/>
      <c r="G115" s="63" t="s">
        <v>293</v>
      </c>
      <c r="H115" s="63" t="s">
        <v>293</v>
      </c>
      <c r="I115" s="63" t="s">
        <v>293</v>
      </c>
      <c r="J115" s="62" t="str">
        <f>IFERROR(IF(J105="","",MIN(SUM(J105:J114),(B105*I105))),0)</f>
        <v/>
      </c>
      <c r="K115" s="64"/>
      <c r="L115" s="65"/>
      <c r="M115" s="65"/>
      <c r="N115" s="65"/>
      <c r="O115" s="65"/>
      <c r="P115" s="65"/>
      <c r="Q115" s="65"/>
      <c r="R115" s="65"/>
      <c r="S115" s="65"/>
      <c r="T115" s="65"/>
    </row>
    <row r="116" spans="1:20" ht="13.5" customHeight="1">
      <c r="A116" s="820">
        <v>2</v>
      </c>
      <c r="B116" s="855" t="str">
        <f>IF(判定!AY19&gt;=1,判定!AY19,"-")</f>
        <v>-</v>
      </c>
      <c r="C116" s="841" t="str">
        <f>IF(B116&gt;=1,IFERROR(INDEX($F$153:$G$158,MATCH(判定!AH19,$F$153:$F$158,0),2),"-"),"-")</f>
        <v>-</v>
      </c>
      <c r="D116" s="145" t="str">
        <f>IF(D105="","",D105)</f>
        <v/>
      </c>
      <c r="E116" s="63" t="str">
        <f>IF(D116="","",IF(N116="○",M$5,IF(P116="○",O$5,IF(R116="○",Q$5,IF(T116="○",S$5,"ERROR")))))</f>
        <v/>
      </c>
      <c r="F116" s="62" t="str">
        <f>IF(D116="","",IF(N116="○",M116,IF(P116="○",O116,IF(R116="○",Q116,IF(T116="○",S116,"ERROR")))))</f>
        <v/>
      </c>
      <c r="G116" s="146" t="str">
        <f>IF($D116="","",IF($E116="正規職員","-","賃金単価を記載"))</f>
        <v/>
      </c>
      <c r="H116" s="62" t="str">
        <f t="shared" ref="H116:H118" si="151">IF($D116="","",IF($E116="正規職員","-",F116*G116))</f>
        <v/>
      </c>
      <c r="I116" s="62">
        <f t="shared" si="109"/>
        <v>242333.33333333401</v>
      </c>
      <c r="J116" s="62" t="str">
        <f>IFERROR(IF($C116="-","",IF(D116="",0,IF(E116="正規職員",I116,MIN(H116:I116)))),0)</f>
        <v/>
      </c>
      <c r="K116" s="64" t="str">
        <f>IF(D116="","",IF(OR(COUNTIFS(D116,"*要配慮*")=1,COUNTIFS(D116,"*医療的ケア*")=1),"○","エラー"))</f>
        <v/>
      </c>
      <c r="L116" s="65">
        <f>L105+1</f>
        <v>13</v>
      </c>
      <c r="M116" s="65" t="e">
        <f>VLOOKUP($D116&amp;M$5,'②-2勤務時間数入力'!$D$7:$Q$106,$L116,FALSE)</f>
        <v>#N/A</v>
      </c>
      <c r="N116" s="65" t="str">
        <f t="shared" ref="N116:N125" si="152">IF(ISERROR(M116),"×",IF(M116="-","×","○"))</f>
        <v>×</v>
      </c>
      <c r="O116" s="65" t="e">
        <f>VLOOKUP($D116&amp;O$5,'②-2勤務時間数入力'!$D$7:$Q$106,$L116,FALSE)</f>
        <v>#N/A</v>
      </c>
      <c r="P116" s="65" t="str">
        <f t="shared" ref="P116:P125" si="153">IF(ISERROR(O116),"×",IF(O116="-","×","○"))</f>
        <v>×</v>
      </c>
      <c r="Q116" s="65" t="e">
        <f>VLOOKUP($D116&amp;Q$5,'②-2勤務時間数入力'!$D$7:$Q$106,$L116,FALSE)</f>
        <v>#N/A</v>
      </c>
      <c r="R116" s="65" t="str">
        <f t="shared" ref="R116:R125" si="154">IF(ISERROR(Q116),"×",IF(Q116="-","×","○"))</f>
        <v>×</v>
      </c>
      <c r="S116" s="65" t="e">
        <f>VLOOKUP($D116&amp;S$5,'②-2勤務時間数入力'!$D$7:$Q$106,$L116,FALSE)</f>
        <v>#N/A</v>
      </c>
      <c r="T116" s="65" t="str">
        <f t="shared" ref="T116:T125" si="155">IF(ISERROR(S116),"×",IF(S116="-","×","○"))</f>
        <v>×</v>
      </c>
    </row>
    <row r="117" spans="1:20" ht="13.5" customHeight="1">
      <c r="A117" s="839"/>
      <c r="B117" s="856"/>
      <c r="C117" s="735"/>
      <c r="D117" s="145" t="str">
        <f t="shared" ref="D117:D125" si="156">IF(D106="","",D106)</f>
        <v/>
      </c>
      <c r="E117" s="63" t="str">
        <f>IF(D117="","",IF(N117="○",M$5,IF(P117="○",O$5,IF(R117="○",Q$5,IF(T117="○",S$5,"ERROR")))))</f>
        <v/>
      </c>
      <c r="F117" s="62" t="str">
        <f t="shared" ref="F117:F125" si="157">IF(D117="","",IF(N117="○",M117,IF(P117="○",O117,IF(R117="○",Q117,IF(T117="○",S117,"ERROR")))))</f>
        <v/>
      </c>
      <c r="G117" s="146" t="str">
        <f>IF($D117="","",IF($E117="正規職員","-","賃金単価を記載"))</f>
        <v/>
      </c>
      <c r="H117" s="62" t="str">
        <f t="shared" si="151"/>
        <v/>
      </c>
      <c r="I117" s="62">
        <f t="shared" si="109"/>
        <v>242333.33333333401</v>
      </c>
      <c r="J117" s="62" t="str">
        <f>IFERROR(IF($C116="-","",IF(D117="","",IF(E117="正規職員",I117-J116,MIN(MIN(H117:I117),I116-J116)))),0)</f>
        <v/>
      </c>
      <c r="K117" s="64" t="str">
        <f t="shared" ref="K117:K125" si="158">IF(D117="","",IF(OR(COUNTIFS(D117,"*要配慮*")=1,COUNTIFS(D117,"*医療的ケア*")=1),"○","エラー"))</f>
        <v/>
      </c>
      <c r="L117" s="65">
        <f>L116</f>
        <v>13</v>
      </c>
      <c r="M117" s="65" t="e">
        <f>VLOOKUP($D117&amp;M$5,'②-2勤務時間数入力'!$D$7:$Q$106,$L117,FALSE)</f>
        <v>#N/A</v>
      </c>
      <c r="N117" s="65" t="str">
        <f t="shared" si="152"/>
        <v>×</v>
      </c>
      <c r="O117" s="65" t="e">
        <f>VLOOKUP($D117&amp;O$5,'②-2勤務時間数入力'!$D$7:$Q$106,$L117,FALSE)</f>
        <v>#N/A</v>
      </c>
      <c r="P117" s="65" t="str">
        <f t="shared" si="153"/>
        <v>×</v>
      </c>
      <c r="Q117" s="65" t="e">
        <f>VLOOKUP($D117&amp;Q$5,'②-2勤務時間数入力'!$D$7:$Q$106,$L117,FALSE)</f>
        <v>#N/A</v>
      </c>
      <c r="R117" s="65" t="str">
        <f t="shared" si="154"/>
        <v>×</v>
      </c>
      <c r="S117" s="65" t="e">
        <f>VLOOKUP($D117&amp;S$5,'②-2勤務時間数入力'!$D$7:$Q$106,$L117,FALSE)</f>
        <v>#N/A</v>
      </c>
      <c r="T117" s="65" t="str">
        <f t="shared" si="155"/>
        <v>×</v>
      </c>
    </row>
    <row r="118" spans="1:20" ht="13.5" customHeight="1">
      <c r="A118" s="839"/>
      <c r="B118" s="856"/>
      <c r="C118" s="841" t="str">
        <f>IF(B116&gt;=1,IFERROR(INDEX($F$153:$G$158,MATCH(判定!AI19,$F$153:$F$158,0),2),"-"),"-")</f>
        <v>-</v>
      </c>
      <c r="D118" s="145" t="str">
        <f t="shared" si="156"/>
        <v/>
      </c>
      <c r="E118" s="63" t="str">
        <f>IF(D118="","",IF(N118="○",M$5,IF(P118="○",O$5,IF(R118="○",Q$5,IF(T118="○",S$5,"ERROR")))))</f>
        <v/>
      </c>
      <c r="F118" s="62" t="str">
        <f t="shared" si="157"/>
        <v/>
      </c>
      <c r="G118" s="146" t="str">
        <f t="shared" ref="G118:G125" si="159">IF($D118="","",IF($E118="正規職員","-","賃金単価を記載"))</f>
        <v/>
      </c>
      <c r="H118" s="62" t="str">
        <f t="shared" si="151"/>
        <v/>
      </c>
      <c r="I118" s="62">
        <f t="shared" si="109"/>
        <v>242333.33333333401</v>
      </c>
      <c r="J118" s="62" t="str">
        <f>IFERROR(IF($C118="-","",IF(D118="",0,IF(E118="正規職員",I118,MIN(H118:I118)))),0)</f>
        <v/>
      </c>
      <c r="K118" s="64" t="str">
        <f t="shared" si="158"/>
        <v/>
      </c>
      <c r="L118" s="65">
        <f t="shared" ref="L118:L122" si="160">L117</f>
        <v>13</v>
      </c>
      <c r="M118" s="65" t="e">
        <f>VLOOKUP($D118&amp;M$5,'②-2勤務時間数入力'!$D$7:$Q$106,$L118,FALSE)</f>
        <v>#N/A</v>
      </c>
      <c r="N118" s="65" t="str">
        <f t="shared" si="152"/>
        <v>×</v>
      </c>
      <c r="O118" s="65" t="e">
        <f>VLOOKUP($D118&amp;O$5,'②-2勤務時間数入力'!$D$7:$Q$106,$L118,FALSE)</f>
        <v>#N/A</v>
      </c>
      <c r="P118" s="65" t="str">
        <f t="shared" si="153"/>
        <v>×</v>
      </c>
      <c r="Q118" s="65" t="e">
        <f>VLOOKUP($D118&amp;Q$5,'②-2勤務時間数入力'!$D$7:$Q$106,$L118,FALSE)</f>
        <v>#N/A</v>
      </c>
      <c r="R118" s="65" t="str">
        <f t="shared" si="154"/>
        <v>×</v>
      </c>
      <c r="S118" s="65" t="e">
        <f>VLOOKUP($D118&amp;S$5,'②-2勤務時間数入力'!$D$7:$Q$106,$L118,FALSE)</f>
        <v>#N/A</v>
      </c>
      <c r="T118" s="65" t="str">
        <f t="shared" si="155"/>
        <v>×</v>
      </c>
    </row>
    <row r="119" spans="1:20" ht="13.5" customHeight="1">
      <c r="A119" s="839"/>
      <c r="B119" s="856"/>
      <c r="C119" s="843"/>
      <c r="D119" s="145" t="str">
        <f t="shared" si="156"/>
        <v/>
      </c>
      <c r="E119" s="63" t="str">
        <f t="shared" ref="E119:E125" si="161">IF(D119="","",IF(N119="○",M$5,IF(P119="○",O$5,IF(R119="○",Q$5,IF(T119="○",S$5,"ERROR")))))</f>
        <v/>
      </c>
      <c r="F119" s="62" t="str">
        <f t="shared" si="157"/>
        <v/>
      </c>
      <c r="G119" s="146" t="str">
        <f t="shared" si="159"/>
        <v/>
      </c>
      <c r="H119" s="62" t="str">
        <f>IF($D119="","",IF($E119="正規職員","-",F119*G119))</f>
        <v/>
      </c>
      <c r="I119" s="62">
        <f t="shared" si="109"/>
        <v>242333.33333333401</v>
      </c>
      <c r="J119" s="62" t="str">
        <f>IFERROR(IF($C118="-","",IF(D119="","",IF(E119="正規職員",I119-J118,MIN(MIN(H119:I119),I118-J118)))),0)</f>
        <v/>
      </c>
      <c r="K119" s="64" t="str">
        <f t="shared" si="158"/>
        <v/>
      </c>
      <c r="L119" s="65">
        <f t="shared" si="160"/>
        <v>13</v>
      </c>
      <c r="M119" s="65" t="e">
        <f>VLOOKUP($D119&amp;M$5,'②-2勤務時間数入力'!$D$7:$Q$106,$L119,FALSE)</f>
        <v>#N/A</v>
      </c>
      <c r="N119" s="65" t="str">
        <f t="shared" si="152"/>
        <v>×</v>
      </c>
      <c r="O119" s="65" t="e">
        <f>VLOOKUP($D119&amp;O$5,'②-2勤務時間数入力'!$D$7:$Q$106,$L119,FALSE)</f>
        <v>#N/A</v>
      </c>
      <c r="P119" s="65" t="str">
        <f t="shared" si="153"/>
        <v>×</v>
      </c>
      <c r="Q119" s="65" t="e">
        <f>VLOOKUP($D119&amp;Q$5,'②-2勤務時間数入力'!$D$7:$Q$106,$L119,FALSE)</f>
        <v>#N/A</v>
      </c>
      <c r="R119" s="65" t="str">
        <f t="shared" si="154"/>
        <v>×</v>
      </c>
      <c r="S119" s="65" t="e">
        <f>VLOOKUP($D119&amp;S$5,'②-2勤務時間数入力'!$D$7:$Q$106,$L119,FALSE)</f>
        <v>#N/A</v>
      </c>
      <c r="T119" s="65" t="str">
        <f t="shared" si="155"/>
        <v>×</v>
      </c>
    </row>
    <row r="120" spans="1:20" ht="13.5" customHeight="1">
      <c r="A120" s="839"/>
      <c r="B120" s="856"/>
      <c r="C120" s="841" t="str">
        <f>IF(B116&gt;=1,IFERROR(INDEX($F$153:$G$158,MATCH(判定!AJ19,$F$153:$F$158,0),2),"-"),"-")</f>
        <v>-</v>
      </c>
      <c r="D120" s="145" t="str">
        <f t="shared" si="156"/>
        <v/>
      </c>
      <c r="E120" s="63" t="str">
        <f t="shared" si="161"/>
        <v/>
      </c>
      <c r="F120" s="62" t="str">
        <f t="shared" si="157"/>
        <v/>
      </c>
      <c r="G120" s="146" t="str">
        <f t="shared" si="159"/>
        <v/>
      </c>
      <c r="H120" s="62" t="str">
        <f t="shared" ref="H120" si="162">IF($D120="","",IF($E120="正規職員","-",F120*G120))</f>
        <v/>
      </c>
      <c r="I120" s="62">
        <f t="shared" si="109"/>
        <v>242333.33333333401</v>
      </c>
      <c r="J120" s="62" t="str">
        <f>IFERROR(IF($C120="-","",IF(D120="",0,IF(E120="正規職員",I120,MIN(H120:I120)))),0)</f>
        <v/>
      </c>
      <c r="K120" s="64" t="str">
        <f t="shared" si="158"/>
        <v/>
      </c>
      <c r="L120" s="65">
        <f t="shared" si="160"/>
        <v>13</v>
      </c>
      <c r="M120" s="65" t="e">
        <f>VLOOKUP($D120&amp;M$5,'②-2勤務時間数入力'!$D$7:$Q$106,$L120,FALSE)</f>
        <v>#N/A</v>
      </c>
      <c r="N120" s="65" t="str">
        <f t="shared" si="152"/>
        <v>×</v>
      </c>
      <c r="O120" s="65" t="e">
        <f>VLOOKUP($D120&amp;O$5,'②-2勤務時間数入力'!$D$7:$Q$106,$L120,FALSE)</f>
        <v>#N/A</v>
      </c>
      <c r="P120" s="65" t="str">
        <f t="shared" si="153"/>
        <v>×</v>
      </c>
      <c r="Q120" s="65" t="e">
        <f>VLOOKUP($D120&amp;Q$5,'②-2勤務時間数入力'!$D$7:$Q$106,$L120,FALSE)</f>
        <v>#N/A</v>
      </c>
      <c r="R120" s="65" t="str">
        <f t="shared" si="154"/>
        <v>×</v>
      </c>
      <c r="S120" s="65" t="e">
        <f>VLOOKUP($D120&amp;S$5,'②-2勤務時間数入力'!$D$7:$Q$106,$L120,FALSE)</f>
        <v>#N/A</v>
      </c>
      <c r="T120" s="65" t="str">
        <f t="shared" si="155"/>
        <v>×</v>
      </c>
    </row>
    <row r="121" spans="1:20" ht="13.5" customHeight="1">
      <c r="A121" s="839"/>
      <c r="B121" s="856"/>
      <c r="C121" s="735"/>
      <c r="D121" s="145" t="str">
        <f t="shared" si="156"/>
        <v/>
      </c>
      <c r="E121" s="63" t="str">
        <f t="shared" si="161"/>
        <v/>
      </c>
      <c r="F121" s="62" t="str">
        <f t="shared" si="157"/>
        <v/>
      </c>
      <c r="G121" s="146" t="str">
        <f t="shared" si="159"/>
        <v/>
      </c>
      <c r="H121" s="62" t="str">
        <f>IF($D121="","",IF($E121="正規職員","-",F121*G121))</f>
        <v/>
      </c>
      <c r="I121" s="62">
        <f t="shared" si="109"/>
        <v>242333.33333333401</v>
      </c>
      <c r="J121" s="62" t="str">
        <f>IFERROR(IF($C120="-","",IF(D121="","",IF(E121="正規職員",I121-J120,MIN(MIN(H121:I121),I120-J120)))),0)</f>
        <v/>
      </c>
      <c r="K121" s="64" t="str">
        <f t="shared" si="158"/>
        <v/>
      </c>
      <c r="L121" s="65">
        <f t="shared" si="160"/>
        <v>13</v>
      </c>
      <c r="M121" s="65" t="e">
        <f>VLOOKUP($D121&amp;M$5,'②-2勤務時間数入力'!$D$7:$Q$106,$L121,FALSE)</f>
        <v>#N/A</v>
      </c>
      <c r="N121" s="65" t="str">
        <f t="shared" si="152"/>
        <v>×</v>
      </c>
      <c r="O121" s="65" t="e">
        <f>VLOOKUP($D121&amp;O$5,'②-2勤務時間数入力'!$D$7:$Q$106,$L121,FALSE)</f>
        <v>#N/A</v>
      </c>
      <c r="P121" s="65" t="str">
        <f t="shared" si="153"/>
        <v>×</v>
      </c>
      <c r="Q121" s="65" t="e">
        <f>VLOOKUP($D121&amp;Q$5,'②-2勤務時間数入力'!$D$7:$Q$106,$L121,FALSE)</f>
        <v>#N/A</v>
      </c>
      <c r="R121" s="65" t="str">
        <f t="shared" si="154"/>
        <v>×</v>
      </c>
      <c r="S121" s="65" t="e">
        <f>VLOOKUP($D121&amp;S$5,'②-2勤務時間数入力'!$D$7:$Q$106,$L121,FALSE)</f>
        <v>#N/A</v>
      </c>
      <c r="T121" s="65" t="str">
        <f t="shared" si="155"/>
        <v>×</v>
      </c>
    </row>
    <row r="122" spans="1:20" ht="13.5" customHeight="1">
      <c r="A122" s="839"/>
      <c r="B122" s="856"/>
      <c r="C122" s="841" t="str">
        <f>IF(B116&gt;=1,IFERROR(INDEX($F$153:$G$158,MATCH(判定!AK19,$F$153:$F$158,0),2),"-"),"-")</f>
        <v>-</v>
      </c>
      <c r="D122" s="145" t="str">
        <f t="shared" si="156"/>
        <v/>
      </c>
      <c r="E122" s="63" t="str">
        <f t="shared" si="161"/>
        <v/>
      </c>
      <c r="F122" s="62" t="str">
        <f t="shared" si="157"/>
        <v/>
      </c>
      <c r="G122" s="146" t="str">
        <f t="shared" si="159"/>
        <v/>
      </c>
      <c r="H122" s="62" t="str">
        <f t="shared" ref="H122:H123" si="163">IF($D122="","",IF($E122="正規職員","-",F122*G122))</f>
        <v/>
      </c>
      <c r="I122" s="62">
        <f t="shared" si="109"/>
        <v>242333.33333333401</v>
      </c>
      <c r="J122" s="62" t="str">
        <f>IFERROR(IF($C122="-","",IF(D122="",0,IF(E122="正規職員",I122,MIN(H122:I122)))),0)</f>
        <v/>
      </c>
      <c r="K122" s="64" t="str">
        <f t="shared" si="158"/>
        <v/>
      </c>
      <c r="L122" s="65">
        <f t="shared" si="160"/>
        <v>13</v>
      </c>
      <c r="M122" s="65" t="e">
        <f>VLOOKUP($D122&amp;M$5,'②-2勤務時間数入力'!$D$7:$Q$106,$L122,FALSE)</f>
        <v>#N/A</v>
      </c>
      <c r="N122" s="65" t="str">
        <f t="shared" si="152"/>
        <v>×</v>
      </c>
      <c r="O122" s="65" t="e">
        <f>VLOOKUP($D122&amp;O$5,'②-2勤務時間数入力'!$D$7:$Q$106,$L122,FALSE)</f>
        <v>#N/A</v>
      </c>
      <c r="P122" s="65" t="str">
        <f t="shared" si="153"/>
        <v>×</v>
      </c>
      <c r="Q122" s="65" t="e">
        <f>VLOOKUP($D122&amp;Q$5,'②-2勤務時間数入力'!$D$7:$Q$106,$L122,FALSE)</f>
        <v>#N/A</v>
      </c>
      <c r="R122" s="65" t="str">
        <f t="shared" si="154"/>
        <v>×</v>
      </c>
      <c r="S122" s="65" t="e">
        <f>VLOOKUP($D122&amp;S$5,'②-2勤務時間数入力'!$D$7:$Q$106,$L122,FALSE)</f>
        <v>#N/A</v>
      </c>
      <c r="T122" s="65" t="str">
        <f t="shared" si="155"/>
        <v>×</v>
      </c>
    </row>
    <row r="123" spans="1:20" ht="13.5" customHeight="1">
      <c r="A123" s="839"/>
      <c r="B123" s="856"/>
      <c r="C123" s="735"/>
      <c r="D123" s="145" t="str">
        <f t="shared" si="156"/>
        <v/>
      </c>
      <c r="E123" s="63" t="str">
        <f t="shared" si="161"/>
        <v/>
      </c>
      <c r="F123" s="62" t="str">
        <f t="shared" si="157"/>
        <v/>
      </c>
      <c r="G123" s="146" t="str">
        <f t="shared" si="159"/>
        <v/>
      </c>
      <c r="H123" s="62" t="str">
        <f t="shared" si="163"/>
        <v/>
      </c>
      <c r="I123" s="62">
        <f t="shared" si="109"/>
        <v>242333.33333333401</v>
      </c>
      <c r="J123" s="62" t="str">
        <f>IFERROR(IF($C122="-","",IF(D123="","",IF(E123="正規職員",I123-J122,MIN(MIN(H123:I123),I122-J122)))),0)</f>
        <v/>
      </c>
      <c r="K123" s="64" t="str">
        <f t="shared" si="158"/>
        <v/>
      </c>
      <c r="L123" s="65">
        <f>L117</f>
        <v>13</v>
      </c>
      <c r="M123" s="65" t="e">
        <f>VLOOKUP($D123&amp;M$5,'②-2勤務時間数入力'!$D$7:$Q$106,$L123,FALSE)</f>
        <v>#N/A</v>
      </c>
      <c r="N123" s="65" t="str">
        <f t="shared" si="152"/>
        <v>×</v>
      </c>
      <c r="O123" s="65" t="e">
        <f>VLOOKUP($D123&amp;O$5,'②-2勤務時間数入力'!$D$7:$Q$106,$L123,FALSE)</f>
        <v>#N/A</v>
      </c>
      <c r="P123" s="65" t="str">
        <f t="shared" si="153"/>
        <v>×</v>
      </c>
      <c r="Q123" s="65" t="e">
        <f>VLOOKUP($D123&amp;Q$5,'②-2勤務時間数入力'!$D$7:$Q$106,$L123,FALSE)</f>
        <v>#N/A</v>
      </c>
      <c r="R123" s="65" t="str">
        <f t="shared" si="154"/>
        <v>×</v>
      </c>
      <c r="S123" s="65" t="e">
        <f>VLOOKUP($D123&amp;S$5,'②-2勤務時間数入力'!$D$7:$Q$106,$L123,FALSE)</f>
        <v>#N/A</v>
      </c>
      <c r="T123" s="65" t="str">
        <f t="shared" si="155"/>
        <v>×</v>
      </c>
    </row>
    <row r="124" spans="1:20" ht="13.5" customHeight="1">
      <c r="A124" s="839"/>
      <c r="B124" s="856"/>
      <c r="C124" s="854" t="str">
        <f>IF(B116&gt;=1,IFERROR(INDEX($F$153:$G$158,MATCH(判定!AL19,$F$153:$F$158,0),2),"-"),"-")</f>
        <v>-</v>
      </c>
      <c r="D124" s="145" t="str">
        <f t="shared" si="156"/>
        <v/>
      </c>
      <c r="E124" s="63" t="str">
        <f t="shared" si="161"/>
        <v/>
      </c>
      <c r="F124" s="62" t="str">
        <f t="shared" si="157"/>
        <v/>
      </c>
      <c r="G124" s="146" t="str">
        <f t="shared" si="159"/>
        <v/>
      </c>
      <c r="H124" s="62" t="str">
        <f>IF($D124="","",IF($E124="正規職員","-",F124*G124))</f>
        <v/>
      </c>
      <c r="I124" s="62">
        <f t="shared" si="109"/>
        <v>242333.33333333401</v>
      </c>
      <c r="J124" s="62" t="str">
        <f>IFERROR(IF($C124="-","",IF(D124="",0,IF(E124="正規職員",I124,MIN(H124:I124)))),0)</f>
        <v/>
      </c>
      <c r="K124" s="64" t="str">
        <f t="shared" si="158"/>
        <v/>
      </c>
      <c r="L124" s="65">
        <f t="shared" ref="L124:L125" si="164">L123</f>
        <v>13</v>
      </c>
      <c r="M124" s="65" t="e">
        <f>VLOOKUP($D124&amp;M$5,'②-2勤務時間数入力'!$D$7:$Q$106,$L124,FALSE)</f>
        <v>#N/A</v>
      </c>
      <c r="N124" s="65" t="str">
        <f t="shared" si="152"/>
        <v>×</v>
      </c>
      <c r="O124" s="65" t="e">
        <f>VLOOKUP($D124&amp;O$5,'②-2勤務時間数入力'!$D$7:$Q$106,$L124,FALSE)</f>
        <v>#N/A</v>
      </c>
      <c r="P124" s="65" t="str">
        <f t="shared" si="153"/>
        <v>×</v>
      </c>
      <c r="Q124" s="65" t="e">
        <f>VLOOKUP($D124&amp;Q$5,'②-2勤務時間数入力'!$D$7:$Q$106,$L124,FALSE)</f>
        <v>#N/A</v>
      </c>
      <c r="R124" s="65" t="str">
        <f t="shared" si="154"/>
        <v>×</v>
      </c>
      <c r="S124" s="65" t="e">
        <f>VLOOKUP($D124&amp;S$5,'②-2勤務時間数入力'!$D$7:$Q$106,$L124,FALSE)</f>
        <v>#N/A</v>
      </c>
      <c r="T124" s="65" t="str">
        <f t="shared" si="155"/>
        <v>×</v>
      </c>
    </row>
    <row r="125" spans="1:20" ht="13.5" customHeight="1">
      <c r="A125" s="853"/>
      <c r="B125" s="856"/>
      <c r="C125" s="726"/>
      <c r="D125" s="145" t="str">
        <f t="shared" si="156"/>
        <v/>
      </c>
      <c r="E125" s="63" t="str">
        <f t="shared" si="161"/>
        <v/>
      </c>
      <c r="F125" s="62" t="str">
        <f t="shared" si="157"/>
        <v/>
      </c>
      <c r="G125" s="146" t="str">
        <f t="shared" si="159"/>
        <v/>
      </c>
      <c r="H125" s="62" t="str">
        <f>IF($D125="","",IF($E125="正規職員","-",F125*G125))</f>
        <v/>
      </c>
      <c r="I125" s="62">
        <f t="shared" si="109"/>
        <v>242333.33333333401</v>
      </c>
      <c r="J125" s="62" t="str">
        <f>IFERROR(IF($C124="-","",IF(D125="","",IF(E125="正規職員",I125-J124,MIN(MIN(H125:I125),I124-J124)))),0)</f>
        <v/>
      </c>
      <c r="K125" s="64" t="str">
        <f t="shared" si="158"/>
        <v/>
      </c>
      <c r="L125" s="65">
        <f t="shared" si="164"/>
        <v>13</v>
      </c>
      <c r="M125" s="65" t="e">
        <f>VLOOKUP($D125&amp;M$5,'②-2勤務時間数入力'!$D$7:$Q$106,$L125,FALSE)</f>
        <v>#N/A</v>
      </c>
      <c r="N125" s="65" t="str">
        <f t="shared" si="152"/>
        <v>×</v>
      </c>
      <c r="O125" s="65" t="e">
        <f>VLOOKUP($D125&amp;O$5,'②-2勤務時間数入力'!$D$7:$Q$106,$L125,FALSE)</f>
        <v>#N/A</v>
      </c>
      <c r="P125" s="65" t="str">
        <f t="shared" si="153"/>
        <v>×</v>
      </c>
      <c r="Q125" s="65" t="e">
        <f>VLOOKUP($D125&amp;Q$5,'②-2勤務時間数入力'!$D$7:$Q$106,$L125,FALSE)</f>
        <v>#N/A</v>
      </c>
      <c r="R125" s="65" t="str">
        <f t="shared" si="154"/>
        <v>×</v>
      </c>
      <c r="S125" s="65" t="e">
        <f>VLOOKUP($D125&amp;S$5,'②-2勤務時間数入力'!$D$7:$Q$106,$L125,FALSE)</f>
        <v>#N/A</v>
      </c>
      <c r="T125" s="65" t="str">
        <f t="shared" si="155"/>
        <v>×</v>
      </c>
    </row>
    <row r="126" spans="1:20" ht="13.5" customHeight="1">
      <c r="A126" s="821"/>
      <c r="B126" s="857"/>
      <c r="C126" s="258"/>
      <c r="D126" s="1" t="s">
        <v>303</v>
      </c>
      <c r="E126" s="63" t="s">
        <v>293</v>
      </c>
      <c r="F126" s="70"/>
      <c r="G126" s="63" t="s">
        <v>293</v>
      </c>
      <c r="H126" s="63" t="s">
        <v>293</v>
      </c>
      <c r="I126" s="63" t="s">
        <v>293</v>
      </c>
      <c r="J126" s="62" t="str">
        <f>IFERROR(IF(J116="","",MIN(SUM(J116:J125),(B116*I116))),0)</f>
        <v/>
      </c>
      <c r="K126" s="64"/>
      <c r="L126" s="65"/>
      <c r="M126" s="65"/>
      <c r="N126" s="65"/>
      <c r="O126" s="65"/>
      <c r="P126" s="65"/>
      <c r="Q126" s="65"/>
      <c r="R126" s="65"/>
      <c r="S126" s="65"/>
      <c r="T126" s="65"/>
    </row>
    <row r="127" spans="1:20" ht="13.5" customHeight="1">
      <c r="A127" s="820">
        <v>3</v>
      </c>
      <c r="B127" s="855" t="str">
        <f>IF(判定!AY20&gt;=1,判定!AY20,"-")</f>
        <v>-</v>
      </c>
      <c r="C127" s="841" t="str">
        <f>IF(B127&gt;=1,IFERROR(INDEX($F$153:$G$158,MATCH(判定!AH20,$F$153:$F$158,0),2),"-"),"-")</f>
        <v>-</v>
      </c>
      <c r="D127" s="145" t="str">
        <f>IF(D116="","",D116)</f>
        <v/>
      </c>
      <c r="E127" s="63" t="str">
        <f>IF(D127="","",IF(N127="○",M$5,IF(P127="○",O$5,IF(R127="○",Q$5,IF(T127="○",S$5,"ERROR")))))</f>
        <v/>
      </c>
      <c r="F127" s="62" t="str">
        <f>IF(D127="","",IF(N127="○",M127,IF(P127="○",O127,IF(R127="○",Q127,IF(T127="○",S127,"ERROR")))))</f>
        <v/>
      </c>
      <c r="G127" s="146" t="str">
        <f>IF($D127="","",IF($E127="正規職員","-","賃金単価を記載"))</f>
        <v/>
      </c>
      <c r="H127" s="62" t="str">
        <f t="shared" ref="H127:H129" si="165">IF($D127="","",IF($E127="正規職員","-",F127*G127))</f>
        <v/>
      </c>
      <c r="I127" s="62">
        <f t="shared" si="109"/>
        <v>242333.33333333401</v>
      </c>
      <c r="J127" s="62" t="str">
        <f>IFERROR(IF($C127="-","",IF(D127="",0,IF(E127="正規職員",I127,MIN(H127:I127)))),0)</f>
        <v/>
      </c>
      <c r="K127" s="64" t="str">
        <f>IF(D127="","",IF(OR(COUNTIFS(D127,"*要配慮*")=1,COUNTIFS(D127,"*医療的ケア*")=1),"○","エラー"))</f>
        <v/>
      </c>
      <c r="L127" s="65">
        <f>L116+1</f>
        <v>14</v>
      </c>
      <c r="M127" s="65" t="e">
        <f>VLOOKUP($D127&amp;M$5,'②-2勤務時間数入力'!$D$7:$Q$106,$L127,FALSE)</f>
        <v>#N/A</v>
      </c>
      <c r="N127" s="65" t="str">
        <f t="shared" ref="N127:N136" si="166">IF(ISERROR(M127),"×",IF(M127="-","×","○"))</f>
        <v>×</v>
      </c>
      <c r="O127" s="65" t="e">
        <f>VLOOKUP($D127&amp;O$5,'②-2勤務時間数入力'!$D$7:$Q$106,$L127,FALSE)</f>
        <v>#N/A</v>
      </c>
      <c r="P127" s="65" t="str">
        <f t="shared" ref="P127:P136" si="167">IF(ISERROR(O127),"×",IF(O127="-","×","○"))</f>
        <v>×</v>
      </c>
      <c r="Q127" s="65" t="e">
        <f>VLOOKUP($D127&amp;Q$5,'②-2勤務時間数入力'!$D$7:$Q$106,$L127,FALSE)</f>
        <v>#N/A</v>
      </c>
      <c r="R127" s="65" t="str">
        <f t="shared" ref="R127:R136" si="168">IF(ISERROR(Q127),"×",IF(Q127="-","×","○"))</f>
        <v>×</v>
      </c>
      <c r="S127" s="65" t="e">
        <f>VLOOKUP($D127&amp;S$5,'②-2勤務時間数入力'!$D$7:$Q$106,$L127,FALSE)</f>
        <v>#N/A</v>
      </c>
      <c r="T127" s="65" t="str">
        <f t="shared" ref="T127:T136" si="169">IF(ISERROR(S127),"×",IF(S127="-","×","○"))</f>
        <v>×</v>
      </c>
    </row>
    <row r="128" spans="1:20" ht="13.5" customHeight="1">
      <c r="A128" s="839"/>
      <c r="B128" s="856"/>
      <c r="C128" s="735"/>
      <c r="D128" s="145" t="str">
        <f t="shared" ref="D128:D136" si="170">IF(D117="","",D117)</f>
        <v/>
      </c>
      <c r="E128" s="63" t="str">
        <f>IF(D128="","",IF(N128="○",M$5,IF(P128="○",O$5,IF(R128="○",Q$5,IF(T128="○",S$5,"ERROR")))))</f>
        <v/>
      </c>
      <c r="F128" s="62" t="str">
        <f t="shared" ref="F128:F136" si="171">IF(D128="","",IF(N128="○",M128,IF(P128="○",O128,IF(R128="○",Q128,IF(T128="○",S128,"ERROR")))))</f>
        <v/>
      </c>
      <c r="G128" s="146" t="str">
        <f>IF($D128="","",IF($E128="正規職員","-","賃金単価を記載"))</f>
        <v/>
      </c>
      <c r="H128" s="62" t="str">
        <f t="shared" si="165"/>
        <v/>
      </c>
      <c r="I128" s="62">
        <f t="shared" si="109"/>
        <v>242333.33333333401</v>
      </c>
      <c r="J128" s="62" t="str">
        <f>IFERROR(IF($C127="-","",IF(D128="","",IF(E128="正規職員",I128-J127,MIN(MIN(H128:I128),I127-J127)))),0)</f>
        <v/>
      </c>
      <c r="K128" s="64" t="str">
        <f t="shared" ref="K128:K136" si="172">IF(D128="","",IF(OR(COUNTIFS(D128,"*要配慮*")=1,COUNTIFS(D128,"*医療的ケア*")=1),"○","エラー"))</f>
        <v/>
      </c>
      <c r="L128" s="65">
        <f>L127</f>
        <v>14</v>
      </c>
      <c r="M128" s="65" t="e">
        <f>VLOOKUP($D128&amp;M$5,'②-2勤務時間数入力'!$D$7:$Q$106,$L128,FALSE)</f>
        <v>#N/A</v>
      </c>
      <c r="N128" s="65" t="str">
        <f t="shared" si="166"/>
        <v>×</v>
      </c>
      <c r="O128" s="65" t="e">
        <f>VLOOKUP($D128&amp;O$5,'②-2勤務時間数入力'!$D$7:$Q$106,$L128,FALSE)</f>
        <v>#N/A</v>
      </c>
      <c r="P128" s="65" t="str">
        <f t="shared" si="167"/>
        <v>×</v>
      </c>
      <c r="Q128" s="65" t="e">
        <f>VLOOKUP($D128&amp;Q$5,'②-2勤務時間数入力'!$D$7:$Q$106,$L128,FALSE)</f>
        <v>#N/A</v>
      </c>
      <c r="R128" s="65" t="str">
        <f t="shared" si="168"/>
        <v>×</v>
      </c>
      <c r="S128" s="65" t="e">
        <f>VLOOKUP($D128&amp;S$5,'②-2勤務時間数入力'!$D$7:$Q$106,$L128,FALSE)</f>
        <v>#N/A</v>
      </c>
      <c r="T128" s="65" t="str">
        <f t="shared" si="169"/>
        <v>×</v>
      </c>
    </row>
    <row r="129" spans="1:20" ht="13.5" customHeight="1">
      <c r="A129" s="839"/>
      <c r="B129" s="856"/>
      <c r="C129" s="841" t="str">
        <f>IF(B127&gt;=1,IFERROR(INDEX($F$153:$G$158,MATCH(判定!AI20,$F$153:$F$158,0),2),"-"),"-")</f>
        <v>-</v>
      </c>
      <c r="D129" s="145" t="str">
        <f t="shared" si="170"/>
        <v/>
      </c>
      <c r="E129" s="63" t="str">
        <f>IF(D129="","",IF(N129="○",M$5,IF(P129="○",O$5,IF(R129="○",Q$5,IF(T129="○",S$5,"ERROR")))))</f>
        <v/>
      </c>
      <c r="F129" s="62" t="str">
        <f t="shared" si="171"/>
        <v/>
      </c>
      <c r="G129" s="146" t="str">
        <f t="shared" ref="G129:G136" si="173">IF($D129="","",IF($E129="正規職員","-","賃金単価を記載"))</f>
        <v/>
      </c>
      <c r="H129" s="62" t="str">
        <f t="shared" si="165"/>
        <v/>
      </c>
      <c r="I129" s="62">
        <f t="shared" si="109"/>
        <v>242333.33333333401</v>
      </c>
      <c r="J129" s="62" t="str">
        <f>IFERROR(IF($C129="-","",IF(D129="",0,IF(E129="正規職員",I129,MIN(H129:I129)))),0)</f>
        <v/>
      </c>
      <c r="K129" s="64" t="str">
        <f t="shared" si="172"/>
        <v/>
      </c>
      <c r="L129" s="65">
        <f t="shared" ref="L129:L133" si="174">L128</f>
        <v>14</v>
      </c>
      <c r="M129" s="65" t="e">
        <f>VLOOKUP($D129&amp;M$5,'②-2勤務時間数入力'!$D$7:$Q$106,$L129,FALSE)</f>
        <v>#N/A</v>
      </c>
      <c r="N129" s="65" t="str">
        <f t="shared" si="166"/>
        <v>×</v>
      </c>
      <c r="O129" s="65" t="e">
        <f>VLOOKUP($D129&amp;O$5,'②-2勤務時間数入力'!$D$7:$Q$106,$L129,FALSE)</f>
        <v>#N/A</v>
      </c>
      <c r="P129" s="65" t="str">
        <f t="shared" si="167"/>
        <v>×</v>
      </c>
      <c r="Q129" s="65" t="e">
        <f>VLOOKUP($D129&amp;Q$5,'②-2勤務時間数入力'!$D$7:$Q$106,$L129,FALSE)</f>
        <v>#N/A</v>
      </c>
      <c r="R129" s="65" t="str">
        <f t="shared" si="168"/>
        <v>×</v>
      </c>
      <c r="S129" s="65" t="e">
        <f>VLOOKUP($D129&amp;S$5,'②-2勤務時間数入力'!$D$7:$Q$106,$L129,FALSE)</f>
        <v>#N/A</v>
      </c>
      <c r="T129" s="65" t="str">
        <f t="shared" si="169"/>
        <v>×</v>
      </c>
    </row>
    <row r="130" spans="1:20" ht="13.5" customHeight="1">
      <c r="A130" s="839"/>
      <c r="B130" s="856"/>
      <c r="C130" s="843"/>
      <c r="D130" s="145" t="str">
        <f t="shared" si="170"/>
        <v/>
      </c>
      <c r="E130" s="63" t="str">
        <f t="shared" ref="E130:E136" si="175">IF(D130="","",IF(N130="○",M$5,IF(P130="○",O$5,IF(R130="○",Q$5,IF(T130="○",S$5,"ERROR")))))</f>
        <v/>
      </c>
      <c r="F130" s="62" t="str">
        <f t="shared" si="171"/>
        <v/>
      </c>
      <c r="G130" s="146" t="str">
        <f t="shared" si="173"/>
        <v/>
      </c>
      <c r="H130" s="62" t="str">
        <f>IF($D130="","",IF($E130="正規職員","-",F130*G130))</f>
        <v/>
      </c>
      <c r="I130" s="62">
        <f t="shared" si="109"/>
        <v>242333.33333333401</v>
      </c>
      <c r="J130" s="62" t="str">
        <f>IFERROR(IF($C129="-","",IF(D130="","",IF(E130="正規職員",I130-J129,MIN(MIN(H130:I130),I129-J129)))),0)</f>
        <v/>
      </c>
      <c r="K130" s="64" t="str">
        <f t="shared" si="172"/>
        <v/>
      </c>
      <c r="L130" s="65">
        <f t="shared" si="174"/>
        <v>14</v>
      </c>
      <c r="M130" s="65" t="e">
        <f>VLOOKUP($D130&amp;M$5,'②-2勤務時間数入力'!$D$7:$Q$106,$L130,FALSE)</f>
        <v>#N/A</v>
      </c>
      <c r="N130" s="65" t="str">
        <f t="shared" si="166"/>
        <v>×</v>
      </c>
      <c r="O130" s="65" t="e">
        <f>VLOOKUP($D130&amp;O$5,'②-2勤務時間数入力'!$D$7:$Q$106,$L130,FALSE)</f>
        <v>#N/A</v>
      </c>
      <c r="P130" s="65" t="str">
        <f t="shared" si="167"/>
        <v>×</v>
      </c>
      <c r="Q130" s="65" t="e">
        <f>VLOOKUP($D130&amp;Q$5,'②-2勤務時間数入力'!$D$7:$Q$106,$L130,FALSE)</f>
        <v>#N/A</v>
      </c>
      <c r="R130" s="65" t="str">
        <f t="shared" si="168"/>
        <v>×</v>
      </c>
      <c r="S130" s="65" t="e">
        <f>VLOOKUP($D130&amp;S$5,'②-2勤務時間数入力'!$D$7:$Q$106,$L130,FALSE)</f>
        <v>#N/A</v>
      </c>
      <c r="T130" s="65" t="str">
        <f t="shared" si="169"/>
        <v>×</v>
      </c>
    </row>
    <row r="131" spans="1:20" ht="13.5" customHeight="1">
      <c r="A131" s="839"/>
      <c r="B131" s="856"/>
      <c r="C131" s="841" t="str">
        <f>IF(B127&gt;=1,IFERROR(INDEX($F$153:$G$158,MATCH(判定!AJ20,$F$153:$F$158,0),2),"-"),"-")</f>
        <v>-</v>
      </c>
      <c r="D131" s="145" t="str">
        <f>IF(D120="","",D120)</f>
        <v/>
      </c>
      <c r="E131" s="63" t="str">
        <f t="shared" si="175"/>
        <v/>
      </c>
      <c r="F131" s="62" t="str">
        <f t="shared" si="171"/>
        <v/>
      </c>
      <c r="G131" s="146" t="str">
        <f t="shared" si="173"/>
        <v/>
      </c>
      <c r="H131" s="62" t="str">
        <f t="shared" ref="H131" si="176">IF($D131="","",IF($E131="正規職員","-",F131*G131))</f>
        <v/>
      </c>
      <c r="I131" s="62">
        <f t="shared" si="109"/>
        <v>242333.33333333401</v>
      </c>
      <c r="J131" s="62" t="str">
        <f>IFERROR(IF($C131="-","",IF(D131="",0,IF(E131="正規職員",I131,MIN(H131:I131)))),0)</f>
        <v/>
      </c>
      <c r="K131" s="64" t="str">
        <f t="shared" si="172"/>
        <v/>
      </c>
      <c r="L131" s="65">
        <f t="shared" si="174"/>
        <v>14</v>
      </c>
      <c r="M131" s="65" t="e">
        <f>VLOOKUP($D131&amp;M$5,'②-2勤務時間数入力'!$D$7:$Q$106,$L131,FALSE)</f>
        <v>#N/A</v>
      </c>
      <c r="N131" s="65" t="str">
        <f t="shared" si="166"/>
        <v>×</v>
      </c>
      <c r="O131" s="65" t="e">
        <f>VLOOKUP($D131&amp;O$5,'②-2勤務時間数入力'!$D$7:$Q$106,$L131,FALSE)</f>
        <v>#N/A</v>
      </c>
      <c r="P131" s="65" t="str">
        <f t="shared" si="167"/>
        <v>×</v>
      </c>
      <c r="Q131" s="65" t="e">
        <f>VLOOKUP($D131&amp;Q$5,'②-2勤務時間数入力'!$D$7:$Q$106,$L131,FALSE)</f>
        <v>#N/A</v>
      </c>
      <c r="R131" s="65" t="str">
        <f t="shared" si="168"/>
        <v>×</v>
      </c>
      <c r="S131" s="65" t="e">
        <f>VLOOKUP($D131&amp;S$5,'②-2勤務時間数入力'!$D$7:$Q$106,$L131,FALSE)</f>
        <v>#N/A</v>
      </c>
      <c r="T131" s="65" t="str">
        <f t="shared" si="169"/>
        <v>×</v>
      </c>
    </row>
    <row r="132" spans="1:20" ht="13.5" customHeight="1">
      <c r="A132" s="839"/>
      <c r="B132" s="856"/>
      <c r="C132" s="735"/>
      <c r="D132" s="145" t="str">
        <f t="shared" si="170"/>
        <v/>
      </c>
      <c r="E132" s="63" t="str">
        <f t="shared" si="175"/>
        <v/>
      </c>
      <c r="F132" s="62" t="str">
        <f t="shared" si="171"/>
        <v/>
      </c>
      <c r="G132" s="146" t="str">
        <f t="shared" si="173"/>
        <v/>
      </c>
      <c r="H132" s="62" t="str">
        <f>IF($D132="","",IF($E132="正規職員","-",F132*G132))</f>
        <v/>
      </c>
      <c r="I132" s="62">
        <f t="shared" si="109"/>
        <v>242333.33333333401</v>
      </c>
      <c r="J132" s="62" t="str">
        <f>IFERROR(IF($C131="-","",IF(D132="","",IF(E132="正規職員",I132-J131,MIN(MIN(H132:I132),I131-J131)))),0)</f>
        <v/>
      </c>
      <c r="K132" s="64" t="str">
        <f t="shared" si="172"/>
        <v/>
      </c>
      <c r="L132" s="65">
        <f t="shared" si="174"/>
        <v>14</v>
      </c>
      <c r="M132" s="65" t="e">
        <f>VLOOKUP($D132&amp;M$5,'②-2勤務時間数入力'!$D$7:$Q$106,$L132,FALSE)</f>
        <v>#N/A</v>
      </c>
      <c r="N132" s="65" t="str">
        <f t="shared" si="166"/>
        <v>×</v>
      </c>
      <c r="O132" s="65" t="e">
        <f>VLOOKUP($D132&amp;O$5,'②-2勤務時間数入力'!$D$7:$Q$106,$L132,FALSE)</f>
        <v>#N/A</v>
      </c>
      <c r="P132" s="65" t="str">
        <f t="shared" si="167"/>
        <v>×</v>
      </c>
      <c r="Q132" s="65" t="e">
        <f>VLOOKUP($D132&amp;Q$5,'②-2勤務時間数入力'!$D$7:$Q$106,$L132,FALSE)</f>
        <v>#N/A</v>
      </c>
      <c r="R132" s="65" t="str">
        <f t="shared" si="168"/>
        <v>×</v>
      </c>
      <c r="S132" s="65" t="e">
        <f>VLOOKUP($D132&amp;S$5,'②-2勤務時間数入力'!$D$7:$Q$106,$L132,FALSE)</f>
        <v>#N/A</v>
      </c>
      <c r="T132" s="65" t="str">
        <f t="shared" si="169"/>
        <v>×</v>
      </c>
    </row>
    <row r="133" spans="1:20" ht="13.5" customHeight="1">
      <c r="A133" s="839"/>
      <c r="B133" s="856"/>
      <c r="C133" s="841" t="str">
        <f>IF(B127&gt;=1,IFERROR(INDEX($F$153:$G$158,MATCH(判定!AK20,$F$153:$F$158,0),2),"-"),"-")</f>
        <v>-</v>
      </c>
      <c r="D133" s="145" t="str">
        <f t="shared" si="170"/>
        <v/>
      </c>
      <c r="E133" s="63" t="str">
        <f t="shared" si="175"/>
        <v/>
      </c>
      <c r="F133" s="62" t="str">
        <f t="shared" si="171"/>
        <v/>
      </c>
      <c r="G133" s="146" t="str">
        <f t="shared" si="173"/>
        <v/>
      </c>
      <c r="H133" s="62" t="str">
        <f t="shared" ref="H133:H134" si="177">IF($D133="","",IF($E133="正規職員","-",F133*G133))</f>
        <v/>
      </c>
      <c r="I133" s="62">
        <f t="shared" si="109"/>
        <v>242333.33333333401</v>
      </c>
      <c r="J133" s="62" t="str">
        <f>IFERROR(IF($C133="-","",IF(D133="",0,IF(E133="正規職員",I133,MIN(H133:I133)))),0)</f>
        <v/>
      </c>
      <c r="K133" s="64" t="str">
        <f t="shared" si="172"/>
        <v/>
      </c>
      <c r="L133" s="65">
        <f t="shared" si="174"/>
        <v>14</v>
      </c>
      <c r="M133" s="65" t="e">
        <f>VLOOKUP($D133&amp;M$5,'②-2勤務時間数入力'!$D$7:$Q$106,$L133,FALSE)</f>
        <v>#N/A</v>
      </c>
      <c r="N133" s="65" t="str">
        <f t="shared" si="166"/>
        <v>×</v>
      </c>
      <c r="O133" s="65" t="e">
        <f>VLOOKUP($D133&amp;O$5,'②-2勤務時間数入力'!$D$7:$Q$106,$L133,FALSE)</f>
        <v>#N/A</v>
      </c>
      <c r="P133" s="65" t="str">
        <f t="shared" si="167"/>
        <v>×</v>
      </c>
      <c r="Q133" s="65" t="e">
        <f>VLOOKUP($D133&amp;Q$5,'②-2勤務時間数入力'!$D$7:$Q$106,$L133,FALSE)</f>
        <v>#N/A</v>
      </c>
      <c r="R133" s="65" t="str">
        <f t="shared" si="168"/>
        <v>×</v>
      </c>
      <c r="S133" s="65" t="e">
        <f>VLOOKUP($D133&amp;S$5,'②-2勤務時間数入力'!$D$7:$Q$106,$L133,FALSE)</f>
        <v>#N/A</v>
      </c>
      <c r="T133" s="65" t="str">
        <f t="shared" si="169"/>
        <v>×</v>
      </c>
    </row>
    <row r="134" spans="1:20" ht="13.5" customHeight="1">
      <c r="A134" s="839"/>
      <c r="B134" s="856"/>
      <c r="C134" s="735"/>
      <c r="D134" s="145" t="str">
        <f t="shared" si="170"/>
        <v/>
      </c>
      <c r="E134" s="63" t="str">
        <f t="shared" si="175"/>
        <v/>
      </c>
      <c r="F134" s="62" t="str">
        <f t="shared" si="171"/>
        <v/>
      </c>
      <c r="G134" s="146" t="str">
        <f t="shared" si="173"/>
        <v/>
      </c>
      <c r="H134" s="62" t="str">
        <f t="shared" si="177"/>
        <v/>
      </c>
      <c r="I134" s="62">
        <f t="shared" si="109"/>
        <v>242333.33333333401</v>
      </c>
      <c r="J134" s="62" t="str">
        <f>IFERROR(IF($C133="-","",IF(D134="","",IF(E134="正規職員",I134-J133,MIN(MIN(H134:I134),I133-J133)))),0)</f>
        <v/>
      </c>
      <c r="K134" s="64" t="str">
        <f t="shared" si="172"/>
        <v/>
      </c>
      <c r="L134" s="65">
        <f>L128</f>
        <v>14</v>
      </c>
      <c r="M134" s="65" t="e">
        <f>VLOOKUP($D134&amp;M$5,'②-2勤務時間数入力'!$D$7:$Q$106,$L134,FALSE)</f>
        <v>#N/A</v>
      </c>
      <c r="N134" s="65" t="str">
        <f t="shared" si="166"/>
        <v>×</v>
      </c>
      <c r="O134" s="65" t="e">
        <f>VLOOKUP($D134&amp;O$5,'②-2勤務時間数入力'!$D$7:$Q$106,$L134,FALSE)</f>
        <v>#N/A</v>
      </c>
      <c r="P134" s="65" t="str">
        <f t="shared" si="167"/>
        <v>×</v>
      </c>
      <c r="Q134" s="65" t="e">
        <f>VLOOKUP($D134&amp;Q$5,'②-2勤務時間数入力'!$D$7:$Q$106,$L134,FALSE)</f>
        <v>#N/A</v>
      </c>
      <c r="R134" s="65" t="str">
        <f t="shared" si="168"/>
        <v>×</v>
      </c>
      <c r="S134" s="65" t="e">
        <f>VLOOKUP($D134&amp;S$5,'②-2勤務時間数入力'!$D$7:$Q$106,$L134,FALSE)</f>
        <v>#N/A</v>
      </c>
      <c r="T134" s="65" t="str">
        <f t="shared" si="169"/>
        <v>×</v>
      </c>
    </row>
    <row r="135" spans="1:20" ht="13.5" customHeight="1">
      <c r="A135" s="839"/>
      <c r="B135" s="856"/>
      <c r="C135" s="854" t="str">
        <f>IF(B127&gt;=1,IFERROR(INDEX($F$153:$G$158,MATCH(判定!AL20,$F$153:$F$158,0),2),"-"),"-")</f>
        <v>-</v>
      </c>
      <c r="D135" s="145" t="str">
        <f t="shared" si="170"/>
        <v/>
      </c>
      <c r="E135" s="63" t="str">
        <f t="shared" si="175"/>
        <v/>
      </c>
      <c r="F135" s="62" t="str">
        <f t="shared" si="171"/>
        <v/>
      </c>
      <c r="G135" s="146" t="str">
        <f t="shared" si="173"/>
        <v/>
      </c>
      <c r="H135" s="62" t="str">
        <f>IF($D135="","",IF($E135="正規職員","-",F135*G135))</f>
        <v/>
      </c>
      <c r="I135" s="62">
        <f t="shared" si="109"/>
        <v>242333.33333333401</v>
      </c>
      <c r="J135" s="62" t="str">
        <f>IFERROR(IF($C135="-","",IF(D135="",0,IF(E135="正規職員",I135,MIN(H135:I135)))),0)</f>
        <v/>
      </c>
      <c r="K135" s="64" t="str">
        <f t="shared" si="172"/>
        <v/>
      </c>
      <c r="L135" s="65">
        <f t="shared" ref="L135:L136" si="178">L134</f>
        <v>14</v>
      </c>
      <c r="M135" s="65" t="e">
        <f>VLOOKUP($D135&amp;M$5,'②-2勤務時間数入力'!$D$7:$Q$106,$L135,FALSE)</f>
        <v>#N/A</v>
      </c>
      <c r="N135" s="65" t="str">
        <f t="shared" si="166"/>
        <v>×</v>
      </c>
      <c r="O135" s="65" t="e">
        <f>VLOOKUP($D135&amp;O$5,'②-2勤務時間数入力'!$D$7:$Q$106,$L135,FALSE)</f>
        <v>#N/A</v>
      </c>
      <c r="P135" s="65" t="str">
        <f t="shared" si="167"/>
        <v>×</v>
      </c>
      <c r="Q135" s="65" t="e">
        <f>VLOOKUP($D135&amp;Q$5,'②-2勤務時間数入力'!$D$7:$Q$106,$L135,FALSE)</f>
        <v>#N/A</v>
      </c>
      <c r="R135" s="65" t="str">
        <f t="shared" si="168"/>
        <v>×</v>
      </c>
      <c r="S135" s="65" t="e">
        <f>VLOOKUP($D135&amp;S$5,'②-2勤務時間数入力'!$D$7:$Q$106,$L135,FALSE)</f>
        <v>#N/A</v>
      </c>
      <c r="T135" s="65" t="str">
        <f t="shared" si="169"/>
        <v>×</v>
      </c>
    </row>
    <row r="136" spans="1:20" ht="13.5" customHeight="1">
      <c r="A136" s="853"/>
      <c r="B136" s="856"/>
      <c r="C136" s="726"/>
      <c r="D136" s="145" t="str">
        <f t="shared" si="170"/>
        <v/>
      </c>
      <c r="E136" s="63" t="str">
        <f t="shared" si="175"/>
        <v/>
      </c>
      <c r="F136" s="62" t="str">
        <f t="shared" si="171"/>
        <v/>
      </c>
      <c r="G136" s="146" t="str">
        <f t="shared" si="173"/>
        <v/>
      </c>
      <c r="H136" s="62" t="str">
        <f>IF($D136="","",IF($E136="正規職員","-",F136*G136))</f>
        <v/>
      </c>
      <c r="I136" s="62">
        <f t="shared" si="109"/>
        <v>242333.33333333401</v>
      </c>
      <c r="J136" s="62" t="str">
        <f>IFERROR(IF($C135="-","",IF(D136="","",IF(E136="正規職員",I136-J135,MIN(MIN(H136:I136),I135-J135)))),0)</f>
        <v/>
      </c>
      <c r="K136" s="64" t="str">
        <f t="shared" si="172"/>
        <v/>
      </c>
      <c r="L136" s="65">
        <f t="shared" si="178"/>
        <v>14</v>
      </c>
      <c r="M136" s="65" t="e">
        <f>VLOOKUP($D136&amp;M$5,'②-2勤務時間数入力'!$D$7:$Q$106,$L136,FALSE)</f>
        <v>#N/A</v>
      </c>
      <c r="N136" s="65" t="str">
        <f t="shared" si="166"/>
        <v>×</v>
      </c>
      <c r="O136" s="65" t="e">
        <f>VLOOKUP($D136&amp;O$5,'②-2勤務時間数入力'!$D$7:$Q$106,$L136,FALSE)</f>
        <v>#N/A</v>
      </c>
      <c r="P136" s="65" t="str">
        <f t="shared" si="167"/>
        <v>×</v>
      </c>
      <c r="Q136" s="65" t="e">
        <f>VLOOKUP($D136&amp;Q$5,'②-2勤務時間数入力'!$D$7:$Q$106,$L136,FALSE)</f>
        <v>#N/A</v>
      </c>
      <c r="R136" s="65" t="str">
        <f t="shared" si="168"/>
        <v>×</v>
      </c>
      <c r="S136" s="65" t="e">
        <f>VLOOKUP($D136&amp;S$5,'②-2勤務時間数入力'!$D$7:$Q$106,$L136,FALSE)</f>
        <v>#N/A</v>
      </c>
      <c r="T136" s="65" t="str">
        <f t="shared" si="169"/>
        <v>×</v>
      </c>
    </row>
    <row r="137" spans="1:20" ht="13.5" customHeight="1">
      <c r="A137" s="821"/>
      <c r="B137" s="857"/>
      <c r="C137" s="258"/>
      <c r="D137" s="1" t="s">
        <v>304</v>
      </c>
      <c r="E137" s="63" t="s">
        <v>293</v>
      </c>
      <c r="F137" s="70"/>
      <c r="G137" s="63" t="s">
        <v>293</v>
      </c>
      <c r="H137" s="63" t="s">
        <v>293</v>
      </c>
      <c r="I137" s="63" t="s">
        <v>293</v>
      </c>
      <c r="J137" s="62" t="str">
        <f>IFERROR(IF(J127="","",MIN(SUM(J127:J136),(B127*I127))),0)</f>
        <v/>
      </c>
      <c r="K137" s="64"/>
      <c r="L137" s="65"/>
      <c r="M137" s="65"/>
      <c r="N137" s="65"/>
      <c r="O137" s="65"/>
      <c r="P137" s="65"/>
      <c r="Q137" s="65"/>
      <c r="R137" s="65"/>
      <c r="S137" s="65"/>
      <c r="T137" s="65"/>
    </row>
    <row r="138" spans="1:20" ht="13.5" customHeight="1">
      <c r="A138" s="61" t="s">
        <v>284</v>
      </c>
      <c r="B138" s="61"/>
      <c r="C138" s="61"/>
      <c r="D138" s="1"/>
      <c r="E138" s="62"/>
      <c r="F138" s="62"/>
      <c r="G138" s="62"/>
      <c r="H138" s="62"/>
      <c r="I138" s="62"/>
      <c r="J138" s="66">
        <f>ROUNDDOWN(SUM(J16,J27,J38,J49,J60,J71,J82,J93,J104,J115,J126,J137),-3)</f>
        <v>0</v>
      </c>
    </row>
    <row r="139" spans="1:20" ht="15" customHeight="1">
      <c r="D139" s="64"/>
      <c r="E139" s="64"/>
      <c r="F139" s="64"/>
      <c r="G139" s="64"/>
      <c r="H139" s="64"/>
      <c r="I139" s="64"/>
    </row>
    <row r="141" spans="1:20" hidden="1">
      <c r="C141" s="85" t="s">
        <v>371</v>
      </c>
      <c r="D141" s="85"/>
      <c r="E141" s="85"/>
      <c r="F141" s="85"/>
    </row>
    <row r="142" spans="1:20" hidden="1">
      <c r="C142" s="85" t="s">
        <v>374</v>
      </c>
      <c r="D142" s="85"/>
      <c r="E142" s="85"/>
      <c r="F142" s="85"/>
    </row>
    <row r="143" spans="1:20" hidden="1">
      <c r="C143" s="85" t="s">
        <v>405</v>
      </c>
      <c r="D143" s="85"/>
      <c r="E143" s="85"/>
      <c r="F143" s="85"/>
    </row>
    <row r="144" spans="1:20" ht="158.25" hidden="1" customHeight="1">
      <c r="C144" s="144" t="s">
        <v>343</v>
      </c>
      <c r="D144" s="831" t="s">
        <v>1603</v>
      </c>
      <c r="E144" s="832"/>
      <c r="F144" s="833"/>
    </row>
    <row r="145" spans="2:7" ht="57" hidden="1" customHeight="1">
      <c r="C145" s="144" t="s">
        <v>348</v>
      </c>
      <c r="D145" s="831" t="s">
        <v>373</v>
      </c>
      <c r="E145" s="832"/>
      <c r="F145" s="833"/>
    </row>
    <row r="146" spans="2:7" hidden="1"/>
    <row r="147" spans="2:7" hidden="1">
      <c r="B147" s="851"/>
      <c r="C147" s="851"/>
      <c r="D147" s="852"/>
      <c r="E147" s="852"/>
      <c r="F147" s="852"/>
    </row>
    <row r="148" spans="2:7" hidden="1"/>
    <row r="149" spans="2:7" hidden="1"/>
    <row r="150" spans="2:7" hidden="1"/>
    <row r="151" spans="2:7" hidden="1"/>
    <row r="152" spans="2:7" hidden="1">
      <c r="G152" t="s">
        <v>1276</v>
      </c>
    </row>
    <row r="153" spans="2:7" hidden="1">
      <c r="F153" t="s">
        <v>1272</v>
      </c>
      <c r="G153" t="str">
        <f>'②-1職員名簿'!C144</f>
        <v>保育士</v>
      </c>
    </row>
    <row r="154" spans="2:7" hidden="1">
      <c r="F154" t="s">
        <v>1273</v>
      </c>
      <c r="G154" t="str">
        <f>'②-1職員名簿'!C145</f>
        <v>要件緩和</v>
      </c>
    </row>
    <row r="155" spans="2:7" hidden="1">
      <c r="F155" t="s">
        <v>1274</v>
      </c>
      <c r="G155" t="str">
        <f>'②-1職員名簿'!C146</f>
        <v>看護師等</v>
      </c>
    </row>
    <row r="156" spans="2:7" hidden="1">
      <c r="F156" t="s">
        <v>1275</v>
      </c>
      <c r="G156" t="str">
        <f>'②-1職員名簿'!C147</f>
        <v>栄養士</v>
      </c>
    </row>
    <row r="157" spans="2:7" hidden="1">
      <c r="F157" t="s">
        <v>1279</v>
      </c>
      <c r="G157" t="str">
        <f>'②-1職員名簿'!C148</f>
        <v>調理師等</v>
      </c>
    </row>
    <row r="158" spans="2:7" hidden="1">
      <c r="F158" t="s">
        <v>1280</v>
      </c>
      <c r="G158" t="str">
        <f>'②-1職員名簿'!C149</f>
        <v>保育支援者</v>
      </c>
    </row>
  </sheetData>
  <sheetProtection algorithmName="SHA-512" hashValue="sHb+IVC+1tL7tFuOKzodLS/SDRkyxpTJti8TpHLXobKUT/+ShDaqKn5sv5vu/cj3SFaroHLRBefU8hCfZIXBAA==" saltValue="C2eraSIe1dJ2RVh62XgnuQ==" spinCount="100000" sheet="1" selectLockedCells="1"/>
  <mergeCells count="94">
    <mergeCell ref="A127:A137"/>
    <mergeCell ref="B127:B137"/>
    <mergeCell ref="C127:C128"/>
    <mergeCell ref="C129:C130"/>
    <mergeCell ref="C131:C132"/>
    <mergeCell ref="C133:C134"/>
    <mergeCell ref="C135:C136"/>
    <mergeCell ref="A116:A126"/>
    <mergeCell ref="B116:B126"/>
    <mergeCell ref="C116:C117"/>
    <mergeCell ref="C118:C119"/>
    <mergeCell ref="C120:C121"/>
    <mergeCell ref="C122:C123"/>
    <mergeCell ref="C124:C125"/>
    <mergeCell ref="A105:A115"/>
    <mergeCell ref="B105:B115"/>
    <mergeCell ref="C105:C106"/>
    <mergeCell ref="C107:C108"/>
    <mergeCell ref="C109:C110"/>
    <mergeCell ref="C111:C112"/>
    <mergeCell ref="C113:C114"/>
    <mergeCell ref="C94:C95"/>
    <mergeCell ref="C96:C97"/>
    <mergeCell ref="C98:C99"/>
    <mergeCell ref="C100:C101"/>
    <mergeCell ref="C102:C103"/>
    <mergeCell ref="C83:C84"/>
    <mergeCell ref="C85:C86"/>
    <mergeCell ref="C87:C88"/>
    <mergeCell ref="C89:C90"/>
    <mergeCell ref="C91:C92"/>
    <mergeCell ref="C72:C73"/>
    <mergeCell ref="C74:C75"/>
    <mergeCell ref="C76:C77"/>
    <mergeCell ref="C78:C79"/>
    <mergeCell ref="C80:C81"/>
    <mergeCell ref="C61:C62"/>
    <mergeCell ref="C63:C64"/>
    <mergeCell ref="C65:C66"/>
    <mergeCell ref="C67:C68"/>
    <mergeCell ref="C69:C70"/>
    <mergeCell ref="C47:C48"/>
    <mergeCell ref="A50:A60"/>
    <mergeCell ref="B50:B60"/>
    <mergeCell ref="C50:C51"/>
    <mergeCell ref="C52:C53"/>
    <mergeCell ref="C54:C55"/>
    <mergeCell ref="C56:C57"/>
    <mergeCell ref="C58:C59"/>
    <mergeCell ref="B147:F147"/>
    <mergeCell ref="D144:F144"/>
    <mergeCell ref="D145:F145"/>
    <mergeCell ref="C6:C7"/>
    <mergeCell ref="C8:C9"/>
    <mergeCell ref="C10:C11"/>
    <mergeCell ref="C12:C13"/>
    <mergeCell ref="C14:C15"/>
    <mergeCell ref="C17:C18"/>
    <mergeCell ref="C19:C20"/>
    <mergeCell ref="C21:C22"/>
    <mergeCell ref="C23:C24"/>
    <mergeCell ref="C25:C26"/>
    <mergeCell ref="B28:B38"/>
    <mergeCell ref="C28:C29"/>
    <mergeCell ref="C30:C31"/>
    <mergeCell ref="A72:A82"/>
    <mergeCell ref="B72:B82"/>
    <mergeCell ref="A83:A93"/>
    <mergeCell ref="B83:B93"/>
    <mergeCell ref="A94:A104"/>
    <mergeCell ref="B94:B104"/>
    <mergeCell ref="A61:A71"/>
    <mergeCell ref="B61:B71"/>
    <mergeCell ref="A39:A49"/>
    <mergeCell ref="B39:B49"/>
    <mergeCell ref="S5:T5"/>
    <mergeCell ref="A6:A16"/>
    <mergeCell ref="B6:B16"/>
    <mergeCell ref="A17:A27"/>
    <mergeCell ref="B17:B27"/>
    <mergeCell ref="M5:N5"/>
    <mergeCell ref="O5:P5"/>
    <mergeCell ref="Q5:R5"/>
    <mergeCell ref="C39:C40"/>
    <mergeCell ref="C41:C42"/>
    <mergeCell ref="C43:C44"/>
    <mergeCell ref="C45:C46"/>
    <mergeCell ref="A1:J1"/>
    <mergeCell ref="E2:F2"/>
    <mergeCell ref="G2:J2"/>
    <mergeCell ref="A28:A38"/>
    <mergeCell ref="C32:C33"/>
    <mergeCell ref="C34:C35"/>
    <mergeCell ref="C36:C37"/>
  </mergeCells>
  <phoneticPr fontId="1"/>
  <conditionalFormatting sqref="D6:D15 D17:D26">
    <cfRule type="containsBlanks" dxfId="36" priority="39">
      <formula>LEN(TRIM(D6))=0</formula>
    </cfRule>
  </conditionalFormatting>
  <conditionalFormatting sqref="D28:D37">
    <cfRule type="containsBlanks" dxfId="35" priority="28">
      <formula>LEN(TRIM(D28))=0</formula>
    </cfRule>
  </conditionalFormatting>
  <conditionalFormatting sqref="D39:D48">
    <cfRule type="containsBlanks" dxfId="34" priority="25">
      <formula>LEN(TRIM(D39))=0</formula>
    </cfRule>
  </conditionalFormatting>
  <conditionalFormatting sqref="D50:D59">
    <cfRule type="containsBlanks" dxfId="33" priority="22">
      <formula>LEN(TRIM(D50))=0</formula>
    </cfRule>
  </conditionalFormatting>
  <conditionalFormatting sqref="D61:D70">
    <cfRule type="containsBlanks" dxfId="32" priority="19">
      <formula>LEN(TRIM(D61))=0</formula>
    </cfRule>
  </conditionalFormatting>
  <conditionalFormatting sqref="D72:D81">
    <cfRule type="containsBlanks" dxfId="31" priority="16">
      <formula>LEN(TRIM(D72))=0</formula>
    </cfRule>
  </conditionalFormatting>
  <conditionalFormatting sqref="D83:D92">
    <cfRule type="containsBlanks" dxfId="30" priority="13">
      <formula>LEN(TRIM(D83))=0</formula>
    </cfRule>
  </conditionalFormatting>
  <conditionalFormatting sqref="D94:D103">
    <cfRule type="containsBlanks" dxfId="29" priority="10">
      <formula>LEN(TRIM(D94))=0</formula>
    </cfRule>
  </conditionalFormatting>
  <conditionalFormatting sqref="D105:D114">
    <cfRule type="containsBlanks" dxfId="28" priority="7">
      <formula>LEN(TRIM(D105))=0</formula>
    </cfRule>
  </conditionalFormatting>
  <conditionalFormatting sqref="D116:D125">
    <cfRule type="containsBlanks" dxfId="27" priority="4">
      <formula>LEN(TRIM(D116))=0</formula>
    </cfRule>
  </conditionalFormatting>
  <conditionalFormatting sqref="D127:D136">
    <cfRule type="containsBlanks" dxfId="26" priority="1">
      <formula>LEN(TRIM(D127))=0</formula>
    </cfRule>
  </conditionalFormatting>
  <conditionalFormatting sqref="G6:G137">
    <cfRule type="containsText" dxfId="25" priority="2" operator="containsText" text="賃金単価を記載">
      <formula>NOT(ISERROR(SEARCH("賃金単価を記載",G6)))</formula>
    </cfRule>
  </conditionalFormatting>
  <pageMargins left="0.70866141732283472" right="0.70866141732283472" top="0.74803149606299213" bottom="0.74803149606299213" header="0.31496062992125984" footer="0.31496062992125984"/>
  <pageSetup paperSize="9" scale="2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補助対象職種」の欄に記載された職種の方を優先的に選択_x000a_→他職種の方を選択することもできますが、複数の職種の方の混在はできません。_x000a_　例えば　「補助対象職種」が「保育士」の時に「保育士」と「保育支援者」の方を「対象者名」に入力することはできません。_x000a_※用語の定義_x000a_　看護師等→看護師、准看護師、保健師_x000a_　保育支援者→事務、通訳、補助者、調理員" xr:uid="{1B22C479-F4C7-4B03-ABE3-9979B35CB5EE}">
          <x14:formula1>
            <xm:f>'②-1職員名簿'!$Y$7:$Y$106</xm:f>
          </x14:formula1>
          <xm:sqref>D17:D137 D6:D15</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F57AF-59C1-4393-8BEF-42115184F884}">
  <sheetPr>
    <tabColor rgb="FF00B050"/>
    <pageSetUpPr fitToPage="1"/>
  </sheetPr>
  <dimension ref="A1:T86"/>
  <sheetViews>
    <sheetView view="pageBreakPreview" zoomScale="85" zoomScaleNormal="100" zoomScaleSheetLayoutView="85" workbookViewId="0">
      <selection activeCell="D6" sqref="D6"/>
    </sheetView>
  </sheetViews>
  <sheetFormatPr defaultRowHeight="18"/>
  <cols>
    <col min="2" max="2" width="4.75" customWidth="1"/>
    <col min="3" max="3" width="13" customWidth="1"/>
    <col min="4" max="4" width="28.33203125" customWidth="1"/>
    <col min="5" max="9" width="11.25" customWidth="1"/>
    <col min="10" max="10" width="15" customWidth="1"/>
    <col min="11" max="11" width="0" hidden="1" customWidth="1"/>
  </cols>
  <sheetData>
    <row r="1" spans="1:20" s="21" customFormat="1" ht="19">
      <c r="A1" s="826" t="s">
        <v>1379</v>
      </c>
      <c r="B1" s="826"/>
      <c r="C1" s="826"/>
      <c r="D1" s="826"/>
      <c r="E1" s="826"/>
      <c r="F1" s="826"/>
      <c r="G1" s="826"/>
      <c r="H1" s="826"/>
      <c r="I1" s="826"/>
      <c r="J1" s="826"/>
      <c r="K1" s="203"/>
      <c r="L1" s="203"/>
      <c r="M1" s="203"/>
      <c r="N1" s="203"/>
      <c r="O1" s="203"/>
    </row>
    <row r="2" spans="1:20" s="21" customFormat="1" ht="13.5" customHeight="1">
      <c r="E2" s="849" t="s">
        <v>114</v>
      </c>
      <c r="F2" s="849"/>
      <c r="G2" s="850">
        <f>①基本情報!D5</f>
        <v>0</v>
      </c>
      <c r="H2" s="850"/>
      <c r="I2" s="850"/>
      <c r="J2" s="850"/>
      <c r="L2" s="21" t="s">
        <v>148</v>
      </c>
    </row>
    <row r="3" spans="1:20" s="21" customFormat="1" ht="2.25" customHeight="1">
      <c r="E3" s="68"/>
      <c r="F3" s="68"/>
      <c r="G3" s="69"/>
      <c r="H3" s="69"/>
      <c r="I3" s="69"/>
      <c r="J3" s="69"/>
    </row>
    <row r="4" spans="1:20" ht="15" customHeight="1">
      <c r="A4" s="59" t="s">
        <v>1378</v>
      </c>
      <c r="B4" t="s">
        <v>1419</v>
      </c>
    </row>
    <row r="5" spans="1:20" ht="36">
      <c r="B5" s="67" t="s">
        <v>1283</v>
      </c>
      <c r="C5" s="205" t="s">
        <v>1309</v>
      </c>
      <c r="D5" s="55" t="s">
        <v>274</v>
      </c>
      <c r="E5" s="55" t="s">
        <v>275</v>
      </c>
      <c r="F5" s="55" t="s">
        <v>276</v>
      </c>
      <c r="G5" s="55" t="s">
        <v>277</v>
      </c>
      <c r="H5" s="55" t="s">
        <v>278</v>
      </c>
      <c r="I5" s="55" t="s">
        <v>279</v>
      </c>
      <c r="J5" s="55" t="s">
        <v>280</v>
      </c>
      <c r="L5" s="60" t="s">
        <v>281</v>
      </c>
      <c r="M5" s="828" t="s">
        <v>224</v>
      </c>
      <c r="N5" s="829"/>
      <c r="O5" s="828" t="s">
        <v>225</v>
      </c>
      <c r="P5" s="829"/>
      <c r="Q5" s="828" t="s">
        <v>282</v>
      </c>
      <c r="R5" s="829"/>
      <c r="S5" s="828" t="s">
        <v>283</v>
      </c>
      <c r="T5" s="829"/>
    </row>
    <row r="6" spans="1:20" ht="13.5" customHeight="1">
      <c r="A6" s="820">
        <v>4</v>
      </c>
      <c r="B6" s="855" t="str">
        <f>IF(判定!AZ9&gt;=1,判定!AZ9,"-")</f>
        <v>-</v>
      </c>
      <c r="C6" s="841" t="str">
        <f>IF(B6&gt;=1,IFERROR(INDEX($F$81:$G$86,MATCH(判定!AR9,$F$81:$F$86,0),2),"-"),"-")</f>
        <v>-</v>
      </c>
      <c r="D6" s="145"/>
      <c r="E6" s="63" t="str">
        <f>IF(D6="","",IF(N6="○",M$5,IF(P6="○",O$5,IF(R6="○",Q$5,IF(T6="○",S$5,"ERROR")))))</f>
        <v/>
      </c>
      <c r="F6" s="62" t="str">
        <f>IF(D6="","",IF(N6="○",M6,IF(P6="○",O6,IF(R6="○",Q6,IF(T6="○",S6,"ERROR")))))</f>
        <v/>
      </c>
      <c r="G6" s="146" t="str">
        <f t="shared" ref="G6:G9" si="0">IF($D6="","",IF($E6="正規職員","-","賃金単価を記載"))</f>
        <v/>
      </c>
      <c r="H6" s="62" t="str">
        <f t="shared" ref="H6:H7" si="1">IF($D6="","",IF($E6="正規職員","-",F6*G6))</f>
        <v/>
      </c>
      <c r="I6" s="279">
        <f>⑩特定加算１!I6</f>
        <v>242333.33333333401</v>
      </c>
      <c r="J6" s="62" t="str">
        <f>IFERROR(IF($C6="-","",IF(D6="",0,IF(E6="正規職員",I6,MIN(H6:I6)))),0)</f>
        <v/>
      </c>
      <c r="K6" s="64" t="str">
        <f>IF(D6="","",IF(OR(COUNTIFS(D6,"*要配慮*")=1,COUNTIFS(D6,"*医療的ケア*")=1),"○","エラー"))</f>
        <v/>
      </c>
      <c r="L6" s="65">
        <v>3</v>
      </c>
      <c r="M6" s="65" t="e">
        <f>VLOOKUP($D6&amp;M$5,'②-2勤務時間数入力'!$D$7:$Q$106,$L6,FALSE)</f>
        <v>#N/A</v>
      </c>
      <c r="N6" s="65" t="str">
        <f>IF(ISERROR(M6),"×",IF(M6="-","×","○"))</f>
        <v>×</v>
      </c>
      <c r="O6" s="65" t="e">
        <f>VLOOKUP($D6&amp;O$5,'②-2勤務時間数入力'!$D$7:$Q$106,$L6,FALSE)</f>
        <v>#N/A</v>
      </c>
      <c r="P6" s="65" t="str">
        <f>IF(ISERROR(O6),"×",IF(O6="-","×","○"))</f>
        <v>×</v>
      </c>
      <c r="Q6" s="65" t="e">
        <f>VLOOKUP($D6&amp;Q$5,'②-2勤務時間数入力'!$D$7:$Q$106,$L6,FALSE)</f>
        <v>#N/A</v>
      </c>
      <c r="R6" s="65" t="str">
        <f>IF(ISERROR(Q6),"×",IF(Q6="-","×","○"))</f>
        <v>×</v>
      </c>
      <c r="S6" s="65" t="e">
        <f>VLOOKUP($D6&amp;S$5,'②-2勤務時間数入力'!$D$7:$Q$106,$L6,FALSE)</f>
        <v>#N/A</v>
      </c>
      <c r="T6" s="65" t="str">
        <f>IF(ISERROR(S6),"×",IF(S6="-","×","○"))</f>
        <v>×</v>
      </c>
    </row>
    <row r="7" spans="1:20" ht="13.5" customHeight="1">
      <c r="A7" s="839"/>
      <c r="B7" s="856"/>
      <c r="C7" s="735"/>
      <c r="D7" s="145"/>
      <c r="E7" s="63" t="str">
        <f>IF(D7="","",IF(N7="○",M$5,IF(P7="○",O$5,IF(R7="○",Q$5,IF(T7="○",S$5,"ERROR")))))</f>
        <v/>
      </c>
      <c r="F7" s="62" t="str">
        <f>IF(D7="","",IF(N7="○",M7,IF(P7="○",O7,IF(R7="○",Q7,IF(T7="○",S7,"ERROR")))))</f>
        <v/>
      </c>
      <c r="G7" s="146" t="str">
        <f t="shared" si="0"/>
        <v/>
      </c>
      <c r="H7" s="62" t="str">
        <f t="shared" si="1"/>
        <v/>
      </c>
      <c r="I7" s="62">
        <f t="shared" ref="I7:I9" si="2">$I$6</f>
        <v>242333.33333333401</v>
      </c>
      <c r="J7" s="62" t="str">
        <f>IFERROR(IF($C6="-","",IF(D7="","",IF(E7="正規職員",I7-J6,MIN(MIN(H7:I7),I6-J6)))),0)</f>
        <v/>
      </c>
      <c r="K7" s="64" t="str">
        <f t="shared" ref="K7:K8" si="3">IF(D7="","",IF(OR(COUNTIFS(D7,"*要配慮*")=1,COUNTIFS(D7,"*医療的ケア*")=1),"○","エラー"))</f>
        <v/>
      </c>
      <c r="L7" s="65">
        <f>L6</f>
        <v>3</v>
      </c>
      <c r="M7" s="65" t="e">
        <f>VLOOKUP($D7&amp;M$5,'②-2勤務時間数入力'!$D$7:$Q$106,$L7,FALSE)</f>
        <v>#N/A</v>
      </c>
      <c r="N7" s="65" t="str">
        <f>IF(ISERROR(M7),"×",IF(M7="-","×","○"))</f>
        <v>×</v>
      </c>
      <c r="O7" s="65" t="e">
        <f>VLOOKUP($D7&amp;O$5,'②-2勤務時間数入力'!$D$7:$Q$106,$L7,FALSE)</f>
        <v>#N/A</v>
      </c>
      <c r="P7" s="65" t="str">
        <f>IF(ISERROR(O7),"×",IF(O7="-","×","○"))</f>
        <v>×</v>
      </c>
      <c r="Q7" s="65" t="e">
        <f>VLOOKUP($D7&amp;Q$5,'②-2勤務時間数入力'!$D$7:$Q$106,$L7,FALSE)</f>
        <v>#N/A</v>
      </c>
      <c r="R7" s="65" t="str">
        <f>IF(ISERROR(Q7),"×",IF(Q7="-","×","○"))</f>
        <v>×</v>
      </c>
      <c r="S7" s="65" t="e">
        <f>VLOOKUP($D7&amp;S$5,'②-2勤務時間数入力'!$D$7:$Q$106,$L7,FALSE)</f>
        <v>#N/A</v>
      </c>
      <c r="T7" s="65" t="str">
        <f>IF(ISERROR(S7),"×",IF(S7="-","×","○"))</f>
        <v>×</v>
      </c>
    </row>
    <row r="8" spans="1:20" ht="13.5" customHeight="1">
      <c r="A8" s="839"/>
      <c r="B8" s="856"/>
      <c r="C8" s="854" t="str">
        <f>IF(B6&gt;=1,IFERROR(INDEX($F$81:$G$86,MATCH(判定!AS9,$F$81:$F$86,0),2),"-"),"-")</f>
        <v>-</v>
      </c>
      <c r="D8" s="145"/>
      <c r="E8" s="63" t="str">
        <f>IF(D8="","",IF(N8="○",M$5,IF(P8="○",O$5,IF(R8="○",Q$5,IF(T8="○",S$5,"ERROR")))))</f>
        <v/>
      </c>
      <c r="F8" s="62" t="str">
        <f t="shared" ref="F8:F9" si="4">IF(D8="","",IF(N8="○",M8,IF(P8="○",O8,IF(R8="○",Q8,IF(T8="○",S8,"ERROR")))))</f>
        <v/>
      </c>
      <c r="G8" s="146" t="str">
        <f t="shared" si="0"/>
        <v/>
      </c>
      <c r="H8" s="62" t="str">
        <f>IF($D8="","",IF($E8="正規職員","-",F8*G8))</f>
        <v/>
      </c>
      <c r="I8" s="62">
        <f t="shared" si="2"/>
        <v>242333.33333333401</v>
      </c>
      <c r="J8" s="62" t="str">
        <f>IFERROR(IF($C8="-","",IF(D8="",0,IF(E8="正規職員",I8,MIN(H8:I8)))),0)</f>
        <v/>
      </c>
      <c r="K8" s="64" t="str">
        <f t="shared" si="3"/>
        <v/>
      </c>
      <c r="L8" s="65">
        <f t="shared" ref="L8:L9" si="5">L7</f>
        <v>3</v>
      </c>
      <c r="M8" s="65" t="e">
        <f>VLOOKUP($D8&amp;M$5,'②-2勤務時間数入力'!$D$7:$Q$106,$L8,FALSE)</f>
        <v>#N/A</v>
      </c>
      <c r="N8" s="65" t="str">
        <f>IF(ISERROR(M8),"×",IF(M8="-","×","○"))</f>
        <v>×</v>
      </c>
      <c r="O8" s="65" t="e">
        <f>VLOOKUP($D8&amp;O$5,'②-2勤務時間数入力'!$D$7:$Q$106,$L8,FALSE)</f>
        <v>#N/A</v>
      </c>
      <c r="P8" s="65" t="str">
        <f>IF(ISERROR(O8),"×",IF(O8="-","×","○"))</f>
        <v>×</v>
      </c>
      <c r="Q8" s="65" t="e">
        <f>VLOOKUP($D8&amp;Q$5,'②-2勤務時間数入力'!$D$7:$Q$106,$L8,FALSE)</f>
        <v>#N/A</v>
      </c>
      <c r="R8" s="65" t="str">
        <f>IF(ISERROR(Q8),"×",IF(Q8="-","×","○"))</f>
        <v>×</v>
      </c>
      <c r="S8" s="65" t="e">
        <f>VLOOKUP($D8&amp;S$5,'②-2勤務時間数入力'!$D$7:$Q$106,$L8,FALSE)</f>
        <v>#N/A</v>
      </c>
      <c r="T8" s="65" t="str">
        <f>IF(ISERROR(S8),"×",IF(S8="-","×","○"))</f>
        <v>×</v>
      </c>
    </row>
    <row r="9" spans="1:20" ht="13.5" customHeight="1">
      <c r="A9" s="853"/>
      <c r="B9" s="856"/>
      <c r="C9" s="726"/>
      <c r="D9" s="145"/>
      <c r="E9" s="63" t="str">
        <f t="shared" ref="E9" si="6">IF(D9="","",IF(N9="○",M$5,IF(P9="○",O$5,IF(R9="○",Q$5,IF(T9="○",S$5,"ERROR")))))</f>
        <v/>
      </c>
      <c r="F9" s="62" t="str">
        <f t="shared" si="4"/>
        <v/>
      </c>
      <c r="G9" s="146" t="str">
        <f t="shared" si="0"/>
        <v/>
      </c>
      <c r="H9" s="62" t="str">
        <f>IF($D9="","",IF($E9="正規職員","-",F9*G9))</f>
        <v/>
      </c>
      <c r="I9" s="62">
        <f t="shared" si="2"/>
        <v>242333.33333333401</v>
      </c>
      <c r="J9" s="62" t="str">
        <f>IFERROR(IF($C8="-","",IF(D9="","",IF(E9="正規職員",I9-J8,MIN(MIN(H9:I9),I8-J8)))),0)</f>
        <v/>
      </c>
      <c r="K9" s="64" t="str">
        <f>IF(D9="","",IF(OR(COUNTIFS(D9,"*要配慮*")=1,COUNTIFS(D9,"*医療的ケア*")=1),"○","エラー"))</f>
        <v/>
      </c>
      <c r="L9" s="65">
        <f t="shared" si="5"/>
        <v>3</v>
      </c>
      <c r="M9" s="65" t="e">
        <f>VLOOKUP($D9&amp;M$5,'②-2勤務時間数入力'!$D$7:$Q$106,$L9,FALSE)</f>
        <v>#N/A</v>
      </c>
      <c r="N9" s="65" t="str">
        <f>IF(ISERROR(M9),"×",IF(M9="-","×","○"))</f>
        <v>×</v>
      </c>
      <c r="O9" s="65" t="e">
        <f>VLOOKUP($D9&amp;O$5,'②-2勤務時間数入力'!$D$7:$Q$106,$L9,FALSE)</f>
        <v>#N/A</v>
      </c>
      <c r="P9" s="65" t="str">
        <f>IF(ISERROR(O9),"×",IF(O9="-","×","○"))</f>
        <v>×</v>
      </c>
      <c r="Q9" s="65" t="e">
        <f>VLOOKUP($D9&amp;Q$5,'②-2勤務時間数入力'!$D$7:$Q$106,$L9,FALSE)</f>
        <v>#N/A</v>
      </c>
      <c r="R9" s="65" t="str">
        <f>IF(ISERROR(Q9),"×",IF(Q9="-","×","○"))</f>
        <v>×</v>
      </c>
      <c r="S9" s="65" t="e">
        <f>VLOOKUP($D9&amp;S$5,'②-2勤務時間数入力'!$D$7:$Q$106,$L9,FALSE)</f>
        <v>#N/A</v>
      </c>
      <c r="T9" s="65" t="str">
        <f>IF(ISERROR(S9),"×",IF(S9="-","×","○"))</f>
        <v>×</v>
      </c>
    </row>
    <row r="10" spans="1:20" ht="13.5" customHeight="1">
      <c r="A10" s="821"/>
      <c r="B10" s="857"/>
      <c r="C10" s="258"/>
      <c r="D10" s="1" t="s">
        <v>292</v>
      </c>
      <c r="E10" s="63" t="s">
        <v>293</v>
      </c>
      <c r="F10" s="70"/>
      <c r="G10" s="63" t="s">
        <v>293</v>
      </c>
      <c r="H10" s="63" t="s">
        <v>293</v>
      </c>
      <c r="I10" s="63" t="s">
        <v>293</v>
      </c>
      <c r="J10" s="62" t="str">
        <f>IFERROR(IF(J6="","",MIN(SUM(J6:J9),(B6*I6))),0)</f>
        <v/>
      </c>
      <c r="K10" s="64"/>
      <c r="L10" s="65"/>
      <c r="M10" s="65"/>
      <c r="N10" s="65"/>
      <c r="O10" s="65"/>
      <c r="P10" s="65"/>
      <c r="Q10" s="65"/>
      <c r="R10" s="65"/>
      <c r="S10" s="65"/>
      <c r="T10" s="65"/>
    </row>
    <row r="11" spans="1:20" ht="13.5" customHeight="1">
      <c r="A11" s="820">
        <v>5</v>
      </c>
      <c r="B11" s="855" t="str">
        <f>IF(判定!AZ10&gt;=1,判定!AZ10,"-")</f>
        <v>-</v>
      </c>
      <c r="C11" s="841" t="str">
        <f>IF(B11&gt;=1,IFERROR(INDEX($F$81:$G$86,MATCH(判定!AR10,$F$81:$F$86,0),2),"-"),"-")</f>
        <v>-</v>
      </c>
      <c r="D11" s="145" t="str">
        <f>IF(D6="","",D6)</f>
        <v/>
      </c>
      <c r="E11" s="63" t="str">
        <f>IF(D11="","",IF(N11="○",M$5,IF(P11="○",O$5,IF(R11="○",Q$5,IF(T11="○",S$5,"ERROR")))))</f>
        <v/>
      </c>
      <c r="F11" s="62" t="str">
        <f>IF(D11="","",IF(N11="○",M11,IF(P11="○",O11,IF(R11="○",Q11,IF(T11="○",S11,"ERROR")))))</f>
        <v/>
      </c>
      <c r="G11" s="146" t="str">
        <f>IF($D11="","",IF($E11="正規職員","-","賃金単価を記載"))</f>
        <v/>
      </c>
      <c r="H11" s="62" t="str">
        <f t="shared" ref="H11:H12" si="7">IF($D11="","",IF($E11="正規職員","-",F11*G11))</f>
        <v/>
      </c>
      <c r="I11" s="279">
        <f>⑩特定加算１!I11</f>
        <v>242333.33333333401</v>
      </c>
      <c r="J11" s="62" t="str">
        <f>IFERROR(IF($C11="-","",IF(D11="",0,IF(E11="正規職員",I11,MIN(H11:I11)))),0)</f>
        <v/>
      </c>
      <c r="K11" s="64" t="str">
        <f>IF(D11="","",IF(OR(COUNTIFS(D11,"*要配慮*")=1,COUNTIFS(D11,"*医療的ケア*")=1),"○","エラー"))</f>
        <v/>
      </c>
      <c r="L11" s="65">
        <f>L6+1</f>
        <v>4</v>
      </c>
      <c r="M11" s="65" t="e">
        <f>VLOOKUP($D11&amp;M$5,'②-2勤務時間数入力'!$D$7:$Q$106,$L11,FALSE)</f>
        <v>#N/A</v>
      </c>
      <c r="N11" s="65" t="str">
        <f>IF(ISERROR(M11),"×",IF(M11="-","×","○"))</f>
        <v>×</v>
      </c>
      <c r="O11" s="65" t="e">
        <f>VLOOKUP($D11&amp;O$5,'②-2勤務時間数入力'!$D$7:$Q$106,$L11,FALSE)</f>
        <v>#N/A</v>
      </c>
      <c r="P11" s="65" t="str">
        <f>IF(ISERROR(O11),"×",IF(O11="-","×","○"))</f>
        <v>×</v>
      </c>
      <c r="Q11" s="65" t="e">
        <f>VLOOKUP($D11&amp;Q$5,'②-2勤務時間数入力'!$D$7:$Q$106,$L11,FALSE)</f>
        <v>#N/A</v>
      </c>
      <c r="R11" s="65" t="str">
        <f>IF(ISERROR(Q11),"×",IF(Q11="-","×","○"))</f>
        <v>×</v>
      </c>
      <c r="S11" s="65" t="e">
        <f>VLOOKUP($D11&amp;S$5,'②-2勤務時間数入力'!$D$7:$Q$106,$L11,FALSE)</f>
        <v>#N/A</v>
      </c>
      <c r="T11" s="65" t="str">
        <f>IF(ISERROR(S11),"×",IF(S11="-","×","○"))</f>
        <v>×</v>
      </c>
    </row>
    <row r="12" spans="1:20" ht="13.5" customHeight="1">
      <c r="A12" s="839"/>
      <c r="B12" s="856"/>
      <c r="C12" s="735"/>
      <c r="D12" s="145" t="str">
        <f t="shared" ref="D12:D14" si="8">IF(D7="","",D7)</f>
        <v/>
      </c>
      <c r="E12" s="63" t="str">
        <f>IF(D12="","",IF(N12="○",M$5,IF(P12="○",O$5,IF(R12="○",Q$5,IF(T12="○",S$5,"ERROR")))))</f>
        <v/>
      </c>
      <c r="F12" s="62" t="str">
        <f>IF(D12="","",IF(N12="○",M12,IF(P12="○",O12,IF(R12="○",Q12,IF(T12="○",S12,"ERROR")))))</f>
        <v/>
      </c>
      <c r="G12" s="146" t="str">
        <f t="shared" ref="G12:G14" si="9">IF($D12="","",IF($E12="正規職員","-","賃金単価を記載"))</f>
        <v/>
      </c>
      <c r="H12" s="62" t="str">
        <f t="shared" si="7"/>
        <v/>
      </c>
      <c r="I12" s="62">
        <f t="shared" ref="I12:I14" si="10">$I$6</f>
        <v>242333.33333333401</v>
      </c>
      <c r="J12" s="62" t="str">
        <f>IFERROR(IF($C11="-","",IF(D12="","",IF(E12="正規職員",I12-J11,MIN(MIN(H12:I12),I11-J11)))),0)</f>
        <v/>
      </c>
      <c r="K12" s="64" t="str">
        <f t="shared" ref="K12:K13" si="11">IF(D12="","",IF(OR(COUNTIFS(D12,"*要配慮*")=1,COUNTIFS(D12,"*医療的ケア*")=1),"○","エラー"))</f>
        <v/>
      </c>
      <c r="L12" s="65">
        <f>L11</f>
        <v>4</v>
      </c>
      <c r="M12" s="65" t="e">
        <f>VLOOKUP($D12&amp;M$5,'②-2勤務時間数入力'!$D$7:$Q$106,$L12,FALSE)</f>
        <v>#N/A</v>
      </c>
      <c r="N12" s="65" t="str">
        <f>IF(ISERROR(M12),"×",IF(M12="-","×","○"))</f>
        <v>×</v>
      </c>
      <c r="O12" s="65" t="e">
        <f>VLOOKUP($D12&amp;O$5,'②-2勤務時間数入力'!$D$7:$Q$106,$L12,FALSE)</f>
        <v>#N/A</v>
      </c>
      <c r="P12" s="65" t="str">
        <f>IF(ISERROR(O12),"×",IF(O12="-","×","○"))</f>
        <v>×</v>
      </c>
      <c r="Q12" s="65" t="e">
        <f>VLOOKUP($D12&amp;Q$5,'②-2勤務時間数入力'!$D$7:$Q$106,$L12,FALSE)</f>
        <v>#N/A</v>
      </c>
      <c r="R12" s="65" t="str">
        <f>IF(ISERROR(Q12),"×",IF(Q12="-","×","○"))</f>
        <v>×</v>
      </c>
      <c r="S12" s="65" t="e">
        <f>VLOOKUP($D12&amp;S$5,'②-2勤務時間数入力'!$D$7:$Q$106,$L12,FALSE)</f>
        <v>#N/A</v>
      </c>
      <c r="T12" s="65" t="str">
        <f>IF(ISERROR(S12),"×",IF(S12="-","×","○"))</f>
        <v>×</v>
      </c>
    </row>
    <row r="13" spans="1:20" ht="13.5" customHeight="1">
      <c r="A13" s="839"/>
      <c r="B13" s="856"/>
      <c r="C13" s="854" t="str">
        <f>IF(B11&gt;=1,IFERROR(INDEX($F$81:$G$86,MATCH(判定!AS10,$F$81:$F$86,0),2),"-"),"-")</f>
        <v>-</v>
      </c>
      <c r="D13" s="145" t="str">
        <f t="shared" si="8"/>
        <v/>
      </c>
      <c r="E13" s="63" t="str">
        <f>IF(D13="","",IF(N13="○",M$5,IF(P13="○",O$5,IF(R13="○",Q$5,IF(T13="○",S$5,"ERROR")))))</f>
        <v/>
      </c>
      <c r="F13" s="62" t="str">
        <f t="shared" ref="F13:F14" si="12">IF(D13="","",IF(N13="○",M13,IF(P13="○",O13,IF(R13="○",Q13,IF(T13="○",S13,"ERROR")))))</f>
        <v/>
      </c>
      <c r="G13" s="146" t="str">
        <f t="shared" si="9"/>
        <v/>
      </c>
      <c r="H13" s="62" t="str">
        <f>IF($D13="","",IF($E13="正規職員","-",F13*G13))</f>
        <v/>
      </c>
      <c r="I13" s="62">
        <f t="shared" si="10"/>
        <v>242333.33333333401</v>
      </c>
      <c r="J13" s="62" t="str">
        <f>IFERROR(IF($C13="-","",IF(D13="",0,IF(E13="正規職員",I13,MIN(H13:I13)))),0)</f>
        <v/>
      </c>
      <c r="K13" s="64" t="str">
        <f t="shared" si="11"/>
        <v/>
      </c>
      <c r="L13" s="65">
        <f t="shared" ref="L13:L14" si="13">L12</f>
        <v>4</v>
      </c>
      <c r="M13" s="65" t="e">
        <f>VLOOKUP($D13&amp;M$5,'②-2勤務時間数入力'!$D$7:$Q$106,$L13,FALSE)</f>
        <v>#N/A</v>
      </c>
      <c r="N13" s="65" t="str">
        <f>IF(ISERROR(M13),"×",IF(M13="-","×","○"))</f>
        <v>×</v>
      </c>
      <c r="O13" s="65" t="e">
        <f>VLOOKUP($D13&amp;O$5,'②-2勤務時間数入力'!$D$7:$Q$106,$L13,FALSE)</f>
        <v>#N/A</v>
      </c>
      <c r="P13" s="65" t="str">
        <f>IF(ISERROR(O13),"×",IF(O13="-","×","○"))</f>
        <v>×</v>
      </c>
      <c r="Q13" s="65" t="e">
        <f>VLOOKUP($D13&amp;Q$5,'②-2勤務時間数入力'!$D$7:$Q$106,$L13,FALSE)</f>
        <v>#N/A</v>
      </c>
      <c r="R13" s="65" t="str">
        <f>IF(ISERROR(Q13),"×",IF(Q13="-","×","○"))</f>
        <v>×</v>
      </c>
      <c r="S13" s="65" t="e">
        <f>VLOOKUP($D13&amp;S$5,'②-2勤務時間数入力'!$D$7:$Q$106,$L13,FALSE)</f>
        <v>#N/A</v>
      </c>
      <c r="T13" s="65" t="str">
        <f>IF(ISERROR(S13),"×",IF(S13="-","×","○"))</f>
        <v>×</v>
      </c>
    </row>
    <row r="14" spans="1:20" ht="13.5" customHeight="1">
      <c r="A14" s="853"/>
      <c r="B14" s="856"/>
      <c r="C14" s="726"/>
      <c r="D14" s="145" t="str">
        <f t="shared" si="8"/>
        <v/>
      </c>
      <c r="E14" s="63" t="str">
        <f t="shared" ref="E14" si="14">IF(D14="","",IF(N14="○",M$5,IF(P14="○",O$5,IF(R14="○",Q$5,IF(T14="○",S$5,"ERROR")))))</f>
        <v/>
      </c>
      <c r="F14" s="62" t="str">
        <f t="shared" si="12"/>
        <v/>
      </c>
      <c r="G14" s="146" t="str">
        <f t="shared" si="9"/>
        <v/>
      </c>
      <c r="H14" s="62" t="str">
        <f>IF($D14="","",IF($E14="正規職員","-",F14*G14))</f>
        <v/>
      </c>
      <c r="I14" s="62">
        <f t="shared" si="10"/>
        <v>242333.33333333401</v>
      </c>
      <c r="J14" s="62" t="str">
        <f>IFERROR(IF($C13="-","",IF(D14="","",IF(E14="正規職員",I14-J13,MIN(MIN(H14:I14),I13-J13)))),0)</f>
        <v/>
      </c>
      <c r="K14" s="64" t="str">
        <f>IF(D14="","",IF(OR(COUNTIFS(D14,"*要配慮*")=1,COUNTIFS(D14,"*医療的ケア*")=1),"○","エラー"))</f>
        <v/>
      </c>
      <c r="L14" s="65">
        <f t="shared" si="13"/>
        <v>4</v>
      </c>
      <c r="M14" s="65" t="e">
        <f>VLOOKUP($D14&amp;M$5,'②-2勤務時間数入力'!$D$7:$Q$106,$L14,FALSE)</f>
        <v>#N/A</v>
      </c>
      <c r="N14" s="65" t="str">
        <f>IF(ISERROR(M14),"×",IF(M14="-","×","○"))</f>
        <v>×</v>
      </c>
      <c r="O14" s="65" t="e">
        <f>VLOOKUP($D14&amp;O$5,'②-2勤務時間数入力'!$D$7:$Q$106,$L14,FALSE)</f>
        <v>#N/A</v>
      </c>
      <c r="P14" s="65" t="str">
        <f>IF(ISERROR(O14),"×",IF(O14="-","×","○"))</f>
        <v>×</v>
      </c>
      <c r="Q14" s="65" t="e">
        <f>VLOOKUP($D14&amp;Q$5,'②-2勤務時間数入力'!$D$7:$Q$106,$L14,FALSE)</f>
        <v>#N/A</v>
      </c>
      <c r="R14" s="65" t="str">
        <f>IF(ISERROR(Q14),"×",IF(Q14="-","×","○"))</f>
        <v>×</v>
      </c>
      <c r="S14" s="65" t="e">
        <f>VLOOKUP($D14&amp;S$5,'②-2勤務時間数入力'!$D$7:$Q$106,$L14,FALSE)</f>
        <v>#N/A</v>
      </c>
      <c r="T14" s="65" t="str">
        <f>IF(ISERROR(S14),"×",IF(S14="-","×","○"))</f>
        <v>×</v>
      </c>
    </row>
    <row r="15" spans="1:20" ht="13.5" customHeight="1">
      <c r="A15" s="821"/>
      <c r="B15" s="857"/>
      <c r="C15" s="258"/>
      <c r="D15" s="1" t="s">
        <v>294</v>
      </c>
      <c r="E15" s="63" t="s">
        <v>293</v>
      </c>
      <c r="F15" s="70"/>
      <c r="G15" s="63" t="s">
        <v>293</v>
      </c>
      <c r="H15" s="63" t="s">
        <v>293</v>
      </c>
      <c r="I15" s="63" t="s">
        <v>293</v>
      </c>
      <c r="J15" s="62" t="str">
        <f>IFERROR(IF(J11="","",MIN(SUM(J11:J14),(B11*I11))),0)</f>
        <v/>
      </c>
      <c r="K15" s="64"/>
      <c r="L15" s="65"/>
      <c r="M15" s="65"/>
      <c r="N15" s="65"/>
      <c r="O15" s="65"/>
      <c r="P15" s="65"/>
      <c r="Q15" s="65"/>
      <c r="R15" s="65"/>
      <c r="S15" s="65"/>
      <c r="T15" s="65"/>
    </row>
    <row r="16" spans="1:20" ht="13.5" customHeight="1">
      <c r="A16" s="820">
        <v>6</v>
      </c>
      <c r="B16" s="855" t="str">
        <f>IF(判定!AZ11&gt;=1,判定!AZ11,"-")</f>
        <v>-</v>
      </c>
      <c r="C16" s="841" t="str">
        <f>IF(B16&gt;=1,IFERROR(INDEX($F$81:$G$86,MATCH(判定!AR11,$F$81:$F$86,0),2),"-"),"-")</f>
        <v>-</v>
      </c>
      <c r="D16" s="145" t="str">
        <f>IF(D11="","",D11)</f>
        <v/>
      </c>
      <c r="E16" s="63" t="str">
        <f>IF(D16="","",IF(N16="○",M$5,IF(P16="○",O$5,IF(R16="○",Q$5,IF(T16="○",S$5,"ERROR")))))</f>
        <v/>
      </c>
      <c r="F16" s="62" t="str">
        <f>IF(D16="","",IF(N16="○",M16,IF(P16="○",O16,IF(R16="○",Q16,IF(T16="○",S16,"ERROR")))))</f>
        <v/>
      </c>
      <c r="G16" s="146" t="str">
        <f>IF($D16="","",IF($E16="正規職員","-","賃金単価を記載"))</f>
        <v/>
      </c>
      <c r="H16" s="62" t="str">
        <f t="shared" ref="H16:H17" si="15">IF($D16="","",IF($E16="正規職員","-",F16*G16))</f>
        <v/>
      </c>
      <c r="I16" s="62">
        <f t="shared" ref="I16:I19" si="16">$I$6</f>
        <v>242333.33333333401</v>
      </c>
      <c r="J16" s="62" t="str">
        <f>IFERROR(IF($C16="-","",IF(D16="",0,IF(E16="正規職員",I16,MIN(H16:I16)))),0)</f>
        <v/>
      </c>
      <c r="K16" s="64" t="str">
        <f>IF(D16="","",IF(OR(COUNTIFS(D16,"*要配慮*")=1,COUNTIFS(D16,"*医療的ケア*")=1),"○","エラー"))</f>
        <v/>
      </c>
      <c r="L16" s="65">
        <f>L11+1</f>
        <v>5</v>
      </c>
      <c r="M16" s="65" t="e">
        <f>VLOOKUP($D16&amp;M$5,'②-2勤務時間数入力'!$D$7:$Q$106,$L16,FALSE)</f>
        <v>#N/A</v>
      </c>
      <c r="N16" s="65" t="str">
        <f>IF(ISERROR(M16),"×",IF(M16="-","×","○"))</f>
        <v>×</v>
      </c>
      <c r="O16" s="65" t="e">
        <f>VLOOKUP($D16&amp;O$5,'②-2勤務時間数入力'!$D$7:$Q$106,$L16,FALSE)</f>
        <v>#N/A</v>
      </c>
      <c r="P16" s="65" t="str">
        <f>IF(ISERROR(O16),"×",IF(O16="-","×","○"))</f>
        <v>×</v>
      </c>
      <c r="Q16" s="65" t="e">
        <f>VLOOKUP($D16&amp;Q$5,'②-2勤務時間数入力'!$D$7:$Q$106,$L16,FALSE)</f>
        <v>#N/A</v>
      </c>
      <c r="R16" s="65" t="str">
        <f>IF(ISERROR(Q16),"×",IF(Q16="-","×","○"))</f>
        <v>×</v>
      </c>
      <c r="S16" s="65" t="e">
        <f>VLOOKUP($D16&amp;S$5,'②-2勤務時間数入力'!$D$7:$Q$106,$L16,FALSE)</f>
        <v>#N/A</v>
      </c>
      <c r="T16" s="65" t="str">
        <f>IF(ISERROR(S16),"×",IF(S16="-","×","○"))</f>
        <v>×</v>
      </c>
    </row>
    <row r="17" spans="1:20" ht="13.5" customHeight="1">
      <c r="A17" s="839"/>
      <c r="B17" s="856"/>
      <c r="C17" s="735"/>
      <c r="D17" s="145" t="str">
        <f t="shared" ref="D17:D19" si="17">IF(D12="","",D12)</f>
        <v/>
      </c>
      <c r="E17" s="63" t="str">
        <f>IF(D17="","",IF(N17="○",M$5,IF(P17="○",O$5,IF(R17="○",Q$5,IF(T17="○",S$5,"ERROR")))))</f>
        <v/>
      </c>
      <c r="F17" s="62" t="str">
        <f>IF(D17="","",IF(N17="○",M17,IF(P17="○",O17,IF(R17="○",Q17,IF(T17="○",S17,"ERROR")))))</f>
        <v/>
      </c>
      <c r="G17" s="146" t="str">
        <f t="shared" ref="G17:G19" si="18">IF($D17="","",IF($E17="正規職員","-","賃金単価を記載"))</f>
        <v/>
      </c>
      <c r="H17" s="62" t="str">
        <f t="shared" si="15"/>
        <v/>
      </c>
      <c r="I17" s="62">
        <f t="shared" si="16"/>
        <v>242333.33333333401</v>
      </c>
      <c r="J17" s="62" t="str">
        <f>IFERROR(IF($C16="-","",IF(D17="","",IF(E17="正規職員",I17-J16,MIN(MIN(H17:I17),I16-J16)))),0)</f>
        <v/>
      </c>
      <c r="K17" s="64" t="str">
        <f t="shared" ref="K17:K18" si="19">IF(D17="","",IF(OR(COUNTIFS(D17,"*要配慮*")=1,COUNTIFS(D17,"*医療的ケア*")=1),"○","エラー"))</f>
        <v/>
      </c>
      <c r="L17" s="65">
        <f>L16</f>
        <v>5</v>
      </c>
      <c r="M17" s="65" t="e">
        <f>VLOOKUP($D17&amp;M$5,'②-2勤務時間数入力'!$D$7:$Q$106,$L17,FALSE)</f>
        <v>#N/A</v>
      </c>
      <c r="N17" s="65" t="str">
        <f>IF(ISERROR(M17),"×",IF(M17="-","×","○"))</f>
        <v>×</v>
      </c>
      <c r="O17" s="65" t="e">
        <f>VLOOKUP($D17&amp;O$5,'②-2勤務時間数入力'!$D$7:$Q$106,$L17,FALSE)</f>
        <v>#N/A</v>
      </c>
      <c r="P17" s="65" t="str">
        <f>IF(ISERROR(O17),"×",IF(O17="-","×","○"))</f>
        <v>×</v>
      </c>
      <c r="Q17" s="65" t="e">
        <f>VLOOKUP($D17&amp;Q$5,'②-2勤務時間数入力'!$D$7:$Q$106,$L17,FALSE)</f>
        <v>#N/A</v>
      </c>
      <c r="R17" s="65" t="str">
        <f>IF(ISERROR(Q17),"×",IF(Q17="-","×","○"))</f>
        <v>×</v>
      </c>
      <c r="S17" s="65" t="e">
        <f>VLOOKUP($D17&amp;S$5,'②-2勤務時間数入力'!$D$7:$Q$106,$L17,FALSE)</f>
        <v>#N/A</v>
      </c>
      <c r="T17" s="65" t="str">
        <f>IF(ISERROR(S17),"×",IF(S17="-","×","○"))</f>
        <v>×</v>
      </c>
    </row>
    <row r="18" spans="1:20" ht="13.5" customHeight="1">
      <c r="A18" s="839"/>
      <c r="B18" s="856"/>
      <c r="C18" s="854" t="str">
        <f>IF(B16&gt;=1,IFERROR(INDEX($F$81:$G$86,MATCH(判定!AS11,$F$81:$F$86,0),2),"-"),"-")</f>
        <v>-</v>
      </c>
      <c r="D18" s="145" t="str">
        <f>IF(D13="","",D13)</f>
        <v/>
      </c>
      <c r="E18" s="63" t="str">
        <f>IF(D18="","",IF(N18="○",M$5,IF(P18="○",O$5,IF(R18="○",Q$5,IF(T18="○",S$5,"ERROR")))))</f>
        <v/>
      </c>
      <c r="F18" s="62" t="str">
        <f t="shared" ref="F18:F19" si="20">IF(D18="","",IF(N18="○",M18,IF(P18="○",O18,IF(R18="○",Q18,IF(T18="○",S18,"ERROR")))))</f>
        <v/>
      </c>
      <c r="G18" s="146" t="str">
        <f t="shared" si="18"/>
        <v/>
      </c>
      <c r="H18" s="62" t="str">
        <f>IF($D18="","",IF($E18="正規職員","-",F18*G18))</f>
        <v/>
      </c>
      <c r="I18" s="62">
        <f t="shared" si="16"/>
        <v>242333.33333333401</v>
      </c>
      <c r="J18" s="62" t="str">
        <f>IFERROR(IF($C18="-","",IF(D18="",0,IF(E18="正規職員",I18,MIN(H18:I18)))),0)</f>
        <v/>
      </c>
      <c r="K18" s="64" t="str">
        <f t="shared" si="19"/>
        <v/>
      </c>
      <c r="L18" s="65">
        <f t="shared" ref="L18:L19" si="21">L17</f>
        <v>5</v>
      </c>
      <c r="M18" s="65" t="e">
        <f>VLOOKUP($D18&amp;M$5,'②-2勤務時間数入力'!$D$7:$Q$106,$L18,FALSE)</f>
        <v>#N/A</v>
      </c>
      <c r="N18" s="65" t="str">
        <f>IF(ISERROR(M18),"×",IF(M18="-","×","○"))</f>
        <v>×</v>
      </c>
      <c r="O18" s="65" t="e">
        <f>VLOOKUP($D18&amp;O$5,'②-2勤務時間数入力'!$D$7:$Q$106,$L18,FALSE)</f>
        <v>#N/A</v>
      </c>
      <c r="P18" s="65" t="str">
        <f>IF(ISERROR(O18),"×",IF(O18="-","×","○"))</f>
        <v>×</v>
      </c>
      <c r="Q18" s="65" t="e">
        <f>VLOOKUP($D18&amp;Q$5,'②-2勤務時間数入力'!$D$7:$Q$106,$L18,FALSE)</f>
        <v>#N/A</v>
      </c>
      <c r="R18" s="65" t="str">
        <f>IF(ISERROR(Q18),"×",IF(Q18="-","×","○"))</f>
        <v>×</v>
      </c>
      <c r="S18" s="65" t="e">
        <f>VLOOKUP($D18&amp;S$5,'②-2勤務時間数入力'!$D$7:$Q$106,$L18,FALSE)</f>
        <v>#N/A</v>
      </c>
      <c r="T18" s="65" t="str">
        <f>IF(ISERROR(S18),"×",IF(S18="-","×","○"))</f>
        <v>×</v>
      </c>
    </row>
    <row r="19" spans="1:20" ht="13.5" customHeight="1">
      <c r="A19" s="853"/>
      <c r="B19" s="856"/>
      <c r="C19" s="726"/>
      <c r="D19" s="145" t="str">
        <f t="shared" si="17"/>
        <v/>
      </c>
      <c r="E19" s="63" t="str">
        <f t="shared" ref="E19" si="22">IF(D19="","",IF(N19="○",M$5,IF(P19="○",O$5,IF(R19="○",Q$5,IF(T19="○",S$5,"ERROR")))))</f>
        <v/>
      </c>
      <c r="F19" s="62" t="str">
        <f t="shared" si="20"/>
        <v/>
      </c>
      <c r="G19" s="146" t="str">
        <f t="shared" si="18"/>
        <v/>
      </c>
      <c r="H19" s="62" t="str">
        <f>IF($D19="","",IF($E19="正規職員","-",F19*G19))</f>
        <v/>
      </c>
      <c r="I19" s="62">
        <f t="shared" si="16"/>
        <v>242333.33333333401</v>
      </c>
      <c r="J19" s="62" t="str">
        <f>IFERROR(IF($C18="-","",IF(D19="","",IF(E19="正規職員",I19-J18,MIN(MIN(H19:I19),I18-J18)))),0)</f>
        <v/>
      </c>
      <c r="K19" s="64" t="str">
        <f>IF(D19="","",IF(OR(COUNTIFS(D19,"*要配慮*")=1,COUNTIFS(D19,"*医療的ケア*")=1),"○","エラー"))</f>
        <v/>
      </c>
      <c r="L19" s="65">
        <f t="shared" si="21"/>
        <v>5</v>
      </c>
      <c r="M19" s="65" t="e">
        <f>VLOOKUP($D19&amp;M$5,'②-2勤務時間数入力'!$D$7:$Q$106,$L19,FALSE)</f>
        <v>#N/A</v>
      </c>
      <c r="N19" s="65" t="str">
        <f>IF(ISERROR(M19),"×",IF(M19="-","×","○"))</f>
        <v>×</v>
      </c>
      <c r="O19" s="65" t="e">
        <f>VLOOKUP($D19&amp;O$5,'②-2勤務時間数入力'!$D$7:$Q$106,$L19,FALSE)</f>
        <v>#N/A</v>
      </c>
      <c r="P19" s="65" t="str">
        <f>IF(ISERROR(O19),"×",IF(O19="-","×","○"))</f>
        <v>×</v>
      </c>
      <c r="Q19" s="65" t="e">
        <f>VLOOKUP($D19&amp;Q$5,'②-2勤務時間数入力'!$D$7:$Q$106,$L19,FALSE)</f>
        <v>#N/A</v>
      </c>
      <c r="R19" s="65" t="str">
        <f>IF(ISERROR(Q19),"×",IF(Q19="-","×","○"))</f>
        <v>×</v>
      </c>
      <c r="S19" s="65" t="e">
        <f>VLOOKUP($D19&amp;S$5,'②-2勤務時間数入力'!$D$7:$Q$106,$L19,FALSE)</f>
        <v>#N/A</v>
      </c>
      <c r="T19" s="65" t="str">
        <f>IF(ISERROR(S19),"×",IF(S19="-","×","○"))</f>
        <v>×</v>
      </c>
    </row>
    <row r="20" spans="1:20" ht="13.5" customHeight="1">
      <c r="A20" s="821"/>
      <c r="B20" s="857"/>
      <c r="C20" s="258"/>
      <c r="D20" s="1" t="s">
        <v>295</v>
      </c>
      <c r="E20" s="63" t="s">
        <v>293</v>
      </c>
      <c r="F20" s="70"/>
      <c r="G20" s="63" t="s">
        <v>293</v>
      </c>
      <c r="H20" s="63" t="s">
        <v>293</v>
      </c>
      <c r="I20" s="63" t="s">
        <v>293</v>
      </c>
      <c r="J20" s="62" t="str">
        <f>IFERROR(IF(J16="","",MIN(SUM(J16:J19),(B16*I16))),0)</f>
        <v/>
      </c>
      <c r="K20" s="64"/>
      <c r="L20" s="65"/>
      <c r="M20" s="65"/>
      <c r="N20" s="65"/>
      <c r="O20" s="65"/>
      <c r="P20" s="65"/>
      <c r="Q20" s="65"/>
      <c r="R20" s="65"/>
      <c r="S20" s="65"/>
      <c r="T20" s="65"/>
    </row>
    <row r="21" spans="1:20" ht="13.5" customHeight="1">
      <c r="A21" s="820">
        <v>7</v>
      </c>
      <c r="B21" s="855" t="str">
        <f>IF(判定!AZ12&gt;=1,判定!AZ12,"-")</f>
        <v>-</v>
      </c>
      <c r="C21" s="841" t="str">
        <f>IF(B21&gt;=1,IFERROR(INDEX($F$81:$G$86,MATCH(判定!AR12,$F$81:$F$86,0),2),"-"),"-")</f>
        <v>-</v>
      </c>
      <c r="D21" s="145" t="str">
        <f>IF(D16="","",D16)</f>
        <v/>
      </c>
      <c r="E21" s="63" t="str">
        <f>IF(D21="","",IF(N21="○",M$5,IF(P21="○",O$5,IF(R21="○",Q$5,IF(T21="○",S$5,"ERROR")))))</f>
        <v/>
      </c>
      <c r="F21" s="62" t="str">
        <f>IF(D21="","",IF(N21="○",M21,IF(P21="○",O21,IF(R21="○",Q21,IF(T21="○",S21,"ERROR")))))</f>
        <v/>
      </c>
      <c r="G21" s="146" t="str">
        <f>IF($D21="","",IF($E21="正規職員","-","賃金単価を記載"))</f>
        <v/>
      </c>
      <c r="H21" s="62" t="str">
        <f t="shared" ref="H21:H22" si="23">IF($D21="","",IF($E21="正規職員","-",F21*G21))</f>
        <v/>
      </c>
      <c r="I21" s="279">
        <f>⑩特定加算１!I21</f>
        <v>242333.33333333401</v>
      </c>
      <c r="J21" s="62" t="str">
        <f>IFERROR(IF($C21="-","",IF(D21="",0,IF(E21="正規職員",I21,MIN(H21:I21)))),0)</f>
        <v/>
      </c>
      <c r="K21" s="64" t="str">
        <f>IF(D21="","",IF(OR(COUNTIFS(D21,"*要配慮*")=1,COUNTIFS(D21,"*医療的ケア*")=1),"○","エラー"))</f>
        <v/>
      </c>
      <c r="L21" s="65">
        <f>L16+1</f>
        <v>6</v>
      </c>
      <c r="M21" s="65" t="e">
        <f>VLOOKUP($D21&amp;M$5,'②-2勤務時間数入力'!$D$7:$Q$106,$L21,FALSE)</f>
        <v>#N/A</v>
      </c>
      <c r="N21" s="65" t="str">
        <f>IF(ISERROR(M21),"×",IF(M21="-","×","○"))</f>
        <v>×</v>
      </c>
      <c r="O21" s="65" t="e">
        <f>VLOOKUP($D21&amp;O$5,'②-2勤務時間数入力'!$D$7:$Q$106,$L21,FALSE)</f>
        <v>#N/A</v>
      </c>
      <c r="P21" s="65" t="str">
        <f>IF(ISERROR(O21),"×",IF(O21="-","×","○"))</f>
        <v>×</v>
      </c>
      <c r="Q21" s="65" t="e">
        <f>VLOOKUP($D21&amp;Q$5,'②-2勤務時間数入力'!$D$7:$Q$106,$L21,FALSE)</f>
        <v>#N/A</v>
      </c>
      <c r="R21" s="65" t="str">
        <f>IF(ISERROR(Q21),"×",IF(Q21="-","×","○"))</f>
        <v>×</v>
      </c>
      <c r="S21" s="65" t="e">
        <f>VLOOKUP($D21&amp;S$5,'②-2勤務時間数入力'!$D$7:$Q$106,$L21,FALSE)</f>
        <v>#N/A</v>
      </c>
      <c r="T21" s="65" t="str">
        <f>IF(ISERROR(S21),"×",IF(S21="-","×","○"))</f>
        <v>×</v>
      </c>
    </row>
    <row r="22" spans="1:20" ht="13.5" customHeight="1">
      <c r="A22" s="839"/>
      <c r="B22" s="856"/>
      <c r="C22" s="735"/>
      <c r="D22" s="145" t="str">
        <f t="shared" ref="D22:D24" si="24">IF(D17="","",D17)</f>
        <v/>
      </c>
      <c r="E22" s="63" t="str">
        <f>IF(D22="","",IF(N22="○",M$5,IF(P22="○",O$5,IF(R22="○",Q$5,IF(T22="○",S$5,"ERROR")))))</f>
        <v/>
      </c>
      <c r="F22" s="62" t="str">
        <f>IF(D22="","",IF(N22="○",M22,IF(P22="○",O22,IF(R22="○",Q22,IF(T22="○",S22,"ERROR")))))</f>
        <v/>
      </c>
      <c r="G22" s="146" t="str">
        <f t="shared" ref="G22:G24" si="25">IF($D22="","",IF($E22="正規職員","-","賃金単価を記載"))</f>
        <v/>
      </c>
      <c r="H22" s="62" t="str">
        <f t="shared" si="23"/>
        <v/>
      </c>
      <c r="I22" s="62">
        <f t="shared" ref="I22:I24" si="26">$I$6</f>
        <v>242333.33333333401</v>
      </c>
      <c r="J22" s="62" t="str">
        <f>IFERROR(IF($C21="-","",IF(D22="","",IF(E22="正規職員",I22-J21,MIN(MIN(H22:I22),I21-J21)))),0)</f>
        <v/>
      </c>
      <c r="K22" s="64" t="str">
        <f t="shared" ref="K22:K23" si="27">IF(D22="","",IF(OR(COUNTIFS(D22,"*要配慮*")=1,COUNTIFS(D22,"*医療的ケア*")=1),"○","エラー"))</f>
        <v/>
      </c>
      <c r="L22" s="65">
        <f>L21</f>
        <v>6</v>
      </c>
      <c r="M22" s="65" t="e">
        <f>VLOOKUP($D22&amp;M$5,'②-2勤務時間数入力'!$D$7:$Q$106,$L22,FALSE)</f>
        <v>#N/A</v>
      </c>
      <c r="N22" s="65" t="str">
        <f>IF(ISERROR(M22),"×",IF(M22="-","×","○"))</f>
        <v>×</v>
      </c>
      <c r="O22" s="65" t="e">
        <f>VLOOKUP($D22&amp;O$5,'②-2勤務時間数入力'!$D$7:$Q$106,$L22,FALSE)</f>
        <v>#N/A</v>
      </c>
      <c r="P22" s="65" t="str">
        <f>IF(ISERROR(O22),"×",IF(O22="-","×","○"))</f>
        <v>×</v>
      </c>
      <c r="Q22" s="65" t="e">
        <f>VLOOKUP($D22&amp;Q$5,'②-2勤務時間数入力'!$D$7:$Q$106,$L22,FALSE)</f>
        <v>#N/A</v>
      </c>
      <c r="R22" s="65" t="str">
        <f>IF(ISERROR(Q22),"×",IF(Q22="-","×","○"))</f>
        <v>×</v>
      </c>
      <c r="S22" s="65" t="e">
        <f>VLOOKUP($D22&amp;S$5,'②-2勤務時間数入力'!$D$7:$Q$106,$L22,FALSE)</f>
        <v>#N/A</v>
      </c>
      <c r="T22" s="65" t="str">
        <f>IF(ISERROR(S22),"×",IF(S22="-","×","○"))</f>
        <v>×</v>
      </c>
    </row>
    <row r="23" spans="1:20" ht="13.5" customHeight="1">
      <c r="A23" s="839"/>
      <c r="B23" s="856"/>
      <c r="C23" s="854" t="str">
        <f>IF(B21&gt;=1,IFERROR(INDEX($F$81:$G$86,MATCH(判定!AS12,$F$81:$F$86,0),2),"-"),"-")</f>
        <v>-</v>
      </c>
      <c r="D23" s="145" t="str">
        <f t="shared" si="24"/>
        <v/>
      </c>
      <c r="E23" s="63" t="str">
        <f>IF(D23="","",IF(N23="○",M$5,IF(P23="○",O$5,IF(R23="○",Q$5,IF(T23="○",S$5,"ERROR")))))</f>
        <v/>
      </c>
      <c r="F23" s="62" t="str">
        <f t="shared" ref="F23:F24" si="28">IF(D23="","",IF(N23="○",M23,IF(P23="○",O23,IF(R23="○",Q23,IF(T23="○",S23,"ERROR")))))</f>
        <v/>
      </c>
      <c r="G23" s="146" t="str">
        <f t="shared" si="25"/>
        <v/>
      </c>
      <c r="H23" s="62" t="str">
        <f>IF($D23="","",IF($E23="正規職員","-",F23*G23))</f>
        <v/>
      </c>
      <c r="I23" s="62">
        <f t="shared" si="26"/>
        <v>242333.33333333401</v>
      </c>
      <c r="J23" s="62" t="str">
        <f>IFERROR(IF($C23="-","",IF(D23="",0,IF(E23="正規職員",I23,MIN(H23:I23)))),0)</f>
        <v/>
      </c>
      <c r="K23" s="64" t="str">
        <f t="shared" si="27"/>
        <v/>
      </c>
      <c r="L23" s="65">
        <f t="shared" ref="L23:L24" si="29">L22</f>
        <v>6</v>
      </c>
      <c r="M23" s="65" t="e">
        <f>VLOOKUP($D23&amp;M$5,'②-2勤務時間数入力'!$D$7:$Q$106,$L23,FALSE)</f>
        <v>#N/A</v>
      </c>
      <c r="N23" s="65" t="str">
        <f>IF(ISERROR(M23),"×",IF(M23="-","×","○"))</f>
        <v>×</v>
      </c>
      <c r="O23" s="65" t="e">
        <f>VLOOKUP($D23&amp;O$5,'②-2勤務時間数入力'!$D$7:$Q$106,$L23,FALSE)</f>
        <v>#N/A</v>
      </c>
      <c r="P23" s="65" t="str">
        <f>IF(ISERROR(O23),"×",IF(O23="-","×","○"))</f>
        <v>×</v>
      </c>
      <c r="Q23" s="65" t="e">
        <f>VLOOKUP($D23&amp;Q$5,'②-2勤務時間数入力'!$D$7:$Q$106,$L23,FALSE)</f>
        <v>#N/A</v>
      </c>
      <c r="R23" s="65" t="str">
        <f>IF(ISERROR(Q23),"×",IF(Q23="-","×","○"))</f>
        <v>×</v>
      </c>
      <c r="S23" s="65" t="e">
        <f>VLOOKUP($D23&amp;S$5,'②-2勤務時間数入力'!$D$7:$Q$106,$L23,FALSE)</f>
        <v>#N/A</v>
      </c>
      <c r="T23" s="65" t="str">
        <f>IF(ISERROR(S23),"×",IF(S23="-","×","○"))</f>
        <v>×</v>
      </c>
    </row>
    <row r="24" spans="1:20" ht="13.5" customHeight="1">
      <c r="A24" s="853"/>
      <c r="B24" s="856"/>
      <c r="C24" s="726"/>
      <c r="D24" s="145" t="str">
        <f t="shared" si="24"/>
        <v/>
      </c>
      <c r="E24" s="63" t="str">
        <f t="shared" ref="E24" si="30">IF(D24="","",IF(N24="○",M$5,IF(P24="○",O$5,IF(R24="○",Q$5,IF(T24="○",S$5,"ERROR")))))</f>
        <v/>
      </c>
      <c r="F24" s="62" t="str">
        <f t="shared" si="28"/>
        <v/>
      </c>
      <c r="G24" s="146" t="str">
        <f t="shared" si="25"/>
        <v/>
      </c>
      <c r="H24" s="62" t="str">
        <f>IF($D24="","",IF($E24="正規職員","-",F24*G24))</f>
        <v/>
      </c>
      <c r="I24" s="62">
        <f t="shared" si="26"/>
        <v>242333.33333333401</v>
      </c>
      <c r="J24" s="62" t="str">
        <f>IFERROR(IF($C23="-","",IF(D24="","",IF(E24="正規職員",I24-J23,MIN(MIN(H24:I24),I23-J23)))),0)</f>
        <v/>
      </c>
      <c r="K24" s="64" t="str">
        <f>IF(D24="","",IF(OR(COUNTIFS(D24,"*要配慮*")=1,COUNTIFS(D24,"*医療的ケア*")=1),"○","エラー"))</f>
        <v/>
      </c>
      <c r="L24" s="65">
        <f t="shared" si="29"/>
        <v>6</v>
      </c>
      <c r="M24" s="65" t="e">
        <f>VLOOKUP($D24&amp;M$5,'②-2勤務時間数入力'!$D$7:$Q$106,$L24,FALSE)</f>
        <v>#N/A</v>
      </c>
      <c r="N24" s="65" t="str">
        <f>IF(ISERROR(M24),"×",IF(M24="-","×","○"))</f>
        <v>×</v>
      </c>
      <c r="O24" s="65" t="e">
        <f>VLOOKUP($D24&amp;O$5,'②-2勤務時間数入力'!$D$7:$Q$106,$L24,FALSE)</f>
        <v>#N/A</v>
      </c>
      <c r="P24" s="65" t="str">
        <f>IF(ISERROR(O24),"×",IF(O24="-","×","○"))</f>
        <v>×</v>
      </c>
      <c r="Q24" s="65" t="e">
        <f>VLOOKUP($D24&amp;Q$5,'②-2勤務時間数入力'!$D$7:$Q$106,$L24,FALSE)</f>
        <v>#N/A</v>
      </c>
      <c r="R24" s="65" t="str">
        <f>IF(ISERROR(Q24),"×",IF(Q24="-","×","○"))</f>
        <v>×</v>
      </c>
      <c r="S24" s="65" t="e">
        <f>VLOOKUP($D24&amp;S$5,'②-2勤務時間数入力'!$D$7:$Q$106,$L24,FALSE)</f>
        <v>#N/A</v>
      </c>
      <c r="T24" s="65" t="str">
        <f>IF(ISERROR(S24),"×",IF(S24="-","×","○"))</f>
        <v>×</v>
      </c>
    </row>
    <row r="25" spans="1:20" ht="13.5" customHeight="1">
      <c r="A25" s="821"/>
      <c r="B25" s="857"/>
      <c r="C25" s="258"/>
      <c r="D25" s="1" t="s">
        <v>296</v>
      </c>
      <c r="E25" s="63" t="s">
        <v>293</v>
      </c>
      <c r="F25" s="70"/>
      <c r="G25" s="63" t="s">
        <v>293</v>
      </c>
      <c r="H25" s="63" t="s">
        <v>293</v>
      </c>
      <c r="I25" s="63" t="s">
        <v>293</v>
      </c>
      <c r="J25" s="62" t="str">
        <f>IFERROR(IF(J21="","",MIN(SUM(J21:J24),(B21*I21))),0)</f>
        <v/>
      </c>
      <c r="K25" s="64"/>
      <c r="L25" s="65"/>
      <c r="M25" s="65"/>
      <c r="N25" s="65"/>
      <c r="O25" s="65"/>
      <c r="P25" s="65"/>
      <c r="Q25" s="65"/>
      <c r="R25" s="65"/>
      <c r="S25" s="65"/>
      <c r="T25" s="65"/>
    </row>
    <row r="26" spans="1:20" ht="13.5" customHeight="1">
      <c r="A26" s="820">
        <v>8</v>
      </c>
      <c r="B26" s="855" t="str">
        <f>IF(判定!AZ13&gt;=1,判定!AZ13,"-")</f>
        <v>-</v>
      </c>
      <c r="C26" s="841" t="str">
        <f>IF(B26&gt;=1,IFERROR(INDEX($F$81:$G$86,MATCH(判定!AR13,$F$81:$F$86,0),2),"-"),"-")</f>
        <v>-</v>
      </c>
      <c r="D26" s="145" t="str">
        <f>IF(D21="","",D21)</f>
        <v/>
      </c>
      <c r="E26" s="63" t="str">
        <f>IF(D26="","",IF(N26="○",M$5,IF(P26="○",O$5,IF(R26="○",Q$5,IF(T26="○",S$5,"ERROR")))))</f>
        <v/>
      </c>
      <c r="F26" s="62" t="str">
        <f>IF(D26="","",IF(N26="○",M26,IF(P26="○",O26,IF(R26="○",Q26,IF(T26="○",S26,"ERROR")))))</f>
        <v/>
      </c>
      <c r="G26" s="146" t="str">
        <f>IF($D26="","",IF($E26="正規職員","-","賃金単価を記載"))</f>
        <v/>
      </c>
      <c r="H26" s="62" t="str">
        <f t="shared" ref="H26:H27" si="31">IF($D26="","",IF($E26="正規職員","-",F26*G26))</f>
        <v/>
      </c>
      <c r="I26" s="279">
        <f>⑩特定加算１!I26</f>
        <v>242333.33333333401</v>
      </c>
      <c r="J26" s="62" t="str">
        <f>IFERROR(IF($C26="-","",IF(D26="",0,IF(E26="正規職員",I26,MIN(H26:I26)))),0)</f>
        <v/>
      </c>
      <c r="K26" s="64" t="str">
        <f>IF(D26="","",IF(OR(COUNTIFS(D26,"*要配慮*")=1,COUNTIFS(D26,"*医療的ケア*")=1),"○","エラー"))</f>
        <v/>
      </c>
      <c r="L26" s="65">
        <f>L21+1</f>
        <v>7</v>
      </c>
      <c r="M26" s="65" t="e">
        <f>VLOOKUP($D26&amp;M$5,'②-2勤務時間数入力'!$D$7:$Q$106,$L26,FALSE)</f>
        <v>#N/A</v>
      </c>
      <c r="N26" s="65" t="str">
        <f>IF(ISERROR(M26),"×",IF(M26="-","×","○"))</f>
        <v>×</v>
      </c>
      <c r="O26" s="65" t="e">
        <f>VLOOKUP($D26&amp;O$5,'②-2勤務時間数入力'!$D$7:$Q$106,$L26,FALSE)</f>
        <v>#N/A</v>
      </c>
      <c r="P26" s="65" t="str">
        <f>IF(ISERROR(O26),"×",IF(O26="-","×","○"))</f>
        <v>×</v>
      </c>
      <c r="Q26" s="65" t="e">
        <f>VLOOKUP($D26&amp;Q$5,'②-2勤務時間数入力'!$D$7:$Q$106,$L26,FALSE)</f>
        <v>#N/A</v>
      </c>
      <c r="R26" s="65" t="str">
        <f>IF(ISERROR(Q26),"×",IF(Q26="-","×","○"))</f>
        <v>×</v>
      </c>
      <c r="S26" s="65" t="e">
        <f>VLOOKUP($D26&amp;S$5,'②-2勤務時間数入力'!$D$7:$Q$106,$L26,FALSE)</f>
        <v>#N/A</v>
      </c>
      <c r="T26" s="65" t="str">
        <f>IF(ISERROR(S26),"×",IF(S26="-","×","○"))</f>
        <v>×</v>
      </c>
    </row>
    <row r="27" spans="1:20" ht="13.5" customHeight="1">
      <c r="A27" s="839"/>
      <c r="B27" s="856"/>
      <c r="C27" s="735"/>
      <c r="D27" s="145" t="str">
        <f t="shared" ref="D27:D29" si="32">IF(D22="","",D22)</f>
        <v/>
      </c>
      <c r="E27" s="63" t="str">
        <f>IF(D27="","",IF(N27="○",M$5,IF(P27="○",O$5,IF(R27="○",Q$5,IF(T27="○",S$5,"ERROR")))))</f>
        <v/>
      </c>
      <c r="F27" s="62" t="str">
        <f>IF(D27="","",IF(N27="○",M27,IF(P27="○",O27,IF(R27="○",Q27,IF(T27="○",S27,"ERROR")))))</f>
        <v/>
      </c>
      <c r="G27" s="146" t="str">
        <f t="shared" ref="G27:G29" si="33">IF($D27="","",IF($E27="正規職員","-","賃金単価を記載"))</f>
        <v/>
      </c>
      <c r="H27" s="62" t="str">
        <f t="shared" si="31"/>
        <v/>
      </c>
      <c r="I27" s="62">
        <f t="shared" ref="I27:I29" si="34">$I$6</f>
        <v>242333.33333333401</v>
      </c>
      <c r="J27" s="62" t="str">
        <f>IFERROR(IF($C26="-","",IF(D27="","",IF(E27="正規職員",I27-J26,MIN(MIN(H27:I27),I26-J26)))),0)</f>
        <v/>
      </c>
      <c r="K27" s="64" t="str">
        <f t="shared" ref="K27:K28" si="35">IF(D27="","",IF(OR(COUNTIFS(D27,"*要配慮*")=1,COUNTIFS(D27,"*医療的ケア*")=1),"○","エラー"))</f>
        <v/>
      </c>
      <c r="L27" s="65">
        <f>L26</f>
        <v>7</v>
      </c>
      <c r="M27" s="65" t="e">
        <f>VLOOKUP($D27&amp;M$5,'②-2勤務時間数入力'!$D$7:$Q$106,$L27,FALSE)</f>
        <v>#N/A</v>
      </c>
      <c r="N27" s="65" t="str">
        <f>IF(ISERROR(M27),"×",IF(M27="-","×","○"))</f>
        <v>×</v>
      </c>
      <c r="O27" s="65" t="e">
        <f>VLOOKUP($D27&amp;O$5,'②-2勤務時間数入力'!$D$7:$Q$106,$L27,FALSE)</f>
        <v>#N/A</v>
      </c>
      <c r="P27" s="65" t="str">
        <f>IF(ISERROR(O27),"×",IF(O27="-","×","○"))</f>
        <v>×</v>
      </c>
      <c r="Q27" s="65" t="e">
        <f>VLOOKUP($D27&amp;Q$5,'②-2勤務時間数入力'!$D$7:$Q$106,$L27,FALSE)</f>
        <v>#N/A</v>
      </c>
      <c r="R27" s="65" t="str">
        <f>IF(ISERROR(Q27),"×",IF(Q27="-","×","○"))</f>
        <v>×</v>
      </c>
      <c r="S27" s="65" t="e">
        <f>VLOOKUP($D27&amp;S$5,'②-2勤務時間数入力'!$D$7:$Q$106,$L27,FALSE)</f>
        <v>#N/A</v>
      </c>
      <c r="T27" s="65" t="str">
        <f>IF(ISERROR(S27),"×",IF(S27="-","×","○"))</f>
        <v>×</v>
      </c>
    </row>
    <row r="28" spans="1:20" ht="13.5" customHeight="1">
      <c r="A28" s="839"/>
      <c r="B28" s="856"/>
      <c r="C28" s="854" t="str">
        <f>IF(B26&gt;=1,IFERROR(INDEX($F$81:$G$86,MATCH(判定!AS13,$F$81:$F$86,0),2),"-"),"-")</f>
        <v>-</v>
      </c>
      <c r="D28" s="145" t="str">
        <f t="shared" si="32"/>
        <v/>
      </c>
      <c r="E28" s="63" t="str">
        <f>IF(D28="","",IF(N28="○",M$5,IF(P28="○",O$5,IF(R28="○",Q$5,IF(T28="○",S$5,"ERROR")))))</f>
        <v/>
      </c>
      <c r="F28" s="62" t="str">
        <f t="shared" ref="F28:F29" si="36">IF(D28="","",IF(N28="○",M28,IF(P28="○",O28,IF(R28="○",Q28,IF(T28="○",S28,"ERROR")))))</f>
        <v/>
      </c>
      <c r="G28" s="146" t="str">
        <f t="shared" si="33"/>
        <v/>
      </c>
      <c r="H28" s="62" t="str">
        <f>IF($D28="","",IF($E28="正規職員","-",F28*G28))</f>
        <v/>
      </c>
      <c r="I28" s="62">
        <f t="shared" si="34"/>
        <v>242333.33333333401</v>
      </c>
      <c r="J28" s="62" t="str">
        <f>IFERROR(IF($C28="-","",IF(D28="",0,IF(E28="正規職員",I28,MIN(H28:I28)))),0)</f>
        <v/>
      </c>
      <c r="K28" s="64" t="str">
        <f t="shared" si="35"/>
        <v/>
      </c>
      <c r="L28" s="65">
        <f t="shared" ref="L28:L29" si="37">L27</f>
        <v>7</v>
      </c>
      <c r="M28" s="65" t="e">
        <f>VLOOKUP($D28&amp;M$5,'②-2勤務時間数入力'!$D$7:$Q$106,$L28,FALSE)</f>
        <v>#N/A</v>
      </c>
      <c r="N28" s="65" t="str">
        <f>IF(ISERROR(M28),"×",IF(M28="-","×","○"))</f>
        <v>×</v>
      </c>
      <c r="O28" s="65" t="e">
        <f>VLOOKUP($D28&amp;O$5,'②-2勤務時間数入力'!$D$7:$Q$106,$L28,FALSE)</f>
        <v>#N/A</v>
      </c>
      <c r="P28" s="65" t="str">
        <f>IF(ISERROR(O28),"×",IF(O28="-","×","○"))</f>
        <v>×</v>
      </c>
      <c r="Q28" s="65" t="e">
        <f>VLOOKUP($D28&amp;Q$5,'②-2勤務時間数入力'!$D$7:$Q$106,$L28,FALSE)</f>
        <v>#N/A</v>
      </c>
      <c r="R28" s="65" t="str">
        <f>IF(ISERROR(Q28),"×",IF(Q28="-","×","○"))</f>
        <v>×</v>
      </c>
      <c r="S28" s="65" t="e">
        <f>VLOOKUP($D28&amp;S$5,'②-2勤務時間数入力'!$D$7:$Q$106,$L28,FALSE)</f>
        <v>#N/A</v>
      </c>
      <c r="T28" s="65" t="str">
        <f>IF(ISERROR(S28),"×",IF(S28="-","×","○"))</f>
        <v>×</v>
      </c>
    </row>
    <row r="29" spans="1:20" ht="13.5" customHeight="1">
      <c r="A29" s="853"/>
      <c r="B29" s="856"/>
      <c r="C29" s="726"/>
      <c r="D29" s="145" t="str">
        <f t="shared" si="32"/>
        <v/>
      </c>
      <c r="E29" s="63" t="str">
        <f t="shared" ref="E29" si="38">IF(D29="","",IF(N29="○",M$5,IF(P29="○",O$5,IF(R29="○",Q$5,IF(T29="○",S$5,"ERROR")))))</f>
        <v/>
      </c>
      <c r="F29" s="62" t="str">
        <f t="shared" si="36"/>
        <v/>
      </c>
      <c r="G29" s="146" t="str">
        <f t="shared" si="33"/>
        <v/>
      </c>
      <c r="H29" s="62" t="str">
        <f>IF($D29="","",IF($E29="正規職員","-",F29*G29))</f>
        <v/>
      </c>
      <c r="I29" s="62">
        <f t="shared" si="34"/>
        <v>242333.33333333401</v>
      </c>
      <c r="J29" s="62" t="str">
        <f>IFERROR(IF($C28="-","",IF(D29="","",IF(E29="正規職員",I29-J28,MIN(MIN(H29:I29),I28-J28)))),0)</f>
        <v/>
      </c>
      <c r="K29" s="64" t="str">
        <f>IF(D29="","",IF(OR(COUNTIFS(D29,"*要配慮*")=1,COUNTIFS(D29,"*医療的ケア*")=1),"○","エラー"))</f>
        <v/>
      </c>
      <c r="L29" s="65">
        <f t="shared" si="37"/>
        <v>7</v>
      </c>
      <c r="M29" s="65" t="e">
        <f>VLOOKUP($D29&amp;M$5,'②-2勤務時間数入力'!$D$7:$Q$106,$L29,FALSE)</f>
        <v>#N/A</v>
      </c>
      <c r="N29" s="65" t="str">
        <f>IF(ISERROR(M29),"×",IF(M29="-","×","○"))</f>
        <v>×</v>
      </c>
      <c r="O29" s="65" t="e">
        <f>VLOOKUP($D29&amp;O$5,'②-2勤務時間数入力'!$D$7:$Q$106,$L29,FALSE)</f>
        <v>#N/A</v>
      </c>
      <c r="P29" s="65" t="str">
        <f>IF(ISERROR(O29),"×",IF(O29="-","×","○"))</f>
        <v>×</v>
      </c>
      <c r="Q29" s="65" t="e">
        <f>VLOOKUP($D29&amp;Q$5,'②-2勤務時間数入力'!$D$7:$Q$106,$L29,FALSE)</f>
        <v>#N/A</v>
      </c>
      <c r="R29" s="65" t="str">
        <f>IF(ISERROR(Q29),"×",IF(Q29="-","×","○"))</f>
        <v>×</v>
      </c>
      <c r="S29" s="65" t="e">
        <f>VLOOKUP($D29&amp;S$5,'②-2勤務時間数入力'!$D$7:$Q$106,$L29,FALSE)</f>
        <v>#N/A</v>
      </c>
      <c r="T29" s="65" t="str">
        <f>IF(ISERROR(S29),"×",IF(S29="-","×","○"))</f>
        <v>×</v>
      </c>
    </row>
    <row r="30" spans="1:20" ht="13.5" customHeight="1">
      <c r="A30" s="821"/>
      <c r="B30" s="857"/>
      <c r="C30" s="258"/>
      <c r="D30" s="1" t="s">
        <v>297</v>
      </c>
      <c r="E30" s="63" t="s">
        <v>293</v>
      </c>
      <c r="F30" s="70"/>
      <c r="G30" s="63" t="s">
        <v>293</v>
      </c>
      <c r="H30" s="63" t="s">
        <v>293</v>
      </c>
      <c r="I30" s="63" t="s">
        <v>293</v>
      </c>
      <c r="J30" s="62" t="str">
        <f>IFERROR(IF(J26="","",MIN(SUM(J26:J29),(B26*I26))),0)</f>
        <v/>
      </c>
      <c r="K30" s="64"/>
      <c r="L30" s="65"/>
      <c r="M30" s="65"/>
      <c r="N30" s="65"/>
      <c r="O30" s="65"/>
      <c r="P30" s="65"/>
      <c r="Q30" s="65"/>
      <c r="R30" s="65"/>
      <c r="S30" s="65"/>
      <c r="T30" s="65"/>
    </row>
    <row r="31" spans="1:20" ht="13.5" customHeight="1">
      <c r="A31" s="820">
        <v>9</v>
      </c>
      <c r="B31" s="855" t="str">
        <f>IF(判定!AZ14&gt;=1,判定!AZ14,"-")</f>
        <v>-</v>
      </c>
      <c r="C31" s="841" t="str">
        <f>IF(B31&gt;=1,IFERROR(INDEX($F$81:$G$86,MATCH(判定!AR14,$F$81:$F$86,0),2),"-"),"-")</f>
        <v>-</v>
      </c>
      <c r="D31" s="145" t="str">
        <f>IF(D26="","",D26)</f>
        <v/>
      </c>
      <c r="E31" s="63" t="str">
        <f>IF(D31="","",IF(N31="○",M$5,IF(P31="○",O$5,IF(R31="○",Q$5,IF(T31="○",S$5,"ERROR")))))</f>
        <v/>
      </c>
      <c r="F31" s="62" t="str">
        <f>IF(D31="","",IF(N31="○",M31,IF(P31="○",O31,IF(R31="○",Q31,IF(T31="○",S31,"ERROR")))))</f>
        <v/>
      </c>
      <c r="G31" s="146" t="str">
        <f>IF($D31="","",IF($E31="正規職員","-","賃金単価を記載"))</f>
        <v/>
      </c>
      <c r="H31" s="62" t="str">
        <f t="shared" ref="H31:H32" si="39">IF($D31="","",IF($E31="正規職員","-",F31*G31))</f>
        <v/>
      </c>
      <c r="I31" s="279">
        <f>⑩特定加算１!I31</f>
        <v>242333.33333333401</v>
      </c>
      <c r="J31" s="62" t="str">
        <f>IFERROR(IF($C31="-","",IF(D31="",0,IF(E31="正規職員",I31,MIN(H31:I31)))),0)</f>
        <v/>
      </c>
      <c r="K31" s="64" t="str">
        <f>IF(D31="","",IF(OR(COUNTIFS(D31,"*要配慮*")=1,COUNTIFS(D31,"*医療的ケア*")=1),"○","エラー"))</f>
        <v/>
      </c>
      <c r="L31" s="65">
        <f>L26+1</f>
        <v>8</v>
      </c>
      <c r="M31" s="65" t="e">
        <f>VLOOKUP($D31&amp;M$5,'②-2勤務時間数入力'!$D$7:$Q$106,$L31,FALSE)</f>
        <v>#N/A</v>
      </c>
      <c r="N31" s="65" t="str">
        <f>IF(ISERROR(M31),"×",IF(M31="-","×","○"))</f>
        <v>×</v>
      </c>
      <c r="O31" s="65" t="e">
        <f>VLOOKUP($D31&amp;O$5,'②-2勤務時間数入力'!$D$7:$Q$106,$L31,FALSE)</f>
        <v>#N/A</v>
      </c>
      <c r="P31" s="65" t="str">
        <f>IF(ISERROR(O31),"×",IF(O31="-","×","○"))</f>
        <v>×</v>
      </c>
      <c r="Q31" s="65" t="e">
        <f>VLOOKUP($D31&amp;Q$5,'②-2勤務時間数入力'!$D$7:$Q$106,$L31,FALSE)</f>
        <v>#N/A</v>
      </c>
      <c r="R31" s="65" t="str">
        <f>IF(ISERROR(Q31),"×",IF(Q31="-","×","○"))</f>
        <v>×</v>
      </c>
      <c r="S31" s="65" t="e">
        <f>VLOOKUP($D31&amp;S$5,'②-2勤務時間数入力'!$D$7:$Q$106,$L31,FALSE)</f>
        <v>#N/A</v>
      </c>
      <c r="T31" s="65" t="str">
        <f>IF(ISERROR(S31),"×",IF(S31="-","×","○"))</f>
        <v>×</v>
      </c>
    </row>
    <row r="32" spans="1:20" ht="13.5" customHeight="1">
      <c r="A32" s="839"/>
      <c r="B32" s="856"/>
      <c r="C32" s="735"/>
      <c r="D32" s="145" t="str">
        <f t="shared" ref="D32:D34" si="40">IF(D27="","",D27)</f>
        <v/>
      </c>
      <c r="E32" s="63" t="str">
        <f>IF(D32="","",IF(N32="○",M$5,IF(P32="○",O$5,IF(R32="○",Q$5,IF(T32="○",S$5,"ERROR")))))</f>
        <v/>
      </c>
      <c r="F32" s="62" t="str">
        <f>IF(D32="","",IF(N32="○",M32,IF(P32="○",O32,IF(R32="○",Q32,IF(T32="○",S32,"ERROR")))))</f>
        <v/>
      </c>
      <c r="G32" s="146" t="str">
        <f t="shared" ref="G32:G34" si="41">IF($D32="","",IF($E32="正規職員","-","賃金単価を記載"))</f>
        <v/>
      </c>
      <c r="H32" s="62" t="str">
        <f t="shared" si="39"/>
        <v/>
      </c>
      <c r="I32" s="62">
        <f t="shared" ref="I32:I34" si="42">$I$6</f>
        <v>242333.33333333401</v>
      </c>
      <c r="J32" s="62" t="str">
        <f>IFERROR(IF($C31="-","",IF(D32="","",IF(E32="正規職員",I32-J31,MIN(MIN(H32:I32),I31-J31)))),0)</f>
        <v/>
      </c>
      <c r="K32" s="64" t="str">
        <f t="shared" ref="K32:K33" si="43">IF(D32="","",IF(OR(COUNTIFS(D32,"*要配慮*")=1,COUNTIFS(D32,"*医療的ケア*")=1),"○","エラー"))</f>
        <v/>
      </c>
      <c r="L32" s="65">
        <f>L31</f>
        <v>8</v>
      </c>
      <c r="M32" s="65" t="e">
        <f>VLOOKUP($D32&amp;M$5,'②-2勤務時間数入力'!$D$7:$Q$106,$L32,FALSE)</f>
        <v>#N/A</v>
      </c>
      <c r="N32" s="65" t="str">
        <f>IF(ISERROR(M32),"×",IF(M32="-","×","○"))</f>
        <v>×</v>
      </c>
      <c r="O32" s="65" t="e">
        <f>VLOOKUP($D32&amp;O$5,'②-2勤務時間数入力'!$D$7:$Q$106,$L32,FALSE)</f>
        <v>#N/A</v>
      </c>
      <c r="P32" s="65" t="str">
        <f>IF(ISERROR(O32),"×",IF(O32="-","×","○"))</f>
        <v>×</v>
      </c>
      <c r="Q32" s="65" t="e">
        <f>VLOOKUP($D32&amp;Q$5,'②-2勤務時間数入力'!$D$7:$Q$106,$L32,FALSE)</f>
        <v>#N/A</v>
      </c>
      <c r="R32" s="65" t="str">
        <f>IF(ISERROR(Q32),"×",IF(Q32="-","×","○"))</f>
        <v>×</v>
      </c>
      <c r="S32" s="65" t="e">
        <f>VLOOKUP($D32&amp;S$5,'②-2勤務時間数入力'!$D$7:$Q$106,$L32,FALSE)</f>
        <v>#N/A</v>
      </c>
      <c r="T32" s="65" t="str">
        <f>IF(ISERROR(S32),"×",IF(S32="-","×","○"))</f>
        <v>×</v>
      </c>
    </row>
    <row r="33" spans="1:20" ht="13.5" customHeight="1">
      <c r="A33" s="839"/>
      <c r="B33" s="856"/>
      <c r="C33" s="854" t="str">
        <f>IF(B31&gt;=1,IFERROR(INDEX($F$81:$G$86,MATCH(判定!AS14,$F$81:$F$86,0),2),"-"),"-")</f>
        <v>-</v>
      </c>
      <c r="D33" s="145" t="str">
        <f t="shared" si="40"/>
        <v/>
      </c>
      <c r="E33" s="63" t="str">
        <f>IF(D33="","",IF(N33="○",M$5,IF(P33="○",O$5,IF(R33="○",Q$5,IF(T33="○",S$5,"ERROR")))))</f>
        <v/>
      </c>
      <c r="F33" s="62" t="str">
        <f t="shared" ref="F33:F34" si="44">IF(D33="","",IF(N33="○",M33,IF(P33="○",O33,IF(R33="○",Q33,IF(T33="○",S33,"ERROR")))))</f>
        <v/>
      </c>
      <c r="G33" s="146" t="str">
        <f t="shared" si="41"/>
        <v/>
      </c>
      <c r="H33" s="62" t="str">
        <f>IF($D33="","",IF($E33="正規職員","-",F33*G33))</f>
        <v/>
      </c>
      <c r="I33" s="62">
        <f t="shared" si="42"/>
        <v>242333.33333333401</v>
      </c>
      <c r="J33" s="62" t="str">
        <f>IFERROR(IF($C33="-","",IF(D33="",0,IF(E33="正規職員",I33,MIN(H33:I33)))),0)</f>
        <v/>
      </c>
      <c r="K33" s="64" t="str">
        <f t="shared" si="43"/>
        <v/>
      </c>
      <c r="L33" s="65">
        <f t="shared" ref="L33:L34" si="45">L32</f>
        <v>8</v>
      </c>
      <c r="M33" s="65" t="e">
        <f>VLOOKUP($D33&amp;M$5,'②-2勤務時間数入力'!$D$7:$Q$106,$L33,FALSE)</f>
        <v>#N/A</v>
      </c>
      <c r="N33" s="65" t="str">
        <f>IF(ISERROR(M33),"×",IF(M33="-","×","○"))</f>
        <v>×</v>
      </c>
      <c r="O33" s="65" t="e">
        <f>VLOOKUP($D33&amp;O$5,'②-2勤務時間数入力'!$D$7:$Q$106,$L33,FALSE)</f>
        <v>#N/A</v>
      </c>
      <c r="P33" s="65" t="str">
        <f>IF(ISERROR(O33),"×",IF(O33="-","×","○"))</f>
        <v>×</v>
      </c>
      <c r="Q33" s="65" t="e">
        <f>VLOOKUP($D33&amp;Q$5,'②-2勤務時間数入力'!$D$7:$Q$106,$L33,FALSE)</f>
        <v>#N/A</v>
      </c>
      <c r="R33" s="65" t="str">
        <f>IF(ISERROR(Q33),"×",IF(Q33="-","×","○"))</f>
        <v>×</v>
      </c>
      <c r="S33" s="65" t="e">
        <f>VLOOKUP($D33&amp;S$5,'②-2勤務時間数入力'!$D$7:$Q$106,$L33,FALSE)</f>
        <v>#N/A</v>
      </c>
      <c r="T33" s="65" t="str">
        <f>IF(ISERROR(S33),"×",IF(S33="-","×","○"))</f>
        <v>×</v>
      </c>
    </row>
    <row r="34" spans="1:20" ht="13.5" customHeight="1">
      <c r="A34" s="853"/>
      <c r="B34" s="856"/>
      <c r="C34" s="726"/>
      <c r="D34" s="145" t="str">
        <f t="shared" si="40"/>
        <v/>
      </c>
      <c r="E34" s="63" t="str">
        <f t="shared" ref="E34" si="46">IF(D34="","",IF(N34="○",M$5,IF(P34="○",O$5,IF(R34="○",Q$5,IF(T34="○",S$5,"ERROR")))))</f>
        <v/>
      </c>
      <c r="F34" s="62" t="str">
        <f t="shared" si="44"/>
        <v/>
      </c>
      <c r="G34" s="146" t="str">
        <f t="shared" si="41"/>
        <v/>
      </c>
      <c r="H34" s="62" t="str">
        <f>IF($D34="","",IF($E34="正規職員","-",F34*G34))</f>
        <v/>
      </c>
      <c r="I34" s="62">
        <f t="shared" si="42"/>
        <v>242333.33333333401</v>
      </c>
      <c r="J34" s="62" t="str">
        <f>IFERROR(IF($C33="-","",IF(D34="","",IF(E34="正規職員",I34-J33,MIN(MIN(H34:I34),I33-J33)))),0)</f>
        <v/>
      </c>
      <c r="K34" s="64" t="str">
        <f>IF(D34="","",IF(OR(COUNTIFS(D34,"*要配慮*")=1,COUNTIFS(D34,"*医療的ケア*")=1),"○","エラー"))</f>
        <v/>
      </c>
      <c r="L34" s="65">
        <f t="shared" si="45"/>
        <v>8</v>
      </c>
      <c r="M34" s="65" t="e">
        <f>VLOOKUP($D34&amp;M$5,'②-2勤務時間数入力'!$D$7:$Q$106,$L34,FALSE)</f>
        <v>#N/A</v>
      </c>
      <c r="N34" s="65" t="str">
        <f>IF(ISERROR(M34),"×",IF(M34="-","×","○"))</f>
        <v>×</v>
      </c>
      <c r="O34" s="65" t="e">
        <f>VLOOKUP($D34&amp;O$5,'②-2勤務時間数入力'!$D$7:$Q$106,$L34,FALSE)</f>
        <v>#N/A</v>
      </c>
      <c r="P34" s="65" t="str">
        <f>IF(ISERROR(O34),"×",IF(O34="-","×","○"))</f>
        <v>×</v>
      </c>
      <c r="Q34" s="65" t="e">
        <f>VLOOKUP($D34&amp;Q$5,'②-2勤務時間数入力'!$D$7:$Q$106,$L34,FALSE)</f>
        <v>#N/A</v>
      </c>
      <c r="R34" s="65" t="str">
        <f>IF(ISERROR(Q34),"×",IF(Q34="-","×","○"))</f>
        <v>×</v>
      </c>
      <c r="S34" s="65" t="e">
        <f>VLOOKUP($D34&amp;S$5,'②-2勤務時間数入力'!$D$7:$Q$106,$L34,FALSE)</f>
        <v>#N/A</v>
      </c>
      <c r="T34" s="65" t="str">
        <f>IF(ISERROR(S34),"×",IF(S34="-","×","○"))</f>
        <v>×</v>
      </c>
    </row>
    <row r="35" spans="1:20" ht="13.5" customHeight="1">
      <c r="A35" s="821"/>
      <c r="B35" s="857"/>
      <c r="C35" s="258"/>
      <c r="D35" s="1" t="s">
        <v>298</v>
      </c>
      <c r="E35" s="63" t="s">
        <v>293</v>
      </c>
      <c r="F35" s="70"/>
      <c r="G35" s="63" t="s">
        <v>293</v>
      </c>
      <c r="H35" s="63" t="s">
        <v>293</v>
      </c>
      <c r="I35" s="63" t="s">
        <v>293</v>
      </c>
      <c r="J35" s="62" t="str">
        <f>IFERROR(IF(J31="","",MIN(SUM(J31:J34),(B31*I31))),0)</f>
        <v/>
      </c>
      <c r="K35" s="64"/>
      <c r="L35" s="65"/>
      <c r="M35" s="65"/>
      <c r="N35" s="65"/>
      <c r="O35" s="65"/>
      <c r="P35" s="65"/>
      <c r="Q35" s="65"/>
      <c r="R35" s="65"/>
      <c r="S35" s="65"/>
      <c r="T35" s="65"/>
    </row>
    <row r="36" spans="1:20" ht="13.5" customHeight="1">
      <c r="A36" s="820">
        <v>10</v>
      </c>
      <c r="B36" s="855" t="str">
        <f>IF(判定!AZ15&gt;=1,判定!AZ15,"-")</f>
        <v>-</v>
      </c>
      <c r="C36" s="841" t="str">
        <f>IF(B36&gt;=1,IFERROR(INDEX($F$81:$G$86,MATCH(判定!AR15,$F$81:$F$86,0),2),"-"),"-")</f>
        <v>-</v>
      </c>
      <c r="D36" s="145" t="str">
        <f>IF(D31="","",D31)</f>
        <v/>
      </c>
      <c r="E36" s="63" t="str">
        <f>IF(D36="","",IF(N36="○",M$5,IF(P36="○",O$5,IF(R36="○",Q$5,IF(T36="○",S$5,"ERROR")))))</f>
        <v/>
      </c>
      <c r="F36" s="62" t="str">
        <f>IF(D36="","",IF(N36="○",M36,IF(P36="○",O36,IF(R36="○",Q36,IF(T36="○",S36,"ERROR")))))</f>
        <v/>
      </c>
      <c r="G36" s="146" t="str">
        <f>IF($D36="","",IF($E36="正規職員","-","賃金単価を記載"))</f>
        <v/>
      </c>
      <c r="H36" s="62" t="str">
        <f t="shared" ref="H36:H37" si="47">IF($D36="","",IF($E36="正規職員","-",F36*G36))</f>
        <v/>
      </c>
      <c r="I36" s="279">
        <f>⑩特定加算１!I36</f>
        <v>242333.33333333401</v>
      </c>
      <c r="J36" s="62" t="str">
        <f>IFERROR(IF($C36="-","",IF(D36="",0,IF(E36="正規職員",I36,MIN(H36:I36)))),0)</f>
        <v/>
      </c>
      <c r="K36" s="64" t="str">
        <f>IF(D36="","",IF(OR(COUNTIFS(D36,"*要配慮*")=1,COUNTIFS(D36,"*医療的ケア*")=1),"○","エラー"))</f>
        <v/>
      </c>
      <c r="L36" s="65">
        <f>L31+1</f>
        <v>9</v>
      </c>
      <c r="M36" s="65" t="e">
        <f>VLOOKUP($D36&amp;M$5,'②-2勤務時間数入力'!$D$7:$Q$106,$L36,FALSE)</f>
        <v>#N/A</v>
      </c>
      <c r="N36" s="65" t="str">
        <f>IF(ISERROR(M36),"×",IF(M36="-","×","○"))</f>
        <v>×</v>
      </c>
      <c r="O36" s="65" t="e">
        <f>VLOOKUP($D36&amp;O$5,'②-2勤務時間数入力'!$D$7:$Q$106,$L36,FALSE)</f>
        <v>#N/A</v>
      </c>
      <c r="P36" s="65" t="str">
        <f>IF(ISERROR(O36),"×",IF(O36="-","×","○"))</f>
        <v>×</v>
      </c>
      <c r="Q36" s="65" t="e">
        <f>VLOOKUP($D36&amp;Q$5,'②-2勤務時間数入力'!$D$7:$Q$106,$L36,FALSE)</f>
        <v>#N/A</v>
      </c>
      <c r="R36" s="65" t="str">
        <f>IF(ISERROR(Q36),"×",IF(Q36="-","×","○"))</f>
        <v>×</v>
      </c>
      <c r="S36" s="65" t="e">
        <f>VLOOKUP($D36&amp;S$5,'②-2勤務時間数入力'!$D$7:$Q$106,$L36,FALSE)</f>
        <v>#N/A</v>
      </c>
      <c r="T36" s="65" t="str">
        <f>IF(ISERROR(S36),"×",IF(S36="-","×","○"))</f>
        <v>×</v>
      </c>
    </row>
    <row r="37" spans="1:20" ht="13.5" customHeight="1">
      <c r="A37" s="839"/>
      <c r="B37" s="856"/>
      <c r="C37" s="735"/>
      <c r="D37" s="145" t="str">
        <f t="shared" ref="D37:D39" si="48">IF(D32="","",D32)</f>
        <v/>
      </c>
      <c r="E37" s="63" t="str">
        <f>IF(D37="","",IF(N37="○",M$5,IF(P37="○",O$5,IF(R37="○",Q$5,IF(T37="○",S$5,"ERROR")))))</f>
        <v/>
      </c>
      <c r="F37" s="62" t="str">
        <f>IF(D37="","",IF(N37="○",M37,IF(P37="○",O37,IF(R37="○",Q37,IF(T37="○",S37,"ERROR")))))</f>
        <v/>
      </c>
      <c r="G37" s="146" t="str">
        <f t="shared" ref="G37:G39" si="49">IF($D37="","",IF($E37="正規職員","-","賃金単価を記載"))</f>
        <v/>
      </c>
      <c r="H37" s="62" t="str">
        <f t="shared" si="47"/>
        <v/>
      </c>
      <c r="I37" s="62">
        <f t="shared" ref="I37:I39" si="50">$I$6</f>
        <v>242333.33333333401</v>
      </c>
      <c r="J37" s="62" t="str">
        <f>IFERROR(IF($C36="-","",IF(D37="","",IF(E37="正規職員",I37-J36,MIN(MIN(H37:I37),I36-J36)))),0)</f>
        <v/>
      </c>
      <c r="K37" s="64" t="str">
        <f t="shared" ref="K37:K38" si="51">IF(D37="","",IF(OR(COUNTIFS(D37,"*要配慮*")=1,COUNTIFS(D37,"*医療的ケア*")=1),"○","エラー"))</f>
        <v/>
      </c>
      <c r="L37" s="65">
        <f>L36</f>
        <v>9</v>
      </c>
      <c r="M37" s="65" t="e">
        <f>VLOOKUP($D37&amp;M$5,'②-2勤務時間数入力'!$D$7:$Q$106,$L37,FALSE)</f>
        <v>#N/A</v>
      </c>
      <c r="N37" s="65" t="str">
        <f>IF(ISERROR(M37),"×",IF(M37="-","×","○"))</f>
        <v>×</v>
      </c>
      <c r="O37" s="65" t="e">
        <f>VLOOKUP($D37&amp;O$5,'②-2勤務時間数入力'!$D$7:$Q$106,$L37,FALSE)</f>
        <v>#N/A</v>
      </c>
      <c r="P37" s="65" t="str">
        <f>IF(ISERROR(O37),"×",IF(O37="-","×","○"))</f>
        <v>×</v>
      </c>
      <c r="Q37" s="65" t="e">
        <f>VLOOKUP($D37&amp;Q$5,'②-2勤務時間数入力'!$D$7:$Q$106,$L37,FALSE)</f>
        <v>#N/A</v>
      </c>
      <c r="R37" s="65" t="str">
        <f>IF(ISERROR(Q37),"×",IF(Q37="-","×","○"))</f>
        <v>×</v>
      </c>
      <c r="S37" s="65" t="e">
        <f>VLOOKUP($D37&amp;S$5,'②-2勤務時間数入力'!$D$7:$Q$106,$L37,FALSE)</f>
        <v>#N/A</v>
      </c>
      <c r="T37" s="65" t="str">
        <f>IF(ISERROR(S37),"×",IF(S37="-","×","○"))</f>
        <v>×</v>
      </c>
    </row>
    <row r="38" spans="1:20" ht="13.5" customHeight="1">
      <c r="A38" s="839"/>
      <c r="B38" s="856"/>
      <c r="C38" s="854" t="str">
        <f>IF(B36&gt;=1,IFERROR(INDEX($F$81:$G$86,MATCH(判定!AS15,$F$81:$F$86,0),2),"-"),"-")</f>
        <v>-</v>
      </c>
      <c r="D38" s="145" t="str">
        <f t="shared" si="48"/>
        <v/>
      </c>
      <c r="E38" s="63" t="str">
        <f>IF(D38="","",IF(N38="○",M$5,IF(P38="○",O$5,IF(R38="○",Q$5,IF(T38="○",S$5,"ERROR")))))</f>
        <v/>
      </c>
      <c r="F38" s="62" t="str">
        <f t="shared" ref="F38:F39" si="52">IF(D38="","",IF(N38="○",M38,IF(P38="○",O38,IF(R38="○",Q38,IF(T38="○",S38,"ERROR")))))</f>
        <v/>
      </c>
      <c r="G38" s="146" t="str">
        <f t="shared" si="49"/>
        <v/>
      </c>
      <c r="H38" s="62" t="str">
        <f>IF($D38="","",IF($E38="正規職員","-",F38*G38))</f>
        <v/>
      </c>
      <c r="I38" s="62">
        <f t="shared" si="50"/>
        <v>242333.33333333401</v>
      </c>
      <c r="J38" s="62" t="str">
        <f>IFERROR(IF($C38="-","",IF(D38="",0,IF(E38="正規職員",I38,MIN(H38:I38)))),0)</f>
        <v/>
      </c>
      <c r="K38" s="64" t="str">
        <f t="shared" si="51"/>
        <v/>
      </c>
      <c r="L38" s="65">
        <f t="shared" ref="L38:L39" si="53">L37</f>
        <v>9</v>
      </c>
      <c r="M38" s="65" t="e">
        <f>VLOOKUP($D38&amp;M$5,'②-2勤務時間数入力'!$D$7:$Q$106,$L38,FALSE)</f>
        <v>#N/A</v>
      </c>
      <c r="N38" s="65" t="str">
        <f>IF(ISERROR(M38),"×",IF(M38="-","×","○"))</f>
        <v>×</v>
      </c>
      <c r="O38" s="65" t="e">
        <f>VLOOKUP($D38&amp;O$5,'②-2勤務時間数入力'!$D$7:$Q$106,$L38,FALSE)</f>
        <v>#N/A</v>
      </c>
      <c r="P38" s="65" t="str">
        <f>IF(ISERROR(O38),"×",IF(O38="-","×","○"))</f>
        <v>×</v>
      </c>
      <c r="Q38" s="65" t="e">
        <f>VLOOKUP($D38&amp;Q$5,'②-2勤務時間数入力'!$D$7:$Q$106,$L38,FALSE)</f>
        <v>#N/A</v>
      </c>
      <c r="R38" s="65" t="str">
        <f>IF(ISERROR(Q38),"×",IF(Q38="-","×","○"))</f>
        <v>×</v>
      </c>
      <c r="S38" s="65" t="e">
        <f>VLOOKUP($D38&amp;S$5,'②-2勤務時間数入力'!$D$7:$Q$106,$L38,FALSE)</f>
        <v>#N/A</v>
      </c>
      <c r="T38" s="65" t="str">
        <f>IF(ISERROR(S38),"×",IF(S38="-","×","○"))</f>
        <v>×</v>
      </c>
    </row>
    <row r="39" spans="1:20" ht="13.5" customHeight="1">
      <c r="A39" s="853"/>
      <c r="B39" s="856"/>
      <c r="C39" s="726"/>
      <c r="D39" s="145" t="str">
        <f t="shared" si="48"/>
        <v/>
      </c>
      <c r="E39" s="63" t="str">
        <f t="shared" ref="E39" si="54">IF(D39="","",IF(N39="○",M$5,IF(P39="○",O$5,IF(R39="○",Q$5,IF(T39="○",S$5,"ERROR")))))</f>
        <v/>
      </c>
      <c r="F39" s="62" t="str">
        <f t="shared" si="52"/>
        <v/>
      </c>
      <c r="G39" s="146" t="str">
        <f t="shared" si="49"/>
        <v/>
      </c>
      <c r="H39" s="62" t="str">
        <f>IF($D39="","",IF($E39="正規職員","-",F39*G39))</f>
        <v/>
      </c>
      <c r="I39" s="62">
        <f t="shared" si="50"/>
        <v>242333.33333333401</v>
      </c>
      <c r="J39" s="62" t="str">
        <f>IFERROR(IF($C38="-","",IF(D39="","",IF(E39="正規職員",I39-J38,MIN(MIN(H39:I39),I38-J38)))),0)</f>
        <v/>
      </c>
      <c r="K39" s="64" t="str">
        <f>IF(D39="","",IF(OR(COUNTIFS(D39,"*要配慮*")=1,COUNTIFS(D39,"*医療的ケア*")=1),"○","エラー"))</f>
        <v/>
      </c>
      <c r="L39" s="65">
        <f t="shared" si="53"/>
        <v>9</v>
      </c>
      <c r="M39" s="65" t="e">
        <f>VLOOKUP($D39&amp;M$5,'②-2勤務時間数入力'!$D$7:$Q$106,$L39,FALSE)</f>
        <v>#N/A</v>
      </c>
      <c r="N39" s="65" t="str">
        <f>IF(ISERROR(M39),"×",IF(M39="-","×","○"))</f>
        <v>×</v>
      </c>
      <c r="O39" s="65" t="e">
        <f>VLOOKUP($D39&amp;O$5,'②-2勤務時間数入力'!$D$7:$Q$106,$L39,FALSE)</f>
        <v>#N/A</v>
      </c>
      <c r="P39" s="65" t="str">
        <f>IF(ISERROR(O39),"×",IF(O39="-","×","○"))</f>
        <v>×</v>
      </c>
      <c r="Q39" s="65" t="e">
        <f>VLOOKUP($D39&amp;Q$5,'②-2勤務時間数入力'!$D$7:$Q$106,$L39,FALSE)</f>
        <v>#N/A</v>
      </c>
      <c r="R39" s="65" t="str">
        <f>IF(ISERROR(Q39),"×",IF(Q39="-","×","○"))</f>
        <v>×</v>
      </c>
      <c r="S39" s="65" t="e">
        <f>VLOOKUP($D39&amp;S$5,'②-2勤務時間数入力'!$D$7:$Q$106,$L39,FALSE)</f>
        <v>#N/A</v>
      </c>
      <c r="T39" s="65" t="str">
        <f>IF(ISERROR(S39),"×",IF(S39="-","×","○"))</f>
        <v>×</v>
      </c>
    </row>
    <row r="40" spans="1:20" ht="13.5" customHeight="1">
      <c r="A40" s="821"/>
      <c r="B40" s="857"/>
      <c r="C40" s="258"/>
      <c r="D40" s="1" t="s">
        <v>299</v>
      </c>
      <c r="E40" s="63" t="s">
        <v>293</v>
      </c>
      <c r="F40" s="70"/>
      <c r="G40" s="63" t="s">
        <v>293</v>
      </c>
      <c r="H40" s="63" t="s">
        <v>293</v>
      </c>
      <c r="I40" s="63" t="s">
        <v>293</v>
      </c>
      <c r="J40" s="62" t="str">
        <f>IFERROR(IF(J36="","",MIN(SUM(J36:J39),(B36*I36))),0)</f>
        <v/>
      </c>
      <c r="K40" s="64"/>
      <c r="L40" s="65"/>
      <c r="M40" s="65"/>
      <c r="N40" s="65"/>
      <c r="O40" s="65"/>
      <c r="P40" s="65"/>
      <c r="Q40" s="65"/>
      <c r="R40" s="65"/>
      <c r="S40" s="65"/>
      <c r="T40" s="65"/>
    </row>
    <row r="41" spans="1:20" ht="13.5" customHeight="1">
      <c r="A41" s="820">
        <v>11</v>
      </c>
      <c r="B41" s="855" t="str">
        <f>IF(判定!AZ16&gt;=1,判定!AZ16,"-")</f>
        <v>-</v>
      </c>
      <c r="C41" s="841" t="str">
        <f>IF(B41&gt;=1,IFERROR(INDEX($F$81:$G$86,MATCH(判定!AR16,$F$81:$F$86,0),2),"-"),"-")</f>
        <v>-</v>
      </c>
      <c r="D41" s="145" t="str">
        <f>IF(D36="","",D36)</f>
        <v/>
      </c>
      <c r="E41" s="63" t="str">
        <f>IF(D41="","",IF(N41="○",M$5,IF(P41="○",O$5,IF(R41="○",Q$5,IF(T41="○",S$5,"ERROR")))))</f>
        <v/>
      </c>
      <c r="F41" s="62" t="str">
        <f>IF(D41="","",IF(N41="○",M41,IF(P41="○",O41,IF(R41="○",Q41,IF(T41="○",S41,"ERROR")))))</f>
        <v/>
      </c>
      <c r="G41" s="146" t="str">
        <f>IF($D41="","",IF($E41="正規職員","-","賃金単価を記載"))</f>
        <v/>
      </c>
      <c r="H41" s="62" t="str">
        <f t="shared" ref="H41:H42" si="55">IF($D41="","",IF($E41="正規職員","-",F41*G41))</f>
        <v/>
      </c>
      <c r="I41" s="279">
        <f>⑩特定加算１!I41</f>
        <v>242333.33333333401</v>
      </c>
      <c r="J41" s="62" t="str">
        <f>IFERROR(IF($C41="-","",IF(D41="",0,IF(E41="正規職員",I41,MIN(H41:I41)))),0)</f>
        <v/>
      </c>
      <c r="K41" s="64" t="str">
        <f>IF(D41="","",IF(OR(COUNTIFS(D41,"*要配慮*")=1,COUNTIFS(D41,"*医療的ケア*")=1),"○","エラー"))</f>
        <v/>
      </c>
      <c r="L41" s="65">
        <f>L36+1</f>
        <v>10</v>
      </c>
      <c r="M41" s="65" t="e">
        <f>VLOOKUP($D41&amp;M$5,'②-2勤務時間数入力'!$D$7:$Q$106,$L41,FALSE)</f>
        <v>#N/A</v>
      </c>
      <c r="N41" s="65" t="str">
        <f>IF(ISERROR(M41),"×",IF(M41="-","×","○"))</f>
        <v>×</v>
      </c>
      <c r="O41" s="65" t="e">
        <f>VLOOKUP($D41&amp;O$5,'②-2勤務時間数入力'!$D$7:$Q$106,$L41,FALSE)</f>
        <v>#N/A</v>
      </c>
      <c r="P41" s="65" t="str">
        <f>IF(ISERROR(O41),"×",IF(O41="-","×","○"))</f>
        <v>×</v>
      </c>
      <c r="Q41" s="65" t="e">
        <f>VLOOKUP($D41&amp;Q$5,'②-2勤務時間数入力'!$D$7:$Q$106,$L41,FALSE)</f>
        <v>#N/A</v>
      </c>
      <c r="R41" s="65" t="str">
        <f>IF(ISERROR(Q41),"×",IF(Q41="-","×","○"))</f>
        <v>×</v>
      </c>
      <c r="S41" s="65" t="e">
        <f>VLOOKUP($D41&amp;S$5,'②-2勤務時間数入力'!$D$7:$Q$106,$L41,FALSE)</f>
        <v>#N/A</v>
      </c>
      <c r="T41" s="65" t="str">
        <f>IF(ISERROR(S41),"×",IF(S41="-","×","○"))</f>
        <v>×</v>
      </c>
    </row>
    <row r="42" spans="1:20" ht="13.5" customHeight="1">
      <c r="A42" s="839"/>
      <c r="B42" s="856"/>
      <c r="C42" s="735"/>
      <c r="D42" s="145" t="str">
        <f t="shared" ref="D42:D44" si="56">IF(D37="","",D37)</f>
        <v/>
      </c>
      <c r="E42" s="63" t="str">
        <f>IF(D42="","",IF(N42="○",M$5,IF(P42="○",O$5,IF(R42="○",Q$5,IF(T42="○",S$5,"ERROR")))))</f>
        <v/>
      </c>
      <c r="F42" s="62" t="str">
        <f>IF(D42="","",IF(N42="○",M42,IF(P42="○",O42,IF(R42="○",Q42,IF(T42="○",S42,"ERROR")))))</f>
        <v/>
      </c>
      <c r="G42" s="146" t="str">
        <f t="shared" ref="G42:G44" si="57">IF($D42="","",IF($E42="正規職員","-","賃金単価を記載"))</f>
        <v/>
      </c>
      <c r="H42" s="62" t="str">
        <f t="shared" si="55"/>
        <v/>
      </c>
      <c r="I42" s="62">
        <f t="shared" ref="I42:I44" si="58">$I$6</f>
        <v>242333.33333333401</v>
      </c>
      <c r="J42" s="62" t="str">
        <f>IFERROR(IF($C41="-","",IF(D42="","",IF(E42="正規職員",I42-J41,MIN(MIN(H42:I42),I41-J41)))),0)</f>
        <v/>
      </c>
      <c r="K42" s="64" t="str">
        <f t="shared" ref="K42:K43" si="59">IF(D42="","",IF(OR(COUNTIFS(D42,"*要配慮*")=1,COUNTIFS(D42,"*医療的ケア*")=1),"○","エラー"))</f>
        <v/>
      </c>
      <c r="L42" s="65">
        <f>L41</f>
        <v>10</v>
      </c>
      <c r="M42" s="65" t="e">
        <f>VLOOKUP($D42&amp;M$5,'②-2勤務時間数入力'!$D$7:$Q$106,$L42,FALSE)</f>
        <v>#N/A</v>
      </c>
      <c r="N42" s="65" t="str">
        <f>IF(ISERROR(M42),"×",IF(M42="-","×","○"))</f>
        <v>×</v>
      </c>
      <c r="O42" s="65" t="e">
        <f>VLOOKUP($D42&amp;O$5,'②-2勤務時間数入力'!$D$7:$Q$106,$L42,FALSE)</f>
        <v>#N/A</v>
      </c>
      <c r="P42" s="65" t="str">
        <f>IF(ISERROR(O42),"×",IF(O42="-","×","○"))</f>
        <v>×</v>
      </c>
      <c r="Q42" s="65" t="e">
        <f>VLOOKUP($D42&amp;Q$5,'②-2勤務時間数入力'!$D$7:$Q$106,$L42,FALSE)</f>
        <v>#N/A</v>
      </c>
      <c r="R42" s="65" t="str">
        <f>IF(ISERROR(Q42),"×",IF(Q42="-","×","○"))</f>
        <v>×</v>
      </c>
      <c r="S42" s="65" t="e">
        <f>VLOOKUP($D42&amp;S$5,'②-2勤務時間数入力'!$D$7:$Q$106,$L42,FALSE)</f>
        <v>#N/A</v>
      </c>
      <c r="T42" s="65" t="str">
        <f>IF(ISERROR(S42),"×",IF(S42="-","×","○"))</f>
        <v>×</v>
      </c>
    </row>
    <row r="43" spans="1:20" ht="13.5" customHeight="1">
      <c r="A43" s="839"/>
      <c r="B43" s="856"/>
      <c r="C43" s="854" t="str">
        <f>IF(B41&gt;=1,IFERROR(INDEX($F$81:$G$86,MATCH(判定!AS16,$F$81:$F$86,0),2),"-"),"-")</f>
        <v>-</v>
      </c>
      <c r="D43" s="145" t="str">
        <f t="shared" si="56"/>
        <v/>
      </c>
      <c r="E43" s="63" t="str">
        <f>IF(D43="","",IF(N43="○",M$5,IF(P43="○",O$5,IF(R43="○",Q$5,IF(T43="○",S$5,"ERROR")))))</f>
        <v/>
      </c>
      <c r="F43" s="62" t="str">
        <f t="shared" ref="F43:F44" si="60">IF(D43="","",IF(N43="○",M43,IF(P43="○",O43,IF(R43="○",Q43,IF(T43="○",S43,"ERROR")))))</f>
        <v/>
      </c>
      <c r="G43" s="146" t="str">
        <f t="shared" si="57"/>
        <v/>
      </c>
      <c r="H43" s="62" t="str">
        <f>IF($D43="","",IF($E43="正規職員","-",F43*G43))</f>
        <v/>
      </c>
      <c r="I43" s="62">
        <f t="shared" si="58"/>
        <v>242333.33333333401</v>
      </c>
      <c r="J43" s="62" t="str">
        <f>IFERROR(IF($C43="-","",IF(D43="",0,IF(E43="正規職員",I43,MIN(H43:I43)))),0)</f>
        <v/>
      </c>
      <c r="K43" s="64" t="str">
        <f t="shared" si="59"/>
        <v/>
      </c>
      <c r="L43" s="65">
        <f t="shared" ref="L43:L44" si="61">L42</f>
        <v>10</v>
      </c>
      <c r="M43" s="65" t="e">
        <f>VLOOKUP($D43&amp;M$5,'②-2勤務時間数入力'!$D$7:$Q$106,$L43,FALSE)</f>
        <v>#N/A</v>
      </c>
      <c r="N43" s="65" t="str">
        <f>IF(ISERROR(M43),"×",IF(M43="-","×","○"))</f>
        <v>×</v>
      </c>
      <c r="O43" s="65" t="e">
        <f>VLOOKUP($D43&amp;O$5,'②-2勤務時間数入力'!$D$7:$Q$106,$L43,FALSE)</f>
        <v>#N/A</v>
      </c>
      <c r="P43" s="65" t="str">
        <f>IF(ISERROR(O43),"×",IF(O43="-","×","○"))</f>
        <v>×</v>
      </c>
      <c r="Q43" s="65" t="e">
        <f>VLOOKUP($D43&amp;Q$5,'②-2勤務時間数入力'!$D$7:$Q$106,$L43,FALSE)</f>
        <v>#N/A</v>
      </c>
      <c r="R43" s="65" t="str">
        <f>IF(ISERROR(Q43),"×",IF(Q43="-","×","○"))</f>
        <v>×</v>
      </c>
      <c r="S43" s="65" t="e">
        <f>VLOOKUP($D43&amp;S$5,'②-2勤務時間数入力'!$D$7:$Q$106,$L43,FALSE)</f>
        <v>#N/A</v>
      </c>
      <c r="T43" s="65" t="str">
        <f>IF(ISERROR(S43),"×",IF(S43="-","×","○"))</f>
        <v>×</v>
      </c>
    </row>
    <row r="44" spans="1:20" ht="13.5" customHeight="1">
      <c r="A44" s="853"/>
      <c r="B44" s="856"/>
      <c r="C44" s="726"/>
      <c r="D44" s="145" t="str">
        <f t="shared" si="56"/>
        <v/>
      </c>
      <c r="E44" s="63" t="str">
        <f t="shared" ref="E44" si="62">IF(D44="","",IF(N44="○",M$5,IF(P44="○",O$5,IF(R44="○",Q$5,IF(T44="○",S$5,"ERROR")))))</f>
        <v/>
      </c>
      <c r="F44" s="62" t="str">
        <f t="shared" si="60"/>
        <v/>
      </c>
      <c r="G44" s="146" t="str">
        <f t="shared" si="57"/>
        <v/>
      </c>
      <c r="H44" s="62" t="str">
        <f>IF($D44="","",IF($E44="正規職員","-",F44*G44))</f>
        <v/>
      </c>
      <c r="I44" s="62">
        <f t="shared" si="58"/>
        <v>242333.33333333401</v>
      </c>
      <c r="J44" s="62" t="str">
        <f>IFERROR(IF($C43="-","",IF(D44="","",IF(E44="正規職員",I44-J43,MIN(MIN(H44:I44),I43-J43)))),0)</f>
        <v/>
      </c>
      <c r="K44" s="64" t="str">
        <f>IF(D44="","",IF(OR(COUNTIFS(D44,"*要配慮*")=1,COUNTIFS(D44,"*医療的ケア*")=1),"○","エラー"))</f>
        <v/>
      </c>
      <c r="L44" s="65">
        <f t="shared" si="61"/>
        <v>10</v>
      </c>
      <c r="M44" s="65" t="e">
        <f>VLOOKUP($D44&amp;M$5,'②-2勤務時間数入力'!$D$7:$Q$106,$L44,FALSE)</f>
        <v>#N/A</v>
      </c>
      <c r="N44" s="65" t="str">
        <f>IF(ISERROR(M44),"×",IF(M44="-","×","○"))</f>
        <v>×</v>
      </c>
      <c r="O44" s="65" t="e">
        <f>VLOOKUP($D44&amp;O$5,'②-2勤務時間数入力'!$D$7:$Q$106,$L44,FALSE)</f>
        <v>#N/A</v>
      </c>
      <c r="P44" s="65" t="str">
        <f>IF(ISERROR(O44),"×",IF(O44="-","×","○"))</f>
        <v>×</v>
      </c>
      <c r="Q44" s="65" t="e">
        <f>VLOOKUP($D44&amp;Q$5,'②-2勤務時間数入力'!$D$7:$Q$106,$L44,FALSE)</f>
        <v>#N/A</v>
      </c>
      <c r="R44" s="65" t="str">
        <f>IF(ISERROR(Q44),"×",IF(Q44="-","×","○"))</f>
        <v>×</v>
      </c>
      <c r="S44" s="65" t="e">
        <f>VLOOKUP($D44&amp;S$5,'②-2勤務時間数入力'!$D$7:$Q$106,$L44,FALSE)</f>
        <v>#N/A</v>
      </c>
      <c r="T44" s="65" t="str">
        <f>IF(ISERROR(S44),"×",IF(S44="-","×","○"))</f>
        <v>×</v>
      </c>
    </row>
    <row r="45" spans="1:20" ht="13.5" customHeight="1">
      <c r="A45" s="821"/>
      <c r="B45" s="857"/>
      <c r="C45" s="258"/>
      <c r="D45" s="1" t="s">
        <v>300</v>
      </c>
      <c r="E45" s="63" t="s">
        <v>293</v>
      </c>
      <c r="F45" s="70"/>
      <c r="G45" s="63" t="s">
        <v>293</v>
      </c>
      <c r="H45" s="63" t="s">
        <v>293</v>
      </c>
      <c r="I45" s="63" t="s">
        <v>293</v>
      </c>
      <c r="J45" s="62" t="str">
        <f>IFERROR(IF(J41="","",MIN(SUM(J41:J44),(B41*I41))),0)</f>
        <v/>
      </c>
      <c r="K45" s="64"/>
      <c r="L45" s="65"/>
      <c r="M45" s="65"/>
      <c r="N45" s="65"/>
      <c r="O45" s="65"/>
      <c r="P45" s="65"/>
      <c r="Q45" s="65"/>
      <c r="R45" s="65"/>
      <c r="S45" s="65"/>
      <c r="T45" s="65"/>
    </row>
    <row r="46" spans="1:20" ht="13.5" customHeight="1">
      <c r="A46" s="820">
        <v>12</v>
      </c>
      <c r="B46" s="855" t="str">
        <f>IF(判定!AZ17&gt;=1,判定!AZ17,"-")</f>
        <v>-</v>
      </c>
      <c r="C46" s="841" t="str">
        <f>IF(B46&gt;=1,IFERROR(INDEX($F$81:$G$86,MATCH(判定!AR17,$F$81:$F$86,0),2),"-"),"-")</f>
        <v>-</v>
      </c>
      <c r="D46" s="145" t="str">
        <f>IF(D41="","",D41)</f>
        <v/>
      </c>
      <c r="E46" s="63" t="str">
        <f>IF(D46="","",IF(N46="○",M$5,IF(P46="○",O$5,IF(R46="○",Q$5,IF(T46="○",S$5,"ERROR")))))</f>
        <v/>
      </c>
      <c r="F46" s="62" t="str">
        <f>IF(D46="","",IF(N46="○",M46,IF(P46="○",O46,IF(R46="○",Q46,IF(T46="○",S46,"ERROR")))))</f>
        <v/>
      </c>
      <c r="G46" s="146" t="str">
        <f>IF($D46="","",IF($E46="正規職員","-","賃金単価を記載"))</f>
        <v/>
      </c>
      <c r="H46" s="62" t="str">
        <f t="shared" ref="H46:H47" si="63">IF($D46="","",IF($E46="正規職員","-",F46*G46))</f>
        <v/>
      </c>
      <c r="I46" s="279">
        <f>⑩特定加算１!I46</f>
        <v>242333.33333333401</v>
      </c>
      <c r="J46" s="62" t="str">
        <f>IFERROR(IF($C46="-","",IF(D46="",0,IF(E46="正規職員",I46,MIN(H46:I46)))),0)</f>
        <v/>
      </c>
      <c r="K46" s="64" t="str">
        <f>IF(D46="","",IF(OR(COUNTIFS(D46,"*要配慮*")=1,COUNTIFS(D46,"*医療的ケア*")=1),"○","エラー"))</f>
        <v/>
      </c>
      <c r="L46" s="65">
        <f>L41+1</f>
        <v>11</v>
      </c>
      <c r="M46" s="65" t="e">
        <f>VLOOKUP($D46&amp;M$5,'②-2勤務時間数入力'!$D$7:$Q$106,$L46,FALSE)</f>
        <v>#N/A</v>
      </c>
      <c r="N46" s="65" t="str">
        <f>IF(ISERROR(M46),"×",IF(M46="-","×","○"))</f>
        <v>×</v>
      </c>
      <c r="O46" s="65" t="e">
        <f>VLOOKUP($D46&amp;O$5,'②-2勤務時間数入力'!$D$7:$Q$106,$L46,FALSE)</f>
        <v>#N/A</v>
      </c>
      <c r="P46" s="65" t="str">
        <f>IF(ISERROR(O46),"×",IF(O46="-","×","○"))</f>
        <v>×</v>
      </c>
      <c r="Q46" s="65" t="e">
        <f>VLOOKUP($D46&amp;Q$5,'②-2勤務時間数入力'!$D$7:$Q$106,$L46,FALSE)</f>
        <v>#N/A</v>
      </c>
      <c r="R46" s="65" t="str">
        <f>IF(ISERROR(Q46),"×",IF(Q46="-","×","○"))</f>
        <v>×</v>
      </c>
      <c r="S46" s="65" t="e">
        <f>VLOOKUP($D46&amp;S$5,'②-2勤務時間数入力'!$D$7:$Q$106,$L46,FALSE)</f>
        <v>#N/A</v>
      </c>
      <c r="T46" s="65" t="str">
        <f>IF(ISERROR(S46),"×",IF(S46="-","×","○"))</f>
        <v>×</v>
      </c>
    </row>
    <row r="47" spans="1:20" ht="13.5" customHeight="1">
      <c r="A47" s="839"/>
      <c r="B47" s="856"/>
      <c r="C47" s="735"/>
      <c r="D47" s="145" t="str">
        <f t="shared" ref="D47:D49" si="64">IF(D42="","",D42)</f>
        <v/>
      </c>
      <c r="E47" s="63" t="str">
        <f>IF(D47="","",IF(N47="○",M$5,IF(P47="○",O$5,IF(R47="○",Q$5,IF(T47="○",S$5,"ERROR")))))</f>
        <v/>
      </c>
      <c r="F47" s="62" t="str">
        <f>IF(D47="","",IF(N47="○",M47,IF(P47="○",O47,IF(R47="○",Q47,IF(T47="○",S47,"ERROR")))))</f>
        <v/>
      </c>
      <c r="G47" s="146" t="str">
        <f t="shared" ref="G47:G49" si="65">IF($D47="","",IF($E47="正規職員","-","賃金単価を記載"))</f>
        <v/>
      </c>
      <c r="H47" s="62" t="str">
        <f t="shared" si="63"/>
        <v/>
      </c>
      <c r="I47" s="62">
        <f t="shared" ref="I47:I49" si="66">$I$6</f>
        <v>242333.33333333401</v>
      </c>
      <c r="J47" s="62" t="str">
        <f>IFERROR(IF($C46="-","",IF(D47="","",IF(E47="正規職員",I47-J46,MIN(MIN(H47:I47),I46-J46)))),0)</f>
        <v/>
      </c>
      <c r="K47" s="64" t="str">
        <f t="shared" ref="K47:K48" si="67">IF(D47="","",IF(OR(COUNTIFS(D47,"*要配慮*")=1,COUNTIFS(D47,"*医療的ケア*")=1),"○","エラー"))</f>
        <v/>
      </c>
      <c r="L47" s="65">
        <f>L46</f>
        <v>11</v>
      </c>
      <c r="M47" s="65" t="e">
        <f>VLOOKUP($D47&amp;M$5,'②-2勤務時間数入力'!$D$7:$Q$106,$L47,FALSE)</f>
        <v>#N/A</v>
      </c>
      <c r="N47" s="65" t="str">
        <f>IF(ISERROR(M47),"×",IF(M47="-","×","○"))</f>
        <v>×</v>
      </c>
      <c r="O47" s="65" t="e">
        <f>VLOOKUP($D47&amp;O$5,'②-2勤務時間数入力'!$D$7:$Q$106,$L47,FALSE)</f>
        <v>#N/A</v>
      </c>
      <c r="P47" s="65" t="str">
        <f>IF(ISERROR(O47),"×",IF(O47="-","×","○"))</f>
        <v>×</v>
      </c>
      <c r="Q47" s="65" t="e">
        <f>VLOOKUP($D47&amp;Q$5,'②-2勤務時間数入力'!$D$7:$Q$106,$L47,FALSE)</f>
        <v>#N/A</v>
      </c>
      <c r="R47" s="65" t="str">
        <f>IF(ISERROR(Q47),"×",IF(Q47="-","×","○"))</f>
        <v>×</v>
      </c>
      <c r="S47" s="65" t="e">
        <f>VLOOKUP($D47&amp;S$5,'②-2勤務時間数入力'!$D$7:$Q$106,$L47,FALSE)</f>
        <v>#N/A</v>
      </c>
      <c r="T47" s="65" t="str">
        <f>IF(ISERROR(S47),"×",IF(S47="-","×","○"))</f>
        <v>×</v>
      </c>
    </row>
    <row r="48" spans="1:20" ht="13.5" customHeight="1">
      <c r="A48" s="839"/>
      <c r="B48" s="856"/>
      <c r="C48" s="854" t="str">
        <f>IF(B46&gt;=1,IFERROR(INDEX($F$81:$G$86,MATCH(判定!AS17,$F$81:$F$86,0),2),"-"),"-")</f>
        <v>-</v>
      </c>
      <c r="D48" s="145" t="str">
        <f t="shared" si="64"/>
        <v/>
      </c>
      <c r="E48" s="63" t="str">
        <f>IF(D48="","",IF(N48="○",M$5,IF(P48="○",O$5,IF(R48="○",Q$5,IF(T48="○",S$5,"ERROR")))))</f>
        <v/>
      </c>
      <c r="F48" s="62" t="str">
        <f t="shared" ref="F48:F49" si="68">IF(D48="","",IF(N48="○",M48,IF(P48="○",O48,IF(R48="○",Q48,IF(T48="○",S48,"ERROR")))))</f>
        <v/>
      </c>
      <c r="G48" s="146" t="str">
        <f t="shared" si="65"/>
        <v/>
      </c>
      <c r="H48" s="62" t="str">
        <f>IF($D48="","",IF($E48="正規職員","-",F48*G48))</f>
        <v/>
      </c>
      <c r="I48" s="62">
        <f t="shared" si="66"/>
        <v>242333.33333333401</v>
      </c>
      <c r="J48" s="62" t="str">
        <f>IFERROR(IF($C48="-","",IF(D48="",0,IF(E48="正規職員",I48,MIN(H48:I48)))),0)</f>
        <v/>
      </c>
      <c r="K48" s="64" t="str">
        <f t="shared" si="67"/>
        <v/>
      </c>
      <c r="L48" s="65">
        <f t="shared" ref="L48:L49" si="69">L47</f>
        <v>11</v>
      </c>
      <c r="M48" s="65" t="e">
        <f>VLOOKUP($D48&amp;M$5,'②-2勤務時間数入力'!$D$7:$Q$106,$L48,FALSE)</f>
        <v>#N/A</v>
      </c>
      <c r="N48" s="65" t="str">
        <f>IF(ISERROR(M48),"×",IF(M48="-","×","○"))</f>
        <v>×</v>
      </c>
      <c r="O48" s="65" t="e">
        <f>VLOOKUP($D48&amp;O$5,'②-2勤務時間数入力'!$D$7:$Q$106,$L48,FALSE)</f>
        <v>#N/A</v>
      </c>
      <c r="P48" s="65" t="str">
        <f>IF(ISERROR(O48),"×",IF(O48="-","×","○"))</f>
        <v>×</v>
      </c>
      <c r="Q48" s="65" t="e">
        <f>VLOOKUP($D48&amp;Q$5,'②-2勤務時間数入力'!$D$7:$Q$106,$L48,FALSE)</f>
        <v>#N/A</v>
      </c>
      <c r="R48" s="65" t="str">
        <f>IF(ISERROR(Q48),"×",IF(Q48="-","×","○"))</f>
        <v>×</v>
      </c>
      <c r="S48" s="65" t="e">
        <f>VLOOKUP($D48&amp;S$5,'②-2勤務時間数入力'!$D$7:$Q$106,$L48,FALSE)</f>
        <v>#N/A</v>
      </c>
      <c r="T48" s="65" t="str">
        <f>IF(ISERROR(S48),"×",IF(S48="-","×","○"))</f>
        <v>×</v>
      </c>
    </row>
    <row r="49" spans="1:20" ht="13.5" customHeight="1">
      <c r="A49" s="853"/>
      <c r="B49" s="856"/>
      <c r="C49" s="726"/>
      <c r="D49" s="145" t="str">
        <f t="shared" si="64"/>
        <v/>
      </c>
      <c r="E49" s="63" t="str">
        <f t="shared" ref="E49" si="70">IF(D49="","",IF(N49="○",M$5,IF(P49="○",O$5,IF(R49="○",Q$5,IF(T49="○",S$5,"ERROR")))))</f>
        <v/>
      </c>
      <c r="F49" s="62" t="str">
        <f t="shared" si="68"/>
        <v/>
      </c>
      <c r="G49" s="146" t="str">
        <f t="shared" si="65"/>
        <v/>
      </c>
      <c r="H49" s="62" t="str">
        <f>IF($D49="","",IF($E49="正規職員","-",F49*G49))</f>
        <v/>
      </c>
      <c r="I49" s="62">
        <f t="shared" si="66"/>
        <v>242333.33333333401</v>
      </c>
      <c r="J49" s="62" t="str">
        <f>IFERROR(IF($C48="-","",IF(D49="","",IF(E49="正規職員",I49-J48,MIN(MIN(H49:I49),I48-J48)))),0)</f>
        <v/>
      </c>
      <c r="K49" s="64" t="str">
        <f>IF(D49="","",IF(OR(COUNTIFS(D49,"*要配慮*")=1,COUNTIFS(D49,"*医療的ケア*")=1),"○","エラー"))</f>
        <v/>
      </c>
      <c r="L49" s="65">
        <f t="shared" si="69"/>
        <v>11</v>
      </c>
      <c r="M49" s="65" t="e">
        <f>VLOOKUP($D49&amp;M$5,'②-2勤務時間数入力'!$D$7:$Q$106,$L49,FALSE)</f>
        <v>#N/A</v>
      </c>
      <c r="N49" s="65" t="str">
        <f>IF(ISERROR(M49),"×",IF(M49="-","×","○"))</f>
        <v>×</v>
      </c>
      <c r="O49" s="65" t="e">
        <f>VLOOKUP($D49&amp;O$5,'②-2勤務時間数入力'!$D$7:$Q$106,$L49,FALSE)</f>
        <v>#N/A</v>
      </c>
      <c r="P49" s="65" t="str">
        <f>IF(ISERROR(O49),"×",IF(O49="-","×","○"))</f>
        <v>×</v>
      </c>
      <c r="Q49" s="65" t="e">
        <f>VLOOKUP($D49&amp;Q$5,'②-2勤務時間数入力'!$D$7:$Q$106,$L49,FALSE)</f>
        <v>#N/A</v>
      </c>
      <c r="R49" s="65" t="str">
        <f>IF(ISERROR(Q49),"×",IF(Q49="-","×","○"))</f>
        <v>×</v>
      </c>
      <c r="S49" s="65" t="e">
        <f>VLOOKUP($D49&amp;S$5,'②-2勤務時間数入力'!$D$7:$Q$106,$L49,FALSE)</f>
        <v>#N/A</v>
      </c>
      <c r="T49" s="65" t="str">
        <f>IF(ISERROR(S49),"×",IF(S49="-","×","○"))</f>
        <v>×</v>
      </c>
    </row>
    <row r="50" spans="1:20" ht="13.5" customHeight="1">
      <c r="A50" s="821"/>
      <c r="B50" s="857"/>
      <c r="C50" s="258"/>
      <c r="D50" s="1" t="s">
        <v>301</v>
      </c>
      <c r="E50" s="63" t="s">
        <v>293</v>
      </c>
      <c r="F50" s="70"/>
      <c r="G50" s="63" t="s">
        <v>293</v>
      </c>
      <c r="H50" s="63" t="s">
        <v>293</v>
      </c>
      <c r="I50" s="63" t="s">
        <v>293</v>
      </c>
      <c r="J50" s="62" t="str">
        <f>IFERROR(IF(J46="","",MIN(SUM(J46:J49),(B46*I46))),0)</f>
        <v/>
      </c>
      <c r="K50" s="64"/>
      <c r="L50" s="65"/>
      <c r="M50" s="65"/>
      <c r="N50" s="65"/>
      <c r="O50" s="65"/>
      <c r="P50" s="65"/>
      <c r="Q50" s="65"/>
      <c r="R50" s="65"/>
      <c r="S50" s="65"/>
      <c r="T50" s="65"/>
    </row>
    <row r="51" spans="1:20" ht="13.5" customHeight="1">
      <c r="A51" s="820">
        <v>1</v>
      </c>
      <c r="B51" s="855" t="str">
        <f>IF(判定!AZ18&gt;=1,判定!AZ18,"-")</f>
        <v>-</v>
      </c>
      <c r="C51" s="841" t="str">
        <f>IF(B51&gt;=1,IFERROR(INDEX($F$81:$G$86,MATCH(判定!AR18,$F$81:$F$86,0),2),"-"),"-")</f>
        <v>-</v>
      </c>
      <c r="D51" s="145" t="str">
        <f>IF(D46="","",D46)</f>
        <v/>
      </c>
      <c r="E51" s="63" t="str">
        <f>IF(D51="","",IF(N51="○",M$5,IF(P51="○",O$5,IF(R51="○",Q$5,IF(T51="○",S$5,"ERROR")))))</f>
        <v/>
      </c>
      <c r="F51" s="62" t="str">
        <f>IF(D51="","",IF(N51="○",M51,IF(P51="○",O51,IF(R51="○",Q51,IF(T51="○",S51,"ERROR")))))</f>
        <v/>
      </c>
      <c r="G51" s="146" t="str">
        <f>IF($D51="","",IF($E51="正規職員","-","賃金単価を記載"))</f>
        <v/>
      </c>
      <c r="H51" s="62" t="str">
        <f t="shared" ref="H51:H52" si="71">IF($D51="","",IF($E51="正規職員","-",F51*G51))</f>
        <v/>
      </c>
      <c r="I51" s="279">
        <f>⑩特定加算１!I51</f>
        <v>242333.33333333401</v>
      </c>
      <c r="J51" s="62" t="str">
        <f>IFERROR(IF($C51="-","",IF(D51="",0,IF(E51="正規職員",I51,MIN(H51:I51)))),0)</f>
        <v/>
      </c>
      <c r="K51" s="64" t="str">
        <f>IF(D51="","",IF(OR(COUNTIFS(D51,"*要配慮*")=1,COUNTIFS(D51,"*医療的ケア*")=1),"○","エラー"))</f>
        <v/>
      </c>
      <c r="L51" s="65">
        <f>L46+1</f>
        <v>12</v>
      </c>
      <c r="M51" s="65" t="e">
        <f>VLOOKUP($D51&amp;M$5,'②-2勤務時間数入力'!$D$7:$Q$106,$L51,FALSE)</f>
        <v>#N/A</v>
      </c>
      <c r="N51" s="65" t="str">
        <f>IF(ISERROR(M51),"×",IF(M51="-","×","○"))</f>
        <v>×</v>
      </c>
      <c r="O51" s="65" t="e">
        <f>VLOOKUP($D51&amp;O$5,'②-2勤務時間数入力'!$D$7:$Q$106,$L51,FALSE)</f>
        <v>#N/A</v>
      </c>
      <c r="P51" s="65" t="str">
        <f>IF(ISERROR(O51),"×",IF(O51="-","×","○"))</f>
        <v>×</v>
      </c>
      <c r="Q51" s="65" t="e">
        <f>VLOOKUP($D51&amp;Q$5,'②-2勤務時間数入力'!$D$7:$Q$106,$L51,FALSE)</f>
        <v>#N/A</v>
      </c>
      <c r="R51" s="65" t="str">
        <f>IF(ISERROR(Q51),"×",IF(Q51="-","×","○"))</f>
        <v>×</v>
      </c>
      <c r="S51" s="65" t="e">
        <f>VLOOKUP($D51&amp;S$5,'②-2勤務時間数入力'!$D$7:$Q$106,$L51,FALSE)</f>
        <v>#N/A</v>
      </c>
      <c r="T51" s="65" t="str">
        <f>IF(ISERROR(S51),"×",IF(S51="-","×","○"))</f>
        <v>×</v>
      </c>
    </row>
    <row r="52" spans="1:20" ht="13.5" customHeight="1">
      <c r="A52" s="839"/>
      <c r="B52" s="856"/>
      <c r="C52" s="735"/>
      <c r="D52" s="145" t="str">
        <f t="shared" ref="D52:D54" si="72">IF(D47="","",D47)</f>
        <v/>
      </c>
      <c r="E52" s="63" t="str">
        <f>IF(D52="","",IF(N52="○",M$5,IF(P52="○",O$5,IF(R52="○",Q$5,IF(T52="○",S$5,"ERROR")))))</f>
        <v/>
      </c>
      <c r="F52" s="62" t="str">
        <f>IF(D52="","",IF(N52="○",M52,IF(P52="○",O52,IF(R52="○",Q52,IF(T52="○",S52,"ERROR")))))</f>
        <v/>
      </c>
      <c r="G52" s="146" t="str">
        <f t="shared" ref="G52:G54" si="73">IF($D52="","",IF($E52="正規職員","-","賃金単価を記載"))</f>
        <v/>
      </c>
      <c r="H52" s="62" t="str">
        <f t="shared" si="71"/>
        <v/>
      </c>
      <c r="I52" s="62">
        <f t="shared" ref="I52:I54" si="74">$I$6</f>
        <v>242333.33333333401</v>
      </c>
      <c r="J52" s="62" t="str">
        <f>IFERROR(IF($C51="-","",IF(D52="","",IF(E52="正規職員",I52-J51,MIN(MIN(H52:I52),I51-J51)))),0)</f>
        <v/>
      </c>
      <c r="K52" s="64" t="str">
        <f t="shared" ref="K52:K53" si="75">IF(D52="","",IF(OR(COUNTIFS(D52,"*要配慮*")=1,COUNTIFS(D52,"*医療的ケア*")=1),"○","エラー"))</f>
        <v/>
      </c>
      <c r="L52" s="65">
        <f>L51</f>
        <v>12</v>
      </c>
      <c r="M52" s="65" t="e">
        <f>VLOOKUP($D52&amp;M$5,'②-2勤務時間数入力'!$D$7:$Q$106,$L52,FALSE)</f>
        <v>#N/A</v>
      </c>
      <c r="N52" s="65" t="str">
        <f>IF(ISERROR(M52),"×",IF(M52="-","×","○"))</f>
        <v>×</v>
      </c>
      <c r="O52" s="65" t="e">
        <f>VLOOKUP($D52&amp;O$5,'②-2勤務時間数入力'!$D$7:$Q$106,$L52,FALSE)</f>
        <v>#N/A</v>
      </c>
      <c r="P52" s="65" t="str">
        <f>IF(ISERROR(O52),"×",IF(O52="-","×","○"))</f>
        <v>×</v>
      </c>
      <c r="Q52" s="65" t="e">
        <f>VLOOKUP($D52&amp;Q$5,'②-2勤務時間数入力'!$D$7:$Q$106,$L52,FALSE)</f>
        <v>#N/A</v>
      </c>
      <c r="R52" s="65" t="str">
        <f>IF(ISERROR(Q52),"×",IF(Q52="-","×","○"))</f>
        <v>×</v>
      </c>
      <c r="S52" s="65" t="e">
        <f>VLOOKUP($D52&amp;S$5,'②-2勤務時間数入力'!$D$7:$Q$106,$L52,FALSE)</f>
        <v>#N/A</v>
      </c>
      <c r="T52" s="65" t="str">
        <f>IF(ISERROR(S52),"×",IF(S52="-","×","○"))</f>
        <v>×</v>
      </c>
    </row>
    <row r="53" spans="1:20" ht="13.5" customHeight="1">
      <c r="A53" s="839"/>
      <c r="B53" s="856"/>
      <c r="C53" s="854" t="str">
        <f>IF(B51&gt;=1,IFERROR(INDEX($F$81:$G$86,MATCH(判定!AS18,$F$81:$F$86,0),2),"-"),"-")</f>
        <v>-</v>
      </c>
      <c r="D53" s="145" t="str">
        <f t="shared" si="72"/>
        <v/>
      </c>
      <c r="E53" s="63" t="str">
        <f>IF(D53="","",IF(N53="○",M$5,IF(P53="○",O$5,IF(R53="○",Q$5,IF(T53="○",S$5,"ERROR")))))</f>
        <v/>
      </c>
      <c r="F53" s="62" t="str">
        <f t="shared" ref="F53:F54" si="76">IF(D53="","",IF(N53="○",M53,IF(P53="○",O53,IF(R53="○",Q53,IF(T53="○",S53,"ERROR")))))</f>
        <v/>
      </c>
      <c r="G53" s="146" t="str">
        <f t="shared" si="73"/>
        <v/>
      </c>
      <c r="H53" s="62" t="str">
        <f>IF($D53="","",IF($E53="正規職員","-",F53*G53))</f>
        <v/>
      </c>
      <c r="I53" s="62">
        <f t="shared" si="74"/>
        <v>242333.33333333401</v>
      </c>
      <c r="J53" s="62" t="str">
        <f>IFERROR(IF($C53="-","",IF(D53="",0,IF(E53="正規職員",I53,MIN(H53:I53)))),0)</f>
        <v/>
      </c>
      <c r="K53" s="64" t="str">
        <f t="shared" si="75"/>
        <v/>
      </c>
      <c r="L53" s="65">
        <f t="shared" ref="L53:L54" si="77">L52</f>
        <v>12</v>
      </c>
      <c r="M53" s="65" t="e">
        <f>VLOOKUP($D53&amp;M$5,'②-2勤務時間数入力'!$D$7:$Q$106,$L53,FALSE)</f>
        <v>#N/A</v>
      </c>
      <c r="N53" s="65" t="str">
        <f>IF(ISERROR(M53),"×",IF(M53="-","×","○"))</f>
        <v>×</v>
      </c>
      <c r="O53" s="65" t="e">
        <f>VLOOKUP($D53&amp;O$5,'②-2勤務時間数入力'!$D$7:$Q$106,$L53,FALSE)</f>
        <v>#N/A</v>
      </c>
      <c r="P53" s="65" t="str">
        <f>IF(ISERROR(O53),"×",IF(O53="-","×","○"))</f>
        <v>×</v>
      </c>
      <c r="Q53" s="65" t="e">
        <f>VLOOKUP($D53&amp;Q$5,'②-2勤務時間数入力'!$D$7:$Q$106,$L53,FALSE)</f>
        <v>#N/A</v>
      </c>
      <c r="R53" s="65" t="str">
        <f>IF(ISERROR(Q53),"×",IF(Q53="-","×","○"))</f>
        <v>×</v>
      </c>
      <c r="S53" s="65" t="e">
        <f>VLOOKUP($D53&amp;S$5,'②-2勤務時間数入力'!$D$7:$Q$106,$L53,FALSE)</f>
        <v>#N/A</v>
      </c>
      <c r="T53" s="65" t="str">
        <f>IF(ISERROR(S53),"×",IF(S53="-","×","○"))</f>
        <v>×</v>
      </c>
    </row>
    <row r="54" spans="1:20" ht="13.5" customHeight="1">
      <c r="A54" s="853"/>
      <c r="B54" s="856"/>
      <c r="C54" s="726"/>
      <c r="D54" s="145" t="str">
        <f t="shared" si="72"/>
        <v/>
      </c>
      <c r="E54" s="63" t="str">
        <f t="shared" ref="E54" si="78">IF(D54="","",IF(N54="○",M$5,IF(P54="○",O$5,IF(R54="○",Q$5,IF(T54="○",S$5,"ERROR")))))</f>
        <v/>
      </c>
      <c r="F54" s="62" t="str">
        <f t="shared" si="76"/>
        <v/>
      </c>
      <c r="G54" s="146" t="str">
        <f t="shared" si="73"/>
        <v/>
      </c>
      <c r="H54" s="62" t="str">
        <f>IF($D54="","",IF($E54="正規職員","-",F54*G54))</f>
        <v/>
      </c>
      <c r="I54" s="62">
        <f t="shared" si="74"/>
        <v>242333.33333333401</v>
      </c>
      <c r="J54" s="62" t="str">
        <f>IFERROR(IF($C53="-","",IF(D54="","",IF(E54="正規職員",I54-J53,MIN(MIN(H54:I54),I53-J53)))),0)</f>
        <v/>
      </c>
      <c r="K54" s="64" t="str">
        <f>IF(D54="","",IF(OR(COUNTIFS(D54,"*要配慮*")=1,COUNTIFS(D54,"*医療的ケア*")=1),"○","エラー"))</f>
        <v/>
      </c>
      <c r="L54" s="65">
        <f t="shared" si="77"/>
        <v>12</v>
      </c>
      <c r="M54" s="65" t="e">
        <f>VLOOKUP($D54&amp;M$5,'②-2勤務時間数入力'!$D$7:$Q$106,$L54,FALSE)</f>
        <v>#N/A</v>
      </c>
      <c r="N54" s="65" t="str">
        <f>IF(ISERROR(M54),"×",IF(M54="-","×","○"))</f>
        <v>×</v>
      </c>
      <c r="O54" s="65" t="e">
        <f>VLOOKUP($D54&amp;O$5,'②-2勤務時間数入力'!$D$7:$Q$106,$L54,FALSE)</f>
        <v>#N/A</v>
      </c>
      <c r="P54" s="65" t="str">
        <f>IF(ISERROR(O54),"×",IF(O54="-","×","○"))</f>
        <v>×</v>
      </c>
      <c r="Q54" s="65" t="e">
        <f>VLOOKUP($D54&amp;Q$5,'②-2勤務時間数入力'!$D$7:$Q$106,$L54,FALSE)</f>
        <v>#N/A</v>
      </c>
      <c r="R54" s="65" t="str">
        <f>IF(ISERROR(Q54),"×",IF(Q54="-","×","○"))</f>
        <v>×</v>
      </c>
      <c r="S54" s="65" t="e">
        <f>VLOOKUP($D54&amp;S$5,'②-2勤務時間数入力'!$D$7:$Q$106,$L54,FALSE)</f>
        <v>#N/A</v>
      </c>
      <c r="T54" s="65" t="str">
        <f>IF(ISERROR(S54),"×",IF(S54="-","×","○"))</f>
        <v>×</v>
      </c>
    </row>
    <row r="55" spans="1:20" ht="13.5" customHeight="1">
      <c r="A55" s="821"/>
      <c r="B55" s="857"/>
      <c r="C55" s="258"/>
      <c r="D55" s="1" t="s">
        <v>302</v>
      </c>
      <c r="E55" s="63" t="s">
        <v>293</v>
      </c>
      <c r="F55" s="70"/>
      <c r="G55" s="63" t="s">
        <v>293</v>
      </c>
      <c r="H55" s="63" t="s">
        <v>293</v>
      </c>
      <c r="I55" s="63" t="s">
        <v>293</v>
      </c>
      <c r="J55" s="62" t="str">
        <f>IFERROR(IF(J51="","",MIN(SUM(J51:J54),(B51*I51))),0)</f>
        <v/>
      </c>
      <c r="K55" s="64"/>
      <c r="L55" s="65"/>
      <c r="M55" s="65"/>
      <c r="N55" s="65"/>
      <c r="O55" s="65"/>
      <c r="P55" s="65"/>
      <c r="Q55" s="65"/>
      <c r="R55" s="65"/>
      <c r="S55" s="65"/>
      <c r="T55" s="65"/>
    </row>
    <row r="56" spans="1:20" ht="13.5" customHeight="1">
      <c r="A56" s="820">
        <v>2</v>
      </c>
      <c r="B56" s="855" t="str">
        <f>IF(判定!AZ19&gt;=1,判定!AZ19,"-")</f>
        <v>-</v>
      </c>
      <c r="C56" s="841" t="str">
        <f>IF(B56&gt;=1,IFERROR(INDEX($F$81:$G$86,MATCH(判定!AR19,$F$81:$F$86,0),2),"-"),"-")</f>
        <v>-</v>
      </c>
      <c r="D56" s="145" t="str">
        <f>IF(D51="","",D51)</f>
        <v/>
      </c>
      <c r="E56" s="63" t="str">
        <f>IF(D56="","",IF(N56="○",M$5,IF(P56="○",O$5,IF(R56="○",Q$5,IF(T56="○",S$5,"ERROR")))))</f>
        <v/>
      </c>
      <c r="F56" s="62" t="str">
        <f>IF(D56="","",IF(N56="○",M56,IF(P56="○",O56,IF(R56="○",Q56,IF(T56="○",S56,"ERROR")))))</f>
        <v/>
      </c>
      <c r="G56" s="146" t="str">
        <f>IF($D56="","",IF($E56="正規職員","-","賃金単価を記載"))</f>
        <v/>
      </c>
      <c r="H56" s="62" t="str">
        <f t="shared" ref="H56:H57" si="79">IF($D56="","",IF($E56="正規職員","-",F56*G56))</f>
        <v/>
      </c>
      <c r="I56" s="279">
        <f>⑩特定加算１!I56</f>
        <v>242333.33333333401</v>
      </c>
      <c r="J56" s="62" t="str">
        <f>IFERROR(IF($C56="-","",IF(D56="",0,IF(E56="正規職員",I56,MIN(H56:I56)))),0)</f>
        <v/>
      </c>
      <c r="K56" s="64" t="str">
        <f>IF(D56="","",IF(OR(COUNTIFS(D56,"*要配慮*")=1,COUNTIFS(D56,"*医療的ケア*")=1),"○","エラー"))</f>
        <v/>
      </c>
      <c r="L56" s="65">
        <f>L51+1</f>
        <v>13</v>
      </c>
      <c r="M56" s="65" t="e">
        <f>VLOOKUP($D56&amp;M$5,'②-2勤務時間数入力'!$D$7:$Q$106,$L56,FALSE)</f>
        <v>#N/A</v>
      </c>
      <c r="N56" s="65" t="str">
        <f>IF(ISERROR(M56),"×",IF(M56="-","×","○"))</f>
        <v>×</v>
      </c>
      <c r="O56" s="65" t="e">
        <f>VLOOKUP($D56&amp;O$5,'②-2勤務時間数入力'!$D$7:$Q$106,$L56,FALSE)</f>
        <v>#N/A</v>
      </c>
      <c r="P56" s="65" t="str">
        <f>IF(ISERROR(O56),"×",IF(O56="-","×","○"))</f>
        <v>×</v>
      </c>
      <c r="Q56" s="65" t="e">
        <f>VLOOKUP($D56&amp;Q$5,'②-2勤務時間数入力'!$D$7:$Q$106,$L56,FALSE)</f>
        <v>#N/A</v>
      </c>
      <c r="R56" s="65" t="str">
        <f>IF(ISERROR(Q56),"×",IF(Q56="-","×","○"))</f>
        <v>×</v>
      </c>
      <c r="S56" s="65" t="e">
        <f>VLOOKUP($D56&amp;S$5,'②-2勤務時間数入力'!$D$7:$Q$106,$L56,FALSE)</f>
        <v>#N/A</v>
      </c>
      <c r="T56" s="65" t="str">
        <f>IF(ISERROR(S56),"×",IF(S56="-","×","○"))</f>
        <v>×</v>
      </c>
    </row>
    <row r="57" spans="1:20" ht="13.5" customHeight="1">
      <c r="A57" s="839"/>
      <c r="B57" s="856"/>
      <c r="C57" s="735"/>
      <c r="D57" s="145" t="str">
        <f t="shared" ref="D57:D59" si="80">IF(D52="","",D52)</f>
        <v/>
      </c>
      <c r="E57" s="63" t="str">
        <f>IF(D57="","",IF(N57="○",M$5,IF(P57="○",O$5,IF(R57="○",Q$5,IF(T57="○",S$5,"ERROR")))))</f>
        <v/>
      </c>
      <c r="F57" s="62" t="str">
        <f>IF(D57="","",IF(N57="○",M57,IF(P57="○",O57,IF(R57="○",Q57,IF(T57="○",S57,"ERROR")))))</f>
        <v/>
      </c>
      <c r="G57" s="146" t="str">
        <f t="shared" ref="G57:G59" si="81">IF($D57="","",IF($E57="正規職員","-","賃金単価を記載"))</f>
        <v/>
      </c>
      <c r="H57" s="62" t="str">
        <f t="shared" si="79"/>
        <v/>
      </c>
      <c r="I57" s="62">
        <f t="shared" ref="I57:I59" si="82">$I$6</f>
        <v>242333.33333333401</v>
      </c>
      <c r="J57" s="62" t="str">
        <f>IFERROR(IF($C56="-","",IF(D57="","",IF(E57="正規職員",I57-J56,MIN(MIN(H57:I57),I56-J56)))),0)</f>
        <v/>
      </c>
      <c r="K57" s="64" t="str">
        <f t="shared" ref="K57:K58" si="83">IF(D57="","",IF(OR(COUNTIFS(D57,"*要配慮*")=1,COUNTIFS(D57,"*医療的ケア*")=1),"○","エラー"))</f>
        <v/>
      </c>
      <c r="L57" s="65">
        <f>L56</f>
        <v>13</v>
      </c>
      <c r="M57" s="65" t="e">
        <f>VLOOKUP($D57&amp;M$5,'②-2勤務時間数入力'!$D$7:$Q$106,$L57,FALSE)</f>
        <v>#N/A</v>
      </c>
      <c r="N57" s="65" t="str">
        <f>IF(ISERROR(M57),"×",IF(M57="-","×","○"))</f>
        <v>×</v>
      </c>
      <c r="O57" s="65" t="e">
        <f>VLOOKUP($D57&amp;O$5,'②-2勤務時間数入力'!$D$7:$Q$106,$L57,FALSE)</f>
        <v>#N/A</v>
      </c>
      <c r="P57" s="65" t="str">
        <f>IF(ISERROR(O57),"×",IF(O57="-","×","○"))</f>
        <v>×</v>
      </c>
      <c r="Q57" s="65" t="e">
        <f>VLOOKUP($D57&amp;Q$5,'②-2勤務時間数入力'!$D$7:$Q$106,$L57,FALSE)</f>
        <v>#N/A</v>
      </c>
      <c r="R57" s="65" t="str">
        <f>IF(ISERROR(Q57),"×",IF(Q57="-","×","○"))</f>
        <v>×</v>
      </c>
      <c r="S57" s="65" t="e">
        <f>VLOOKUP($D57&amp;S$5,'②-2勤務時間数入力'!$D$7:$Q$106,$L57,FALSE)</f>
        <v>#N/A</v>
      </c>
      <c r="T57" s="65" t="str">
        <f>IF(ISERROR(S57),"×",IF(S57="-","×","○"))</f>
        <v>×</v>
      </c>
    </row>
    <row r="58" spans="1:20" ht="13.5" customHeight="1">
      <c r="A58" s="839"/>
      <c r="B58" s="856"/>
      <c r="C58" s="854" t="str">
        <f>IF(B56&gt;=1,IFERROR(INDEX($F$81:$G$86,MATCH(判定!AS19,$F$81:$F$86,0),2),"-"),"-")</f>
        <v>-</v>
      </c>
      <c r="D58" s="145" t="str">
        <f t="shared" si="80"/>
        <v/>
      </c>
      <c r="E58" s="63" t="str">
        <f>IF(D58="","",IF(N58="○",M$5,IF(P58="○",O$5,IF(R58="○",Q$5,IF(T58="○",S$5,"ERROR")))))</f>
        <v/>
      </c>
      <c r="F58" s="62" t="str">
        <f t="shared" ref="F58:F59" si="84">IF(D58="","",IF(N58="○",M58,IF(P58="○",O58,IF(R58="○",Q58,IF(T58="○",S58,"ERROR")))))</f>
        <v/>
      </c>
      <c r="G58" s="146" t="str">
        <f t="shared" si="81"/>
        <v/>
      </c>
      <c r="H58" s="62" t="str">
        <f>IF($D58="","",IF($E58="正規職員","-",F58*G58))</f>
        <v/>
      </c>
      <c r="I58" s="62">
        <f t="shared" si="82"/>
        <v>242333.33333333401</v>
      </c>
      <c r="J58" s="62" t="str">
        <f>IFERROR(IF($C58="-","",IF(D58="",0,IF(E58="正規職員",I58,MIN(H58:I58)))),0)</f>
        <v/>
      </c>
      <c r="K58" s="64" t="str">
        <f t="shared" si="83"/>
        <v/>
      </c>
      <c r="L58" s="65">
        <f t="shared" ref="L58:L59" si="85">L57</f>
        <v>13</v>
      </c>
      <c r="M58" s="65" t="e">
        <f>VLOOKUP($D58&amp;M$5,'②-2勤務時間数入力'!$D$7:$Q$106,$L58,FALSE)</f>
        <v>#N/A</v>
      </c>
      <c r="N58" s="65" t="str">
        <f>IF(ISERROR(M58),"×",IF(M58="-","×","○"))</f>
        <v>×</v>
      </c>
      <c r="O58" s="65" t="e">
        <f>VLOOKUP($D58&amp;O$5,'②-2勤務時間数入力'!$D$7:$Q$106,$L58,FALSE)</f>
        <v>#N/A</v>
      </c>
      <c r="P58" s="65" t="str">
        <f>IF(ISERROR(O58),"×",IF(O58="-","×","○"))</f>
        <v>×</v>
      </c>
      <c r="Q58" s="65" t="e">
        <f>VLOOKUP($D58&amp;Q$5,'②-2勤務時間数入力'!$D$7:$Q$106,$L58,FALSE)</f>
        <v>#N/A</v>
      </c>
      <c r="R58" s="65" t="str">
        <f>IF(ISERROR(Q58),"×",IF(Q58="-","×","○"))</f>
        <v>×</v>
      </c>
      <c r="S58" s="65" t="e">
        <f>VLOOKUP($D58&amp;S$5,'②-2勤務時間数入力'!$D$7:$Q$106,$L58,FALSE)</f>
        <v>#N/A</v>
      </c>
      <c r="T58" s="65" t="str">
        <f>IF(ISERROR(S58),"×",IF(S58="-","×","○"))</f>
        <v>×</v>
      </c>
    </row>
    <row r="59" spans="1:20" ht="13.5" customHeight="1">
      <c r="A59" s="853"/>
      <c r="B59" s="856"/>
      <c r="C59" s="726"/>
      <c r="D59" s="145" t="str">
        <f t="shared" si="80"/>
        <v/>
      </c>
      <c r="E59" s="63" t="str">
        <f t="shared" ref="E59" si="86">IF(D59="","",IF(N59="○",M$5,IF(P59="○",O$5,IF(R59="○",Q$5,IF(T59="○",S$5,"ERROR")))))</f>
        <v/>
      </c>
      <c r="F59" s="62" t="str">
        <f t="shared" si="84"/>
        <v/>
      </c>
      <c r="G59" s="146" t="str">
        <f t="shared" si="81"/>
        <v/>
      </c>
      <c r="H59" s="62" t="str">
        <f>IF($D59="","",IF($E59="正規職員","-",F59*G59))</f>
        <v/>
      </c>
      <c r="I59" s="62">
        <f t="shared" si="82"/>
        <v>242333.33333333401</v>
      </c>
      <c r="J59" s="62" t="str">
        <f>IFERROR(IF($C58="-","",IF(D59="","",IF(E59="正規職員",I59-J58,MIN(MIN(H59:I59),I58-J58)))),0)</f>
        <v/>
      </c>
      <c r="K59" s="64" t="str">
        <f>IF(D59="","",IF(OR(COUNTIFS(D59,"*要配慮*")=1,COUNTIFS(D59,"*医療的ケア*")=1),"○","エラー"))</f>
        <v/>
      </c>
      <c r="L59" s="65">
        <f t="shared" si="85"/>
        <v>13</v>
      </c>
      <c r="M59" s="65" t="e">
        <f>VLOOKUP($D59&amp;M$5,'②-2勤務時間数入力'!$D$7:$Q$106,$L59,FALSE)</f>
        <v>#N/A</v>
      </c>
      <c r="N59" s="65" t="str">
        <f>IF(ISERROR(M59),"×",IF(M59="-","×","○"))</f>
        <v>×</v>
      </c>
      <c r="O59" s="65" t="e">
        <f>VLOOKUP($D59&amp;O$5,'②-2勤務時間数入力'!$D$7:$Q$106,$L59,FALSE)</f>
        <v>#N/A</v>
      </c>
      <c r="P59" s="65" t="str">
        <f>IF(ISERROR(O59),"×",IF(O59="-","×","○"))</f>
        <v>×</v>
      </c>
      <c r="Q59" s="65" t="e">
        <f>VLOOKUP($D59&amp;Q$5,'②-2勤務時間数入力'!$D$7:$Q$106,$L59,FALSE)</f>
        <v>#N/A</v>
      </c>
      <c r="R59" s="65" t="str">
        <f>IF(ISERROR(Q59),"×",IF(Q59="-","×","○"))</f>
        <v>×</v>
      </c>
      <c r="S59" s="65" t="e">
        <f>VLOOKUP($D59&amp;S$5,'②-2勤務時間数入力'!$D$7:$Q$106,$L59,FALSE)</f>
        <v>#N/A</v>
      </c>
      <c r="T59" s="65" t="str">
        <f>IF(ISERROR(S59),"×",IF(S59="-","×","○"))</f>
        <v>×</v>
      </c>
    </row>
    <row r="60" spans="1:20" ht="13.5" customHeight="1">
      <c r="A60" s="821"/>
      <c r="B60" s="857"/>
      <c r="C60" s="258"/>
      <c r="D60" s="1" t="s">
        <v>303</v>
      </c>
      <c r="E60" s="63" t="s">
        <v>293</v>
      </c>
      <c r="F60" s="70"/>
      <c r="G60" s="63" t="s">
        <v>293</v>
      </c>
      <c r="H60" s="63" t="s">
        <v>293</v>
      </c>
      <c r="I60" s="63" t="s">
        <v>293</v>
      </c>
      <c r="J60" s="62" t="str">
        <f>IFERROR(IF(J56="","",MIN(SUM(J56:J59),(B56*I56))),0)</f>
        <v/>
      </c>
      <c r="K60" s="64"/>
      <c r="L60" s="65"/>
      <c r="M60" s="65"/>
      <c r="N60" s="65"/>
      <c r="O60" s="65"/>
      <c r="P60" s="65"/>
      <c r="Q60" s="65"/>
      <c r="R60" s="65"/>
      <c r="S60" s="65"/>
      <c r="T60" s="65"/>
    </row>
    <row r="61" spans="1:20" ht="13.5" customHeight="1">
      <c r="A61" s="820">
        <v>3</v>
      </c>
      <c r="B61" s="855" t="str">
        <f>IF(判定!AZ20&gt;=1,判定!AZ20,"-")</f>
        <v>-</v>
      </c>
      <c r="C61" s="841" t="str">
        <f>IF(B61&gt;=1,IFERROR(INDEX($F$81:$G$86,MATCH(判定!AR20,$F$81:$F$86,0),2),"-"),"-")</f>
        <v>-</v>
      </c>
      <c r="D61" s="145" t="str">
        <f>IF(D56="","",D56)</f>
        <v/>
      </c>
      <c r="E61" s="63" t="str">
        <f>IF(D61="","",IF(N61="○",M$5,IF(P61="○",O$5,IF(R61="○",Q$5,IF(T61="○",S$5,"ERROR")))))</f>
        <v/>
      </c>
      <c r="F61" s="62" t="str">
        <f>IF(D61="","",IF(N61="○",M61,IF(P61="○",O61,IF(R61="○",Q61,IF(T61="○",S61,"ERROR")))))</f>
        <v/>
      </c>
      <c r="G61" s="146" t="str">
        <f>IF($D61="","",IF($E61="正規職員","-","賃金単価を記載"))</f>
        <v/>
      </c>
      <c r="H61" s="62" t="str">
        <f t="shared" ref="H61:H62" si="87">IF($D61="","",IF($E61="正規職員","-",F61*G61))</f>
        <v/>
      </c>
      <c r="I61" s="279">
        <f>⑩特定加算１!I61</f>
        <v>242333.33333333401</v>
      </c>
      <c r="J61" s="62" t="str">
        <f>IFERROR(IF($C61="-","",IF(D61="",0,IF(E61="正規職員",I61,MIN(H61:I61)))),0)</f>
        <v/>
      </c>
      <c r="K61" s="64" t="str">
        <f>IF(D61="","",IF(OR(COUNTIFS(D61,"*要配慮*")=1,COUNTIFS(D61,"*医療的ケア*")=1),"○","エラー"))</f>
        <v/>
      </c>
      <c r="L61" s="65">
        <f>L56+1</f>
        <v>14</v>
      </c>
      <c r="M61" s="65" t="e">
        <f>VLOOKUP($D61&amp;M$5,'②-2勤務時間数入力'!$D$7:$Q$106,$L61,FALSE)</f>
        <v>#N/A</v>
      </c>
      <c r="N61" s="65" t="str">
        <f>IF(ISERROR(M61),"×",IF(M61="-","×","○"))</f>
        <v>×</v>
      </c>
      <c r="O61" s="65" t="e">
        <f>VLOOKUP($D61&amp;O$5,'②-2勤務時間数入力'!$D$7:$Q$106,$L61,FALSE)</f>
        <v>#N/A</v>
      </c>
      <c r="P61" s="65" t="str">
        <f>IF(ISERROR(O61),"×",IF(O61="-","×","○"))</f>
        <v>×</v>
      </c>
      <c r="Q61" s="65" t="e">
        <f>VLOOKUP($D61&amp;Q$5,'②-2勤務時間数入力'!$D$7:$Q$106,$L61,FALSE)</f>
        <v>#N/A</v>
      </c>
      <c r="R61" s="65" t="str">
        <f>IF(ISERROR(Q61),"×",IF(Q61="-","×","○"))</f>
        <v>×</v>
      </c>
      <c r="S61" s="65" t="e">
        <f>VLOOKUP($D61&amp;S$5,'②-2勤務時間数入力'!$D$7:$Q$106,$L61,FALSE)</f>
        <v>#N/A</v>
      </c>
      <c r="T61" s="65" t="str">
        <f>IF(ISERROR(S61),"×",IF(S61="-","×","○"))</f>
        <v>×</v>
      </c>
    </row>
    <row r="62" spans="1:20" ht="13.5" customHeight="1">
      <c r="A62" s="839"/>
      <c r="B62" s="856"/>
      <c r="C62" s="735"/>
      <c r="D62" s="145" t="str">
        <f t="shared" ref="D62:D64" si="88">IF(D57="","",D57)</f>
        <v/>
      </c>
      <c r="E62" s="63" t="str">
        <f>IF(D62="","",IF(N62="○",M$5,IF(P62="○",O$5,IF(R62="○",Q$5,IF(T62="○",S$5,"ERROR")))))</f>
        <v/>
      </c>
      <c r="F62" s="62" t="str">
        <f>IF(D62="","",IF(N62="○",M62,IF(P62="○",O62,IF(R62="○",Q62,IF(T62="○",S62,"ERROR")))))</f>
        <v/>
      </c>
      <c r="G62" s="146" t="str">
        <f t="shared" ref="G62:G64" si="89">IF($D62="","",IF($E62="正規職員","-","賃金単価を記載"))</f>
        <v/>
      </c>
      <c r="H62" s="62" t="str">
        <f t="shared" si="87"/>
        <v/>
      </c>
      <c r="I62" s="62">
        <f t="shared" ref="I62:I64" si="90">$I$6</f>
        <v>242333.33333333401</v>
      </c>
      <c r="J62" s="62" t="str">
        <f>IFERROR(IF($C61="-","",IF(D62="","",IF(E62="正規職員",I62-J61,MIN(MIN(H62:I62),I61-J61)))),0)</f>
        <v/>
      </c>
      <c r="K62" s="64" t="str">
        <f t="shared" ref="K62:K63" si="91">IF(D62="","",IF(OR(COUNTIFS(D62,"*要配慮*")=1,COUNTIFS(D62,"*医療的ケア*")=1),"○","エラー"))</f>
        <v/>
      </c>
      <c r="L62" s="65">
        <f>L61</f>
        <v>14</v>
      </c>
      <c r="M62" s="65" t="e">
        <f>VLOOKUP($D62&amp;M$5,'②-2勤務時間数入力'!$D$7:$Q$106,$L62,FALSE)</f>
        <v>#N/A</v>
      </c>
      <c r="N62" s="65" t="str">
        <f>IF(ISERROR(M62),"×",IF(M62="-","×","○"))</f>
        <v>×</v>
      </c>
      <c r="O62" s="65" t="e">
        <f>VLOOKUP($D62&amp;O$5,'②-2勤務時間数入力'!$D$7:$Q$106,$L62,FALSE)</f>
        <v>#N/A</v>
      </c>
      <c r="P62" s="65" t="str">
        <f>IF(ISERROR(O62),"×",IF(O62="-","×","○"))</f>
        <v>×</v>
      </c>
      <c r="Q62" s="65" t="e">
        <f>VLOOKUP($D62&amp;Q$5,'②-2勤務時間数入力'!$D$7:$Q$106,$L62,FALSE)</f>
        <v>#N/A</v>
      </c>
      <c r="R62" s="65" t="str">
        <f>IF(ISERROR(Q62),"×",IF(Q62="-","×","○"))</f>
        <v>×</v>
      </c>
      <c r="S62" s="65" t="e">
        <f>VLOOKUP($D62&amp;S$5,'②-2勤務時間数入力'!$D$7:$Q$106,$L62,FALSE)</f>
        <v>#N/A</v>
      </c>
      <c r="T62" s="65" t="str">
        <f>IF(ISERROR(S62),"×",IF(S62="-","×","○"))</f>
        <v>×</v>
      </c>
    </row>
    <row r="63" spans="1:20" ht="13.5" customHeight="1">
      <c r="A63" s="839"/>
      <c r="B63" s="856"/>
      <c r="C63" s="854" t="str">
        <f>IF(B61&gt;=1,IFERROR(INDEX($F$81:$G$86,MATCH(判定!AS20,$F$81:$F$86,0),2),"-"),"-")</f>
        <v>-</v>
      </c>
      <c r="D63" s="145" t="str">
        <f t="shared" si="88"/>
        <v/>
      </c>
      <c r="E63" s="63" t="str">
        <f>IF(D63="","",IF(N63="○",M$5,IF(P63="○",O$5,IF(R63="○",Q$5,IF(T63="○",S$5,"ERROR")))))</f>
        <v/>
      </c>
      <c r="F63" s="62" t="str">
        <f t="shared" ref="F63:F64" si="92">IF(D63="","",IF(N63="○",M63,IF(P63="○",O63,IF(R63="○",Q63,IF(T63="○",S63,"ERROR")))))</f>
        <v/>
      </c>
      <c r="G63" s="146" t="str">
        <f t="shared" si="89"/>
        <v/>
      </c>
      <c r="H63" s="62" t="str">
        <f>IF($D63="","",IF($E63="正規職員","-",F63*G63))</f>
        <v/>
      </c>
      <c r="I63" s="62">
        <f t="shared" si="90"/>
        <v>242333.33333333401</v>
      </c>
      <c r="J63" s="62" t="str">
        <f>IFERROR(IF($C63="-","",IF(D63="",0,IF(E63="正規職員",I63,MIN(H63:I63)))),0)</f>
        <v/>
      </c>
      <c r="K63" s="64" t="str">
        <f t="shared" si="91"/>
        <v/>
      </c>
      <c r="L63" s="65">
        <f t="shared" ref="L63:L64" si="93">L62</f>
        <v>14</v>
      </c>
      <c r="M63" s="65" t="e">
        <f>VLOOKUP($D63&amp;M$5,'②-2勤務時間数入力'!$D$7:$Q$106,$L63,FALSE)</f>
        <v>#N/A</v>
      </c>
      <c r="N63" s="65" t="str">
        <f>IF(ISERROR(M63),"×",IF(M63="-","×","○"))</f>
        <v>×</v>
      </c>
      <c r="O63" s="65" t="e">
        <f>VLOOKUP($D63&amp;O$5,'②-2勤務時間数入力'!$D$7:$Q$106,$L63,FALSE)</f>
        <v>#N/A</v>
      </c>
      <c r="P63" s="65" t="str">
        <f>IF(ISERROR(O63),"×",IF(O63="-","×","○"))</f>
        <v>×</v>
      </c>
      <c r="Q63" s="65" t="e">
        <f>VLOOKUP($D63&amp;Q$5,'②-2勤務時間数入力'!$D$7:$Q$106,$L63,FALSE)</f>
        <v>#N/A</v>
      </c>
      <c r="R63" s="65" t="str">
        <f>IF(ISERROR(Q63),"×",IF(Q63="-","×","○"))</f>
        <v>×</v>
      </c>
      <c r="S63" s="65" t="e">
        <f>VLOOKUP($D63&amp;S$5,'②-2勤務時間数入力'!$D$7:$Q$106,$L63,FALSE)</f>
        <v>#N/A</v>
      </c>
      <c r="T63" s="65" t="str">
        <f>IF(ISERROR(S63),"×",IF(S63="-","×","○"))</f>
        <v>×</v>
      </c>
    </row>
    <row r="64" spans="1:20" ht="13.5" customHeight="1">
      <c r="A64" s="853"/>
      <c r="B64" s="856"/>
      <c r="C64" s="726"/>
      <c r="D64" s="145" t="str">
        <f t="shared" si="88"/>
        <v/>
      </c>
      <c r="E64" s="63" t="str">
        <f t="shared" ref="E64" si="94">IF(D64="","",IF(N64="○",M$5,IF(P64="○",O$5,IF(R64="○",Q$5,IF(T64="○",S$5,"ERROR")))))</f>
        <v/>
      </c>
      <c r="F64" s="62" t="str">
        <f t="shared" si="92"/>
        <v/>
      </c>
      <c r="G64" s="146" t="str">
        <f t="shared" si="89"/>
        <v/>
      </c>
      <c r="H64" s="62" t="str">
        <f>IF($D64="","",IF($E64="正規職員","-",F64*G64))</f>
        <v/>
      </c>
      <c r="I64" s="62">
        <f t="shared" si="90"/>
        <v>242333.33333333401</v>
      </c>
      <c r="J64" s="62" t="str">
        <f>IFERROR(IF($C63="-","",IF(D64="","",IF(E64="正規職員",I64-J63,MIN(MIN(H64:I64),I63-J63)))),0)</f>
        <v/>
      </c>
      <c r="K64" s="64" t="str">
        <f>IF(D64="","",IF(OR(COUNTIFS(D64,"*要配慮*")=1,COUNTIFS(D64,"*医療的ケア*")=1),"○","エラー"))</f>
        <v/>
      </c>
      <c r="L64" s="65">
        <f t="shared" si="93"/>
        <v>14</v>
      </c>
      <c r="M64" s="65" t="e">
        <f>VLOOKUP($D64&amp;M$5,'②-2勤務時間数入力'!$D$7:$Q$106,$L64,FALSE)</f>
        <v>#N/A</v>
      </c>
      <c r="N64" s="65" t="str">
        <f>IF(ISERROR(M64),"×",IF(M64="-","×","○"))</f>
        <v>×</v>
      </c>
      <c r="O64" s="65" t="e">
        <f>VLOOKUP($D64&amp;O$5,'②-2勤務時間数入力'!$D$7:$Q$106,$L64,FALSE)</f>
        <v>#N/A</v>
      </c>
      <c r="P64" s="65" t="str">
        <f>IF(ISERROR(O64),"×",IF(O64="-","×","○"))</f>
        <v>×</v>
      </c>
      <c r="Q64" s="65" t="e">
        <f>VLOOKUP($D64&amp;Q$5,'②-2勤務時間数入力'!$D$7:$Q$106,$L64,FALSE)</f>
        <v>#N/A</v>
      </c>
      <c r="R64" s="65" t="str">
        <f>IF(ISERROR(Q64),"×",IF(Q64="-","×","○"))</f>
        <v>×</v>
      </c>
      <c r="S64" s="65" t="e">
        <f>VLOOKUP($D64&amp;S$5,'②-2勤務時間数入力'!$D$7:$Q$106,$L64,FALSE)</f>
        <v>#N/A</v>
      </c>
      <c r="T64" s="65" t="str">
        <f>IF(ISERROR(S64),"×",IF(S64="-","×","○"))</f>
        <v>×</v>
      </c>
    </row>
    <row r="65" spans="1:20" ht="13.5" customHeight="1">
      <c r="A65" s="821"/>
      <c r="B65" s="857"/>
      <c r="C65" s="258"/>
      <c r="D65" s="1" t="s">
        <v>304</v>
      </c>
      <c r="E65" s="63" t="s">
        <v>293</v>
      </c>
      <c r="F65" s="70"/>
      <c r="G65" s="63" t="s">
        <v>293</v>
      </c>
      <c r="H65" s="63" t="s">
        <v>293</v>
      </c>
      <c r="I65" s="63" t="s">
        <v>293</v>
      </c>
      <c r="J65" s="62" t="str">
        <f>IFERROR(IF(J61="","",MIN(SUM(J61:J64),(B61*I61))),0)</f>
        <v/>
      </c>
      <c r="K65" s="64"/>
      <c r="L65" s="65"/>
      <c r="M65" s="65"/>
      <c r="N65" s="65"/>
      <c r="O65" s="65"/>
      <c r="P65" s="65"/>
      <c r="Q65" s="65"/>
      <c r="R65" s="65"/>
      <c r="S65" s="65"/>
      <c r="T65" s="65"/>
    </row>
    <row r="66" spans="1:20" ht="13.5" customHeight="1">
      <c r="A66" s="61" t="s">
        <v>284</v>
      </c>
      <c r="B66" s="61"/>
      <c r="C66" s="61"/>
      <c r="D66" s="1"/>
      <c r="E66" s="62"/>
      <c r="F66" s="62"/>
      <c r="G66" s="62"/>
      <c r="H66" s="62"/>
      <c r="I66" s="62"/>
      <c r="J66" s="66">
        <f>ROUNDDOWN(SUM(J10,J15,J20,J25,J30,J35,J40,J45,J50,J55,J60,J65),-3)</f>
        <v>0</v>
      </c>
    </row>
    <row r="67" spans="1:20" ht="15" customHeight="1">
      <c r="D67" s="64"/>
      <c r="E67" s="64"/>
      <c r="F67" s="64"/>
      <c r="G67" s="64"/>
      <c r="H67" s="64"/>
      <c r="I67" s="64"/>
    </row>
    <row r="69" spans="1:20" hidden="1">
      <c r="C69" s="85" t="s">
        <v>371</v>
      </c>
      <c r="D69" s="85"/>
      <c r="E69" s="85"/>
      <c r="F69" s="85"/>
    </row>
    <row r="70" spans="1:20" hidden="1">
      <c r="C70" s="85" t="s">
        <v>374</v>
      </c>
      <c r="D70" s="85"/>
      <c r="E70" s="85"/>
      <c r="F70" s="85"/>
    </row>
    <row r="71" spans="1:20" hidden="1">
      <c r="C71" s="85" t="s">
        <v>405</v>
      </c>
      <c r="D71" s="85"/>
      <c r="E71" s="85"/>
      <c r="F71" s="85"/>
    </row>
    <row r="72" spans="1:20" ht="163.5" hidden="1" customHeight="1">
      <c r="C72" s="144" t="s">
        <v>343</v>
      </c>
      <c r="D72" s="831" t="s">
        <v>1603</v>
      </c>
      <c r="E72" s="832"/>
      <c r="F72" s="833"/>
    </row>
    <row r="73" spans="1:20" ht="57" hidden="1" customHeight="1">
      <c r="C73" s="144" t="s">
        <v>348</v>
      </c>
      <c r="D73" s="831" t="s">
        <v>373</v>
      </c>
      <c r="E73" s="832"/>
      <c r="F73" s="833"/>
    </row>
    <row r="74" spans="1:20" hidden="1"/>
    <row r="75" spans="1:20" hidden="1"/>
    <row r="76" spans="1:20" hidden="1">
      <c r="B76" s="851"/>
      <c r="C76" s="851"/>
      <c r="D76" s="852"/>
      <c r="E76" s="852"/>
      <c r="F76" s="852"/>
    </row>
    <row r="77" spans="1:20" hidden="1"/>
    <row r="78" spans="1:20" hidden="1"/>
    <row r="79" spans="1:20" hidden="1"/>
    <row r="80" spans="1:20" hidden="1">
      <c r="G80" t="s">
        <v>1276</v>
      </c>
    </row>
    <row r="81" spans="6:7" hidden="1">
      <c r="F81" t="s">
        <v>1272</v>
      </c>
      <c r="G81" t="str">
        <f>'②-1職員名簿'!C144</f>
        <v>保育士</v>
      </c>
    </row>
    <row r="82" spans="6:7" hidden="1">
      <c r="F82" t="s">
        <v>1273</v>
      </c>
      <c r="G82" t="str">
        <f>'②-1職員名簿'!C145</f>
        <v>要件緩和</v>
      </c>
    </row>
    <row r="83" spans="6:7" hidden="1">
      <c r="F83" t="s">
        <v>1274</v>
      </c>
      <c r="G83" t="str">
        <f>'②-1職員名簿'!C146</f>
        <v>看護師等</v>
      </c>
    </row>
    <row r="84" spans="6:7" hidden="1">
      <c r="F84" t="s">
        <v>1275</v>
      </c>
      <c r="G84" t="str">
        <f>'②-1職員名簿'!C147</f>
        <v>栄養士</v>
      </c>
    </row>
    <row r="85" spans="6:7" hidden="1">
      <c r="F85" t="s">
        <v>1279</v>
      </c>
      <c r="G85" t="str">
        <f>'②-1職員名簿'!C148</f>
        <v>調理師等</v>
      </c>
    </row>
    <row r="86" spans="6:7" hidden="1">
      <c r="F86" t="s">
        <v>1280</v>
      </c>
      <c r="G86" t="str">
        <f>'②-1職員名簿'!C149</f>
        <v>保育支援者</v>
      </c>
    </row>
  </sheetData>
  <sheetProtection algorithmName="SHA-512" hashValue="zpplgLibKhvmNDZRmooOgAkIa1PwOKmRE5fG9UBhkSdZPf04iY31Ct+1AeNdZaCYtqSwWj46bYsDEiV06JIFFg==" saltValue="tdug2ENx7wTL0SyvjwrNOg==" spinCount="100000" sheet="1" selectLockedCells="1"/>
  <mergeCells count="58">
    <mergeCell ref="C56:C57"/>
    <mergeCell ref="C58:C59"/>
    <mergeCell ref="C61:C62"/>
    <mergeCell ref="C63:C64"/>
    <mergeCell ref="C36:C37"/>
    <mergeCell ref="C38:C39"/>
    <mergeCell ref="C41:C42"/>
    <mergeCell ref="C43:C44"/>
    <mergeCell ref="C46:C47"/>
    <mergeCell ref="C23:C24"/>
    <mergeCell ref="C26:C27"/>
    <mergeCell ref="C28:C29"/>
    <mergeCell ref="C31:C32"/>
    <mergeCell ref="C33:C34"/>
    <mergeCell ref="C11:C12"/>
    <mergeCell ref="C13:C14"/>
    <mergeCell ref="C16:C17"/>
    <mergeCell ref="C18:C19"/>
    <mergeCell ref="C21:C22"/>
    <mergeCell ref="A1:J1"/>
    <mergeCell ref="E2:F2"/>
    <mergeCell ref="G2:J2"/>
    <mergeCell ref="M5:N5"/>
    <mergeCell ref="O5:P5"/>
    <mergeCell ref="S5:T5"/>
    <mergeCell ref="A6:A10"/>
    <mergeCell ref="B6:B10"/>
    <mergeCell ref="C6:C7"/>
    <mergeCell ref="C8:C9"/>
    <mergeCell ref="Q5:R5"/>
    <mergeCell ref="A11:A15"/>
    <mergeCell ref="B11:B15"/>
    <mergeCell ref="A16:A20"/>
    <mergeCell ref="B16:B20"/>
    <mergeCell ref="A21:A25"/>
    <mergeCell ref="B21:B25"/>
    <mergeCell ref="A26:A30"/>
    <mergeCell ref="B26:B30"/>
    <mergeCell ref="A31:A35"/>
    <mergeCell ref="B31:B35"/>
    <mergeCell ref="A36:A40"/>
    <mergeCell ref="B36:B40"/>
    <mergeCell ref="B76:F76"/>
    <mergeCell ref="D72:F72"/>
    <mergeCell ref="A41:A45"/>
    <mergeCell ref="B41:B45"/>
    <mergeCell ref="A46:A50"/>
    <mergeCell ref="B46:B50"/>
    <mergeCell ref="A51:A55"/>
    <mergeCell ref="B51:B55"/>
    <mergeCell ref="D73:F73"/>
    <mergeCell ref="A56:A60"/>
    <mergeCell ref="B56:B60"/>
    <mergeCell ref="A61:A65"/>
    <mergeCell ref="B61:B65"/>
    <mergeCell ref="C48:C49"/>
    <mergeCell ref="C51:C52"/>
    <mergeCell ref="C53:C54"/>
  </mergeCells>
  <phoneticPr fontId="1"/>
  <conditionalFormatting sqref="D6:D9">
    <cfRule type="containsBlanks" dxfId="24" priority="23">
      <formula>LEN(TRIM(D6))=0</formula>
    </cfRule>
  </conditionalFormatting>
  <conditionalFormatting sqref="D11:D14">
    <cfRule type="containsBlanks" dxfId="23" priority="21">
      <formula>LEN(TRIM(D11))=0</formula>
    </cfRule>
  </conditionalFormatting>
  <conditionalFormatting sqref="D16:D19">
    <cfRule type="containsBlanks" dxfId="22" priority="19">
      <formula>LEN(TRIM(D16))=0</formula>
    </cfRule>
  </conditionalFormatting>
  <conditionalFormatting sqref="D21:D24">
    <cfRule type="containsBlanks" dxfId="21" priority="17">
      <formula>LEN(TRIM(D21))=0</formula>
    </cfRule>
  </conditionalFormatting>
  <conditionalFormatting sqref="D26:D29">
    <cfRule type="containsBlanks" dxfId="20" priority="15">
      <formula>LEN(TRIM(D26))=0</formula>
    </cfRule>
  </conditionalFormatting>
  <conditionalFormatting sqref="D31:D34">
    <cfRule type="containsBlanks" dxfId="19" priority="13">
      <formula>LEN(TRIM(D31))=0</formula>
    </cfRule>
  </conditionalFormatting>
  <conditionalFormatting sqref="D36:D39">
    <cfRule type="containsBlanks" dxfId="18" priority="11">
      <formula>LEN(TRIM(D36))=0</formula>
    </cfRule>
  </conditionalFormatting>
  <conditionalFormatting sqref="D41:D44">
    <cfRule type="containsBlanks" dxfId="17" priority="9">
      <formula>LEN(TRIM(D41))=0</formula>
    </cfRule>
  </conditionalFormatting>
  <conditionalFormatting sqref="D46:D49">
    <cfRule type="containsBlanks" dxfId="16" priority="7">
      <formula>LEN(TRIM(D46))=0</formula>
    </cfRule>
  </conditionalFormatting>
  <conditionalFormatting sqref="D51:D54">
    <cfRule type="containsBlanks" dxfId="15" priority="5">
      <formula>LEN(TRIM(D51))=0</formula>
    </cfRule>
  </conditionalFormatting>
  <conditionalFormatting sqref="D56:D59">
    <cfRule type="containsBlanks" dxfId="14" priority="3">
      <formula>LEN(TRIM(D56))=0</formula>
    </cfRule>
  </conditionalFormatting>
  <conditionalFormatting sqref="D61:D64">
    <cfRule type="containsBlanks" dxfId="13" priority="1">
      <formula>LEN(TRIM(D61))=0</formula>
    </cfRule>
  </conditionalFormatting>
  <conditionalFormatting sqref="G6:G65">
    <cfRule type="containsText" dxfId="12" priority="2" operator="containsText" text="賃金単価を記載">
      <formula>NOT(ISERROR(SEARCH("賃金単価を記載",G6)))</formula>
    </cfRule>
  </conditionalFormatting>
  <pageMargins left="0.70866141732283472" right="0.70866141732283472" top="0.74803149606299213" bottom="0.74803149606299213" header="0.31496062992125984" footer="0.31496062992125984"/>
  <pageSetup paperSize="9" scale="52" orientation="landscape" r:id="rId1"/>
  <rowBreaks count="1" manualBreakCount="1">
    <brk id="35"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補助対象職種」の欄に記載された職種の方を優先的に選択_x000a_→他職種の方を選択することもできますが、複数の職種の方の混在はできません。_x000a_　例えば　「補助対象職種」が「保育士」の時に「保育士」と「保育支援者」の方を「対象者名」に入力することはできません。_x000a_※用語の定義_x000a_　看護師等→看護師、准看護師、保健師_x000a_　保育支援者→事務、通訳、補助者、調理員" xr:uid="{E772A6A4-D18A-4863-9311-C1FE9DD87E1F}">
          <x14:formula1>
            <xm:f>'②-1職員名簿'!$Y$7:$Y$106</xm:f>
          </x14:formula1>
          <xm:sqref>D61:D64 D11:D14 D16:D19 D21:D24 D26:D29 D31:D34 D36:D39 D41:D44 D46:D49 D51:D54 D56:D59 D6:D9</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ACC32-D7F3-4845-9E3F-6334B845872F}">
  <sheetPr>
    <tabColor rgb="FFFFFF00"/>
  </sheetPr>
  <dimension ref="A1:P37"/>
  <sheetViews>
    <sheetView view="pageBreakPreview" topLeftCell="A9" zoomScaleNormal="100" zoomScaleSheetLayoutView="100" workbookViewId="0">
      <selection activeCell="J12" sqref="J12:L12"/>
    </sheetView>
  </sheetViews>
  <sheetFormatPr defaultColWidth="9" defaultRowHeight="13"/>
  <cols>
    <col min="1" max="1" width="5.08203125" style="187" customWidth="1"/>
    <col min="2" max="2" width="14.33203125" style="187" customWidth="1"/>
    <col min="3" max="5" width="4.08203125" style="187" customWidth="1"/>
    <col min="6" max="7" width="4.75" style="187" customWidth="1"/>
    <col min="8" max="8" width="3.75" style="187" customWidth="1"/>
    <col min="9" max="9" width="9.33203125" style="187" customWidth="1"/>
    <col min="10" max="10" width="8.75" style="187" customWidth="1"/>
    <col min="11" max="11" width="17.5" style="187" customWidth="1"/>
    <col min="12" max="12" width="5.83203125" style="187" customWidth="1"/>
    <col min="13" max="13" width="5.75" style="187" customWidth="1"/>
    <col min="14" max="14" width="9.83203125" style="187" bestFit="1" customWidth="1"/>
    <col min="15" max="16384" width="9" style="187"/>
  </cols>
  <sheetData>
    <row r="1" spans="1:14" ht="23.15" customHeight="1">
      <c r="A1" s="206" t="s">
        <v>1317</v>
      </c>
      <c r="B1" s="206"/>
      <c r="C1" s="206"/>
      <c r="D1" s="206"/>
      <c r="E1" s="206"/>
      <c r="F1" s="206"/>
      <c r="G1" s="206"/>
      <c r="H1" s="206"/>
      <c r="I1" s="206"/>
      <c r="J1" s="206"/>
      <c r="K1" s="206"/>
      <c r="L1" s="206" t="e">
        <f>様式４!H1</f>
        <v>#N/A</v>
      </c>
      <c r="M1" s="206" t="e">
        <f>①基本情報!Q5</f>
        <v>#N/A</v>
      </c>
      <c r="N1" s="206"/>
    </row>
    <row r="2" spans="1:14" ht="23.15" customHeight="1">
      <c r="A2" s="206"/>
      <c r="B2" s="206"/>
      <c r="C2" s="206"/>
      <c r="D2" s="206"/>
      <c r="E2" s="206"/>
      <c r="F2" s="206"/>
      <c r="G2" s="206"/>
      <c r="H2" s="206"/>
      <c r="I2" s="206"/>
      <c r="J2" s="206"/>
      <c r="K2" s="207" t="s">
        <v>1892</v>
      </c>
      <c r="L2" s="206"/>
      <c r="M2" s="206"/>
      <c r="N2" s="38"/>
    </row>
    <row r="3" spans="1:14" ht="10.5" customHeight="1">
      <c r="A3" s="206"/>
      <c r="B3" s="206"/>
      <c r="C3" s="206"/>
      <c r="D3" s="206"/>
      <c r="E3" s="206"/>
      <c r="F3" s="206"/>
      <c r="G3" s="206"/>
      <c r="H3" s="206"/>
      <c r="I3" s="206"/>
      <c r="J3" s="206"/>
      <c r="K3" s="206"/>
      <c r="L3" s="206"/>
      <c r="M3" s="206"/>
      <c r="N3" s="38"/>
    </row>
    <row r="4" spans="1:14" ht="39.75" customHeight="1">
      <c r="A4" s="858" t="s">
        <v>1318</v>
      </c>
      <c r="B4" s="858"/>
      <c r="C4" s="858"/>
      <c r="D4" s="858"/>
      <c r="E4" s="858"/>
      <c r="F4" s="858"/>
      <c r="G4" s="858"/>
      <c r="H4" s="858"/>
      <c r="I4" s="858"/>
      <c r="J4" s="858"/>
      <c r="K4" s="858"/>
      <c r="L4" s="858"/>
      <c r="M4" s="206"/>
      <c r="N4" s="38"/>
    </row>
    <row r="5" spans="1:14" ht="39.75" customHeight="1">
      <c r="A5" s="858" t="s">
        <v>1319</v>
      </c>
      <c r="B5" s="858"/>
      <c r="C5" s="858"/>
      <c r="D5" s="858"/>
      <c r="E5" s="858"/>
      <c r="F5" s="859"/>
      <c r="G5" s="859"/>
      <c r="H5" s="859"/>
      <c r="I5" s="859"/>
      <c r="J5" s="859"/>
      <c r="K5" s="859"/>
      <c r="L5" s="859"/>
      <c r="M5" s="206"/>
      <c r="N5" s="38"/>
    </row>
    <row r="6" spans="1:14" ht="6" customHeight="1">
      <c r="A6" s="206"/>
      <c r="B6" s="206"/>
      <c r="C6" s="206"/>
      <c r="D6" s="206"/>
      <c r="E6" s="206"/>
      <c r="F6" s="206"/>
      <c r="G6" s="206"/>
      <c r="H6" s="206"/>
      <c r="I6" s="206"/>
      <c r="J6" s="206"/>
      <c r="K6" s="206"/>
      <c r="L6" s="206"/>
      <c r="M6" s="206"/>
      <c r="N6" s="38"/>
    </row>
    <row r="7" spans="1:14" ht="23.15" customHeight="1">
      <c r="A7" s="206"/>
      <c r="B7" s="206" t="s">
        <v>1320</v>
      </c>
      <c r="C7" s="206"/>
      <c r="D7" s="206"/>
      <c r="E7" s="206"/>
      <c r="F7" s="206"/>
      <c r="G7" s="206"/>
      <c r="H7" s="206"/>
      <c r="I7" s="206"/>
      <c r="J7" s="860" t="e">
        <f>様式４!F7</f>
        <v>#N/A</v>
      </c>
      <c r="K7" s="860"/>
      <c r="L7" s="860"/>
      <c r="M7" s="206"/>
    </row>
    <row r="8" spans="1:14" ht="17.149999999999999" customHeight="1">
      <c r="A8" s="206"/>
      <c r="B8" s="206"/>
      <c r="C8" s="206"/>
      <c r="D8" s="206"/>
      <c r="E8" s="206"/>
      <c r="F8" s="206"/>
      <c r="G8" s="206"/>
      <c r="H8" s="206"/>
      <c r="I8" s="206"/>
      <c r="J8" s="861"/>
      <c r="K8" s="861"/>
      <c r="L8" s="861"/>
      <c r="M8" s="206"/>
    </row>
    <row r="9" spans="1:14" ht="36" customHeight="1">
      <c r="A9" s="206"/>
      <c r="B9" s="206"/>
      <c r="C9" s="206"/>
      <c r="D9" s="206"/>
      <c r="E9" s="206"/>
      <c r="F9" s="206"/>
      <c r="G9" s="206"/>
      <c r="H9" s="862" t="s">
        <v>1321</v>
      </c>
      <c r="I9" s="862"/>
      <c r="J9" s="861"/>
      <c r="K9" s="861"/>
      <c r="L9" s="861"/>
      <c r="M9" s="206" t="e">
        <f>VLOOKUP($M$1,補助金用基本データ!$D$5:$T$180,11)</f>
        <v>#N/A</v>
      </c>
      <c r="N9" s="187" t="e">
        <f>IF(J7=M9,0,1)</f>
        <v>#N/A</v>
      </c>
    </row>
    <row r="10" spans="1:14" ht="18" customHeight="1">
      <c r="A10" s="206"/>
      <c r="B10" s="206"/>
      <c r="C10" s="206"/>
      <c r="D10" s="206"/>
      <c r="E10" s="206"/>
      <c r="F10" s="206"/>
      <c r="G10" s="206"/>
      <c r="H10" s="863" t="s">
        <v>317</v>
      </c>
      <c r="I10" s="863"/>
      <c r="J10" s="864" t="e">
        <f>様式４!F10</f>
        <v>#N/A</v>
      </c>
      <c r="K10" s="865"/>
      <c r="L10" s="865"/>
      <c r="M10" s="206" t="e">
        <f>VLOOKUP($M$1,補助金用基本データ!$D$5:$T$180,10)</f>
        <v>#N/A</v>
      </c>
      <c r="N10" s="187" t="e">
        <f>IF(J10=M10,0,1)</f>
        <v>#N/A</v>
      </c>
    </row>
    <row r="11" spans="1:14" ht="23.15" customHeight="1">
      <c r="A11" s="206"/>
      <c r="B11" s="206"/>
      <c r="C11" s="206"/>
      <c r="D11" s="206"/>
      <c r="E11" s="206"/>
      <c r="F11" s="206"/>
      <c r="G11" s="206"/>
      <c r="H11" s="863" t="s">
        <v>318</v>
      </c>
      <c r="I11" s="863"/>
      <c r="J11" s="865" t="e">
        <f>様式４!F11</f>
        <v>#N/A</v>
      </c>
      <c r="K11" s="865"/>
      <c r="L11" s="865"/>
      <c r="M11" s="206" t="e">
        <f>VLOOKUP($M$1,補助金用基本データ!$D$5:$T$180,12)&amp;"　"&amp;VLOOKUP($M$1,補助金用基本データ!$D$5:$T$180,13)</f>
        <v>#N/A</v>
      </c>
      <c r="N11" s="187" t="e">
        <f t="shared" ref="N11:N12" si="0">IF(J11=M11,0,1)</f>
        <v>#N/A</v>
      </c>
    </row>
    <row r="12" spans="1:14" ht="32.25" customHeight="1">
      <c r="A12" s="206"/>
      <c r="B12" s="206"/>
      <c r="C12" s="206"/>
      <c r="D12" s="206"/>
      <c r="E12" s="206"/>
      <c r="F12" s="206"/>
      <c r="G12" s="206"/>
      <c r="H12" s="868" t="s">
        <v>1323</v>
      </c>
      <c r="I12" s="868"/>
      <c r="J12" s="865" t="e">
        <f>様式４!F12</f>
        <v>#N/A</v>
      </c>
      <c r="K12" s="865"/>
      <c r="L12" s="865"/>
      <c r="M12" s="206">
        <f>IF('②-1職員名簿'!U3="","",'②-1職員名簿'!U3)</f>
        <v>0</v>
      </c>
      <c r="N12" s="187" t="e">
        <f t="shared" si="0"/>
        <v>#N/A</v>
      </c>
    </row>
    <row r="13" spans="1:14" ht="9.75" customHeight="1">
      <c r="A13" s="206"/>
      <c r="B13" s="206"/>
      <c r="C13" s="206"/>
      <c r="D13" s="206"/>
      <c r="E13" s="206"/>
      <c r="F13" s="206"/>
      <c r="G13" s="206"/>
      <c r="H13" s="206"/>
      <c r="I13" s="206"/>
      <c r="J13" s="206"/>
      <c r="K13" s="206"/>
      <c r="L13" s="206"/>
      <c r="M13" s="206"/>
      <c r="N13" s="38"/>
    </row>
    <row r="14" spans="1:14" ht="23.15" customHeight="1">
      <c r="B14" s="869" t="s">
        <v>1945</v>
      </c>
      <c r="C14" s="869"/>
      <c r="D14" s="869"/>
      <c r="E14" s="869"/>
      <c r="F14" s="869"/>
      <c r="G14" s="869"/>
      <c r="H14" s="869"/>
      <c r="I14" s="869"/>
      <c r="J14" s="869"/>
      <c r="K14" s="869"/>
      <c r="L14" s="869"/>
      <c r="M14" s="206"/>
      <c r="N14" s="38"/>
    </row>
    <row r="15" spans="1:14" ht="23.15" customHeight="1">
      <c r="A15" s="208"/>
      <c r="B15" s="869"/>
      <c r="C15" s="869"/>
      <c r="D15" s="869"/>
      <c r="E15" s="869"/>
      <c r="F15" s="869"/>
      <c r="G15" s="869"/>
      <c r="H15" s="869"/>
      <c r="I15" s="869"/>
      <c r="J15" s="869"/>
      <c r="K15" s="869"/>
      <c r="L15" s="869"/>
      <c r="M15" s="206"/>
      <c r="N15" s="38"/>
    </row>
    <row r="16" spans="1:14" ht="23.15" customHeight="1">
      <c r="A16" s="206"/>
      <c r="B16" s="869"/>
      <c r="C16" s="869"/>
      <c r="D16" s="869"/>
      <c r="E16" s="869"/>
      <c r="F16" s="869"/>
      <c r="G16" s="869"/>
      <c r="H16" s="869"/>
      <c r="I16" s="869"/>
      <c r="J16" s="869"/>
      <c r="K16" s="869"/>
      <c r="L16" s="869"/>
      <c r="M16" s="206"/>
      <c r="N16" s="38"/>
    </row>
    <row r="17" spans="1:16" ht="23.15" customHeight="1">
      <c r="A17" s="206" t="s">
        <v>1324</v>
      </c>
      <c r="B17" s="206"/>
      <c r="C17" s="206"/>
      <c r="D17" s="206"/>
      <c r="E17" s="206"/>
      <c r="F17" s="206"/>
      <c r="G17" s="870">
        <f>J28</f>
        <v>0</v>
      </c>
      <c r="H17" s="871"/>
      <c r="I17" s="871"/>
      <c r="J17" s="871"/>
      <c r="K17" s="209" t="s">
        <v>310</v>
      </c>
      <c r="L17" s="206"/>
      <c r="M17" s="206"/>
      <c r="N17" s="38"/>
    </row>
    <row r="18" spans="1:16" ht="15" customHeight="1" thickBot="1">
      <c r="A18" s="206"/>
      <c r="B18" s="206"/>
      <c r="C18" s="206"/>
      <c r="D18" s="206"/>
      <c r="E18" s="206"/>
      <c r="F18" s="206"/>
      <c r="G18" s="206"/>
      <c r="H18" s="206"/>
      <c r="I18" s="206"/>
      <c r="J18" s="206"/>
      <c r="K18" s="206"/>
      <c r="L18" s="206"/>
      <c r="M18" s="206"/>
      <c r="N18" s="38"/>
    </row>
    <row r="19" spans="1:16" ht="18.75" customHeight="1">
      <c r="A19" s="206"/>
      <c r="B19" s="872" t="s">
        <v>1345</v>
      </c>
      <c r="C19" s="874" t="s">
        <v>1325</v>
      </c>
      <c r="D19" s="875"/>
      <c r="E19" s="875"/>
      <c r="F19" s="875"/>
      <c r="G19" s="875"/>
      <c r="H19" s="875"/>
      <c r="I19" s="875"/>
      <c r="J19" s="875"/>
      <c r="K19" s="875"/>
      <c r="L19" s="876"/>
      <c r="M19" s="206"/>
      <c r="N19" s="38"/>
    </row>
    <row r="20" spans="1:16" ht="18.75" customHeight="1">
      <c r="A20" s="206"/>
      <c r="B20" s="873"/>
      <c r="C20" s="877"/>
      <c r="D20" s="878"/>
      <c r="E20" s="878"/>
      <c r="F20" s="878"/>
      <c r="G20" s="878"/>
      <c r="H20" s="878"/>
      <c r="I20" s="878"/>
      <c r="J20" s="878"/>
      <c r="K20" s="878"/>
      <c r="L20" s="879"/>
      <c r="M20" s="206"/>
      <c r="N20" s="38"/>
    </row>
    <row r="21" spans="1:16" ht="21.75" customHeight="1">
      <c r="A21" s="206"/>
      <c r="B21" s="210"/>
      <c r="C21" s="211">
        <v>1</v>
      </c>
      <c r="D21" s="212" t="s">
        <v>1420</v>
      </c>
      <c r="E21" s="212"/>
      <c r="F21" s="212"/>
      <c r="G21" s="212"/>
      <c r="H21" s="212"/>
      <c r="I21" s="213"/>
      <c r="J21" s="866">
        <f>'様式３(第二期)'!W22</f>
        <v>0</v>
      </c>
      <c r="K21" s="867"/>
      <c r="L21" s="214" t="s">
        <v>1326</v>
      </c>
      <c r="M21" s="206"/>
      <c r="N21" s="58">
        <f>SUM(⑤基本加算１!K6:K7)</f>
        <v>0</v>
      </c>
      <c r="O21" s="187">
        <v>1571000</v>
      </c>
      <c r="P21" s="187">
        <v>1</v>
      </c>
    </row>
    <row r="22" spans="1:16" ht="21.75" customHeight="1">
      <c r="A22" s="206"/>
      <c r="B22" s="210"/>
      <c r="C22" s="211">
        <v>2</v>
      </c>
      <c r="D22" s="212" t="s">
        <v>1421</v>
      </c>
      <c r="E22" s="212"/>
      <c r="F22" s="212"/>
      <c r="G22" s="212"/>
      <c r="H22" s="212"/>
      <c r="I22" s="213"/>
      <c r="J22" s="866">
        <f>'様式３(第二期)'!W24</f>
        <v>0</v>
      </c>
      <c r="K22" s="867"/>
      <c r="L22" s="215" t="s">
        <v>1326</v>
      </c>
      <c r="M22" s="206"/>
      <c r="N22" s="58">
        <f>SUM(⑥基本加算２!J6:J7)</f>
        <v>0</v>
      </c>
      <c r="O22" s="187">
        <v>3471000</v>
      </c>
      <c r="P22" s="187">
        <v>1</v>
      </c>
    </row>
    <row r="23" spans="1:16" ht="21.75" customHeight="1">
      <c r="A23" s="206"/>
      <c r="B23" s="210"/>
      <c r="C23" s="211">
        <v>3</v>
      </c>
      <c r="D23" s="212" t="s">
        <v>1422</v>
      </c>
      <c r="E23" s="212"/>
      <c r="F23" s="212"/>
      <c r="G23" s="212"/>
      <c r="H23" s="212"/>
      <c r="I23" s="213"/>
      <c r="J23" s="866">
        <f>'様式３(第二期)'!W26</f>
        <v>0</v>
      </c>
      <c r="K23" s="867"/>
      <c r="L23" s="215" t="s">
        <v>1326</v>
      </c>
      <c r="M23" s="206"/>
      <c r="N23" s="58">
        <f>SUM(⑦基本加算３!J6:J7)</f>
        <v>0</v>
      </c>
      <c r="O23" s="187">
        <v>3471000</v>
      </c>
      <c r="P23" s="187">
        <v>1</v>
      </c>
    </row>
    <row r="24" spans="1:16" ht="21.75" customHeight="1">
      <c r="A24" s="206"/>
      <c r="B24" s="210"/>
      <c r="C24" s="211">
        <v>4</v>
      </c>
      <c r="D24" s="212" t="s">
        <v>1416</v>
      </c>
      <c r="E24" s="212"/>
      <c r="F24" s="212"/>
      <c r="G24" s="212"/>
      <c r="H24" s="212"/>
      <c r="I24" s="213"/>
      <c r="J24" s="866">
        <f>'様式３(第二期)'!W28</f>
        <v>0</v>
      </c>
      <c r="K24" s="867"/>
      <c r="L24" s="215" t="s">
        <v>1326</v>
      </c>
      <c r="M24" s="206"/>
      <c r="N24" s="58">
        <f>⑧一般加算１!N11</f>
        <v>0</v>
      </c>
      <c r="O24" s="187">
        <v>2156000</v>
      </c>
      <c r="P24" s="187">
        <v>1</v>
      </c>
    </row>
    <row r="25" spans="1:16" ht="21.75" customHeight="1">
      <c r="A25" s="206"/>
      <c r="B25" s="210"/>
      <c r="C25" s="211">
        <v>5</v>
      </c>
      <c r="D25" s="212" t="s">
        <v>1417</v>
      </c>
      <c r="E25" s="212"/>
      <c r="F25" s="212"/>
      <c r="G25" s="212"/>
      <c r="H25" s="212"/>
      <c r="I25" s="213"/>
      <c r="J25" s="866">
        <f>'様式３(第二期)'!W30</f>
        <v>0</v>
      </c>
      <c r="K25" s="867"/>
      <c r="L25" s="215" t="s">
        <v>1326</v>
      </c>
      <c r="M25" s="206"/>
      <c r="N25" s="58">
        <f>⑨一般加算２!N11</f>
        <v>0</v>
      </c>
      <c r="O25" s="187">
        <v>2156000</v>
      </c>
      <c r="P25" s="187">
        <v>1</v>
      </c>
    </row>
    <row r="26" spans="1:16" ht="21.75" customHeight="1">
      <c r="A26" s="206"/>
      <c r="B26" s="210"/>
      <c r="C26" s="211">
        <v>6</v>
      </c>
      <c r="D26" s="212" t="s">
        <v>1418</v>
      </c>
      <c r="E26" s="212"/>
      <c r="F26" s="212"/>
      <c r="G26" s="212"/>
      <c r="H26" s="212"/>
      <c r="I26" s="213"/>
      <c r="J26" s="866">
        <f>'様式３(第二期)'!W32</f>
        <v>0</v>
      </c>
      <c r="K26" s="867"/>
      <c r="L26" s="215" t="s">
        <v>1326</v>
      </c>
      <c r="M26" s="206"/>
      <c r="N26" s="58" t="str">
        <f>⑩特定加算１!J16</f>
        <v/>
      </c>
      <c r="O26" s="187">
        <v>2619000</v>
      </c>
      <c r="P26" s="187" t="str">
        <f>⑩特定加算１!B6</f>
        <v>-</v>
      </c>
    </row>
    <row r="27" spans="1:16" ht="21.75" customHeight="1">
      <c r="A27" s="206"/>
      <c r="B27" s="210"/>
      <c r="C27" s="211">
        <v>7</v>
      </c>
      <c r="D27" s="212" t="s">
        <v>1419</v>
      </c>
      <c r="E27" s="212"/>
      <c r="F27" s="212"/>
      <c r="G27" s="212"/>
      <c r="H27" s="212"/>
      <c r="I27" s="213"/>
      <c r="J27" s="866">
        <f>'様式３(第二期)'!W34</f>
        <v>0</v>
      </c>
      <c r="K27" s="867"/>
      <c r="L27" s="214" t="s">
        <v>1326</v>
      </c>
      <c r="M27" s="206"/>
      <c r="N27" s="58" t="str">
        <f>⑪特定加算２!J10</f>
        <v/>
      </c>
      <c r="O27" s="187">
        <v>2619000</v>
      </c>
    </row>
    <row r="28" spans="1:16" ht="21.75" customHeight="1">
      <c r="A28" s="206"/>
      <c r="B28" s="217"/>
      <c r="C28" s="239" t="s">
        <v>1327</v>
      </c>
      <c r="D28" s="212"/>
      <c r="E28" s="212"/>
      <c r="F28" s="212"/>
      <c r="G28" s="212"/>
      <c r="H28" s="212"/>
      <c r="I28" s="213"/>
      <c r="J28" s="866">
        <f>SUM(J21:K27)</f>
        <v>0</v>
      </c>
      <c r="K28" s="867"/>
      <c r="L28" s="215" t="s">
        <v>1326</v>
      </c>
      <c r="M28" s="206"/>
      <c r="N28" s="58">
        <f>SUM(N21:N27)</f>
        <v>0</v>
      </c>
    </row>
    <row r="29" spans="1:16" ht="17.149999999999999" customHeight="1">
      <c r="A29" s="206"/>
      <c r="B29" s="890" t="s">
        <v>1329</v>
      </c>
      <c r="C29" s="892" t="s">
        <v>1328</v>
      </c>
      <c r="D29" s="893"/>
      <c r="E29" s="893"/>
      <c r="F29" s="218"/>
      <c r="G29" s="218"/>
      <c r="H29" s="218"/>
      <c r="I29" s="218"/>
      <c r="J29" s="218"/>
      <c r="K29" s="218"/>
      <c r="L29" s="219"/>
      <c r="M29" s="206"/>
      <c r="N29" s="38"/>
    </row>
    <row r="30" spans="1:16" ht="17.149999999999999" customHeight="1">
      <c r="A30" s="206"/>
      <c r="B30" s="891"/>
      <c r="C30" s="220"/>
      <c r="D30" s="894" t="s">
        <v>1330</v>
      </c>
      <c r="E30" s="894"/>
      <c r="F30" s="894"/>
      <c r="G30" s="894"/>
      <c r="H30" s="894"/>
      <c r="I30" s="894"/>
      <c r="J30" s="894"/>
      <c r="K30" s="894"/>
      <c r="L30" s="214"/>
      <c r="M30" s="206"/>
      <c r="N30" s="38"/>
    </row>
    <row r="31" spans="1:16" ht="17.149999999999999" customHeight="1">
      <c r="A31" s="206"/>
      <c r="B31" s="880" t="s">
        <v>1331</v>
      </c>
      <c r="C31" s="221" t="s">
        <v>1332</v>
      </c>
      <c r="D31" s="218"/>
      <c r="E31" s="218"/>
      <c r="F31" s="218"/>
      <c r="G31" s="218"/>
      <c r="H31" s="218"/>
      <c r="I31" s="218"/>
      <c r="J31" s="218"/>
      <c r="K31" s="218"/>
      <c r="L31" s="219"/>
      <c r="M31" s="206"/>
      <c r="N31" s="38"/>
    </row>
    <row r="32" spans="1:16" ht="17.149999999999999" customHeight="1">
      <c r="A32" s="206"/>
      <c r="B32" s="881"/>
      <c r="C32" s="220" t="s">
        <v>1333</v>
      </c>
      <c r="D32" s="216"/>
      <c r="E32" s="216"/>
      <c r="F32" s="216"/>
      <c r="G32" s="216"/>
      <c r="H32" s="216"/>
      <c r="I32" s="216"/>
      <c r="J32" s="216"/>
      <c r="K32" s="216"/>
      <c r="L32" s="214"/>
      <c r="M32" s="206"/>
      <c r="N32" s="38"/>
    </row>
    <row r="33" spans="1:14" ht="17.149999999999999" customHeight="1">
      <c r="A33" s="206"/>
      <c r="B33" s="881"/>
      <c r="C33" s="883" t="s">
        <v>1334</v>
      </c>
      <c r="D33" s="884"/>
      <c r="E33" s="884"/>
      <c r="F33" s="884"/>
      <c r="G33" s="884"/>
      <c r="H33" s="884"/>
      <c r="I33" s="884"/>
      <c r="J33" s="884"/>
      <c r="K33" s="884"/>
      <c r="L33" s="885"/>
      <c r="M33" s="206"/>
      <c r="N33" s="38"/>
    </row>
    <row r="34" spans="1:14" ht="16.5" customHeight="1" thickBot="1">
      <c r="A34" s="206">
        <f>①基本情報!S19</f>
        <v>1</v>
      </c>
      <c r="B34" s="882"/>
      <c r="C34" s="886" t="s">
        <v>1335</v>
      </c>
      <c r="D34" s="887"/>
      <c r="E34" s="888"/>
      <c r="F34" s="888"/>
      <c r="G34" s="888"/>
      <c r="H34" s="888"/>
      <c r="I34" s="888"/>
      <c r="J34" s="888"/>
      <c r="K34" s="888"/>
      <c r="L34" s="889"/>
      <c r="M34" s="206"/>
      <c r="N34" s="38"/>
    </row>
    <row r="35" spans="1:14" ht="27" customHeight="1">
      <c r="A35" s="38"/>
      <c r="B35" s="38" t="s">
        <v>1322</v>
      </c>
      <c r="C35" s="38" t="s">
        <v>1322</v>
      </c>
      <c r="D35" s="38"/>
      <c r="E35" s="38"/>
      <c r="F35" s="38"/>
      <c r="G35" s="38"/>
      <c r="H35" s="38"/>
      <c r="I35" s="38"/>
      <c r="J35" s="38"/>
      <c r="K35" s="38"/>
      <c r="L35" s="38"/>
      <c r="M35" s="38"/>
      <c r="N35" s="38"/>
    </row>
    <row r="36" spans="1:14" ht="27" customHeight="1">
      <c r="A36" s="38"/>
      <c r="B36" s="38"/>
      <c r="C36" s="38"/>
      <c r="D36" s="38"/>
      <c r="E36" s="38"/>
      <c r="F36" s="38"/>
      <c r="G36" s="38"/>
      <c r="H36" s="38"/>
      <c r="I36" s="38"/>
      <c r="J36" s="38"/>
      <c r="K36" s="38"/>
      <c r="L36" s="38"/>
      <c r="M36" s="38"/>
      <c r="N36" s="38"/>
    </row>
    <row r="37" spans="1:14" ht="27" customHeight="1"/>
  </sheetData>
  <sheetProtection password="CCCF" sheet="1" selectLockedCells="1"/>
  <mergeCells count="28">
    <mergeCell ref="B31:B34"/>
    <mergeCell ref="C33:L33"/>
    <mergeCell ref="C34:L34"/>
    <mergeCell ref="J25:K25"/>
    <mergeCell ref="J26:K26"/>
    <mergeCell ref="J27:K27"/>
    <mergeCell ref="J28:K28"/>
    <mergeCell ref="B29:B30"/>
    <mergeCell ref="C29:E29"/>
    <mergeCell ref="D30:K30"/>
    <mergeCell ref="J24:K24"/>
    <mergeCell ref="H11:I11"/>
    <mergeCell ref="J11:L11"/>
    <mergeCell ref="H12:I12"/>
    <mergeCell ref="J12:L12"/>
    <mergeCell ref="B14:L16"/>
    <mergeCell ref="G17:J17"/>
    <mergeCell ref="B19:B20"/>
    <mergeCell ref="C19:L20"/>
    <mergeCell ref="J21:K21"/>
    <mergeCell ref="J22:K22"/>
    <mergeCell ref="J23:K23"/>
    <mergeCell ref="A4:L4"/>
    <mergeCell ref="A5:L5"/>
    <mergeCell ref="J7:L9"/>
    <mergeCell ref="H9:I9"/>
    <mergeCell ref="H10:I10"/>
    <mergeCell ref="J10:L10"/>
  </mergeCells>
  <phoneticPr fontId="1"/>
  <conditionalFormatting sqref="J7:L12">
    <cfRule type="containsBlanks" dxfId="11" priority="1">
      <formula>LEN(TRIM(J7))=0</formula>
    </cfRule>
  </conditionalFormatting>
  <pageMargins left="0.78740157480314965" right="0.78740157480314965" top="0.98425196850393704" bottom="0.98425196850393704" header="0.51181102362204722" footer="0.51181102362204722"/>
  <pageSetup paperSize="9" scale="90" orientation="portrait" blackAndWhite="1"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63DE8-3A64-4FEE-87DB-5C8115084A21}">
  <sheetPr>
    <tabColor rgb="FFFFFF00"/>
  </sheetPr>
  <dimension ref="A1:P37"/>
  <sheetViews>
    <sheetView view="pageBreakPreview" zoomScaleNormal="100" zoomScaleSheetLayoutView="100" workbookViewId="0">
      <selection activeCell="J12" sqref="J12:L12"/>
    </sheetView>
  </sheetViews>
  <sheetFormatPr defaultColWidth="9" defaultRowHeight="13"/>
  <cols>
    <col min="1" max="1" width="5.08203125" style="187" customWidth="1"/>
    <col min="2" max="2" width="14.33203125" style="187" customWidth="1"/>
    <col min="3" max="5" width="4.08203125" style="187" customWidth="1"/>
    <col min="6" max="7" width="4.75" style="187" customWidth="1"/>
    <col min="8" max="8" width="3.75" style="187" customWidth="1"/>
    <col min="9" max="9" width="9.33203125" style="187" customWidth="1"/>
    <col min="10" max="10" width="8.75" style="187" customWidth="1"/>
    <col min="11" max="11" width="17.5" style="187" customWidth="1"/>
    <col min="12" max="12" width="5.83203125" style="187" customWidth="1"/>
    <col min="13" max="13" width="5.75" style="187" customWidth="1"/>
    <col min="14" max="14" width="9.83203125" style="187" bestFit="1" customWidth="1"/>
    <col min="15" max="16384" width="9" style="187"/>
  </cols>
  <sheetData>
    <row r="1" spans="1:14" ht="23.15" customHeight="1">
      <c r="A1" s="206" t="s">
        <v>1317</v>
      </c>
      <c r="B1" s="206"/>
      <c r="C1" s="206"/>
      <c r="D1" s="206"/>
      <c r="E1" s="206"/>
      <c r="F1" s="206"/>
      <c r="G1" s="206"/>
      <c r="H1" s="206"/>
      <c r="I1" s="206"/>
      <c r="J1" s="206"/>
      <c r="K1" s="206"/>
      <c r="L1" s="206" t="e">
        <f>様式４!H1</f>
        <v>#N/A</v>
      </c>
      <c r="M1" s="206" t="e">
        <f>①基本情報!Q5</f>
        <v>#N/A</v>
      </c>
      <c r="N1" s="206"/>
    </row>
    <row r="2" spans="1:14" ht="23.15" customHeight="1">
      <c r="A2" s="206"/>
      <c r="B2" s="206"/>
      <c r="C2" s="206"/>
      <c r="D2" s="206"/>
      <c r="E2" s="206"/>
      <c r="F2" s="206"/>
      <c r="G2" s="206"/>
      <c r="H2" s="206"/>
      <c r="I2" s="206"/>
      <c r="J2" s="206"/>
      <c r="K2" s="207">
        <v>45383</v>
      </c>
      <c r="L2" s="206"/>
      <c r="M2" s="206"/>
      <c r="N2" s="38"/>
    </row>
    <row r="3" spans="1:14" ht="10.5" customHeight="1">
      <c r="A3" s="206"/>
      <c r="B3" s="206"/>
      <c r="C3" s="206"/>
      <c r="D3" s="206"/>
      <c r="E3" s="206"/>
      <c r="F3" s="206"/>
      <c r="G3" s="206"/>
      <c r="H3" s="206"/>
      <c r="I3" s="206"/>
      <c r="J3" s="206"/>
      <c r="K3" s="206"/>
      <c r="L3" s="206"/>
      <c r="M3" s="206"/>
      <c r="N3" s="38"/>
    </row>
    <row r="4" spans="1:14" ht="39.75" customHeight="1">
      <c r="A4" s="858" t="s">
        <v>1318</v>
      </c>
      <c r="B4" s="858"/>
      <c r="C4" s="858"/>
      <c r="D4" s="858"/>
      <c r="E4" s="858"/>
      <c r="F4" s="858"/>
      <c r="G4" s="858"/>
      <c r="H4" s="858"/>
      <c r="I4" s="858"/>
      <c r="J4" s="858"/>
      <c r="K4" s="858"/>
      <c r="L4" s="858"/>
      <c r="M4" s="206"/>
      <c r="N4" s="38"/>
    </row>
    <row r="5" spans="1:14" ht="39.75" customHeight="1">
      <c r="A5" s="858" t="s">
        <v>1319</v>
      </c>
      <c r="B5" s="858"/>
      <c r="C5" s="858"/>
      <c r="D5" s="858"/>
      <c r="E5" s="858"/>
      <c r="F5" s="859"/>
      <c r="G5" s="859"/>
      <c r="H5" s="859"/>
      <c r="I5" s="859"/>
      <c r="J5" s="859"/>
      <c r="K5" s="859"/>
      <c r="L5" s="859"/>
      <c r="M5" s="206"/>
      <c r="N5" s="38"/>
    </row>
    <row r="6" spans="1:14" ht="6" customHeight="1">
      <c r="A6" s="206"/>
      <c r="B6" s="206"/>
      <c r="C6" s="206"/>
      <c r="D6" s="206"/>
      <c r="E6" s="206"/>
      <c r="F6" s="206"/>
      <c r="G6" s="206"/>
      <c r="H6" s="206"/>
      <c r="I6" s="206"/>
      <c r="J6" s="206"/>
      <c r="K6" s="206"/>
      <c r="L6" s="206"/>
      <c r="M6" s="206"/>
      <c r="N6" s="38"/>
    </row>
    <row r="7" spans="1:14" ht="23.15" customHeight="1">
      <c r="A7" s="206"/>
      <c r="B7" s="206" t="s">
        <v>1320</v>
      </c>
      <c r="C7" s="206"/>
      <c r="D7" s="206"/>
      <c r="E7" s="206"/>
      <c r="F7" s="206"/>
      <c r="G7" s="206"/>
      <c r="H7" s="206"/>
      <c r="I7" s="206"/>
      <c r="J7" s="860" t="e">
        <f>様式４!F7</f>
        <v>#N/A</v>
      </c>
      <c r="K7" s="860"/>
      <c r="L7" s="860"/>
      <c r="M7" s="206"/>
    </row>
    <row r="8" spans="1:14" ht="17.149999999999999" customHeight="1">
      <c r="A8" s="206"/>
      <c r="B8" s="206"/>
      <c r="C8" s="206"/>
      <c r="D8" s="206"/>
      <c r="E8" s="206"/>
      <c r="F8" s="206"/>
      <c r="G8" s="206"/>
      <c r="H8" s="206"/>
      <c r="I8" s="206"/>
      <c r="J8" s="861"/>
      <c r="K8" s="861"/>
      <c r="L8" s="861"/>
      <c r="M8" s="206"/>
    </row>
    <row r="9" spans="1:14" ht="36" customHeight="1">
      <c r="A9" s="206"/>
      <c r="B9" s="206"/>
      <c r="C9" s="206"/>
      <c r="D9" s="206"/>
      <c r="E9" s="206"/>
      <c r="F9" s="206"/>
      <c r="G9" s="206"/>
      <c r="H9" s="862" t="s">
        <v>1321</v>
      </c>
      <c r="I9" s="862"/>
      <c r="J9" s="861"/>
      <c r="K9" s="861"/>
      <c r="L9" s="861"/>
      <c r="M9" s="206" t="e">
        <f>VLOOKUP($M$1,補助金用基本データ!$D$5:$T$180,11)</f>
        <v>#N/A</v>
      </c>
      <c r="N9" s="187" t="e">
        <f>IF(J7=M9,0,1)</f>
        <v>#N/A</v>
      </c>
    </row>
    <row r="10" spans="1:14" ht="18" customHeight="1">
      <c r="A10" s="206"/>
      <c r="B10" s="206"/>
      <c r="C10" s="206"/>
      <c r="D10" s="206"/>
      <c r="E10" s="206"/>
      <c r="F10" s="206"/>
      <c r="G10" s="206"/>
      <c r="H10" s="863" t="s">
        <v>317</v>
      </c>
      <c r="I10" s="863"/>
      <c r="J10" s="864" t="e">
        <f>様式４!F10</f>
        <v>#N/A</v>
      </c>
      <c r="K10" s="865"/>
      <c r="L10" s="865"/>
      <c r="M10" s="206" t="e">
        <f>VLOOKUP($M$1,補助金用基本データ!$D$5:$T$180,10)</f>
        <v>#N/A</v>
      </c>
      <c r="N10" s="187" t="e">
        <f>IF(J10=M10,0,1)</f>
        <v>#N/A</v>
      </c>
    </row>
    <row r="11" spans="1:14" ht="23.15" customHeight="1">
      <c r="A11" s="206"/>
      <c r="B11" s="206"/>
      <c r="C11" s="206"/>
      <c r="D11" s="206"/>
      <c r="E11" s="206"/>
      <c r="F11" s="206"/>
      <c r="G11" s="206"/>
      <c r="H11" s="863" t="s">
        <v>318</v>
      </c>
      <c r="I11" s="863"/>
      <c r="J11" s="865" t="e">
        <f>様式４!F11</f>
        <v>#N/A</v>
      </c>
      <c r="K11" s="865"/>
      <c r="L11" s="865"/>
      <c r="M11" s="206" t="e">
        <f>VLOOKUP($M$1,補助金用基本データ!$D$5:$T$180,12)&amp;"　"&amp;VLOOKUP($M$1,補助金用基本データ!$D$5:$T$180,13)</f>
        <v>#N/A</v>
      </c>
      <c r="N11" s="187" t="e">
        <f t="shared" ref="N11:N12" si="0">IF(J11=M11,0,1)</f>
        <v>#N/A</v>
      </c>
    </row>
    <row r="12" spans="1:14" ht="32.25" customHeight="1">
      <c r="A12" s="206"/>
      <c r="B12" s="206"/>
      <c r="C12" s="206"/>
      <c r="D12" s="206"/>
      <c r="E12" s="206"/>
      <c r="F12" s="206"/>
      <c r="G12" s="206"/>
      <c r="H12" s="868" t="s">
        <v>1323</v>
      </c>
      <c r="I12" s="868"/>
      <c r="J12" s="865" t="e">
        <f>様式４!F12</f>
        <v>#N/A</v>
      </c>
      <c r="K12" s="865"/>
      <c r="L12" s="865"/>
      <c r="M12" s="206">
        <f>IF('②-1職員名簿'!U3="","",'②-1職員名簿'!U3)</f>
        <v>0</v>
      </c>
      <c r="N12" s="187" t="e">
        <f t="shared" si="0"/>
        <v>#N/A</v>
      </c>
    </row>
    <row r="13" spans="1:14" ht="9.75" customHeight="1">
      <c r="A13" s="206"/>
      <c r="B13" s="206"/>
      <c r="C13" s="206"/>
      <c r="D13" s="206"/>
      <c r="E13" s="206"/>
      <c r="F13" s="206"/>
      <c r="G13" s="206"/>
      <c r="H13" s="206"/>
      <c r="I13" s="206"/>
      <c r="J13" s="206"/>
      <c r="K13" s="206"/>
      <c r="L13" s="206"/>
      <c r="M13" s="206"/>
      <c r="N13" s="38"/>
    </row>
    <row r="14" spans="1:14" ht="23.15" customHeight="1">
      <c r="B14" s="869" t="s">
        <v>2321</v>
      </c>
      <c r="C14" s="869"/>
      <c r="D14" s="869"/>
      <c r="E14" s="869"/>
      <c r="F14" s="869"/>
      <c r="G14" s="869"/>
      <c r="H14" s="869"/>
      <c r="I14" s="869"/>
      <c r="J14" s="869"/>
      <c r="K14" s="869"/>
      <c r="L14" s="869"/>
      <c r="M14" s="206"/>
      <c r="N14" s="38"/>
    </row>
    <row r="15" spans="1:14" ht="23.15" customHeight="1">
      <c r="A15" s="208"/>
      <c r="B15" s="869"/>
      <c r="C15" s="869"/>
      <c r="D15" s="869"/>
      <c r="E15" s="869"/>
      <c r="F15" s="869"/>
      <c r="G15" s="869"/>
      <c r="H15" s="869"/>
      <c r="I15" s="869"/>
      <c r="J15" s="869"/>
      <c r="K15" s="869"/>
      <c r="L15" s="869"/>
      <c r="M15" s="206"/>
      <c r="N15" s="38"/>
    </row>
    <row r="16" spans="1:14" ht="23.15" customHeight="1">
      <c r="A16" s="206"/>
      <c r="B16" s="869"/>
      <c r="C16" s="869"/>
      <c r="D16" s="869"/>
      <c r="E16" s="869"/>
      <c r="F16" s="869"/>
      <c r="G16" s="869"/>
      <c r="H16" s="869"/>
      <c r="I16" s="869"/>
      <c r="J16" s="869"/>
      <c r="K16" s="869"/>
      <c r="L16" s="869"/>
      <c r="M16" s="206"/>
      <c r="N16" s="38"/>
    </row>
    <row r="17" spans="1:16" ht="23.15" customHeight="1">
      <c r="A17" s="206" t="s">
        <v>1324</v>
      </c>
      <c r="B17" s="206"/>
      <c r="C17" s="206"/>
      <c r="D17" s="206"/>
      <c r="E17" s="206"/>
      <c r="F17" s="206"/>
      <c r="G17" s="870">
        <f>J28</f>
        <v>0</v>
      </c>
      <c r="H17" s="871"/>
      <c r="I17" s="871"/>
      <c r="J17" s="871"/>
      <c r="K17" s="209" t="s">
        <v>310</v>
      </c>
      <c r="L17" s="206"/>
      <c r="M17" s="206"/>
      <c r="N17" s="38"/>
    </row>
    <row r="18" spans="1:16" ht="15" customHeight="1" thickBot="1">
      <c r="A18" s="206"/>
      <c r="B18" s="206"/>
      <c r="C18" s="206"/>
      <c r="D18" s="206"/>
      <c r="E18" s="206"/>
      <c r="F18" s="206"/>
      <c r="G18" s="206"/>
      <c r="H18" s="206"/>
      <c r="I18" s="206"/>
      <c r="J18" s="206"/>
      <c r="K18" s="206"/>
      <c r="L18" s="206"/>
      <c r="M18" s="206"/>
      <c r="N18" s="38"/>
    </row>
    <row r="19" spans="1:16" ht="18.75" customHeight="1">
      <c r="A19" s="206"/>
      <c r="B19" s="872" t="s">
        <v>1345</v>
      </c>
      <c r="C19" s="874" t="s">
        <v>1325</v>
      </c>
      <c r="D19" s="875"/>
      <c r="E19" s="875"/>
      <c r="F19" s="875"/>
      <c r="G19" s="875"/>
      <c r="H19" s="875"/>
      <c r="I19" s="875"/>
      <c r="J19" s="875"/>
      <c r="K19" s="875"/>
      <c r="L19" s="876"/>
      <c r="M19" s="206"/>
      <c r="N19" s="38"/>
    </row>
    <row r="20" spans="1:16" ht="18.75" customHeight="1">
      <c r="A20" s="206"/>
      <c r="B20" s="873"/>
      <c r="C20" s="877"/>
      <c r="D20" s="878"/>
      <c r="E20" s="878"/>
      <c r="F20" s="878"/>
      <c r="G20" s="878"/>
      <c r="H20" s="878"/>
      <c r="I20" s="878"/>
      <c r="J20" s="878"/>
      <c r="K20" s="878"/>
      <c r="L20" s="879"/>
      <c r="M20" s="206"/>
      <c r="N20" s="38"/>
    </row>
    <row r="21" spans="1:16" ht="21.75" customHeight="1">
      <c r="A21" s="206"/>
      <c r="B21" s="210"/>
      <c r="C21" s="211">
        <v>1</v>
      </c>
      <c r="D21" s="212" t="s">
        <v>1420</v>
      </c>
      <c r="E21" s="212"/>
      <c r="F21" s="212"/>
      <c r="G21" s="212"/>
      <c r="H21" s="212"/>
      <c r="I21" s="213"/>
      <c r="J21" s="866">
        <f>IFERROR(MIN(ROUNDDOWN(N21*12,-3),O21),0)</f>
        <v>0</v>
      </c>
      <c r="K21" s="867"/>
      <c r="L21" s="214" t="s">
        <v>1326</v>
      </c>
      <c r="M21" s="206"/>
      <c r="N21" s="58">
        <f>SUM(⑤基本加算１!K6:K7)</f>
        <v>0</v>
      </c>
      <c r="O21" s="187">
        <v>2103000</v>
      </c>
      <c r="P21" s="187">
        <v>1</v>
      </c>
    </row>
    <row r="22" spans="1:16" ht="21.75" customHeight="1">
      <c r="A22" s="206"/>
      <c r="B22" s="210"/>
      <c r="C22" s="211">
        <v>2</v>
      </c>
      <c r="D22" s="212" t="s">
        <v>1421</v>
      </c>
      <c r="E22" s="212"/>
      <c r="F22" s="212"/>
      <c r="G22" s="212"/>
      <c r="H22" s="212"/>
      <c r="I22" s="213"/>
      <c r="J22" s="866">
        <f t="shared" ref="J22:J27" si="1">IFERROR(MIN(ROUNDDOWN(N22*12,-3),O22),0)</f>
        <v>0</v>
      </c>
      <c r="K22" s="867"/>
      <c r="L22" s="215" t="s">
        <v>1326</v>
      </c>
      <c r="M22" s="206"/>
      <c r="N22" s="58">
        <f>SUM(⑥基本加算２!J6:J7)</f>
        <v>0</v>
      </c>
      <c r="O22" s="187">
        <v>3628000</v>
      </c>
      <c r="P22" s="187">
        <v>1</v>
      </c>
    </row>
    <row r="23" spans="1:16" ht="21.75" customHeight="1">
      <c r="A23" s="206"/>
      <c r="B23" s="210"/>
      <c r="C23" s="211">
        <v>3</v>
      </c>
      <c r="D23" s="212" t="s">
        <v>1422</v>
      </c>
      <c r="E23" s="212"/>
      <c r="F23" s="212"/>
      <c r="G23" s="212"/>
      <c r="H23" s="212"/>
      <c r="I23" s="213"/>
      <c r="J23" s="866">
        <f t="shared" si="1"/>
        <v>0</v>
      </c>
      <c r="K23" s="867"/>
      <c r="L23" s="215" t="s">
        <v>1326</v>
      </c>
      <c r="M23" s="206"/>
      <c r="N23" s="58">
        <f>SUM(⑦基本加算３!J6:J7)</f>
        <v>0</v>
      </c>
      <c r="O23" s="187">
        <v>3628000</v>
      </c>
      <c r="P23" s="187">
        <v>1</v>
      </c>
    </row>
    <row r="24" spans="1:16" ht="21.75" customHeight="1">
      <c r="A24" s="206"/>
      <c r="B24" s="210"/>
      <c r="C24" s="211">
        <v>4</v>
      </c>
      <c r="D24" s="212" t="s">
        <v>1416</v>
      </c>
      <c r="E24" s="212"/>
      <c r="F24" s="212"/>
      <c r="G24" s="212"/>
      <c r="H24" s="212"/>
      <c r="I24" s="213"/>
      <c r="J24" s="866">
        <f t="shared" si="1"/>
        <v>0</v>
      </c>
      <c r="K24" s="867"/>
      <c r="L24" s="215" t="s">
        <v>1326</v>
      </c>
      <c r="M24" s="206"/>
      <c r="N24" s="58">
        <f>⑧一般加算１!N11</f>
        <v>0</v>
      </c>
      <c r="O24" s="187">
        <v>2388000</v>
      </c>
      <c r="P24" s="187">
        <v>1</v>
      </c>
    </row>
    <row r="25" spans="1:16" ht="21.75" customHeight="1">
      <c r="A25" s="206"/>
      <c r="B25" s="210"/>
      <c r="C25" s="211">
        <v>5</v>
      </c>
      <c r="D25" s="212" t="s">
        <v>1417</v>
      </c>
      <c r="E25" s="212"/>
      <c r="F25" s="212"/>
      <c r="G25" s="212"/>
      <c r="H25" s="212"/>
      <c r="I25" s="213"/>
      <c r="J25" s="866">
        <f t="shared" si="1"/>
        <v>0</v>
      </c>
      <c r="K25" s="867"/>
      <c r="L25" s="215" t="s">
        <v>1326</v>
      </c>
      <c r="M25" s="206"/>
      <c r="N25" s="58">
        <f>⑨一般加算２!N11</f>
        <v>0</v>
      </c>
      <c r="O25" s="187">
        <v>2388000</v>
      </c>
      <c r="P25" s="187">
        <v>1</v>
      </c>
    </row>
    <row r="26" spans="1:16" ht="21.75" customHeight="1">
      <c r="A26" s="206"/>
      <c r="B26" s="210"/>
      <c r="C26" s="211">
        <v>6</v>
      </c>
      <c r="D26" s="212" t="s">
        <v>1418</v>
      </c>
      <c r="E26" s="212"/>
      <c r="F26" s="212"/>
      <c r="G26" s="212"/>
      <c r="H26" s="212"/>
      <c r="I26" s="213"/>
      <c r="J26" s="866">
        <f>IFERROR(MIN(ROUNDDOWN(N26*12,-3),O26),0)</f>
        <v>0</v>
      </c>
      <c r="K26" s="867"/>
      <c r="L26" s="215" t="s">
        <v>1326</v>
      </c>
      <c r="M26" s="206"/>
      <c r="N26" s="58" t="str">
        <f>⑩特定加算１!J16</f>
        <v/>
      </c>
      <c r="O26" s="187" t="e">
        <f>2908000*$P$26</f>
        <v>#VALUE!</v>
      </c>
      <c r="P26" s="187" t="str">
        <f>⑩特定加算１!B6</f>
        <v>-</v>
      </c>
    </row>
    <row r="27" spans="1:16" ht="21.75" customHeight="1">
      <c r="A27" s="206"/>
      <c r="B27" s="210"/>
      <c r="C27" s="211">
        <v>7</v>
      </c>
      <c r="D27" s="212" t="s">
        <v>1419</v>
      </c>
      <c r="E27" s="212"/>
      <c r="F27" s="212"/>
      <c r="G27" s="212"/>
      <c r="H27" s="212"/>
      <c r="I27" s="213"/>
      <c r="J27" s="866">
        <f t="shared" si="1"/>
        <v>0</v>
      </c>
      <c r="K27" s="867"/>
      <c r="L27" s="214" t="s">
        <v>1326</v>
      </c>
      <c r="M27" s="206"/>
      <c r="N27" s="58" t="str">
        <f>⑪特定加算２!J10</f>
        <v/>
      </c>
      <c r="O27" s="187">
        <v>2908000</v>
      </c>
    </row>
    <row r="28" spans="1:16" ht="21.75" customHeight="1">
      <c r="A28" s="206"/>
      <c r="B28" s="217"/>
      <c r="C28" s="239" t="s">
        <v>1327</v>
      </c>
      <c r="D28" s="212"/>
      <c r="E28" s="212"/>
      <c r="F28" s="212"/>
      <c r="G28" s="212"/>
      <c r="H28" s="212"/>
      <c r="I28" s="213"/>
      <c r="J28" s="866">
        <f>SUM(J21:K27)</f>
        <v>0</v>
      </c>
      <c r="K28" s="867"/>
      <c r="L28" s="215" t="s">
        <v>1326</v>
      </c>
      <c r="M28" s="206"/>
      <c r="N28" s="58">
        <f>SUM(N21:N27)</f>
        <v>0</v>
      </c>
    </row>
    <row r="29" spans="1:16" ht="17.149999999999999" customHeight="1">
      <c r="A29" s="206"/>
      <c r="B29" s="890" t="s">
        <v>1329</v>
      </c>
      <c r="C29" s="892" t="s">
        <v>1328</v>
      </c>
      <c r="D29" s="893"/>
      <c r="E29" s="893"/>
      <c r="F29" s="218"/>
      <c r="G29" s="218"/>
      <c r="H29" s="218"/>
      <c r="I29" s="218"/>
      <c r="J29" s="218"/>
      <c r="K29" s="218"/>
      <c r="L29" s="219"/>
      <c r="M29" s="206"/>
      <c r="N29" s="38"/>
    </row>
    <row r="30" spans="1:16" ht="17.149999999999999" customHeight="1">
      <c r="A30" s="206"/>
      <c r="B30" s="891"/>
      <c r="C30" s="220"/>
      <c r="D30" s="894" t="s">
        <v>1330</v>
      </c>
      <c r="E30" s="894"/>
      <c r="F30" s="894"/>
      <c r="G30" s="894"/>
      <c r="H30" s="894"/>
      <c r="I30" s="894"/>
      <c r="J30" s="894"/>
      <c r="K30" s="894"/>
      <c r="L30" s="214"/>
      <c r="M30" s="206"/>
      <c r="N30" s="38"/>
    </row>
    <row r="31" spans="1:16" ht="17.149999999999999" customHeight="1">
      <c r="A31" s="206"/>
      <c r="B31" s="880" t="s">
        <v>1331</v>
      </c>
      <c r="C31" s="221" t="s">
        <v>1332</v>
      </c>
      <c r="D31" s="218"/>
      <c r="E31" s="218"/>
      <c r="F31" s="218"/>
      <c r="G31" s="218"/>
      <c r="H31" s="218"/>
      <c r="I31" s="218"/>
      <c r="J31" s="218"/>
      <c r="K31" s="218"/>
      <c r="L31" s="219"/>
      <c r="M31" s="206"/>
      <c r="N31" s="38"/>
    </row>
    <row r="32" spans="1:16" ht="17.149999999999999" customHeight="1">
      <c r="A32" s="206"/>
      <c r="B32" s="881"/>
      <c r="C32" s="220" t="s">
        <v>1333</v>
      </c>
      <c r="D32" s="216"/>
      <c r="E32" s="216"/>
      <c r="F32" s="216"/>
      <c r="G32" s="216"/>
      <c r="H32" s="216"/>
      <c r="I32" s="216"/>
      <c r="J32" s="216"/>
      <c r="K32" s="216"/>
      <c r="L32" s="214"/>
      <c r="M32" s="206"/>
      <c r="N32" s="38"/>
    </row>
    <row r="33" spans="1:14" ht="17.149999999999999" customHeight="1">
      <c r="A33" s="206"/>
      <c r="B33" s="881"/>
      <c r="C33" s="883" t="s">
        <v>1334</v>
      </c>
      <c r="D33" s="884"/>
      <c r="E33" s="884"/>
      <c r="F33" s="884"/>
      <c r="G33" s="884"/>
      <c r="H33" s="884"/>
      <c r="I33" s="884"/>
      <c r="J33" s="884"/>
      <c r="K33" s="884"/>
      <c r="L33" s="885"/>
      <c r="M33" s="206"/>
      <c r="N33" s="38"/>
    </row>
    <row r="34" spans="1:14" ht="16.5" customHeight="1" thickBot="1">
      <c r="A34" s="206">
        <f>①基本情報!S19</f>
        <v>1</v>
      </c>
      <c r="B34" s="882"/>
      <c r="C34" s="886" t="s">
        <v>1335</v>
      </c>
      <c r="D34" s="887"/>
      <c r="E34" s="888"/>
      <c r="F34" s="888"/>
      <c r="G34" s="888"/>
      <c r="H34" s="888"/>
      <c r="I34" s="888"/>
      <c r="J34" s="888"/>
      <c r="K34" s="888"/>
      <c r="L34" s="889"/>
      <c r="M34" s="206"/>
      <c r="N34" s="38"/>
    </row>
    <row r="35" spans="1:14" ht="27" customHeight="1">
      <c r="A35" s="38"/>
      <c r="B35" s="38" t="s">
        <v>1322</v>
      </c>
      <c r="C35" s="38" t="s">
        <v>1322</v>
      </c>
      <c r="D35" s="38"/>
      <c r="E35" s="38"/>
      <c r="F35" s="38"/>
      <c r="G35" s="38"/>
      <c r="H35" s="38"/>
      <c r="I35" s="38"/>
      <c r="J35" s="38"/>
      <c r="K35" s="38"/>
      <c r="L35" s="38"/>
      <c r="M35" s="38"/>
      <c r="N35" s="38"/>
    </row>
    <row r="36" spans="1:14" ht="27" customHeight="1">
      <c r="A36" s="38"/>
      <c r="B36" s="38"/>
      <c r="C36" s="38"/>
      <c r="D36" s="38"/>
      <c r="E36" s="38"/>
      <c r="F36" s="38"/>
      <c r="G36" s="38"/>
      <c r="H36" s="38"/>
      <c r="I36" s="38"/>
      <c r="J36" s="38"/>
      <c r="K36" s="38"/>
      <c r="L36" s="38"/>
      <c r="M36" s="38"/>
      <c r="N36" s="38"/>
    </row>
    <row r="37" spans="1:14" ht="27" customHeight="1"/>
  </sheetData>
  <sheetProtection password="CCCF" sheet="1" selectLockedCells="1"/>
  <mergeCells count="28">
    <mergeCell ref="D30:K30"/>
    <mergeCell ref="B31:B34"/>
    <mergeCell ref="C33:L33"/>
    <mergeCell ref="C34:L34"/>
    <mergeCell ref="C19:L20"/>
    <mergeCell ref="J21:K21"/>
    <mergeCell ref="J22:K22"/>
    <mergeCell ref="J23:K23"/>
    <mergeCell ref="J27:K27"/>
    <mergeCell ref="J24:K24"/>
    <mergeCell ref="J25:K25"/>
    <mergeCell ref="J26:K26"/>
    <mergeCell ref="B19:B20"/>
    <mergeCell ref="B29:B30"/>
    <mergeCell ref="J28:K28"/>
    <mergeCell ref="C29:E29"/>
    <mergeCell ref="G17:J17"/>
    <mergeCell ref="A4:L4"/>
    <mergeCell ref="A5:L5"/>
    <mergeCell ref="J7:L9"/>
    <mergeCell ref="H9:I9"/>
    <mergeCell ref="H10:I10"/>
    <mergeCell ref="J10:L10"/>
    <mergeCell ref="H11:I11"/>
    <mergeCell ref="J11:L11"/>
    <mergeCell ref="H12:I12"/>
    <mergeCell ref="J12:L12"/>
    <mergeCell ref="B14:L16"/>
  </mergeCells>
  <phoneticPr fontId="1"/>
  <conditionalFormatting sqref="J7:L12">
    <cfRule type="containsBlanks" dxfId="10" priority="1">
      <formula>LEN(TRIM(J7))=0</formula>
    </cfRule>
  </conditionalFormatting>
  <pageMargins left="0.78740157480314965" right="0.78740157480314965" top="0.98425196850393704" bottom="0.98425196850393704" header="0.51181102362204722" footer="0.51181102362204722"/>
  <pageSetup paperSize="9" scale="90" orientation="portrait" blackAndWhite="1"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E0F1F-39C4-4851-A8B0-CA0E2267600E}">
  <sheetPr>
    <tabColor rgb="FFFFFF00"/>
  </sheetPr>
  <dimension ref="A1:Q36"/>
  <sheetViews>
    <sheetView view="pageBreakPreview" zoomScaleNormal="100" zoomScaleSheetLayoutView="100" workbookViewId="0">
      <selection activeCell="F7" sqref="F7:H9"/>
    </sheetView>
  </sheetViews>
  <sheetFormatPr defaultColWidth="9" defaultRowHeight="13"/>
  <cols>
    <col min="1" max="1" width="1.33203125" style="187" customWidth="1"/>
    <col min="2" max="2" width="15.83203125" style="187" customWidth="1"/>
    <col min="3" max="3" width="18.75" style="187" customWidth="1"/>
    <col min="4" max="4" width="3.75" style="187" customWidth="1"/>
    <col min="5" max="5" width="20.33203125" style="187" customWidth="1"/>
    <col min="6" max="6" width="3.33203125" style="187" customWidth="1"/>
    <col min="7" max="7" width="18.83203125" style="187" customWidth="1"/>
    <col min="8" max="8" width="4.58203125" style="187" customWidth="1"/>
    <col min="9" max="9" width="6.5" style="187" customWidth="1"/>
    <col min="10" max="11" width="4.75" style="187" customWidth="1"/>
    <col min="12" max="12" width="8" style="187" customWidth="1"/>
    <col min="13" max="13" width="10.25" style="187" customWidth="1"/>
    <col min="14" max="14" width="17.5" style="187" customWidth="1"/>
    <col min="15" max="15" width="5.83203125" style="187" customWidth="1"/>
    <col min="16" max="16" width="5.75" style="187" customWidth="1"/>
    <col min="17" max="17" width="5.58203125" style="187" customWidth="1"/>
    <col min="18" max="16384" width="9" style="187"/>
  </cols>
  <sheetData>
    <row r="1" spans="1:17" ht="20.25" customHeight="1">
      <c r="A1" s="206" t="s">
        <v>1085</v>
      </c>
      <c r="B1" s="206"/>
      <c r="C1" s="206" t="s">
        <v>309</v>
      </c>
      <c r="D1" s="206"/>
      <c r="E1" s="206"/>
      <c r="F1" s="206"/>
      <c r="G1" s="206"/>
      <c r="H1" s="206" t="e">
        <f>様式１!L1</f>
        <v>#N/A</v>
      </c>
      <c r="I1" s="38" t="e">
        <f>①基本情報!Q5</f>
        <v>#N/A</v>
      </c>
      <c r="J1" s="38"/>
      <c r="K1" s="38"/>
      <c r="L1" s="38"/>
      <c r="M1" s="38"/>
      <c r="N1" s="38"/>
      <c r="O1" s="38"/>
      <c r="P1" s="38"/>
      <c r="Q1" s="38"/>
    </row>
    <row r="2" spans="1:17" ht="20.25" customHeight="1">
      <c r="A2" s="38"/>
      <c r="B2" s="206"/>
      <c r="C2" s="206"/>
      <c r="D2" s="206"/>
      <c r="E2" s="206"/>
      <c r="F2" s="206"/>
      <c r="G2" s="222">
        <v>45413</v>
      </c>
      <c r="H2" s="206"/>
      <c r="I2" s="38"/>
      <c r="J2" s="38"/>
      <c r="K2" s="38"/>
      <c r="L2" s="38"/>
      <c r="M2" s="38"/>
      <c r="O2" s="38"/>
      <c r="P2" s="38"/>
      <c r="Q2" s="38"/>
    </row>
    <row r="3" spans="1:17" ht="5.25" customHeight="1">
      <c r="A3" s="38"/>
      <c r="B3" s="206"/>
      <c r="C3" s="206"/>
      <c r="D3" s="206"/>
      <c r="E3" s="206"/>
      <c r="F3" s="206"/>
      <c r="G3" s="206"/>
      <c r="H3" s="206"/>
      <c r="I3" s="38"/>
      <c r="J3" s="38"/>
      <c r="K3" s="38"/>
      <c r="L3" s="38"/>
      <c r="M3" s="38"/>
      <c r="N3" s="38"/>
      <c r="O3" s="38"/>
      <c r="P3" s="38"/>
      <c r="Q3" s="38"/>
    </row>
    <row r="4" spans="1:17" ht="40.5" customHeight="1">
      <c r="A4" s="858" t="s">
        <v>1336</v>
      </c>
      <c r="B4" s="858"/>
      <c r="C4" s="858"/>
      <c r="D4" s="858"/>
      <c r="E4" s="858"/>
      <c r="F4" s="858"/>
      <c r="G4" s="858"/>
      <c r="H4" s="858"/>
      <c r="I4" s="38"/>
      <c r="J4" s="38"/>
      <c r="K4" s="38"/>
      <c r="L4" s="38"/>
      <c r="M4" s="38"/>
      <c r="N4" s="38"/>
      <c r="O4" s="38"/>
      <c r="P4" s="38"/>
      <c r="Q4" s="38"/>
    </row>
    <row r="5" spans="1:17" ht="40.5" customHeight="1">
      <c r="A5" s="858" t="s">
        <v>1337</v>
      </c>
      <c r="B5" s="858"/>
      <c r="C5" s="858"/>
      <c r="D5" s="858"/>
      <c r="E5" s="858"/>
      <c r="F5" s="858"/>
      <c r="G5" s="858"/>
      <c r="H5" s="858"/>
      <c r="I5" s="38"/>
      <c r="J5" s="38"/>
      <c r="K5" s="38"/>
      <c r="L5" s="38"/>
      <c r="M5" s="38"/>
      <c r="N5" s="38"/>
      <c r="O5" s="38"/>
      <c r="P5" s="38"/>
      <c r="Q5" s="38"/>
    </row>
    <row r="6" spans="1:17" ht="3.75" customHeight="1">
      <c r="A6" s="38"/>
      <c r="B6" s="206"/>
      <c r="C6" s="206"/>
      <c r="D6" s="206"/>
      <c r="E6" s="206"/>
      <c r="F6" s="206"/>
      <c r="G6" s="206"/>
      <c r="H6" s="206"/>
      <c r="I6" s="38"/>
      <c r="J6" s="38"/>
      <c r="K6" s="38"/>
      <c r="L6" s="38"/>
      <c r="M6" s="38"/>
      <c r="N6" s="38"/>
      <c r="O6" s="38"/>
      <c r="P6" s="38"/>
      <c r="Q6" s="38"/>
    </row>
    <row r="7" spans="1:17" ht="23.15" customHeight="1">
      <c r="A7" s="38"/>
      <c r="B7" s="206" t="s">
        <v>1320</v>
      </c>
      <c r="C7" s="223"/>
      <c r="D7" s="223"/>
      <c r="E7" s="206"/>
      <c r="F7" s="860" t="e">
        <f>様式８!F7</f>
        <v>#N/A</v>
      </c>
      <c r="G7" s="860"/>
      <c r="H7" s="860"/>
      <c r="I7" s="38"/>
      <c r="J7" s="38"/>
      <c r="K7" s="38"/>
      <c r="L7" s="38"/>
      <c r="M7" s="38"/>
      <c r="N7" s="38"/>
      <c r="O7" s="38"/>
      <c r="P7" s="38"/>
      <c r="Q7" s="38"/>
    </row>
    <row r="8" spans="1:17" ht="17.149999999999999" customHeight="1">
      <c r="A8" s="38"/>
      <c r="B8" s="206"/>
      <c r="C8" s="206"/>
      <c r="D8" s="206"/>
      <c r="E8" s="206"/>
      <c r="F8" s="861"/>
      <c r="G8" s="861"/>
      <c r="H8" s="861"/>
      <c r="I8" s="38"/>
      <c r="J8" s="38"/>
      <c r="K8" s="38"/>
      <c r="L8" s="38"/>
      <c r="M8" s="38"/>
      <c r="N8" s="38"/>
      <c r="O8" s="38"/>
      <c r="P8" s="38"/>
      <c r="Q8" s="38"/>
    </row>
    <row r="9" spans="1:17" ht="30" customHeight="1">
      <c r="A9" s="897" t="str">
        <f>IF(①基本情報!$S$19=1,K21,"")</f>
        <v>概算払いは請求しないことが選択されています。</v>
      </c>
      <c r="B9" s="898"/>
      <c r="C9" s="898"/>
      <c r="D9" s="898"/>
      <c r="E9" s="224" t="s">
        <v>1338</v>
      </c>
      <c r="F9" s="861"/>
      <c r="G9" s="861"/>
      <c r="H9" s="861"/>
      <c r="I9" s="38" t="e">
        <f>VLOOKUP($I$1,補助金用基本データ!$D$5:$T$180,11)</f>
        <v>#N/A</v>
      </c>
      <c r="J9" s="38" t="e">
        <f>IF(F7=I9,0,1)</f>
        <v>#N/A</v>
      </c>
      <c r="K9" s="38"/>
      <c r="L9" s="38"/>
      <c r="Q9" s="38"/>
    </row>
    <row r="10" spans="1:17" ht="23.15" customHeight="1">
      <c r="A10" s="897" t="str">
        <f>IF(①基本情報!$S$19=1,K22,"")</f>
        <v>概算払いを希望しない場合、この請求書は提出不要です。</v>
      </c>
      <c r="B10" s="898"/>
      <c r="C10" s="898"/>
      <c r="D10" s="898"/>
      <c r="E10" s="224" t="s">
        <v>1339</v>
      </c>
      <c r="F10" s="865" t="e">
        <f>様式８!F10</f>
        <v>#N/A</v>
      </c>
      <c r="G10" s="865"/>
      <c r="H10" s="865"/>
      <c r="I10" s="38" t="e">
        <f>VLOOKUP($I$1,補助金用基本データ!$D$5:$T$180,10)</f>
        <v>#N/A</v>
      </c>
      <c r="J10" s="38" t="e">
        <f>IF(F10=I10,0,1)</f>
        <v>#N/A</v>
      </c>
      <c r="K10" s="38"/>
      <c r="L10" s="38"/>
      <c r="Q10" s="38"/>
    </row>
    <row r="11" spans="1:17" ht="23.15" customHeight="1">
      <c r="A11" s="899" t="str">
        <f>IF(①基本情報!$S$19=1,K23,"")</f>
        <v>概算払いを希望する場合は、「①基本情報」シート【概算払いについて（注意事項）】を確認し、同シートの「Ｌ２０セル」で「概算払いを請求する」を選択してください。</v>
      </c>
      <c r="B11" s="899"/>
      <c r="C11" s="899"/>
      <c r="D11" s="899"/>
      <c r="E11" s="224" t="s">
        <v>1340</v>
      </c>
      <c r="F11" s="865" t="e">
        <f>様式８!F11</f>
        <v>#N/A</v>
      </c>
      <c r="G11" s="865"/>
      <c r="H11" s="865"/>
      <c r="I11" s="38" t="e">
        <f>VLOOKUP($I$1,補助金用基本データ!$D$5:$T$180,15)&amp;"　"&amp;VLOOKUP($I$1,補助金用基本データ!$D$5:$T$180,16)</f>
        <v>#N/A</v>
      </c>
      <c r="J11" s="38" t="e">
        <f>IF(F11=I11,0,1)</f>
        <v>#N/A</v>
      </c>
      <c r="K11" s="38"/>
      <c r="L11" s="38" t="s">
        <v>1341</v>
      </c>
      <c r="Q11" s="38"/>
    </row>
    <row r="12" spans="1:17" ht="23.15" customHeight="1">
      <c r="A12" s="899"/>
      <c r="B12" s="899"/>
      <c r="C12" s="899"/>
      <c r="D12" s="899"/>
      <c r="E12" s="225" t="s">
        <v>1342</v>
      </c>
      <c r="F12" s="865" t="e">
        <f>様式８!F12</f>
        <v>#N/A</v>
      </c>
      <c r="G12" s="865"/>
      <c r="H12" s="865"/>
      <c r="I12" s="187">
        <f>IF('②-1職員名簿'!U3="","",'②-1職員名簿'!U3)</f>
        <v>0</v>
      </c>
      <c r="J12" s="38" t="e">
        <f>IF(F12=I12,0,1)</f>
        <v>#N/A</v>
      </c>
      <c r="K12" s="38"/>
      <c r="L12" s="38" t="s">
        <v>1341</v>
      </c>
      <c r="Q12" s="38"/>
    </row>
    <row r="13" spans="1:17" ht="23.15" customHeight="1">
      <c r="A13" s="899"/>
      <c r="B13" s="899"/>
      <c r="C13" s="899"/>
      <c r="D13" s="899"/>
      <c r="E13" s="206"/>
      <c r="F13" s="206"/>
      <c r="G13" s="206"/>
      <c r="H13" s="206" t="e">
        <f>SUM(J9:J12)</f>
        <v>#N/A</v>
      </c>
      <c r="I13" s="38"/>
      <c r="J13" s="38"/>
      <c r="K13" s="38"/>
      <c r="L13" s="38"/>
      <c r="M13" s="38"/>
      <c r="N13" s="38"/>
      <c r="O13" s="38"/>
      <c r="P13" s="38"/>
      <c r="Q13" s="38"/>
    </row>
    <row r="14" spans="1:17" ht="20.25" customHeight="1">
      <c r="B14" s="869" t="s">
        <v>2301</v>
      </c>
      <c r="C14" s="869"/>
      <c r="D14" s="869"/>
      <c r="E14" s="869"/>
      <c r="F14" s="869"/>
      <c r="G14" s="869"/>
      <c r="H14" s="869"/>
      <c r="I14" s="38"/>
      <c r="J14" s="38"/>
      <c r="K14" s="38"/>
      <c r="M14" s="38"/>
      <c r="N14" s="38"/>
      <c r="O14" s="38"/>
      <c r="P14" s="38"/>
      <c r="Q14" s="38"/>
    </row>
    <row r="15" spans="1:17" ht="20.25" customHeight="1">
      <c r="B15" s="869"/>
      <c r="C15" s="869"/>
      <c r="D15" s="869"/>
      <c r="E15" s="869"/>
      <c r="F15" s="869"/>
      <c r="G15" s="869"/>
      <c r="H15" s="869"/>
      <c r="I15" s="38"/>
      <c r="J15" s="38"/>
      <c r="K15" s="38"/>
      <c r="L15" s="38"/>
      <c r="M15" s="38"/>
      <c r="N15" s="38"/>
      <c r="O15" s="38"/>
      <c r="P15" s="38"/>
      <c r="Q15" s="38"/>
    </row>
    <row r="16" spans="1:17" ht="20.25" customHeight="1">
      <c r="A16" s="38"/>
      <c r="B16" s="869"/>
      <c r="C16" s="869"/>
      <c r="D16" s="869"/>
      <c r="E16" s="869"/>
      <c r="F16" s="869"/>
      <c r="G16" s="869"/>
      <c r="H16" s="869"/>
      <c r="I16" s="38"/>
      <c r="J16" s="38"/>
      <c r="K16" s="38"/>
      <c r="L16" s="38"/>
      <c r="M16" s="38"/>
      <c r="N16" s="38"/>
      <c r="O16" s="38"/>
      <c r="P16" s="38"/>
      <c r="Q16" s="38"/>
    </row>
    <row r="17" spans="1:17" ht="8.25" customHeight="1">
      <c r="A17" s="38"/>
      <c r="B17" s="206"/>
      <c r="C17" s="206"/>
      <c r="D17" s="206"/>
      <c r="E17" s="206"/>
      <c r="F17" s="206"/>
      <c r="G17" s="206"/>
      <c r="H17" s="206"/>
      <c r="I17" s="38"/>
      <c r="J17" s="38"/>
      <c r="K17" s="38"/>
      <c r="L17" s="38"/>
      <c r="M17" s="38"/>
      <c r="N17" s="38"/>
      <c r="O17" s="38"/>
      <c r="P17" s="38"/>
      <c r="Q17" s="38"/>
    </row>
    <row r="18" spans="1:17" ht="23.15" customHeight="1">
      <c r="A18" s="206" t="s">
        <v>1343</v>
      </c>
      <c r="B18" s="206"/>
      <c r="C18" s="206"/>
      <c r="D18" s="206"/>
      <c r="E18" s="226">
        <f>SUM(G36)</f>
        <v>0</v>
      </c>
      <c r="F18" s="206"/>
      <c r="G18" s="209" t="s">
        <v>310</v>
      </c>
      <c r="H18" s="209"/>
      <c r="I18" s="38"/>
      <c r="J18" s="871"/>
      <c r="K18" s="871"/>
      <c r="L18" s="871"/>
      <c r="M18" s="871"/>
      <c r="O18" s="38"/>
      <c r="P18" s="38"/>
      <c r="Q18" s="38"/>
    </row>
    <row r="19" spans="1:17" ht="15" customHeight="1" thickBot="1">
      <c r="A19" s="38"/>
      <c r="B19" s="206"/>
      <c r="C19" s="206"/>
      <c r="D19" s="206"/>
      <c r="E19" s="206"/>
      <c r="F19" s="206"/>
      <c r="G19" s="206"/>
      <c r="H19" s="206"/>
      <c r="I19" s="38"/>
      <c r="J19" s="38"/>
      <c r="K19" s="38"/>
      <c r="L19" s="38"/>
      <c r="M19" s="38"/>
      <c r="N19" s="38"/>
      <c r="O19" s="38"/>
      <c r="P19" s="38"/>
      <c r="Q19" s="38"/>
    </row>
    <row r="20" spans="1:17" ht="23.15" customHeight="1">
      <c r="A20" s="38"/>
      <c r="B20" s="227" t="s">
        <v>311</v>
      </c>
      <c r="C20" s="900" t="s">
        <v>314</v>
      </c>
      <c r="D20" s="901"/>
      <c r="E20" s="900" t="s">
        <v>316</v>
      </c>
      <c r="F20" s="901"/>
      <c r="G20" s="902" t="s">
        <v>1086</v>
      </c>
      <c r="H20" s="903"/>
      <c r="I20" s="38"/>
      <c r="J20" s="38"/>
      <c r="K20" s="38"/>
      <c r="L20" s="38"/>
      <c r="M20" s="38"/>
      <c r="N20" s="38"/>
      <c r="O20" s="38"/>
      <c r="P20" s="38"/>
      <c r="Q20" s="38"/>
    </row>
    <row r="21" spans="1:17" ht="15" customHeight="1">
      <c r="A21" s="38"/>
      <c r="B21" s="895" t="s">
        <v>1420</v>
      </c>
      <c r="C21" s="228"/>
      <c r="D21" s="229"/>
      <c r="E21" s="230" t="s">
        <v>1344</v>
      </c>
      <c r="F21" s="231"/>
      <c r="G21" s="228"/>
      <c r="H21" s="232"/>
      <c r="I21" s="38"/>
      <c r="J21" s="38"/>
      <c r="K21" s="187" t="s">
        <v>1354</v>
      </c>
      <c r="L21" s="255"/>
      <c r="M21" s="255"/>
      <c r="N21" s="255"/>
      <c r="O21" s="255"/>
      <c r="P21" s="255"/>
      <c r="Q21" s="255"/>
    </row>
    <row r="22" spans="1:17" ht="15" customHeight="1">
      <c r="A22" s="38"/>
      <c r="B22" s="896"/>
      <c r="C22" s="240">
        <f>ROUNDDOWN(様式１!J21*3/4,-3)</f>
        <v>0</v>
      </c>
      <c r="D22" s="233" t="s">
        <v>312</v>
      </c>
      <c r="E22" s="242">
        <v>0</v>
      </c>
      <c r="F22" s="234" t="s">
        <v>312</v>
      </c>
      <c r="G22" s="242">
        <f>ROUNDDOWN(C22*2/3,-3)</f>
        <v>0</v>
      </c>
      <c r="H22" s="235" t="s">
        <v>312</v>
      </c>
      <c r="I22" s="38"/>
      <c r="J22" s="38"/>
      <c r="K22" s="38" t="s">
        <v>1359</v>
      </c>
      <c r="L22" s="255"/>
      <c r="M22" s="255"/>
      <c r="N22" s="255"/>
      <c r="O22" s="255"/>
      <c r="P22" s="255"/>
      <c r="Q22" s="255"/>
    </row>
    <row r="23" spans="1:17" ht="15" customHeight="1">
      <c r="A23" s="38"/>
      <c r="B23" s="895" t="s">
        <v>1421</v>
      </c>
      <c r="C23" s="241"/>
      <c r="D23" s="229"/>
      <c r="E23" s="230" t="s">
        <v>1344</v>
      </c>
      <c r="F23" s="231"/>
      <c r="G23" s="241"/>
      <c r="H23" s="232"/>
      <c r="I23" s="38"/>
      <c r="J23" s="38"/>
      <c r="K23" s="904" t="s">
        <v>1610</v>
      </c>
      <c r="L23" s="904"/>
      <c r="M23" s="904"/>
      <c r="N23" s="904"/>
      <c r="O23" s="904"/>
      <c r="P23" s="904"/>
      <c r="Q23" s="904"/>
    </row>
    <row r="24" spans="1:17" ht="15" customHeight="1">
      <c r="A24" s="38"/>
      <c r="B24" s="896"/>
      <c r="C24" s="240">
        <f>ROUNDDOWN(様式１!J22*3/4,-3)</f>
        <v>0</v>
      </c>
      <c r="D24" s="233" t="s">
        <v>312</v>
      </c>
      <c r="E24" s="242">
        <v>0</v>
      </c>
      <c r="F24" s="234" t="s">
        <v>312</v>
      </c>
      <c r="G24" s="242">
        <f>ROUNDDOWN(C24*2/3,-3)</f>
        <v>0</v>
      </c>
      <c r="H24" s="235" t="s">
        <v>312</v>
      </c>
      <c r="I24" s="38"/>
      <c r="J24" s="38"/>
      <c r="K24" s="904"/>
      <c r="L24" s="904"/>
      <c r="M24" s="904"/>
      <c r="N24" s="904"/>
      <c r="O24" s="904"/>
      <c r="P24" s="904"/>
      <c r="Q24" s="904"/>
    </row>
    <row r="25" spans="1:17" ht="15" customHeight="1">
      <c r="A25" s="38"/>
      <c r="B25" s="895" t="s">
        <v>1422</v>
      </c>
      <c r="C25" s="241"/>
      <c r="D25" s="229"/>
      <c r="E25" s="230" t="s">
        <v>1344</v>
      </c>
      <c r="F25" s="231"/>
      <c r="G25" s="241"/>
      <c r="H25" s="232"/>
      <c r="I25" s="38"/>
      <c r="J25" s="38"/>
      <c r="K25" s="904"/>
      <c r="L25" s="904"/>
      <c r="M25" s="904"/>
      <c r="N25" s="904"/>
      <c r="O25" s="904"/>
      <c r="P25" s="904"/>
      <c r="Q25" s="904"/>
    </row>
    <row r="26" spans="1:17" ht="15" customHeight="1">
      <c r="A26" s="38"/>
      <c r="B26" s="896"/>
      <c r="C26" s="240">
        <f>ROUNDDOWN(様式１!J23*3/4,-3)</f>
        <v>0</v>
      </c>
      <c r="D26" s="233" t="s">
        <v>312</v>
      </c>
      <c r="E26" s="242">
        <v>0</v>
      </c>
      <c r="F26" s="234" t="s">
        <v>312</v>
      </c>
      <c r="G26" s="242">
        <f>ROUNDDOWN(C26*2/3,-3)</f>
        <v>0</v>
      </c>
      <c r="H26" s="235" t="s">
        <v>312</v>
      </c>
      <c r="I26" s="38"/>
      <c r="J26" s="38"/>
      <c r="K26" s="904"/>
      <c r="L26" s="904"/>
      <c r="M26" s="904"/>
      <c r="N26" s="904"/>
      <c r="O26" s="904"/>
      <c r="P26" s="904"/>
      <c r="Q26" s="904"/>
    </row>
    <row r="27" spans="1:17" ht="15" customHeight="1">
      <c r="A27" s="38"/>
      <c r="B27" s="895" t="s">
        <v>1423</v>
      </c>
      <c r="C27" s="241"/>
      <c r="D27" s="229"/>
      <c r="E27" s="230" t="s">
        <v>1344</v>
      </c>
      <c r="F27" s="231"/>
      <c r="G27" s="241"/>
      <c r="H27" s="232"/>
      <c r="I27" s="38"/>
      <c r="J27" s="38"/>
      <c r="K27" s="904"/>
      <c r="L27" s="904"/>
      <c r="M27" s="904"/>
      <c r="N27" s="904"/>
      <c r="O27" s="904"/>
      <c r="P27" s="904"/>
      <c r="Q27" s="904"/>
    </row>
    <row r="28" spans="1:17" ht="15" customHeight="1">
      <c r="A28" s="38"/>
      <c r="B28" s="896"/>
      <c r="C28" s="240">
        <f>ROUNDDOWN(様式１!J24*3/4,-3)</f>
        <v>0</v>
      </c>
      <c r="D28" s="233" t="s">
        <v>312</v>
      </c>
      <c r="E28" s="242">
        <v>0</v>
      </c>
      <c r="F28" s="234" t="s">
        <v>312</v>
      </c>
      <c r="G28" s="242">
        <f>ROUNDDOWN(C28*2/3,-3)</f>
        <v>0</v>
      </c>
      <c r="H28" s="235" t="s">
        <v>312</v>
      </c>
      <c r="I28" s="38"/>
      <c r="J28" s="38"/>
      <c r="K28" s="38"/>
      <c r="L28" s="38"/>
      <c r="M28" s="38"/>
      <c r="N28" s="38"/>
      <c r="O28" s="38"/>
      <c r="P28" s="38"/>
      <c r="Q28" s="38"/>
    </row>
    <row r="29" spans="1:17" ht="15" customHeight="1">
      <c r="A29" s="38"/>
      <c r="B29" s="895" t="s">
        <v>1424</v>
      </c>
      <c r="C29" s="241"/>
      <c r="D29" s="229"/>
      <c r="E29" s="230" t="s">
        <v>1344</v>
      </c>
      <c r="F29" s="231"/>
      <c r="G29" s="241"/>
      <c r="H29" s="232"/>
      <c r="I29" s="38"/>
      <c r="J29" s="38"/>
      <c r="K29" s="38"/>
      <c r="L29" s="38"/>
      <c r="M29" s="38"/>
      <c r="N29" s="38"/>
      <c r="O29" s="38"/>
      <c r="P29" s="38"/>
      <c r="Q29" s="38"/>
    </row>
    <row r="30" spans="1:17" ht="15" customHeight="1">
      <c r="A30" s="38"/>
      <c r="B30" s="896"/>
      <c r="C30" s="240">
        <f>ROUNDDOWN(様式１!J25*3/4,-3)</f>
        <v>0</v>
      </c>
      <c r="D30" s="233" t="s">
        <v>312</v>
      </c>
      <c r="E30" s="242">
        <v>0</v>
      </c>
      <c r="F30" s="234" t="s">
        <v>312</v>
      </c>
      <c r="G30" s="242">
        <f>ROUNDDOWN(C30*2/3,-3)</f>
        <v>0</v>
      </c>
      <c r="H30" s="235" t="s">
        <v>312</v>
      </c>
      <c r="I30" s="38"/>
      <c r="J30" s="38"/>
      <c r="K30" s="38"/>
      <c r="L30" s="38"/>
      <c r="M30" s="38"/>
      <c r="N30" s="38"/>
      <c r="O30" s="38"/>
      <c r="P30" s="38"/>
      <c r="Q30" s="38"/>
    </row>
    <row r="31" spans="1:17" ht="15" customHeight="1">
      <c r="A31" s="38"/>
      <c r="B31" s="895" t="s">
        <v>1425</v>
      </c>
      <c r="C31" s="241"/>
      <c r="D31" s="229"/>
      <c r="E31" s="230" t="s">
        <v>1344</v>
      </c>
      <c r="F31" s="231"/>
      <c r="G31" s="241"/>
      <c r="H31" s="232"/>
      <c r="I31" s="38"/>
      <c r="J31" s="38"/>
      <c r="K31" s="38"/>
      <c r="L31" s="38"/>
      <c r="M31" s="38"/>
      <c r="N31" s="38"/>
      <c r="O31" s="38"/>
      <c r="P31" s="38"/>
      <c r="Q31" s="38"/>
    </row>
    <row r="32" spans="1:17" ht="15" customHeight="1">
      <c r="A32" s="38"/>
      <c r="B32" s="896"/>
      <c r="C32" s="240">
        <f>ROUNDDOWN(様式１!J26*3/4,-3)</f>
        <v>0</v>
      </c>
      <c r="D32" s="233" t="s">
        <v>312</v>
      </c>
      <c r="E32" s="242">
        <v>0</v>
      </c>
      <c r="F32" s="234" t="s">
        <v>312</v>
      </c>
      <c r="G32" s="242">
        <f>ROUNDDOWN(C32*2/3,-3)</f>
        <v>0</v>
      </c>
      <c r="H32" s="235" t="s">
        <v>312</v>
      </c>
      <c r="I32" s="38"/>
      <c r="J32" s="38"/>
      <c r="K32" s="38"/>
      <c r="L32" s="38"/>
      <c r="M32" s="38"/>
      <c r="N32" s="38"/>
      <c r="O32" s="38"/>
      <c r="P32" s="38"/>
      <c r="Q32" s="38"/>
    </row>
    <row r="33" spans="1:17" ht="15" customHeight="1">
      <c r="A33" s="38"/>
      <c r="B33" s="895" t="s">
        <v>1426</v>
      </c>
      <c r="C33" s="241"/>
      <c r="D33" s="229"/>
      <c r="E33" s="230" t="s">
        <v>1344</v>
      </c>
      <c r="F33" s="231"/>
      <c r="G33" s="241"/>
      <c r="H33" s="232"/>
      <c r="I33" s="38"/>
      <c r="J33" s="38"/>
      <c r="K33" s="38"/>
      <c r="L33" s="38"/>
      <c r="M33" s="38"/>
      <c r="N33" s="38"/>
      <c r="O33" s="38"/>
      <c r="P33" s="38"/>
      <c r="Q33" s="38"/>
    </row>
    <row r="34" spans="1:17" ht="15" customHeight="1">
      <c r="A34" s="38"/>
      <c r="B34" s="896"/>
      <c r="C34" s="240">
        <f>ROUNDDOWN(様式１!J27*3/4,-3)</f>
        <v>0</v>
      </c>
      <c r="D34" s="233" t="s">
        <v>312</v>
      </c>
      <c r="E34" s="242">
        <v>0</v>
      </c>
      <c r="F34" s="234" t="s">
        <v>312</v>
      </c>
      <c r="G34" s="242">
        <f>ROUNDDOWN(C34*2/3,-3)</f>
        <v>0</v>
      </c>
      <c r="H34" s="235" t="s">
        <v>312</v>
      </c>
      <c r="I34" s="38"/>
      <c r="J34" s="38"/>
      <c r="K34" s="38"/>
      <c r="L34" s="38"/>
      <c r="M34" s="38"/>
      <c r="N34" s="38"/>
      <c r="O34" s="38"/>
      <c r="P34" s="38"/>
      <c r="Q34" s="38"/>
    </row>
    <row r="35" spans="1:17" ht="15" customHeight="1">
      <c r="A35" s="38"/>
      <c r="B35" s="895" t="s">
        <v>313</v>
      </c>
      <c r="C35" s="241"/>
      <c r="D35" s="229"/>
      <c r="E35" s="230" t="s">
        <v>1344</v>
      </c>
      <c r="F35" s="231"/>
      <c r="G35" s="241"/>
      <c r="H35" s="232"/>
      <c r="I35" s="38"/>
      <c r="J35" s="38"/>
      <c r="K35" s="38"/>
      <c r="L35" s="38"/>
      <c r="M35" s="38"/>
      <c r="N35" s="38"/>
      <c r="O35" s="38"/>
      <c r="P35" s="38"/>
      <c r="Q35" s="38"/>
    </row>
    <row r="36" spans="1:17" ht="15" customHeight="1" thickBot="1">
      <c r="A36" s="38"/>
      <c r="B36" s="905"/>
      <c r="C36" s="461">
        <f>SUM(C22,C24,C32,C26,C28,C30,C34)</f>
        <v>0</v>
      </c>
      <c r="D36" s="236" t="s">
        <v>312</v>
      </c>
      <c r="E36" s="461">
        <f>SUM(E22,E24,E32,E26,E28,E30,E34)</f>
        <v>0</v>
      </c>
      <c r="F36" s="237" t="s">
        <v>312</v>
      </c>
      <c r="G36" s="461">
        <f>SUM(G22,G24,G32,G26,G28,G30,G34)</f>
        <v>0</v>
      </c>
      <c r="H36" s="238" t="s">
        <v>312</v>
      </c>
      <c r="I36" s="38"/>
      <c r="J36" s="38"/>
      <c r="K36" s="38"/>
      <c r="L36" s="38"/>
      <c r="M36" s="38"/>
      <c r="N36" s="38"/>
      <c r="O36" s="38"/>
      <c r="P36" s="38"/>
      <c r="Q36" s="38"/>
    </row>
  </sheetData>
  <sheetProtection password="CCCF" sheet="1" selectLockedCells="1"/>
  <mergeCells count="23">
    <mergeCell ref="B23:B24"/>
    <mergeCell ref="B31:B32"/>
    <mergeCell ref="B33:B34"/>
    <mergeCell ref="B35:B36"/>
    <mergeCell ref="B25:B26"/>
    <mergeCell ref="B27:B28"/>
    <mergeCell ref="B29:B30"/>
    <mergeCell ref="J18:M18"/>
    <mergeCell ref="C20:D20"/>
    <mergeCell ref="E20:F20"/>
    <mergeCell ref="G20:H20"/>
    <mergeCell ref="K23:Q27"/>
    <mergeCell ref="B21:B22"/>
    <mergeCell ref="F12:H12"/>
    <mergeCell ref="A9:D9"/>
    <mergeCell ref="A10:D10"/>
    <mergeCell ref="A11:D13"/>
    <mergeCell ref="B14:H16"/>
    <mergeCell ref="A4:H4"/>
    <mergeCell ref="A5:H5"/>
    <mergeCell ref="F7:H9"/>
    <mergeCell ref="F10:H10"/>
    <mergeCell ref="F11:H11"/>
  </mergeCells>
  <phoneticPr fontId="1"/>
  <conditionalFormatting sqref="F7:H12">
    <cfRule type="containsBlanks" dxfId="6" priority="4">
      <formula>LEN(TRIM(F7))=0</formula>
    </cfRule>
  </conditionalFormatting>
  <pageMargins left="0.78740157480314965" right="0.78740157480314965" top="0.98425196850393704" bottom="0.98425196850393704" header="0.51181102362204722" footer="0.51181102362204722"/>
  <pageSetup paperSize="9" scale="90" orientation="portrait" blackAndWhite="1" r:id="rId1"/>
  <headerFooter alignWithMargins="0"/>
  <drawing r:id="rId2"/>
  <extLst>
    <ext xmlns:x14="http://schemas.microsoft.com/office/spreadsheetml/2009/9/main" uri="{78C0D931-6437-407d-A8EE-F0AAD7539E65}">
      <x14:conditionalFormattings>
        <x14:conditionalFormatting xmlns:xm="http://schemas.microsoft.com/office/excel/2006/main">
          <x14:cfRule type="containsText" priority="3" operator="containsText" id="{DEA06931-59C4-47AA-A8DB-99057D197BC3}">
            <xm:f>NOT(ISERROR(SEARCH($A$9,A9)))</xm:f>
            <xm:f>$A$9</xm:f>
            <x14:dxf>
              <font>
                <color auto="1"/>
              </font>
              <fill>
                <patternFill>
                  <bgColor rgb="FFFFFF00"/>
                </patternFill>
              </fill>
            </x14:dxf>
          </x14:cfRule>
          <xm:sqref>A9:D13</xm:sqref>
        </x14:conditionalFormatting>
        <x14:conditionalFormatting xmlns:xm="http://schemas.microsoft.com/office/excel/2006/main">
          <x14:cfRule type="containsText" priority="2" operator="containsText" id="{F78ECAA3-A8FF-4F28-ACD6-5C6A4C1B8397}">
            <xm:f>NOT(ISERROR(SEARCH($A$10,A10)))</xm:f>
            <xm:f>$A$10</xm:f>
            <x14:dxf>
              <font>
                <u/>
                <color auto="1"/>
              </font>
              <fill>
                <patternFill>
                  <bgColor rgb="FFFFFF00"/>
                </patternFill>
              </fill>
            </x14:dxf>
          </x14:cfRule>
          <xm:sqref>A10:D10</xm:sqref>
        </x14:conditionalFormatting>
        <x14:conditionalFormatting xmlns:xm="http://schemas.microsoft.com/office/excel/2006/main">
          <x14:cfRule type="containsText" priority="1" operator="containsText" id="{6A57E707-F0FF-4643-9E02-CC31C088B884}">
            <xm:f>NOT(ISERROR(SEARCH($A$11,A11)))</xm:f>
            <xm:f>$A$11</xm:f>
            <x14:dxf>
              <font>
                <b/>
                <i val="0"/>
                <color theme="0"/>
              </font>
              <fill>
                <patternFill>
                  <bgColor rgb="FFFF0000"/>
                </patternFill>
              </fill>
            </x14:dxf>
          </x14:cfRule>
          <xm:sqref>A11:D13</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FC7E3-9631-4121-B9F5-E8DA7C5CA7F7}">
  <sheetPr codeName="Sheet3">
    <tabColor theme="1"/>
  </sheetPr>
  <dimension ref="A1:GT183"/>
  <sheetViews>
    <sheetView zoomScale="80" zoomScaleNormal="80" workbookViewId="0">
      <pane xSplit="4" ySplit="4" topLeftCell="E5" activePane="bottomRight" state="frozen"/>
      <selection activeCell="A3" sqref="A3:K3"/>
      <selection pane="topRight" activeCell="A3" sqref="A3:K3"/>
      <selection pane="bottomLeft" activeCell="A3" sqref="A3:K3"/>
      <selection pane="bottomRight" activeCell="ES10" sqref="ES10"/>
    </sheetView>
  </sheetViews>
  <sheetFormatPr defaultColWidth="9" defaultRowHeight="18"/>
  <cols>
    <col min="1" max="1" width="9" style="347" customWidth="1"/>
    <col min="2" max="2" width="5.33203125" style="347" customWidth="1"/>
    <col min="3" max="3" width="9.08203125" style="348" customWidth="1"/>
    <col min="4" max="4" width="33.08203125" style="362" customWidth="1"/>
    <col min="5" max="5" width="9" style="362" customWidth="1"/>
    <col min="6" max="40" width="9" style="375" customWidth="1"/>
    <col min="41" max="102" width="9" style="375"/>
    <col min="103" max="113" width="8.83203125" style="375" customWidth="1"/>
    <col min="114" max="185" width="9" style="375"/>
    <col min="186" max="186" width="9" style="375" customWidth="1"/>
    <col min="187" max="198" width="9" style="375"/>
    <col min="199" max="200" width="9" style="374"/>
    <col min="201" max="201" width="33.75" style="375" customWidth="1"/>
    <col min="202" max="16384" width="9" style="374"/>
  </cols>
  <sheetData>
    <row r="1" spans="1:202" ht="23.5">
      <c r="A1" s="360"/>
      <c r="C1" s="348">
        <v>1</v>
      </c>
      <c r="D1" s="348">
        <v>2</v>
      </c>
      <c r="E1" s="348">
        <v>3</v>
      </c>
      <c r="F1" s="348">
        <v>4</v>
      </c>
      <c r="G1" s="348">
        <v>5</v>
      </c>
      <c r="H1" s="348">
        <v>6</v>
      </c>
      <c r="I1" s="348">
        <v>7</v>
      </c>
      <c r="J1" s="348">
        <v>8</v>
      </c>
      <c r="K1" s="348">
        <v>9</v>
      </c>
      <c r="L1" s="348">
        <v>10</v>
      </c>
      <c r="M1" s="348">
        <v>11</v>
      </c>
      <c r="N1" s="348">
        <v>12</v>
      </c>
      <c r="O1" s="348">
        <v>13</v>
      </c>
      <c r="P1" s="348">
        <v>14</v>
      </c>
      <c r="Q1" s="348">
        <v>15</v>
      </c>
      <c r="R1" s="348">
        <v>16</v>
      </c>
      <c r="S1" s="348">
        <v>17</v>
      </c>
      <c r="T1" s="348">
        <v>18</v>
      </c>
      <c r="U1" s="348">
        <v>19</v>
      </c>
      <c r="V1" s="348">
        <v>20</v>
      </c>
      <c r="W1" s="348">
        <v>21</v>
      </c>
      <c r="X1" s="348">
        <v>22</v>
      </c>
      <c r="Y1" s="348">
        <v>23</v>
      </c>
      <c r="Z1" s="348">
        <v>24</v>
      </c>
      <c r="AA1" s="348">
        <v>25</v>
      </c>
      <c r="AB1" s="348">
        <v>26</v>
      </c>
      <c r="AC1" s="348">
        <v>27</v>
      </c>
      <c r="AD1" s="348">
        <v>28</v>
      </c>
      <c r="AE1" s="348">
        <v>29</v>
      </c>
      <c r="AF1" s="348">
        <v>30</v>
      </c>
      <c r="AG1" s="348">
        <v>31</v>
      </c>
      <c r="AH1" s="348">
        <v>32</v>
      </c>
      <c r="AI1" s="348">
        <v>33</v>
      </c>
      <c r="AJ1" s="348">
        <v>34</v>
      </c>
      <c r="AK1" s="348">
        <v>35</v>
      </c>
      <c r="AL1" s="348">
        <v>36</v>
      </c>
      <c r="AM1" s="348">
        <v>37</v>
      </c>
      <c r="AN1" s="348">
        <v>38</v>
      </c>
      <c r="AO1" s="348">
        <v>39</v>
      </c>
      <c r="AP1" s="348">
        <v>40</v>
      </c>
      <c r="AQ1" s="348">
        <v>41</v>
      </c>
      <c r="AR1" s="348">
        <v>42</v>
      </c>
      <c r="AS1" s="348">
        <v>43</v>
      </c>
      <c r="AT1" s="348">
        <v>44</v>
      </c>
      <c r="AU1" s="348">
        <v>45</v>
      </c>
      <c r="AV1" s="348">
        <v>46</v>
      </c>
      <c r="AW1" s="348">
        <v>47</v>
      </c>
      <c r="AX1" s="348">
        <v>48</v>
      </c>
      <c r="AY1" s="348">
        <v>49</v>
      </c>
      <c r="AZ1" s="348">
        <v>50</v>
      </c>
      <c r="BA1" s="348">
        <v>51</v>
      </c>
      <c r="BB1" s="348">
        <v>52</v>
      </c>
      <c r="BC1" s="348">
        <v>53</v>
      </c>
      <c r="BD1" s="348">
        <v>54</v>
      </c>
      <c r="BE1" s="348">
        <v>55</v>
      </c>
      <c r="BF1" s="348">
        <v>56</v>
      </c>
      <c r="BG1" s="348">
        <v>57</v>
      </c>
      <c r="BH1" s="348">
        <v>58</v>
      </c>
      <c r="BI1" s="348">
        <v>59</v>
      </c>
      <c r="BJ1" s="348">
        <v>60</v>
      </c>
      <c r="BK1" s="348">
        <v>61</v>
      </c>
      <c r="BL1" s="348">
        <v>62</v>
      </c>
      <c r="BM1" s="348">
        <v>63</v>
      </c>
      <c r="BN1" s="348">
        <v>64</v>
      </c>
      <c r="BO1" s="348">
        <v>65</v>
      </c>
      <c r="BP1" s="348">
        <v>66</v>
      </c>
      <c r="BQ1" s="348">
        <v>67</v>
      </c>
      <c r="BR1" s="348">
        <v>68</v>
      </c>
      <c r="BS1" s="348">
        <v>69</v>
      </c>
      <c r="BT1" s="348">
        <v>70</v>
      </c>
      <c r="BU1" s="348">
        <v>71</v>
      </c>
      <c r="BV1" s="348">
        <v>72</v>
      </c>
      <c r="BW1" s="348">
        <v>73</v>
      </c>
      <c r="BX1" s="348">
        <v>74</v>
      </c>
      <c r="BY1" s="348">
        <v>75</v>
      </c>
      <c r="BZ1" s="348">
        <v>76</v>
      </c>
      <c r="CA1" s="348">
        <v>77</v>
      </c>
      <c r="CB1" s="348">
        <v>78</v>
      </c>
      <c r="CC1" s="348">
        <v>79</v>
      </c>
      <c r="CD1" s="348">
        <v>80</v>
      </c>
      <c r="CE1" s="348">
        <v>81</v>
      </c>
      <c r="CF1" s="348">
        <v>82</v>
      </c>
      <c r="CG1" s="348">
        <v>83</v>
      </c>
      <c r="CH1" s="348">
        <v>84</v>
      </c>
      <c r="CI1" s="348">
        <v>85</v>
      </c>
      <c r="CJ1" s="348">
        <v>86</v>
      </c>
      <c r="CK1" s="348">
        <v>87</v>
      </c>
      <c r="CL1" s="348">
        <v>88</v>
      </c>
      <c r="CM1" s="348">
        <v>89</v>
      </c>
      <c r="CN1" s="348">
        <v>90</v>
      </c>
      <c r="CO1" s="348">
        <v>91</v>
      </c>
      <c r="CP1" s="348">
        <v>92</v>
      </c>
      <c r="CQ1" s="348">
        <v>93</v>
      </c>
      <c r="CR1" s="348">
        <v>94</v>
      </c>
      <c r="CS1" s="348">
        <v>95</v>
      </c>
      <c r="CT1" s="348">
        <v>96</v>
      </c>
      <c r="CU1" s="348">
        <v>97</v>
      </c>
      <c r="CV1" s="348">
        <v>98</v>
      </c>
      <c r="CW1" s="348">
        <v>99</v>
      </c>
      <c r="CX1" s="348">
        <v>100</v>
      </c>
      <c r="CY1" s="348">
        <v>101</v>
      </c>
      <c r="CZ1" s="348">
        <v>102</v>
      </c>
      <c r="DA1" s="348">
        <v>103</v>
      </c>
      <c r="DB1" s="348">
        <v>104</v>
      </c>
      <c r="DC1" s="348">
        <v>105</v>
      </c>
      <c r="DD1" s="348">
        <v>106</v>
      </c>
      <c r="DE1" s="348">
        <v>107</v>
      </c>
      <c r="DF1" s="348">
        <v>108</v>
      </c>
      <c r="DG1" s="348">
        <v>109</v>
      </c>
      <c r="DH1" s="348">
        <v>110</v>
      </c>
      <c r="DI1" s="348">
        <v>111</v>
      </c>
      <c r="DJ1" s="348">
        <v>112</v>
      </c>
      <c r="DK1" s="348">
        <v>113</v>
      </c>
      <c r="DL1" s="348">
        <v>114</v>
      </c>
      <c r="DM1" s="348">
        <v>115</v>
      </c>
      <c r="DN1" s="348">
        <v>116</v>
      </c>
      <c r="DO1" s="348">
        <v>117</v>
      </c>
      <c r="DP1" s="348">
        <v>118</v>
      </c>
      <c r="DQ1" s="348">
        <v>119</v>
      </c>
      <c r="DR1" s="348">
        <v>120</v>
      </c>
      <c r="DS1" s="348">
        <v>121</v>
      </c>
      <c r="DT1" s="348">
        <v>122</v>
      </c>
      <c r="DU1" s="348">
        <v>123</v>
      </c>
      <c r="DV1" s="348">
        <v>124</v>
      </c>
      <c r="DW1" s="348">
        <v>125</v>
      </c>
      <c r="DX1" s="348">
        <v>126</v>
      </c>
      <c r="DY1" s="348">
        <v>127</v>
      </c>
      <c r="DZ1" s="348">
        <v>128</v>
      </c>
      <c r="EA1" s="348">
        <v>129</v>
      </c>
      <c r="EB1" s="348">
        <v>130</v>
      </c>
      <c r="EC1" s="348">
        <v>131</v>
      </c>
      <c r="ED1" s="348">
        <v>132</v>
      </c>
      <c r="EE1" s="348">
        <v>133</v>
      </c>
      <c r="EF1" s="348">
        <v>134</v>
      </c>
      <c r="EG1" s="348">
        <v>135</v>
      </c>
      <c r="EH1" s="348">
        <v>136</v>
      </c>
      <c r="EI1" s="348">
        <v>137</v>
      </c>
      <c r="EJ1" s="348">
        <v>138</v>
      </c>
      <c r="EK1" s="348">
        <v>139</v>
      </c>
      <c r="EL1" s="348">
        <v>140</v>
      </c>
      <c r="EM1" s="348">
        <v>141</v>
      </c>
      <c r="EN1" s="348">
        <v>142</v>
      </c>
      <c r="EO1" s="348">
        <v>143</v>
      </c>
      <c r="EP1" s="348">
        <v>144</v>
      </c>
      <c r="EQ1" s="348">
        <v>145</v>
      </c>
      <c r="ER1" s="348">
        <v>146</v>
      </c>
      <c r="ES1" s="348">
        <v>147</v>
      </c>
      <c r="ET1" s="348">
        <v>148</v>
      </c>
      <c r="EU1" s="348">
        <v>149</v>
      </c>
      <c r="EV1" s="348">
        <v>150</v>
      </c>
      <c r="EW1" s="348">
        <v>151</v>
      </c>
      <c r="EX1" s="348">
        <v>152</v>
      </c>
      <c r="EY1" s="348">
        <v>153</v>
      </c>
      <c r="EZ1" s="348">
        <v>154</v>
      </c>
      <c r="FA1" s="348">
        <v>155</v>
      </c>
      <c r="FB1" s="348">
        <v>156</v>
      </c>
      <c r="FC1" s="348">
        <v>157</v>
      </c>
      <c r="FD1" s="348">
        <v>158</v>
      </c>
      <c r="FE1" s="348">
        <v>159</v>
      </c>
      <c r="FF1" s="348">
        <v>160</v>
      </c>
      <c r="FG1" s="348">
        <v>161</v>
      </c>
      <c r="FH1" s="348">
        <v>162</v>
      </c>
      <c r="FI1" s="348">
        <v>163</v>
      </c>
      <c r="FJ1" s="348">
        <v>164</v>
      </c>
      <c r="FK1" s="348">
        <v>165</v>
      </c>
      <c r="FL1" s="348">
        <v>166</v>
      </c>
      <c r="FM1" s="348">
        <v>167</v>
      </c>
      <c r="FN1" s="348">
        <v>168</v>
      </c>
      <c r="FO1" s="348">
        <v>169</v>
      </c>
      <c r="FP1" s="348">
        <v>170</v>
      </c>
      <c r="FQ1" s="348">
        <v>171</v>
      </c>
      <c r="FR1" s="348">
        <v>172</v>
      </c>
      <c r="FS1" s="348">
        <v>173</v>
      </c>
      <c r="FT1" s="348">
        <v>174</v>
      </c>
      <c r="FU1" s="348">
        <v>175</v>
      </c>
      <c r="FV1" s="348">
        <v>176</v>
      </c>
      <c r="FW1" s="348">
        <v>177</v>
      </c>
      <c r="FX1" s="348">
        <v>178</v>
      </c>
      <c r="FY1" s="348">
        <v>179</v>
      </c>
      <c r="FZ1" s="348">
        <v>180</v>
      </c>
      <c r="GA1" s="348">
        <v>181</v>
      </c>
      <c r="GB1" s="348">
        <v>182</v>
      </c>
      <c r="GC1" s="348">
        <v>183</v>
      </c>
      <c r="GD1" s="348">
        <v>184</v>
      </c>
      <c r="GE1" s="348">
        <v>185</v>
      </c>
      <c r="GF1" s="348">
        <v>186</v>
      </c>
      <c r="GG1" s="348">
        <v>187</v>
      </c>
      <c r="GH1" s="348">
        <v>188</v>
      </c>
      <c r="GI1" s="348">
        <v>189</v>
      </c>
      <c r="GJ1" s="348">
        <v>190</v>
      </c>
      <c r="GK1" s="348">
        <v>191</v>
      </c>
      <c r="GL1" s="348">
        <v>192</v>
      </c>
      <c r="GM1" s="348">
        <v>193</v>
      </c>
      <c r="GN1" s="348">
        <v>194</v>
      </c>
      <c r="GO1" s="348">
        <v>195</v>
      </c>
      <c r="GP1" s="348">
        <v>196</v>
      </c>
      <c r="GQ1" s="348"/>
    </row>
    <row r="2" spans="1:202" ht="23.5">
      <c r="A2" s="360"/>
      <c r="D2" s="348"/>
      <c r="E2" s="348"/>
      <c r="F2" s="348"/>
      <c r="G2" s="348"/>
      <c r="H2" s="348"/>
      <c r="I2" s="348"/>
      <c r="J2" s="348"/>
      <c r="K2" s="348"/>
      <c r="L2" s="348"/>
      <c r="M2" s="348"/>
      <c r="N2" s="348"/>
    </row>
    <row r="3" spans="1:202" ht="56.25" customHeight="1">
      <c r="E3" s="362" t="s">
        <v>1389</v>
      </c>
      <c r="O3" s="626" t="s">
        <v>763</v>
      </c>
      <c r="P3" s="627"/>
      <c r="Q3" s="627"/>
      <c r="R3" s="627"/>
      <c r="S3" s="627"/>
      <c r="T3" s="627"/>
      <c r="U3" s="627"/>
      <c r="V3" s="627" t="s">
        <v>1399</v>
      </c>
      <c r="W3" s="627"/>
      <c r="X3" s="627"/>
      <c r="Y3" s="627"/>
      <c r="Z3" s="627"/>
      <c r="AA3" s="627"/>
      <c r="AB3" s="627"/>
      <c r="AC3" s="627" t="s">
        <v>1400</v>
      </c>
      <c r="AD3" s="627"/>
      <c r="AE3" s="627"/>
      <c r="AF3" s="627"/>
      <c r="AG3" s="627"/>
      <c r="AH3" s="627"/>
      <c r="AI3" s="627"/>
      <c r="AJ3" s="375" t="s">
        <v>1370</v>
      </c>
      <c r="AK3" s="375" t="s">
        <v>1370</v>
      </c>
      <c r="AL3" s="375" t="s">
        <v>1370</v>
      </c>
      <c r="AM3" s="375" t="s">
        <v>1370</v>
      </c>
      <c r="AN3" s="376" t="s">
        <v>1034</v>
      </c>
      <c r="AO3" s="376" t="s">
        <v>2171</v>
      </c>
      <c r="AP3" s="376" t="s">
        <v>2171</v>
      </c>
      <c r="AQ3" s="376" t="s">
        <v>2171</v>
      </c>
      <c r="AR3" s="376" t="s">
        <v>2171</v>
      </c>
      <c r="AS3" s="376" t="s">
        <v>2171</v>
      </c>
      <c r="AT3" s="376" t="s">
        <v>2171</v>
      </c>
      <c r="AU3" s="376" t="s">
        <v>2171</v>
      </c>
      <c r="AV3" s="376" t="s">
        <v>2171</v>
      </c>
      <c r="AW3" s="376" t="s">
        <v>2171</v>
      </c>
      <c r="AX3" s="376" t="s">
        <v>2171</v>
      </c>
      <c r="AY3" s="376" t="s">
        <v>2171</v>
      </c>
      <c r="AZ3" s="376" t="s">
        <v>2171</v>
      </c>
      <c r="BA3" s="376" t="s">
        <v>2172</v>
      </c>
      <c r="BB3" s="376" t="s">
        <v>2172</v>
      </c>
      <c r="BC3" s="376" t="s">
        <v>2172</v>
      </c>
      <c r="BD3" s="376" t="s">
        <v>2172</v>
      </c>
      <c r="BE3" s="376" t="s">
        <v>2172</v>
      </c>
      <c r="BF3" s="376" t="s">
        <v>2172</v>
      </c>
      <c r="BG3" s="376" t="s">
        <v>2172</v>
      </c>
      <c r="BH3" s="376" t="s">
        <v>2172</v>
      </c>
      <c r="BI3" s="376" t="s">
        <v>2172</v>
      </c>
      <c r="BJ3" s="376" t="s">
        <v>2172</v>
      </c>
      <c r="BK3" s="376" t="s">
        <v>2172</v>
      </c>
      <c r="BL3" s="376" t="s">
        <v>2172</v>
      </c>
      <c r="BM3" s="376" t="s">
        <v>2173</v>
      </c>
      <c r="BN3" s="376" t="s">
        <v>2173</v>
      </c>
      <c r="BO3" s="376" t="s">
        <v>2173</v>
      </c>
      <c r="BP3" s="376" t="s">
        <v>2173</v>
      </c>
      <c r="BQ3" s="376" t="s">
        <v>2173</v>
      </c>
      <c r="BR3" s="376" t="s">
        <v>2173</v>
      </c>
      <c r="BS3" s="376" t="s">
        <v>2173</v>
      </c>
      <c r="BT3" s="376" t="s">
        <v>2173</v>
      </c>
      <c r="BU3" s="376" t="s">
        <v>2173</v>
      </c>
      <c r="BV3" s="376" t="s">
        <v>2173</v>
      </c>
      <c r="BW3" s="376" t="s">
        <v>2173</v>
      </c>
      <c r="BX3" s="376" t="s">
        <v>2173</v>
      </c>
      <c r="BY3" s="376" t="s">
        <v>1035</v>
      </c>
      <c r="BZ3" s="376" t="s">
        <v>1035</v>
      </c>
      <c r="CA3" s="376" t="s">
        <v>1035</v>
      </c>
      <c r="CB3" s="376" t="s">
        <v>1035</v>
      </c>
      <c r="CC3" s="376" t="s">
        <v>1035</v>
      </c>
      <c r="CD3" s="376" t="s">
        <v>1035</v>
      </c>
      <c r="CE3" s="376" t="s">
        <v>1035</v>
      </c>
      <c r="CF3" s="376" t="s">
        <v>1035</v>
      </c>
      <c r="CG3" s="376" t="s">
        <v>1035</v>
      </c>
      <c r="CH3" s="376" t="s">
        <v>1035</v>
      </c>
      <c r="CI3" s="376" t="s">
        <v>1035</v>
      </c>
      <c r="CJ3" s="376" t="s">
        <v>1035</v>
      </c>
      <c r="CK3" s="376" t="s">
        <v>2173</v>
      </c>
      <c r="CL3" s="376" t="s">
        <v>2173</v>
      </c>
      <c r="CM3" s="376" t="s">
        <v>2173</v>
      </c>
      <c r="CN3" s="376" t="s">
        <v>2173</v>
      </c>
      <c r="CO3" s="376" t="s">
        <v>2173</v>
      </c>
      <c r="CP3" s="376" t="s">
        <v>2173</v>
      </c>
      <c r="CQ3" s="376" t="s">
        <v>2173</v>
      </c>
      <c r="CR3" s="376" t="s">
        <v>2173</v>
      </c>
      <c r="CS3" s="376" t="s">
        <v>2173</v>
      </c>
      <c r="CT3" s="376" t="s">
        <v>2173</v>
      </c>
      <c r="CU3" s="376" t="s">
        <v>2173</v>
      </c>
      <c r="CV3" s="376" t="s">
        <v>2173</v>
      </c>
      <c r="CW3" s="376" t="s">
        <v>2214</v>
      </c>
      <c r="CX3" s="376" t="s">
        <v>2173</v>
      </c>
      <c r="CY3" s="376" t="s">
        <v>2214</v>
      </c>
      <c r="CZ3" s="376" t="s">
        <v>2214</v>
      </c>
      <c r="DA3" s="376" t="s">
        <v>2214</v>
      </c>
      <c r="DB3" s="376" t="s">
        <v>2214</v>
      </c>
      <c r="DC3" s="376" t="s">
        <v>2214</v>
      </c>
      <c r="DD3" s="376" t="s">
        <v>2214</v>
      </c>
      <c r="DE3" s="376" t="s">
        <v>2214</v>
      </c>
      <c r="DF3" s="376" t="s">
        <v>2214</v>
      </c>
      <c r="DG3" s="376" t="s">
        <v>2214</v>
      </c>
      <c r="DH3" s="376" t="s">
        <v>2214</v>
      </c>
      <c r="DI3" s="376" t="s">
        <v>2214</v>
      </c>
      <c r="DJ3" s="376" t="s">
        <v>2214</v>
      </c>
      <c r="DK3" s="376" t="s">
        <v>2215</v>
      </c>
      <c r="DL3" s="376" t="s">
        <v>2215</v>
      </c>
      <c r="DM3" s="376" t="s">
        <v>2215</v>
      </c>
      <c r="DN3" s="376" t="s">
        <v>2215</v>
      </c>
      <c r="DO3" s="376" t="s">
        <v>2215</v>
      </c>
      <c r="DP3" s="376" t="s">
        <v>2215</v>
      </c>
      <c r="DQ3" s="376" t="s">
        <v>2215</v>
      </c>
      <c r="DR3" s="376" t="s">
        <v>2215</v>
      </c>
      <c r="DS3" s="376" t="s">
        <v>2215</v>
      </c>
      <c r="DT3" s="376" t="s">
        <v>2215</v>
      </c>
      <c r="DU3" s="376" t="s">
        <v>2215</v>
      </c>
      <c r="DV3" s="376" t="s">
        <v>2215</v>
      </c>
      <c r="DW3" s="376" t="s">
        <v>2215</v>
      </c>
      <c r="DX3" s="376" t="s">
        <v>2215</v>
      </c>
      <c r="DY3" s="376" t="s">
        <v>2215</v>
      </c>
      <c r="DZ3" s="376" t="s">
        <v>2215</v>
      </c>
      <c r="EA3" s="376" t="s">
        <v>2215</v>
      </c>
      <c r="EB3" s="376" t="s">
        <v>2215</v>
      </c>
      <c r="EC3" s="376" t="s">
        <v>2215</v>
      </c>
      <c r="ED3" s="376" t="s">
        <v>2215</v>
      </c>
      <c r="EE3" s="376" t="s">
        <v>2215</v>
      </c>
      <c r="EF3" s="376" t="s">
        <v>2215</v>
      </c>
      <c r="EG3" s="376" t="s">
        <v>2215</v>
      </c>
      <c r="EH3" s="376" t="s">
        <v>2215</v>
      </c>
      <c r="EI3" s="376" t="s">
        <v>2214</v>
      </c>
      <c r="EJ3" s="376" t="s">
        <v>2214</v>
      </c>
      <c r="EK3" s="376" t="s">
        <v>2214</v>
      </c>
      <c r="EL3" s="376" t="s">
        <v>2214</v>
      </c>
      <c r="EM3" s="376" t="s">
        <v>2214</v>
      </c>
      <c r="EN3" s="376" t="s">
        <v>2214</v>
      </c>
      <c r="EO3" s="376" t="s">
        <v>2214</v>
      </c>
      <c r="EP3" s="376" t="s">
        <v>2214</v>
      </c>
      <c r="EQ3" s="376" t="s">
        <v>2214</v>
      </c>
      <c r="ER3" s="376" t="s">
        <v>2214</v>
      </c>
      <c r="ES3" s="376" t="s">
        <v>2214</v>
      </c>
      <c r="ET3" s="376" t="s">
        <v>2214</v>
      </c>
      <c r="EU3" s="600" t="s">
        <v>1035</v>
      </c>
      <c r="EV3" s="376" t="s">
        <v>2214</v>
      </c>
      <c r="EW3" s="376" t="s">
        <v>2214</v>
      </c>
      <c r="EX3" s="376" t="s">
        <v>2214</v>
      </c>
      <c r="EY3" s="376" t="s">
        <v>2214</v>
      </c>
      <c r="EZ3" s="376" t="s">
        <v>2214</v>
      </c>
      <c r="FA3" s="376" t="s">
        <v>2214</v>
      </c>
      <c r="FB3" s="376" t="s">
        <v>2214</v>
      </c>
      <c r="FC3" s="376" t="s">
        <v>2214</v>
      </c>
      <c r="FD3" s="376" t="s">
        <v>2214</v>
      </c>
      <c r="FE3" s="376" t="s">
        <v>2214</v>
      </c>
      <c r="FF3" s="376" t="s">
        <v>2214</v>
      </c>
      <c r="FG3" s="376" t="s">
        <v>2214</v>
      </c>
      <c r="FH3" s="382" t="s">
        <v>1035</v>
      </c>
      <c r="FI3" s="382" t="s">
        <v>1035</v>
      </c>
      <c r="FJ3" s="382" t="s">
        <v>1035</v>
      </c>
      <c r="FK3" s="382" t="s">
        <v>1035</v>
      </c>
      <c r="FL3" s="382" t="s">
        <v>1035</v>
      </c>
      <c r="FM3" s="382" t="s">
        <v>1035</v>
      </c>
      <c r="FN3" s="382" t="s">
        <v>1035</v>
      </c>
      <c r="FO3" s="382" t="s">
        <v>1035</v>
      </c>
      <c r="FP3" s="382" t="s">
        <v>1035</v>
      </c>
      <c r="FQ3" s="382" t="s">
        <v>1035</v>
      </c>
      <c r="FR3" s="376" t="s">
        <v>2216</v>
      </c>
      <c r="FS3" s="376" t="s">
        <v>2216</v>
      </c>
      <c r="FT3" s="376" t="s">
        <v>2216</v>
      </c>
      <c r="FU3" s="376" t="s">
        <v>2216</v>
      </c>
      <c r="FV3" s="376" t="s">
        <v>2216</v>
      </c>
      <c r="FW3" s="376" t="s">
        <v>2216</v>
      </c>
      <c r="FX3" s="376" t="s">
        <v>2216</v>
      </c>
      <c r="FY3" s="376" t="s">
        <v>2216</v>
      </c>
      <c r="FZ3" s="376" t="s">
        <v>2216</v>
      </c>
      <c r="GA3" s="376" t="s">
        <v>2216</v>
      </c>
      <c r="GB3" s="376" t="s">
        <v>2216</v>
      </c>
      <c r="GC3" s="376" t="s">
        <v>2216</v>
      </c>
      <c r="GD3" s="611">
        <v>79950</v>
      </c>
      <c r="GE3" s="628" t="s">
        <v>2491</v>
      </c>
      <c r="GF3" s="629"/>
      <c r="GG3" s="629"/>
      <c r="GH3" s="629"/>
      <c r="GI3" s="599"/>
      <c r="GJ3" s="599"/>
      <c r="GK3" s="599"/>
      <c r="GL3" s="599"/>
      <c r="GM3" s="599"/>
      <c r="GN3" s="599"/>
      <c r="GO3" s="599"/>
      <c r="GP3" s="376"/>
    </row>
    <row r="4" spans="1:202" ht="90">
      <c r="A4" s="366" t="s">
        <v>614</v>
      </c>
      <c r="B4" s="350" t="s">
        <v>615</v>
      </c>
      <c r="C4" s="367" t="s">
        <v>616</v>
      </c>
      <c r="D4" s="350" t="s">
        <v>617</v>
      </c>
      <c r="E4" s="368" t="s">
        <v>1388</v>
      </c>
      <c r="F4" s="377" t="s">
        <v>1385</v>
      </c>
      <c r="G4" s="377" t="s">
        <v>1393</v>
      </c>
      <c r="H4" s="377" t="s">
        <v>1394</v>
      </c>
      <c r="I4" s="377" t="s">
        <v>1395</v>
      </c>
      <c r="J4" s="377" t="s">
        <v>1386</v>
      </c>
      <c r="K4" s="377" t="s">
        <v>1396</v>
      </c>
      <c r="L4" s="377" t="s">
        <v>1397</v>
      </c>
      <c r="M4" s="377" t="s">
        <v>1398</v>
      </c>
      <c r="N4" s="377" t="s">
        <v>11</v>
      </c>
      <c r="O4" s="377" t="s">
        <v>1360</v>
      </c>
      <c r="P4" s="377" t="s">
        <v>1361</v>
      </c>
      <c r="Q4" s="377" t="s">
        <v>1362</v>
      </c>
      <c r="R4" s="377" t="s">
        <v>1363</v>
      </c>
      <c r="S4" s="377" t="s">
        <v>1258</v>
      </c>
      <c r="T4" s="377" t="s">
        <v>1364</v>
      </c>
      <c r="U4" s="377" t="s">
        <v>1365</v>
      </c>
      <c r="V4" s="377" t="s">
        <v>1360</v>
      </c>
      <c r="W4" s="377" t="s">
        <v>1361</v>
      </c>
      <c r="X4" s="377" t="s">
        <v>1362</v>
      </c>
      <c r="Y4" s="377" t="s">
        <v>1363</v>
      </c>
      <c r="Z4" s="377" t="s">
        <v>1258</v>
      </c>
      <c r="AA4" s="377" t="s">
        <v>1364</v>
      </c>
      <c r="AB4" s="377" t="s">
        <v>1365</v>
      </c>
      <c r="AC4" s="377" t="s">
        <v>1360</v>
      </c>
      <c r="AD4" s="377" t="s">
        <v>1361</v>
      </c>
      <c r="AE4" s="377" t="s">
        <v>1362</v>
      </c>
      <c r="AF4" s="377" t="s">
        <v>1363</v>
      </c>
      <c r="AG4" s="377" t="s">
        <v>1258</v>
      </c>
      <c r="AH4" s="377" t="s">
        <v>1256</v>
      </c>
      <c r="AI4" s="377" t="s">
        <v>1259</v>
      </c>
      <c r="AJ4" s="377" t="s">
        <v>764</v>
      </c>
      <c r="AK4" s="377" t="s">
        <v>765</v>
      </c>
      <c r="AL4" s="377" t="s">
        <v>766</v>
      </c>
      <c r="AM4" s="377" t="s">
        <v>1007</v>
      </c>
      <c r="AN4" s="563" t="s">
        <v>1036</v>
      </c>
      <c r="AO4" s="563" t="s">
        <v>2174</v>
      </c>
      <c r="AP4" s="563" t="s">
        <v>2175</v>
      </c>
      <c r="AQ4" s="563" t="s">
        <v>2176</v>
      </c>
      <c r="AR4" s="563" t="s">
        <v>2177</v>
      </c>
      <c r="AS4" s="563" t="s">
        <v>2178</v>
      </c>
      <c r="AT4" s="563" t="s">
        <v>2179</v>
      </c>
      <c r="AU4" s="563" t="s">
        <v>2180</v>
      </c>
      <c r="AV4" s="563" t="s">
        <v>2181</v>
      </c>
      <c r="AW4" s="563" t="s">
        <v>2182</v>
      </c>
      <c r="AX4" s="563" t="s">
        <v>2183</v>
      </c>
      <c r="AY4" s="563" t="s">
        <v>2184</v>
      </c>
      <c r="AZ4" s="563" t="s">
        <v>2185</v>
      </c>
      <c r="BA4" s="563" t="s">
        <v>2186</v>
      </c>
      <c r="BB4" s="563" t="s">
        <v>2187</v>
      </c>
      <c r="BC4" s="563" t="s">
        <v>2188</v>
      </c>
      <c r="BD4" s="563" t="s">
        <v>2189</v>
      </c>
      <c r="BE4" s="563" t="s">
        <v>2190</v>
      </c>
      <c r="BF4" s="563" t="s">
        <v>2191</v>
      </c>
      <c r="BG4" s="563" t="s">
        <v>2192</v>
      </c>
      <c r="BH4" s="563" t="s">
        <v>2193</v>
      </c>
      <c r="BI4" s="563" t="s">
        <v>2194</v>
      </c>
      <c r="BJ4" s="563" t="s">
        <v>2195</v>
      </c>
      <c r="BK4" s="563" t="s">
        <v>2196</v>
      </c>
      <c r="BL4" s="563" t="s">
        <v>2197</v>
      </c>
      <c r="BM4" s="563" t="s">
        <v>2198</v>
      </c>
      <c r="BN4" s="563" t="s">
        <v>2199</v>
      </c>
      <c r="BO4" s="563" t="s">
        <v>2200</v>
      </c>
      <c r="BP4" s="563" t="s">
        <v>2201</v>
      </c>
      <c r="BQ4" s="563" t="s">
        <v>2202</v>
      </c>
      <c r="BR4" s="563" t="s">
        <v>2203</v>
      </c>
      <c r="BS4" s="563" t="s">
        <v>2204</v>
      </c>
      <c r="BT4" s="563" t="s">
        <v>2205</v>
      </c>
      <c r="BU4" s="563" t="s">
        <v>2206</v>
      </c>
      <c r="BV4" s="563" t="s">
        <v>2207</v>
      </c>
      <c r="BW4" s="563" t="s">
        <v>2208</v>
      </c>
      <c r="BX4" s="563" t="s">
        <v>2209</v>
      </c>
      <c r="BY4" s="563" t="s">
        <v>1401</v>
      </c>
      <c r="BZ4" s="563" t="s">
        <v>1402</v>
      </c>
      <c r="CA4" s="563" t="s">
        <v>1403</v>
      </c>
      <c r="CB4" s="563" t="s">
        <v>1404</v>
      </c>
      <c r="CC4" s="563" t="s">
        <v>1405</v>
      </c>
      <c r="CD4" s="563" t="s">
        <v>1406</v>
      </c>
      <c r="CE4" s="563" t="s">
        <v>1407</v>
      </c>
      <c r="CF4" s="563" t="s">
        <v>1408</v>
      </c>
      <c r="CG4" s="563" t="s">
        <v>1409</v>
      </c>
      <c r="CH4" s="563" t="s">
        <v>1410</v>
      </c>
      <c r="CI4" s="563" t="s">
        <v>1411</v>
      </c>
      <c r="CJ4" s="563" t="s">
        <v>1412</v>
      </c>
      <c r="CK4" s="563" t="s">
        <v>2217</v>
      </c>
      <c r="CL4" s="563" t="s">
        <v>2218</v>
      </c>
      <c r="CM4" s="563" t="s">
        <v>2219</v>
      </c>
      <c r="CN4" s="563" t="s">
        <v>2220</v>
      </c>
      <c r="CO4" s="563" t="s">
        <v>2221</v>
      </c>
      <c r="CP4" s="563" t="s">
        <v>2222</v>
      </c>
      <c r="CQ4" s="563" t="s">
        <v>2223</v>
      </c>
      <c r="CR4" s="563" t="s">
        <v>2224</v>
      </c>
      <c r="CS4" s="563" t="s">
        <v>2225</v>
      </c>
      <c r="CT4" s="563" t="s">
        <v>2226</v>
      </c>
      <c r="CU4" s="563" t="s">
        <v>2227</v>
      </c>
      <c r="CV4" s="563" t="s">
        <v>2228</v>
      </c>
      <c r="CW4" s="563" t="s">
        <v>2229</v>
      </c>
      <c r="CX4" s="563" t="s">
        <v>2230</v>
      </c>
      <c r="CY4" s="563" t="s">
        <v>2231</v>
      </c>
      <c r="CZ4" s="563" t="s">
        <v>2232</v>
      </c>
      <c r="DA4" s="563" t="s">
        <v>2233</v>
      </c>
      <c r="DB4" s="563" t="s">
        <v>2234</v>
      </c>
      <c r="DC4" s="563" t="s">
        <v>2235</v>
      </c>
      <c r="DD4" s="563" t="s">
        <v>2236</v>
      </c>
      <c r="DE4" s="563" t="s">
        <v>2237</v>
      </c>
      <c r="DF4" s="563" t="s">
        <v>2238</v>
      </c>
      <c r="DG4" s="563" t="s">
        <v>2239</v>
      </c>
      <c r="DH4" s="563" t="s">
        <v>2240</v>
      </c>
      <c r="DI4" s="563" t="s">
        <v>2241</v>
      </c>
      <c r="DJ4" s="563" t="s">
        <v>2242</v>
      </c>
      <c r="DK4" s="563" t="s">
        <v>2274</v>
      </c>
      <c r="DL4" s="563" t="s">
        <v>2275</v>
      </c>
      <c r="DM4" s="563" t="s">
        <v>2276</v>
      </c>
      <c r="DN4" s="563" t="s">
        <v>2277</v>
      </c>
      <c r="DO4" s="563" t="s">
        <v>2278</v>
      </c>
      <c r="DP4" s="563" t="s">
        <v>2279</v>
      </c>
      <c r="DQ4" s="563" t="s">
        <v>2280</v>
      </c>
      <c r="DR4" s="563" t="s">
        <v>2281</v>
      </c>
      <c r="DS4" s="563" t="s">
        <v>2282</v>
      </c>
      <c r="DT4" s="563" t="s">
        <v>2283</v>
      </c>
      <c r="DU4" s="563" t="s">
        <v>2284</v>
      </c>
      <c r="DV4" s="563" t="s">
        <v>2285</v>
      </c>
      <c r="DW4" s="563" t="s">
        <v>2286</v>
      </c>
      <c r="DX4" s="563" t="s">
        <v>2287</v>
      </c>
      <c r="DY4" s="563" t="s">
        <v>2288</v>
      </c>
      <c r="DZ4" s="563" t="s">
        <v>2289</v>
      </c>
      <c r="EA4" s="563" t="s">
        <v>2290</v>
      </c>
      <c r="EB4" s="563" t="s">
        <v>2291</v>
      </c>
      <c r="EC4" s="563" t="s">
        <v>2292</v>
      </c>
      <c r="ED4" s="563" t="s">
        <v>2293</v>
      </c>
      <c r="EE4" s="563" t="s">
        <v>2294</v>
      </c>
      <c r="EF4" s="563" t="s">
        <v>2295</v>
      </c>
      <c r="EG4" s="563" t="s">
        <v>2296</v>
      </c>
      <c r="EH4" s="563" t="s">
        <v>2297</v>
      </c>
      <c r="EI4" s="563" t="s">
        <v>2243</v>
      </c>
      <c r="EJ4" s="563" t="s">
        <v>2244</v>
      </c>
      <c r="EK4" s="563" t="s">
        <v>2245</v>
      </c>
      <c r="EL4" s="563" t="s">
        <v>2246</v>
      </c>
      <c r="EM4" s="563" t="s">
        <v>1706</v>
      </c>
      <c r="EN4" s="563" t="s">
        <v>2247</v>
      </c>
      <c r="EO4" s="563" t="s">
        <v>2248</v>
      </c>
      <c r="EP4" s="563" t="s">
        <v>2249</v>
      </c>
      <c r="EQ4" s="563" t="s">
        <v>2250</v>
      </c>
      <c r="ER4" s="563" t="s">
        <v>2251</v>
      </c>
      <c r="ES4" s="563" t="s">
        <v>2252</v>
      </c>
      <c r="ET4" s="563" t="s">
        <v>2253</v>
      </c>
      <c r="EU4" s="563" t="s">
        <v>2448</v>
      </c>
      <c r="EV4" s="563" t="s">
        <v>2470</v>
      </c>
      <c r="EW4" s="563" t="s">
        <v>2471</v>
      </c>
      <c r="EX4" s="563" t="s">
        <v>2472</v>
      </c>
      <c r="EY4" s="563" t="s">
        <v>2473</v>
      </c>
      <c r="EZ4" s="563" t="s">
        <v>2474</v>
      </c>
      <c r="FA4" s="563" t="s">
        <v>2475</v>
      </c>
      <c r="FB4" s="563" t="s">
        <v>2476</v>
      </c>
      <c r="FC4" s="563" t="s">
        <v>2477</v>
      </c>
      <c r="FD4" s="563" t="s">
        <v>2478</v>
      </c>
      <c r="FE4" s="563" t="s">
        <v>2479</v>
      </c>
      <c r="FF4" s="563" t="s">
        <v>2480</v>
      </c>
      <c r="FG4" s="563" t="s">
        <v>2481</v>
      </c>
      <c r="FH4" s="563" t="s">
        <v>2461</v>
      </c>
      <c r="FI4" s="563" t="s">
        <v>2462</v>
      </c>
      <c r="FJ4" s="563" t="s">
        <v>2463</v>
      </c>
      <c r="FK4" s="563" t="s">
        <v>2464</v>
      </c>
      <c r="FL4" s="563" t="s">
        <v>2465</v>
      </c>
      <c r="FM4" s="563" t="s">
        <v>2466</v>
      </c>
      <c r="FN4" s="563" t="s">
        <v>2460</v>
      </c>
      <c r="FO4" s="563" t="s">
        <v>2467</v>
      </c>
      <c r="FP4" s="563" t="s">
        <v>2468</v>
      </c>
      <c r="FQ4" s="563" t="s">
        <v>2469</v>
      </c>
      <c r="FR4" s="563" t="s">
        <v>2254</v>
      </c>
      <c r="FS4" s="563" t="s">
        <v>2255</v>
      </c>
      <c r="FT4" s="563" t="s">
        <v>2256</v>
      </c>
      <c r="FU4" s="563" t="s">
        <v>2257</v>
      </c>
      <c r="FV4" s="563" t="s">
        <v>2258</v>
      </c>
      <c r="FW4" s="563" t="s">
        <v>2259</v>
      </c>
      <c r="FX4" s="563" t="s">
        <v>2260</v>
      </c>
      <c r="FY4" s="563" t="s">
        <v>2261</v>
      </c>
      <c r="FZ4" s="563" t="s">
        <v>2262</v>
      </c>
      <c r="GA4" s="563" t="s">
        <v>2263</v>
      </c>
      <c r="GB4" s="563" t="s">
        <v>2264</v>
      </c>
      <c r="GC4" s="563" t="s">
        <v>2265</v>
      </c>
      <c r="GD4" s="563" t="s">
        <v>1067</v>
      </c>
      <c r="GE4" s="563" t="s">
        <v>1068</v>
      </c>
      <c r="GF4" s="563" t="s">
        <v>1069</v>
      </c>
      <c r="GG4" s="563" t="s">
        <v>1070</v>
      </c>
      <c r="GH4" s="563" t="s">
        <v>1071</v>
      </c>
      <c r="GI4" s="563" t="s">
        <v>1072</v>
      </c>
      <c r="GJ4" s="563" t="s">
        <v>1073</v>
      </c>
      <c r="GK4" s="563" t="s">
        <v>1074</v>
      </c>
      <c r="GL4" s="563" t="s">
        <v>1075</v>
      </c>
      <c r="GM4" s="563" t="s">
        <v>1076</v>
      </c>
      <c r="GN4" s="563" t="s">
        <v>1077</v>
      </c>
      <c r="GO4" s="563" t="s">
        <v>1078</v>
      </c>
      <c r="GP4" s="563"/>
      <c r="GS4" s="382" t="s">
        <v>1696</v>
      </c>
      <c r="GT4" s="382" t="s">
        <v>1696</v>
      </c>
    </row>
    <row r="5" spans="1:202">
      <c r="B5" s="371">
        <v>1</v>
      </c>
      <c r="C5" s="378">
        <v>1</v>
      </c>
      <c r="D5" s="373" t="s">
        <v>445</v>
      </c>
      <c r="E5" s="373" t="s">
        <v>14</v>
      </c>
      <c r="F5" s="603">
        <f>SUM(G5:I5)</f>
        <v>90</v>
      </c>
      <c r="G5" s="603"/>
      <c r="H5" s="603">
        <v>54</v>
      </c>
      <c r="I5" s="603">
        <v>36</v>
      </c>
      <c r="J5" s="603"/>
      <c r="K5" s="603"/>
      <c r="L5" s="603"/>
      <c r="M5" s="603"/>
      <c r="N5" s="608"/>
      <c r="O5" s="603">
        <v>1577000</v>
      </c>
      <c r="P5" s="603">
        <v>2721000</v>
      </c>
      <c r="Q5" s="603">
        <v>0</v>
      </c>
      <c r="R5" s="603">
        <v>1188000</v>
      </c>
      <c r="S5" s="603">
        <v>0</v>
      </c>
      <c r="T5" s="603">
        <v>0</v>
      </c>
      <c r="U5" s="603">
        <v>0</v>
      </c>
      <c r="V5" s="603">
        <v>0</v>
      </c>
      <c r="W5" s="603">
        <v>0</v>
      </c>
      <c r="X5" s="603">
        <v>0</v>
      </c>
      <c r="Y5" s="603">
        <v>0</v>
      </c>
      <c r="Z5" s="603">
        <v>0</v>
      </c>
      <c r="AA5" s="603">
        <v>0</v>
      </c>
      <c r="AB5" s="603">
        <v>0</v>
      </c>
      <c r="AC5" s="603">
        <v>0</v>
      </c>
      <c r="AD5" s="603">
        <v>0</v>
      </c>
      <c r="AE5" s="603">
        <v>0</v>
      </c>
      <c r="AF5" s="603">
        <v>0</v>
      </c>
      <c r="AG5" s="603">
        <v>0</v>
      </c>
      <c r="AH5" s="603">
        <v>0</v>
      </c>
      <c r="AI5" s="603">
        <v>0</v>
      </c>
      <c r="AJ5" s="604" t="s">
        <v>2377</v>
      </c>
      <c r="AK5" s="605" t="s">
        <v>1545</v>
      </c>
      <c r="AL5" s="605" t="s">
        <v>1545</v>
      </c>
      <c r="AM5" s="606" t="s">
        <v>2003</v>
      </c>
      <c r="AN5" s="609" t="s">
        <v>12</v>
      </c>
      <c r="AO5" s="610" t="s">
        <v>1368</v>
      </c>
      <c r="AP5" s="610" t="s">
        <v>1368</v>
      </c>
      <c r="AQ5" s="610" t="s">
        <v>1368</v>
      </c>
      <c r="AR5" s="610" t="s">
        <v>1368</v>
      </c>
      <c r="AS5" s="610" t="s">
        <v>1368</v>
      </c>
      <c r="AT5" s="610" t="s">
        <v>1368</v>
      </c>
      <c r="AU5" s="610" t="s">
        <v>1368</v>
      </c>
      <c r="AV5" s="610" t="s">
        <v>1368</v>
      </c>
      <c r="AW5" s="610" t="s">
        <v>1368</v>
      </c>
      <c r="AX5" s="610" t="s">
        <v>1368</v>
      </c>
      <c r="AY5" s="610" t="s">
        <v>1368</v>
      </c>
      <c r="AZ5" s="610" t="s">
        <v>1368</v>
      </c>
      <c r="BA5" s="610" t="s">
        <v>1368</v>
      </c>
      <c r="BB5" s="610" t="s">
        <v>1368</v>
      </c>
      <c r="BC5" s="610" t="s">
        <v>1368</v>
      </c>
      <c r="BD5" s="610" t="s">
        <v>1368</v>
      </c>
      <c r="BE5" s="610" t="s">
        <v>1368</v>
      </c>
      <c r="BF5" s="610" t="s">
        <v>1368</v>
      </c>
      <c r="BG5" s="610" t="s">
        <v>1368</v>
      </c>
      <c r="BH5" s="610" t="s">
        <v>1368</v>
      </c>
      <c r="BI5" s="610" t="s">
        <v>1368</v>
      </c>
      <c r="BJ5" s="610" t="s">
        <v>1368</v>
      </c>
      <c r="BK5" s="610" t="s">
        <v>1368</v>
      </c>
      <c r="BL5" s="610" t="s">
        <v>1368</v>
      </c>
      <c r="BM5" s="610">
        <v>1</v>
      </c>
      <c r="BN5" s="610">
        <v>1</v>
      </c>
      <c r="BO5" s="610">
        <v>1</v>
      </c>
      <c r="BP5" s="610">
        <v>1</v>
      </c>
      <c r="BQ5" s="610">
        <v>1</v>
      </c>
      <c r="BR5" s="610">
        <v>1</v>
      </c>
      <c r="BS5" s="610">
        <v>1</v>
      </c>
      <c r="BT5" s="610">
        <v>1</v>
      </c>
      <c r="BU5" s="610">
        <v>1</v>
      </c>
      <c r="BV5" s="610">
        <v>1</v>
      </c>
      <c r="BW5" s="610">
        <v>1</v>
      </c>
      <c r="BX5" s="610">
        <v>1</v>
      </c>
      <c r="BY5" s="610">
        <v>0</v>
      </c>
      <c r="BZ5" s="610">
        <v>0</v>
      </c>
      <c r="CA5" s="610">
        <v>0</v>
      </c>
      <c r="CB5" s="610">
        <v>0</v>
      </c>
      <c r="CC5" s="610">
        <v>0</v>
      </c>
      <c r="CD5" s="610">
        <v>0</v>
      </c>
      <c r="CE5" s="610">
        <v>0</v>
      </c>
      <c r="CF5" s="610">
        <v>0</v>
      </c>
      <c r="CG5" s="610">
        <v>0</v>
      </c>
      <c r="CH5" s="610">
        <v>0</v>
      </c>
      <c r="CI5" s="610">
        <v>0</v>
      </c>
      <c r="CJ5" s="610">
        <v>0</v>
      </c>
      <c r="CK5" s="610">
        <v>0</v>
      </c>
      <c r="CL5" s="610">
        <v>0</v>
      </c>
      <c r="CM5" s="610">
        <v>0</v>
      </c>
      <c r="CN5" s="610">
        <v>0</v>
      </c>
      <c r="CO5" s="610">
        <v>0</v>
      </c>
      <c r="CP5" s="610">
        <v>0</v>
      </c>
      <c r="CQ5" s="610">
        <v>0</v>
      </c>
      <c r="CR5" s="610">
        <v>0</v>
      </c>
      <c r="CS5" s="610">
        <v>0</v>
      </c>
      <c r="CT5" s="610">
        <v>0</v>
      </c>
      <c r="CU5" s="610">
        <v>0</v>
      </c>
      <c r="CV5" s="610">
        <v>0</v>
      </c>
      <c r="CW5" s="610" t="s">
        <v>14</v>
      </c>
      <c r="CX5" s="610">
        <v>0</v>
      </c>
      <c r="CY5" s="610" t="s">
        <v>1707</v>
      </c>
      <c r="CZ5" s="610" t="s">
        <v>1707</v>
      </c>
      <c r="DA5" s="610" t="s">
        <v>1707</v>
      </c>
      <c r="DB5" s="610" t="s">
        <v>1707</v>
      </c>
      <c r="DC5" s="610" t="s">
        <v>1707</v>
      </c>
      <c r="DD5" s="610" t="s">
        <v>1707</v>
      </c>
      <c r="DE5" s="610" t="s">
        <v>1707</v>
      </c>
      <c r="DF5" s="610" t="s">
        <v>1707</v>
      </c>
      <c r="DG5" s="610" t="s">
        <v>1707</v>
      </c>
      <c r="DH5" s="610" t="s">
        <v>1707</v>
      </c>
      <c r="DI5" s="610" t="s">
        <v>1707</v>
      </c>
      <c r="DJ5" s="610" t="s">
        <v>1707</v>
      </c>
      <c r="DK5" s="610" t="s">
        <v>20</v>
      </c>
      <c r="DL5" s="610" t="s">
        <v>20</v>
      </c>
      <c r="DM5" s="610" t="s">
        <v>20</v>
      </c>
      <c r="DN5" s="610" t="s">
        <v>20</v>
      </c>
      <c r="DO5" s="610" t="s">
        <v>20</v>
      </c>
      <c r="DP5" s="610" t="s">
        <v>20</v>
      </c>
      <c r="DQ5" s="610" t="s">
        <v>20</v>
      </c>
      <c r="DR5" s="610" t="s">
        <v>20</v>
      </c>
      <c r="DS5" s="610" t="s">
        <v>20</v>
      </c>
      <c r="DT5" s="610" t="s">
        <v>20</v>
      </c>
      <c r="DU5" s="610" t="s">
        <v>20</v>
      </c>
      <c r="DV5" s="610" t="s">
        <v>20</v>
      </c>
      <c r="DW5" s="609" t="s">
        <v>1368</v>
      </c>
      <c r="DX5" s="609" t="s">
        <v>1368</v>
      </c>
      <c r="DY5" s="609" t="s">
        <v>1368</v>
      </c>
      <c r="DZ5" s="609" t="s">
        <v>1368</v>
      </c>
      <c r="EA5" s="609" t="s">
        <v>1368</v>
      </c>
      <c r="EB5" s="609" t="s">
        <v>1368</v>
      </c>
      <c r="EC5" s="609" t="s">
        <v>1368</v>
      </c>
      <c r="ED5" s="609" t="s">
        <v>1368</v>
      </c>
      <c r="EE5" s="609" t="s">
        <v>1368</v>
      </c>
      <c r="EF5" s="609" t="s">
        <v>1368</v>
      </c>
      <c r="EG5" s="609" t="s">
        <v>1368</v>
      </c>
      <c r="EH5" s="609" t="s">
        <v>1368</v>
      </c>
      <c r="EI5" s="610" t="s">
        <v>1707</v>
      </c>
      <c r="EJ5" s="610" t="s">
        <v>1707</v>
      </c>
      <c r="EK5" s="610" t="s">
        <v>1707</v>
      </c>
      <c r="EL5" s="610" t="s">
        <v>1707</v>
      </c>
      <c r="EM5" s="610" t="s">
        <v>1707</v>
      </c>
      <c r="EN5" s="610" t="s">
        <v>1707</v>
      </c>
      <c r="EO5" s="610" t="s">
        <v>1707</v>
      </c>
      <c r="EP5" s="610" t="s">
        <v>1707</v>
      </c>
      <c r="EQ5" s="610" t="s">
        <v>1707</v>
      </c>
      <c r="ER5" s="610" t="s">
        <v>1707</v>
      </c>
      <c r="ES5" s="610" t="s">
        <v>1707</v>
      </c>
      <c r="ET5" s="610" t="s">
        <v>1707</v>
      </c>
      <c r="EU5" s="610">
        <v>4070</v>
      </c>
      <c r="EV5" s="610" t="s">
        <v>2449</v>
      </c>
      <c r="EW5" s="610" t="s">
        <v>2449</v>
      </c>
      <c r="EX5" s="610" t="s">
        <v>2449</v>
      </c>
      <c r="EY5" s="610" t="s">
        <v>2449</v>
      </c>
      <c r="EZ5" s="610" t="s">
        <v>2449</v>
      </c>
      <c r="FA5" s="610" t="s">
        <v>2449</v>
      </c>
      <c r="FB5" s="610" t="s">
        <v>2449</v>
      </c>
      <c r="FC5" s="610" t="s">
        <v>2449</v>
      </c>
      <c r="FD5" s="610" t="s">
        <v>2449</v>
      </c>
      <c r="FE5" s="610" t="s">
        <v>2449</v>
      </c>
      <c r="FF5" s="610" t="s">
        <v>2449</v>
      </c>
      <c r="FG5" s="610" t="s">
        <v>2449</v>
      </c>
      <c r="FH5" s="610">
        <v>45</v>
      </c>
      <c r="FI5" s="610">
        <v>45</v>
      </c>
      <c r="FJ5" s="610">
        <v>45</v>
      </c>
      <c r="FK5" s="610">
        <v>45</v>
      </c>
      <c r="FL5" s="610">
        <v>45</v>
      </c>
      <c r="FM5" s="610">
        <v>45</v>
      </c>
      <c r="FN5" s="610">
        <v>45</v>
      </c>
      <c r="FO5" s="610">
        <v>45</v>
      </c>
      <c r="FP5" s="610">
        <v>45</v>
      </c>
      <c r="FQ5" s="610">
        <v>44</v>
      </c>
      <c r="FR5" s="610" t="s">
        <v>2487</v>
      </c>
      <c r="FS5" s="610" t="s">
        <v>2487</v>
      </c>
      <c r="FT5" s="610" t="s">
        <v>2487</v>
      </c>
      <c r="FU5" s="610" t="s">
        <v>2487</v>
      </c>
      <c r="FV5" s="610" t="s">
        <v>2487</v>
      </c>
      <c r="FW5" s="610" t="s">
        <v>2487</v>
      </c>
      <c r="FX5" s="610" t="s">
        <v>2487</v>
      </c>
      <c r="FY5" s="610" t="s">
        <v>2487</v>
      </c>
      <c r="FZ5" s="610" t="s">
        <v>2487</v>
      </c>
      <c r="GA5" s="610" t="s">
        <v>2487</v>
      </c>
      <c r="GB5" s="610" t="s">
        <v>2487</v>
      </c>
      <c r="GC5" s="610" t="s">
        <v>2487</v>
      </c>
      <c r="GD5" s="564">
        <f>IF(FR5="配置",$GD$3,"")</f>
        <v>79950</v>
      </c>
      <c r="GE5" s="564">
        <f t="shared" ref="GE5:GO5" si="0">IF(FS5="配置",$GD$3,"")</f>
        <v>79950</v>
      </c>
      <c r="GF5" s="564">
        <f t="shared" si="0"/>
        <v>79950</v>
      </c>
      <c r="GG5" s="564">
        <f t="shared" si="0"/>
        <v>79950</v>
      </c>
      <c r="GH5" s="564">
        <f t="shared" si="0"/>
        <v>79950</v>
      </c>
      <c r="GI5" s="564">
        <f t="shared" si="0"/>
        <v>79950</v>
      </c>
      <c r="GJ5" s="564">
        <f t="shared" si="0"/>
        <v>79950</v>
      </c>
      <c r="GK5" s="564">
        <f t="shared" si="0"/>
        <v>79950</v>
      </c>
      <c r="GL5" s="564">
        <f t="shared" si="0"/>
        <v>79950</v>
      </c>
      <c r="GM5" s="564">
        <f t="shared" si="0"/>
        <v>79950</v>
      </c>
      <c r="GN5" s="564">
        <f t="shared" si="0"/>
        <v>79950</v>
      </c>
      <c r="GO5" s="564">
        <f t="shared" si="0"/>
        <v>79950</v>
      </c>
      <c r="GP5" s="564"/>
      <c r="GS5" s="375" t="s">
        <v>445</v>
      </c>
      <c r="GT5" s="374" t="str">
        <f t="shared" ref="GT5:GT36" si="1">IF(D5=GS5,"〇","✕")</f>
        <v>〇</v>
      </c>
    </row>
    <row r="6" spans="1:202">
      <c r="B6" s="371">
        <v>2</v>
      </c>
      <c r="C6" s="378">
        <v>2</v>
      </c>
      <c r="D6" s="373" t="s">
        <v>453</v>
      </c>
      <c r="E6" s="373" t="s">
        <v>14</v>
      </c>
      <c r="F6" s="603">
        <f t="shared" ref="F6:F69" si="2">SUM(G6:I6)</f>
        <v>120</v>
      </c>
      <c r="G6" s="603"/>
      <c r="H6" s="603">
        <v>75</v>
      </c>
      <c r="I6" s="603">
        <v>45</v>
      </c>
      <c r="J6" s="603"/>
      <c r="K6" s="603"/>
      <c r="L6" s="603"/>
      <c r="M6" s="603"/>
      <c r="N6" s="608"/>
      <c r="O6" s="603">
        <v>1577000</v>
      </c>
      <c r="P6" s="603">
        <v>2721000</v>
      </c>
      <c r="Q6" s="603">
        <v>2721000</v>
      </c>
      <c r="R6" s="603">
        <v>1791000</v>
      </c>
      <c r="S6" s="603">
        <v>0</v>
      </c>
      <c r="T6" s="603">
        <v>4362000</v>
      </c>
      <c r="U6" s="603">
        <v>2181000</v>
      </c>
      <c r="V6" s="603">
        <v>1051000</v>
      </c>
      <c r="W6" s="603">
        <v>1814000</v>
      </c>
      <c r="X6" s="603">
        <v>1814000</v>
      </c>
      <c r="Y6" s="603">
        <v>1194000</v>
      </c>
      <c r="Z6" s="603">
        <v>0</v>
      </c>
      <c r="AA6" s="603">
        <v>2908000</v>
      </c>
      <c r="AB6" s="603">
        <v>1454000</v>
      </c>
      <c r="AC6" s="603">
        <v>526000</v>
      </c>
      <c r="AD6" s="603">
        <v>907000</v>
      </c>
      <c r="AE6" s="603">
        <v>907000</v>
      </c>
      <c r="AF6" s="603">
        <v>597000</v>
      </c>
      <c r="AG6" s="603">
        <v>0</v>
      </c>
      <c r="AH6" s="603">
        <v>1454000</v>
      </c>
      <c r="AI6" s="603">
        <v>727000</v>
      </c>
      <c r="AJ6" s="604" t="s">
        <v>2377</v>
      </c>
      <c r="AK6" s="605" t="s">
        <v>2378</v>
      </c>
      <c r="AL6" s="605" t="s">
        <v>2490</v>
      </c>
      <c r="AM6" s="606" t="s">
        <v>2004</v>
      </c>
      <c r="AN6" s="609" t="s">
        <v>12</v>
      </c>
      <c r="AO6" s="610" t="s">
        <v>13</v>
      </c>
      <c r="AP6" s="610" t="s">
        <v>13</v>
      </c>
      <c r="AQ6" s="610" t="s">
        <v>13</v>
      </c>
      <c r="AR6" s="610" t="s">
        <v>13</v>
      </c>
      <c r="AS6" s="610" t="s">
        <v>13</v>
      </c>
      <c r="AT6" s="610" t="s">
        <v>13</v>
      </c>
      <c r="AU6" s="610" t="s">
        <v>13</v>
      </c>
      <c r="AV6" s="610" t="s">
        <v>13</v>
      </c>
      <c r="AW6" s="610" t="s">
        <v>13</v>
      </c>
      <c r="AX6" s="610" t="s">
        <v>13</v>
      </c>
      <c r="AY6" s="610" t="s">
        <v>13</v>
      </c>
      <c r="AZ6" s="610" t="s">
        <v>13</v>
      </c>
      <c r="BA6" s="610" t="s">
        <v>12</v>
      </c>
      <c r="BB6" s="610" t="s">
        <v>12</v>
      </c>
      <c r="BC6" s="610" t="s">
        <v>12</v>
      </c>
      <c r="BD6" s="610" t="s">
        <v>12</v>
      </c>
      <c r="BE6" s="610" t="s">
        <v>12</v>
      </c>
      <c r="BF6" s="610" t="s">
        <v>12</v>
      </c>
      <c r="BG6" s="610" t="s">
        <v>12</v>
      </c>
      <c r="BH6" s="610" t="s">
        <v>12</v>
      </c>
      <c r="BI6" s="610" t="s">
        <v>12</v>
      </c>
      <c r="BJ6" s="610" t="s">
        <v>12</v>
      </c>
      <c r="BK6" s="610" t="s">
        <v>12</v>
      </c>
      <c r="BL6" s="610" t="s">
        <v>12</v>
      </c>
      <c r="BM6" s="610">
        <v>2</v>
      </c>
      <c r="BN6" s="610">
        <v>2</v>
      </c>
      <c r="BO6" s="610">
        <v>2</v>
      </c>
      <c r="BP6" s="610">
        <v>2</v>
      </c>
      <c r="BQ6" s="610">
        <v>2</v>
      </c>
      <c r="BR6" s="610">
        <v>2</v>
      </c>
      <c r="BS6" s="610">
        <v>2</v>
      </c>
      <c r="BT6" s="610">
        <v>2</v>
      </c>
      <c r="BU6" s="610">
        <v>2</v>
      </c>
      <c r="BV6" s="610">
        <v>2</v>
      </c>
      <c r="BW6" s="610">
        <v>2</v>
      </c>
      <c r="BX6" s="610">
        <v>2</v>
      </c>
      <c r="BY6" s="610">
        <v>0</v>
      </c>
      <c r="BZ6" s="610">
        <v>0</v>
      </c>
      <c r="CA6" s="610">
        <v>0</v>
      </c>
      <c r="CB6" s="610">
        <v>0</v>
      </c>
      <c r="CC6" s="610">
        <v>0</v>
      </c>
      <c r="CD6" s="610">
        <v>0</v>
      </c>
      <c r="CE6" s="610">
        <v>0</v>
      </c>
      <c r="CF6" s="610">
        <v>0</v>
      </c>
      <c r="CG6" s="610">
        <v>0</v>
      </c>
      <c r="CH6" s="610">
        <v>0</v>
      </c>
      <c r="CI6" s="610">
        <v>0</v>
      </c>
      <c r="CJ6" s="610">
        <v>1</v>
      </c>
      <c r="CK6" s="610">
        <v>0</v>
      </c>
      <c r="CL6" s="610">
        <v>0</v>
      </c>
      <c r="CM6" s="610">
        <v>0</v>
      </c>
      <c r="CN6" s="610">
        <v>0</v>
      </c>
      <c r="CO6" s="610">
        <v>0</v>
      </c>
      <c r="CP6" s="610">
        <v>0</v>
      </c>
      <c r="CQ6" s="610">
        <v>0</v>
      </c>
      <c r="CR6" s="610">
        <v>0</v>
      </c>
      <c r="CS6" s="610">
        <v>0</v>
      </c>
      <c r="CT6" s="610">
        <v>0</v>
      </c>
      <c r="CU6" s="610">
        <v>0</v>
      </c>
      <c r="CV6" s="610">
        <v>1</v>
      </c>
      <c r="CW6" s="610" t="s">
        <v>14</v>
      </c>
      <c r="CX6" s="610">
        <v>0</v>
      </c>
      <c r="CY6" s="610" t="s">
        <v>1707</v>
      </c>
      <c r="CZ6" s="610" t="s">
        <v>1707</v>
      </c>
      <c r="DA6" s="610" t="s">
        <v>1707</v>
      </c>
      <c r="DB6" s="610" t="s">
        <v>1707</v>
      </c>
      <c r="DC6" s="610" t="s">
        <v>1707</v>
      </c>
      <c r="DD6" s="610" t="s">
        <v>1707</v>
      </c>
      <c r="DE6" s="610" t="s">
        <v>1707</v>
      </c>
      <c r="DF6" s="610" t="s">
        <v>1707</v>
      </c>
      <c r="DG6" s="610" t="s">
        <v>1707</v>
      </c>
      <c r="DH6" s="610" t="s">
        <v>1707</v>
      </c>
      <c r="DI6" s="610" t="s">
        <v>1707</v>
      </c>
      <c r="DJ6" s="610" t="s">
        <v>1707</v>
      </c>
      <c r="DK6" s="610" t="s">
        <v>18</v>
      </c>
      <c r="DL6" s="610" t="s">
        <v>18</v>
      </c>
      <c r="DM6" s="610" t="s">
        <v>18</v>
      </c>
      <c r="DN6" s="610" t="s">
        <v>18</v>
      </c>
      <c r="DO6" s="610" t="s">
        <v>18</v>
      </c>
      <c r="DP6" s="610" t="s">
        <v>18</v>
      </c>
      <c r="DQ6" s="610" t="s">
        <v>18</v>
      </c>
      <c r="DR6" s="610" t="s">
        <v>18</v>
      </c>
      <c r="DS6" s="610" t="s">
        <v>18</v>
      </c>
      <c r="DT6" s="610" t="s">
        <v>18</v>
      </c>
      <c r="DU6" s="610" t="s">
        <v>18</v>
      </c>
      <c r="DV6" s="610" t="s">
        <v>18</v>
      </c>
      <c r="DW6" s="609" t="s">
        <v>1368</v>
      </c>
      <c r="DX6" s="609" t="s">
        <v>1368</v>
      </c>
      <c r="DY6" s="609" t="s">
        <v>1368</v>
      </c>
      <c r="DZ6" s="609" t="s">
        <v>1368</v>
      </c>
      <c r="EA6" s="609" t="s">
        <v>1368</v>
      </c>
      <c r="EB6" s="609" t="s">
        <v>1368</v>
      </c>
      <c r="EC6" s="609" t="s">
        <v>1368</v>
      </c>
      <c r="ED6" s="609" t="s">
        <v>1368</v>
      </c>
      <c r="EE6" s="609" t="s">
        <v>1368</v>
      </c>
      <c r="EF6" s="609" t="s">
        <v>1368</v>
      </c>
      <c r="EG6" s="609" t="s">
        <v>1368</v>
      </c>
      <c r="EH6" s="609" t="s">
        <v>1368</v>
      </c>
      <c r="EI6" s="610" t="s">
        <v>1707</v>
      </c>
      <c r="EJ6" s="610" t="s">
        <v>1707</v>
      </c>
      <c r="EK6" s="610" t="s">
        <v>1707</v>
      </c>
      <c r="EL6" s="610" t="s">
        <v>1707</v>
      </c>
      <c r="EM6" s="610" t="s">
        <v>1707</v>
      </c>
      <c r="EN6" s="610" t="s">
        <v>1707</v>
      </c>
      <c r="EO6" s="610" t="s">
        <v>1707</v>
      </c>
      <c r="EP6" s="610" t="s">
        <v>1707</v>
      </c>
      <c r="EQ6" s="610" t="s">
        <v>1707</v>
      </c>
      <c r="ER6" s="610" t="s">
        <v>1707</v>
      </c>
      <c r="ES6" s="610" t="s">
        <v>1707</v>
      </c>
      <c r="ET6" s="610" t="s">
        <v>1707</v>
      </c>
      <c r="EU6" s="610">
        <v>4070</v>
      </c>
      <c r="EV6" s="610" t="s">
        <v>2449</v>
      </c>
      <c r="EW6" s="610" t="s">
        <v>2449</v>
      </c>
      <c r="EX6" s="610" t="s">
        <v>2449</v>
      </c>
      <c r="EY6" s="610" t="s">
        <v>2449</v>
      </c>
      <c r="EZ6" s="610" t="s">
        <v>2449</v>
      </c>
      <c r="FA6" s="610" t="s">
        <v>2449</v>
      </c>
      <c r="FB6" s="610" t="s">
        <v>2449</v>
      </c>
      <c r="FC6" s="610" t="s">
        <v>2449</v>
      </c>
      <c r="FD6" s="610" t="s">
        <v>2449</v>
      </c>
      <c r="FE6" s="610" t="s">
        <v>2449</v>
      </c>
      <c r="FF6" s="610" t="s">
        <v>2449</v>
      </c>
      <c r="FG6" s="610" t="s">
        <v>2449</v>
      </c>
      <c r="FH6" s="610">
        <v>46</v>
      </c>
      <c r="FI6" s="610">
        <v>46</v>
      </c>
      <c r="FJ6" s="610">
        <v>46</v>
      </c>
      <c r="FK6" s="610">
        <v>46</v>
      </c>
      <c r="FL6" s="610">
        <v>46</v>
      </c>
      <c r="FM6" s="610">
        <v>46</v>
      </c>
      <c r="FN6" s="610">
        <v>46</v>
      </c>
      <c r="FO6" s="610">
        <v>45</v>
      </c>
      <c r="FP6" s="610">
        <v>45</v>
      </c>
      <c r="FQ6" s="610">
        <v>44</v>
      </c>
      <c r="FR6" s="610" t="s">
        <v>2487</v>
      </c>
      <c r="FS6" s="610" t="s">
        <v>2487</v>
      </c>
      <c r="FT6" s="610" t="s">
        <v>2487</v>
      </c>
      <c r="FU6" s="610" t="s">
        <v>2487</v>
      </c>
      <c r="FV6" s="610" t="s">
        <v>2487</v>
      </c>
      <c r="FW6" s="610" t="s">
        <v>2487</v>
      </c>
      <c r="FX6" s="610" t="s">
        <v>2487</v>
      </c>
      <c r="FY6" s="610" t="s">
        <v>2487</v>
      </c>
      <c r="FZ6" s="610" t="s">
        <v>2487</v>
      </c>
      <c r="GA6" s="610" t="s">
        <v>2487</v>
      </c>
      <c r="GB6" s="610" t="s">
        <v>2487</v>
      </c>
      <c r="GC6" s="610" t="s">
        <v>2487</v>
      </c>
      <c r="GD6" s="564">
        <f t="shared" ref="GD6:GD69" si="3">IF(FR6="配置",$GD$3,"")</f>
        <v>79950</v>
      </c>
      <c r="GE6" s="564">
        <f t="shared" ref="GE6:GE69" si="4">IF(FS6="配置",$GD$3,"")</f>
        <v>79950</v>
      </c>
      <c r="GF6" s="564">
        <f t="shared" ref="GF6:GF69" si="5">IF(FT6="配置",$GD$3,"")</f>
        <v>79950</v>
      </c>
      <c r="GG6" s="564">
        <f t="shared" ref="GG6:GG69" si="6">IF(FU6="配置",$GD$3,"")</f>
        <v>79950</v>
      </c>
      <c r="GH6" s="564">
        <f t="shared" ref="GH6:GH69" si="7">IF(FV6="配置",$GD$3,"")</f>
        <v>79950</v>
      </c>
      <c r="GI6" s="564">
        <f t="shared" ref="GI6:GI69" si="8">IF(FW6="配置",$GD$3,"")</f>
        <v>79950</v>
      </c>
      <c r="GJ6" s="564">
        <f t="shared" ref="GJ6:GJ69" si="9">IF(FX6="配置",$GD$3,"")</f>
        <v>79950</v>
      </c>
      <c r="GK6" s="564">
        <f t="shared" ref="GK6:GK69" si="10">IF(FY6="配置",$GD$3,"")</f>
        <v>79950</v>
      </c>
      <c r="GL6" s="564">
        <f t="shared" ref="GL6:GL69" si="11">IF(FZ6="配置",$GD$3,"")</f>
        <v>79950</v>
      </c>
      <c r="GM6" s="564">
        <f t="shared" ref="GM6:GM69" si="12">IF(GA6="配置",$GD$3,"")</f>
        <v>79950</v>
      </c>
      <c r="GN6" s="564">
        <f t="shared" ref="GN6:GN69" si="13">IF(GB6="配置",$GD$3,"")</f>
        <v>79950</v>
      </c>
      <c r="GO6" s="564">
        <f t="shared" ref="GO6:GO69" si="14">IF(GC6="配置",$GD$3,"")</f>
        <v>79950</v>
      </c>
      <c r="GP6" s="564"/>
      <c r="GS6" s="375" t="s">
        <v>453</v>
      </c>
      <c r="GT6" s="374" t="str">
        <f t="shared" si="1"/>
        <v>〇</v>
      </c>
    </row>
    <row r="7" spans="1:202">
      <c r="B7" s="371">
        <v>3</v>
      </c>
      <c r="C7" s="378">
        <v>3</v>
      </c>
      <c r="D7" s="373" t="s">
        <v>450</v>
      </c>
      <c r="E7" s="373" t="s">
        <v>14</v>
      </c>
      <c r="F7" s="603">
        <f t="shared" si="2"/>
        <v>140</v>
      </c>
      <c r="G7" s="603"/>
      <c r="H7" s="603">
        <v>84</v>
      </c>
      <c r="I7" s="603">
        <v>56</v>
      </c>
      <c r="J7" s="603"/>
      <c r="K7" s="603"/>
      <c r="L7" s="603"/>
      <c r="M7" s="603"/>
      <c r="N7" s="608"/>
      <c r="O7" s="603">
        <v>1577000</v>
      </c>
      <c r="P7" s="603">
        <v>2721000</v>
      </c>
      <c r="Q7" s="603">
        <v>2721000</v>
      </c>
      <c r="R7" s="603">
        <v>1791000</v>
      </c>
      <c r="S7" s="603">
        <v>0</v>
      </c>
      <c r="T7" s="603">
        <v>6543000</v>
      </c>
      <c r="U7" s="603">
        <v>2181000</v>
      </c>
      <c r="V7" s="603">
        <v>1051000</v>
      </c>
      <c r="W7" s="603">
        <v>1814000</v>
      </c>
      <c r="X7" s="603">
        <v>1814000</v>
      </c>
      <c r="Y7" s="603">
        <v>1194000</v>
      </c>
      <c r="Z7" s="603">
        <v>0</v>
      </c>
      <c r="AA7" s="603">
        <v>4362000</v>
      </c>
      <c r="AB7" s="603">
        <v>1454000</v>
      </c>
      <c r="AC7" s="603">
        <v>526000</v>
      </c>
      <c r="AD7" s="603">
        <v>907000</v>
      </c>
      <c r="AE7" s="603">
        <v>907000</v>
      </c>
      <c r="AF7" s="603">
        <v>597000</v>
      </c>
      <c r="AG7" s="603">
        <v>0</v>
      </c>
      <c r="AH7" s="603">
        <v>2181000</v>
      </c>
      <c r="AI7" s="603">
        <v>727000</v>
      </c>
      <c r="AJ7" s="604" t="s">
        <v>2377</v>
      </c>
      <c r="AK7" s="605" t="s">
        <v>2378</v>
      </c>
      <c r="AL7" s="605" t="s">
        <v>2490</v>
      </c>
      <c r="AM7" s="606" t="s">
        <v>2005</v>
      </c>
      <c r="AN7" s="609" t="s">
        <v>12</v>
      </c>
      <c r="AO7" s="610" t="s">
        <v>1368</v>
      </c>
      <c r="AP7" s="610" t="s">
        <v>1368</v>
      </c>
      <c r="AQ7" s="610" t="s">
        <v>1368</v>
      </c>
      <c r="AR7" s="610" t="s">
        <v>1368</v>
      </c>
      <c r="AS7" s="610" t="s">
        <v>1368</v>
      </c>
      <c r="AT7" s="610" t="s">
        <v>1368</v>
      </c>
      <c r="AU7" s="610" t="s">
        <v>1368</v>
      </c>
      <c r="AV7" s="610" t="s">
        <v>1368</v>
      </c>
      <c r="AW7" s="610" t="s">
        <v>1368</v>
      </c>
      <c r="AX7" s="610" t="s">
        <v>1368</v>
      </c>
      <c r="AY7" s="610" t="s">
        <v>1368</v>
      </c>
      <c r="AZ7" s="610" t="s">
        <v>1368</v>
      </c>
      <c r="BA7" s="610" t="s">
        <v>1368</v>
      </c>
      <c r="BB7" s="610" t="s">
        <v>1368</v>
      </c>
      <c r="BC7" s="610" t="s">
        <v>1368</v>
      </c>
      <c r="BD7" s="610" t="s">
        <v>1368</v>
      </c>
      <c r="BE7" s="610" t="s">
        <v>1368</v>
      </c>
      <c r="BF7" s="610" t="s">
        <v>1368</v>
      </c>
      <c r="BG7" s="610" t="s">
        <v>1368</v>
      </c>
      <c r="BH7" s="610" t="s">
        <v>1368</v>
      </c>
      <c r="BI7" s="610" t="s">
        <v>1368</v>
      </c>
      <c r="BJ7" s="610" t="s">
        <v>1368</v>
      </c>
      <c r="BK7" s="610" t="s">
        <v>1368</v>
      </c>
      <c r="BL7" s="610" t="s">
        <v>1368</v>
      </c>
      <c r="BM7" s="610">
        <v>3</v>
      </c>
      <c r="BN7" s="610">
        <v>3</v>
      </c>
      <c r="BO7" s="610">
        <v>3</v>
      </c>
      <c r="BP7" s="610">
        <v>3</v>
      </c>
      <c r="BQ7" s="610">
        <v>3</v>
      </c>
      <c r="BR7" s="610">
        <v>3</v>
      </c>
      <c r="BS7" s="610">
        <v>3</v>
      </c>
      <c r="BT7" s="610">
        <v>3</v>
      </c>
      <c r="BU7" s="610">
        <v>3</v>
      </c>
      <c r="BV7" s="610">
        <v>3</v>
      </c>
      <c r="BW7" s="610">
        <v>3</v>
      </c>
      <c r="BX7" s="610">
        <v>3</v>
      </c>
      <c r="BY7" s="610">
        <v>0</v>
      </c>
      <c r="BZ7" s="610">
        <v>0</v>
      </c>
      <c r="CA7" s="610">
        <v>0</v>
      </c>
      <c r="CB7" s="610">
        <v>0</v>
      </c>
      <c r="CC7" s="610">
        <v>0</v>
      </c>
      <c r="CD7" s="610">
        <v>0</v>
      </c>
      <c r="CE7" s="610">
        <v>0</v>
      </c>
      <c r="CF7" s="610">
        <v>0</v>
      </c>
      <c r="CG7" s="610">
        <v>0</v>
      </c>
      <c r="CH7" s="610">
        <v>0</v>
      </c>
      <c r="CI7" s="610">
        <v>0</v>
      </c>
      <c r="CJ7" s="610">
        <v>0</v>
      </c>
      <c r="CK7" s="610">
        <v>0</v>
      </c>
      <c r="CL7" s="610">
        <v>0</v>
      </c>
      <c r="CM7" s="610">
        <v>0</v>
      </c>
      <c r="CN7" s="610">
        <v>0</v>
      </c>
      <c r="CO7" s="610">
        <v>0</v>
      </c>
      <c r="CP7" s="610">
        <v>0</v>
      </c>
      <c r="CQ7" s="610">
        <v>0</v>
      </c>
      <c r="CR7" s="610">
        <v>0</v>
      </c>
      <c r="CS7" s="610">
        <v>0</v>
      </c>
      <c r="CT7" s="610">
        <v>0</v>
      </c>
      <c r="CU7" s="610">
        <v>0</v>
      </c>
      <c r="CV7" s="610">
        <v>0</v>
      </c>
      <c r="CW7" s="610" t="s">
        <v>12</v>
      </c>
      <c r="CX7" s="610">
        <v>0</v>
      </c>
      <c r="CY7" s="610" t="s">
        <v>1707</v>
      </c>
      <c r="CZ7" s="610" t="s">
        <v>1707</v>
      </c>
      <c r="DA7" s="610" t="s">
        <v>1707</v>
      </c>
      <c r="DB7" s="610" t="s">
        <v>1707</v>
      </c>
      <c r="DC7" s="610" t="s">
        <v>1707</v>
      </c>
      <c r="DD7" s="610" t="s">
        <v>1707</v>
      </c>
      <c r="DE7" s="610" t="s">
        <v>1707</v>
      </c>
      <c r="DF7" s="610" t="s">
        <v>1707</v>
      </c>
      <c r="DG7" s="610" t="s">
        <v>1707</v>
      </c>
      <c r="DH7" s="610" t="s">
        <v>1707</v>
      </c>
      <c r="DI7" s="610" t="s">
        <v>1707</v>
      </c>
      <c r="DJ7" s="610" t="s">
        <v>1707</v>
      </c>
      <c r="DK7" s="610" t="s">
        <v>18</v>
      </c>
      <c r="DL7" s="610" t="s">
        <v>18</v>
      </c>
      <c r="DM7" s="610" t="s">
        <v>18</v>
      </c>
      <c r="DN7" s="610" t="s">
        <v>18</v>
      </c>
      <c r="DO7" s="610" t="s">
        <v>18</v>
      </c>
      <c r="DP7" s="610" t="s">
        <v>18</v>
      </c>
      <c r="DQ7" s="610" t="s">
        <v>18</v>
      </c>
      <c r="DR7" s="610" t="s">
        <v>18</v>
      </c>
      <c r="DS7" s="610" t="s">
        <v>18</v>
      </c>
      <c r="DT7" s="610" t="s">
        <v>18</v>
      </c>
      <c r="DU7" s="610" t="s">
        <v>18</v>
      </c>
      <c r="DV7" s="610" t="s">
        <v>18</v>
      </c>
      <c r="DW7" s="609" t="s">
        <v>2270</v>
      </c>
      <c r="DX7" s="609" t="s">
        <v>2270</v>
      </c>
      <c r="DY7" s="609" t="s">
        <v>2270</v>
      </c>
      <c r="DZ7" s="609" t="s">
        <v>2270</v>
      </c>
      <c r="EA7" s="609" t="s">
        <v>2270</v>
      </c>
      <c r="EB7" s="609" t="s">
        <v>2270</v>
      </c>
      <c r="EC7" s="609" t="s">
        <v>2270</v>
      </c>
      <c r="ED7" s="609" t="s">
        <v>2270</v>
      </c>
      <c r="EE7" s="609" t="s">
        <v>2270</v>
      </c>
      <c r="EF7" s="609" t="s">
        <v>2270</v>
      </c>
      <c r="EG7" s="609" t="s">
        <v>2270</v>
      </c>
      <c r="EH7" s="609" t="s">
        <v>2270</v>
      </c>
      <c r="EI7" s="610" t="s">
        <v>1707</v>
      </c>
      <c r="EJ7" s="610" t="s">
        <v>1707</v>
      </c>
      <c r="EK7" s="610" t="s">
        <v>1707</v>
      </c>
      <c r="EL7" s="610" t="s">
        <v>1707</v>
      </c>
      <c r="EM7" s="610" t="s">
        <v>1707</v>
      </c>
      <c r="EN7" s="610" t="s">
        <v>1707</v>
      </c>
      <c r="EO7" s="610" t="s">
        <v>1707</v>
      </c>
      <c r="EP7" s="610" t="s">
        <v>1707</v>
      </c>
      <c r="EQ7" s="610" t="s">
        <v>1707</v>
      </c>
      <c r="ER7" s="610" t="s">
        <v>1707</v>
      </c>
      <c r="ES7" s="610" t="s">
        <v>1707</v>
      </c>
      <c r="ET7" s="610" t="s">
        <v>1707</v>
      </c>
      <c r="EU7" s="610">
        <v>4070</v>
      </c>
      <c r="EV7" s="610" t="s">
        <v>2449</v>
      </c>
      <c r="EW7" s="610" t="s">
        <v>2449</v>
      </c>
      <c r="EX7" s="610" t="s">
        <v>2449</v>
      </c>
      <c r="EY7" s="610" t="s">
        <v>2449</v>
      </c>
      <c r="EZ7" s="610" t="s">
        <v>2449</v>
      </c>
      <c r="FA7" s="610" t="s">
        <v>2449</v>
      </c>
      <c r="FB7" s="610" t="s">
        <v>2449</v>
      </c>
      <c r="FC7" s="610" t="s">
        <v>2449</v>
      </c>
      <c r="FD7" s="610" t="s">
        <v>2449</v>
      </c>
      <c r="FE7" s="610" t="s">
        <v>2449</v>
      </c>
      <c r="FF7" s="610" t="s">
        <v>2449</v>
      </c>
      <c r="FG7" s="610" t="s">
        <v>2449</v>
      </c>
      <c r="FH7" s="610">
        <v>62</v>
      </c>
      <c r="FI7" s="610">
        <v>61</v>
      </c>
      <c r="FJ7" s="610">
        <v>62</v>
      </c>
      <c r="FK7" s="610">
        <v>62</v>
      </c>
      <c r="FL7" s="610">
        <v>62</v>
      </c>
      <c r="FM7" s="610">
        <v>62</v>
      </c>
      <c r="FN7" s="610">
        <v>62</v>
      </c>
      <c r="FO7" s="610">
        <v>61</v>
      </c>
      <c r="FP7" s="610">
        <v>61</v>
      </c>
      <c r="FQ7" s="610">
        <v>62</v>
      </c>
      <c r="FR7" s="610" t="s">
        <v>2487</v>
      </c>
      <c r="FS7" s="610" t="s">
        <v>2487</v>
      </c>
      <c r="FT7" s="610" t="s">
        <v>2487</v>
      </c>
      <c r="FU7" s="610" t="s">
        <v>2487</v>
      </c>
      <c r="FV7" s="610" t="s">
        <v>2487</v>
      </c>
      <c r="FW7" s="610" t="s">
        <v>2487</v>
      </c>
      <c r="FX7" s="610" t="s">
        <v>2487</v>
      </c>
      <c r="FY7" s="610" t="s">
        <v>2487</v>
      </c>
      <c r="FZ7" s="610" t="s">
        <v>2487</v>
      </c>
      <c r="GA7" s="610" t="s">
        <v>2487</v>
      </c>
      <c r="GB7" s="610" t="s">
        <v>2487</v>
      </c>
      <c r="GC7" s="610" t="s">
        <v>2487</v>
      </c>
      <c r="GD7" s="564">
        <f t="shared" si="3"/>
        <v>79950</v>
      </c>
      <c r="GE7" s="564">
        <f t="shared" si="4"/>
        <v>79950</v>
      </c>
      <c r="GF7" s="564">
        <f t="shared" si="5"/>
        <v>79950</v>
      </c>
      <c r="GG7" s="564">
        <f t="shared" si="6"/>
        <v>79950</v>
      </c>
      <c r="GH7" s="564">
        <f t="shared" si="7"/>
        <v>79950</v>
      </c>
      <c r="GI7" s="564">
        <f t="shared" si="8"/>
        <v>79950</v>
      </c>
      <c r="GJ7" s="564">
        <f t="shared" si="9"/>
        <v>79950</v>
      </c>
      <c r="GK7" s="564">
        <f t="shared" si="10"/>
        <v>79950</v>
      </c>
      <c r="GL7" s="564">
        <f t="shared" si="11"/>
        <v>79950</v>
      </c>
      <c r="GM7" s="564">
        <f t="shared" si="12"/>
        <v>79950</v>
      </c>
      <c r="GN7" s="564">
        <f t="shared" si="13"/>
        <v>79950</v>
      </c>
      <c r="GO7" s="564">
        <f t="shared" si="14"/>
        <v>79950</v>
      </c>
      <c r="GP7" s="564"/>
      <c r="GS7" s="375" t="s">
        <v>450</v>
      </c>
      <c r="GT7" s="374" t="str">
        <f t="shared" si="1"/>
        <v>〇</v>
      </c>
    </row>
    <row r="8" spans="1:202">
      <c r="B8" s="371">
        <v>4</v>
      </c>
      <c r="C8" s="378">
        <v>4</v>
      </c>
      <c r="D8" s="373" t="s">
        <v>448</v>
      </c>
      <c r="E8" s="373" t="s">
        <v>14</v>
      </c>
      <c r="F8" s="603">
        <f t="shared" si="2"/>
        <v>70</v>
      </c>
      <c r="G8" s="603"/>
      <c r="H8" s="603">
        <v>47</v>
      </c>
      <c r="I8" s="603">
        <v>23</v>
      </c>
      <c r="J8" s="603"/>
      <c r="K8" s="603"/>
      <c r="L8" s="603"/>
      <c r="M8" s="603"/>
      <c r="N8" s="608"/>
      <c r="O8" s="603">
        <v>1577000</v>
      </c>
      <c r="P8" s="603">
        <v>2721000</v>
      </c>
      <c r="Q8" s="603">
        <v>0</v>
      </c>
      <c r="R8" s="603">
        <v>1791000</v>
      </c>
      <c r="S8" s="603">
        <v>1791000</v>
      </c>
      <c r="T8" s="603">
        <v>0</v>
      </c>
      <c r="U8" s="603">
        <v>0</v>
      </c>
      <c r="V8" s="603">
        <v>1051000</v>
      </c>
      <c r="W8" s="603">
        <v>1814000</v>
      </c>
      <c r="X8" s="603">
        <v>0</v>
      </c>
      <c r="Y8" s="603">
        <v>1194000</v>
      </c>
      <c r="Z8" s="603">
        <v>1194000</v>
      </c>
      <c r="AA8" s="603">
        <v>0</v>
      </c>
      <c r="AB8" s="603">
        <v>0</v>
      </c>
      <c r="AC8" s="603">
        <v>526000</v>
      </c>
      <c r="AD8" s="603">
        <v>907000</v>
      </c>
      <c r="AE8" s="603">
        <v>0</v>
      </c>
      <c r="AF8" s="603">
        <v>597000</v>
      </c>
      <c r="AG8" s="603">
        <v>597000</v>
      </c>
      <c r="AH8" s="603">
        <v>0</v>
      </c>
      <c r="AI8" s="603">
        <v>0</v>
      </c>
      <c r="AJ8" s="604" t="s">
        <v>2377</v>
      </c>
      <c r="AK8" s="605" t="s">
        <v>2378</v>
      </c>
      <c r="AL8" s="605" t="s">
        <v>2490</v>
      </c>
      <c r="AM8" s="606" t="s">
        <v>2006</v>
      </c>
      <c r="AN8" s="609" t="s">
        <v>12</v>
      </c>
      <c r="AO8" s="610" t="s">
        <v>1368</v>
      </c>
      <c r="AP8" s="610" t="s">
        <v>1368</v>
      </c>
      <c r="AQ8" s="610" t="s">
        <v>1368</v>
      </c>
      <c r="AR8" s="610" t="s">
        <v>1368</v>
      </c>
      <c r="AS8" s="610" t="s">
        <v>1368</v>
      </c>
      <c r="AT8" s="610" t="s">
        <v>1368</v>
      </c>
      <c r="AU8" s="610" t="s">
        <v>1368</v>
      </c>
      <c r="AV8" s="610" t="s">
        <v>1368</v>
      </c>
      <c r="AW8" s="610" t="s">
        <v>1368</v>
      </c>
      <c r="AX8" s="610" t="s">
        <v>1368</v>
      </c>
      <c r="AY8" s="610" t="s">
        <v>1368</v>
      </c>
      <c r="AZ8" s="610" t="s">
        <v>1368</v>
      </c>
      <c r="BA8" s="610" t="s">
        <v>1368</v>
      </c>
      <c r="BB8" s="610" t="s">
        <v>1368</v>
      </c>
      <c r="BC8" s="610" t="s">
        <v>1368</v>
      </c>
      <c r="BD8" s="610" t="s">
        <v>1368</v>
      </c>
      <c r="BE8" s="610" t="s">
        <v>1368</v>
      </c>
      <c r="BF8" s="610" t="s">
        <v>1368</v>
      </c>
      <c r="BG8" s="610" t="s">
        <v>1368</v>
      </c>
      <c r="BH8" s="610" t="s">
        <v>1368</v>
      </c>
      <c r="BI8" s="610" t="s">
        <v>1368</v>
      </c>
      <c r="BJ8" s="610" t="s">
        <v>1368</v>
      </c>
      <c r="BK8" s="610" t="s">
        <v>1368</v>
      </c>
      <c r="BL8" s="610" t="s">
        <v>1368</v>
      </c>
      <c r="BM8" s="610">
        <v>0</v>
      </c>
      <c r="BN8" s="610">
        <v>0</v>
      </c>
      <c r="BO8" s="610">
        <v>0</v>
      </c>
      <c r="BP8" s="610">
        <v>0</v>
      </c>
      <c r="BQ8" s="610">
        <v>0</v>
      </c>
      <c r="BR8" s="610">
        <v>0</v>
      </c>
      <c r="BS8" s="610">
        <v>0</v>
      </c>
      <c r="BT8" s="610">
        <v>0</v>
      </c>
      <c r="BU8" s="610">
        <v>0</v>
      </c>
      <c r="BV8" s="610">
        <v>0</v>
      </c>
      <c r="BW8" s="610">
        <v>0</v>
      </c>
      <c r="BX8" s="610">
        <v>0</v>
      </c>
      <c r="BY8" s="610">
        <v>0</v>
      </c>
      <c r="BZ8" s="610">
        <v>0</v>
      </c>
      <c r="CA8" s="610">
        <v>0</v>
      </c>
      <c r="CB8" s="610">
        <v>0</v>
      </c>
      <c r="CC8" s="610">
        <v>0</v>
      </c>
      <c r="CD8" s="610">
        <v>0</v>
      </c>
      <c r="CE8" s="610">
        <v>0</v>
      </c>
      <c r="CF8" s="610">
        <v>0</v>
      </c>
      <c r="CG8" s="610">
        <v>0</v>
      </c>
      <c r="CH8" s="610">
        <v>0</v>
      </c>
      <c r="CI8" s="610">
        <v>0</v>
      </c>
      <c r="CJ8" s="610">
        <v>0</v>
      </c>
      <c r="CK8" s="610">
        <v>0</v>
      </c>
      <c r="CL8" s="610">
        <v>0</v>
      </c>
      <c r="CM8" s="610">
        <v>0</v>
      </c>
      <c r="CN8" s="610">
        <v>0</v>
      </c>
      <c r="CO8" s="610">
        <v>0</v>
      </c>
      <c r="CP8" s="610">
        <v>0</v>
      </c>
      <c r="CQ8" s="610">
        <v>0</v>
      </c>
      <c r="CR8" s="610">
        <v>0</v>
      </c>
      <c r="CS8" s="610">
        <v>0</v>
      </c>
      <c r="CT8" s="610">
        <v>0</v>
      </c>
      <c r="CU8" s="610">
        <v>0</v>
      </c>
      <c r="CV8" s="610">
        <v>0</v>
      </c>
      <c r="CW8" s="610" t="s">
        <v>14</v>
      </c>
      <c r="CX8" s="610">
        <v>0</v>
      </c>
      <c r="CY8" s="610" t="s">
        <v>2449</v>
      </c>
      <c r="CZ8" s="610" t="s">
        <v>2449</v>
      </c>
      <c r="DA8" s="610" t="s">
        <v>2449</v>
      </c>
      <c r="DB8" s="610" t="s">
        <v>2449</v>
      </c>
      <c r="DC8" s="610" t="s">
        <v>2449</v>
      </c>
      <c r="DD8" s="610" t="s">
        <v>2449</v>
      </c>
      <c r="DE8" s="610" t="s">
        <v>2449</v>
      </c>
      <c r="DF8" s="610" t="s">
        <v>2449</v>
      </c>
      <c r="DG8" s="610" t="s">
        <v>2449</v>
      </c>
      <c r="DH8" s="610" t="s">
        <v>2449</v>
      </c>
      <c r="DI8" s="610" t="s">
        <v>2449</v>
      </c>
      <c r="DJ8" s="610" t="s">
        <v>2449</v>
      </c>
      <c r="DK8" s="610" t="s">
        <v>1368</v>
      </c>
      <c r="DL8" s="610" t="s">
        <v>1368</v>
      </c>
      <c r="DM8" s="610" t="s">
        <v>1368</v>
      </c>
      <c r="DN8" s="610" t="s">
        <v>1368</v>
      </c>
      <c r="DO8" s="610" t="s">
        <v>1368</v>
      </c>
      <c r="DP8" s="610" t="s">
        <v>1368</v>
      </c>
      <c r="DQ8" s="610" t="s">
        <v>1368</v>
      </c>
      <c r="DR8" s="610" t="s">
        <v>1368</v>
      </c>
      <c r="DS8" s="610" t="s">
        <v>1368</v>
      </c>
      <c r="DT8" s="610" t="s">
        <v>1368</v>
      </c>
      <c r="DU8" s="610" t="s">
        <v>1368</v>
      </c>
      <c r="DV8" s="610" t="s">
        <v>1368</v>
      </c>
      <c r="DW8" s="609" t="s">
        <v>1368</v>
      </c>
      <c r="DX8" s="609" t="s">
        <v>1368</v>
      </c>
      <c r="DY8" s="609" t="s">
        <v>1368</v>
      </c>
      <c r="DZ8" s="609" t="s">
        <v>1368</v>
      </c>
      <c r="EA8" s="609" t="s">
        <v>1368</v>
      </c>
      <c r="EB8" s="609" t="s">
        <v>1368</v>
      </c>
      <c r="EC8" s="609" t="s">
        <v>1368</v>
      </c>
      <c r="ED8" s="609" t="s">
        <v>1368</v>
      </c>
      <c r="EE8" s="609" t="s">
        <v>1368</v>
      </c>
      <c r="EF8" s="609" t="s">
        <v>1368</v>
      </c>
      <c r="EG8" s="609" t="s">
        <v>1368</v>
      </c>
      <c r="EH8" s="609" t="s">
        <v>1368</v>
      </c>
      <c r="EI8" s="610" t="s">
        <v>1707</v>
      </c>
      <c r="EJ8" s="610" t="s">
        <v>1707</v>
      </c>
      <c r="EK8" s="610" t="s">
        <v>1707</v>
      </c>
      <c r="EL8" s="610" t="s">
        <v>1707</v>
      </c>
      <c r="EM8" s="610" t="s">
        <v>1707</v>
      </c>
      <c r="EN8" s="610" t="s">
        <v>1707</v>
      </c>
      <c r="EO8" s="610" t="s">
        <v>1707</v>
      </c>
      <c r="EP8" s="610" t="s">
        <v>1707</v>
      </c>
      <c r="EQ8" s="610" t="s">
        <v>1707</v>
      </c>
      <c r="ER8" s="610" t="s">
        <v>1707</v>
      </c>
      <c r="ES8" s="610" t="s">
        <v>1707</v>
      </c>
      <c r="ET8" s="610" t="s">
        <v>1707</v>
      </c>
      <c r="EU8" s="610">
        <v>4070</v>
      </c>
      <c r="EV8" s="610" t="s">
        <v>2449</v>
      </c>
      <c r="EW8" s="610" t="s">
        <v>2449</v>
      </c>
      <c r="EX8" s="610" t="s">
        <v>2449</v>
      </c>
      <c r="EY8" s="610" t="s">
        <v>2449</v>
      </c>
      <c r="EZ8" s="610" t="s">
        <v>2449</v>
      </c>
      <c r="FA8" s="610" t="s">
        <v>2449</v>
      </c>
      <c r="FB8" s="610" t="s">
        <v>2449</v>
      </c>
      <c r="FC8" s="610" t="s">
        <v>2449</v>
      </c>
      <c r="FD8" s="610" t="s">
        <v>2449</v>
      </c>
      <c r="FE8" s="610" t="s">
        <v>2449</v>
      </c>
      <c r="FF8" s="610" t="s">
        <v>2449</v>
      </c>
      <c r="FG8" s="610" t="s">
        <v>2449</v>
      </c>
      <c r="FH8" s="610">
        <v>31</v>
      </c>
      <c r="FI8" s="610">
        <v>31</v>
      </c>
      <c r="FJ8" s="610">
        <v>31</v>
      </c>
      <c r="FK8" s="610">
        <v>31</v>
      </c>
      <c r="FL8" s="610">
        <v>31</v>
      </c>
      <c r="FM8" s="610">
        <v>31</v>
      </c>
      <c r="FN8" s="610">
        <v>31</v>
      </c>
      <c r="FO8" s="610">
        <v>31</v>
      </c>
      <c r="FP8" s="610">
        <v>30</v>
      </c>
      <c r="FQ8" s="610">
        <v>30</v>
      </c>
      <c r="FR8" s="610" t="s">
        <v>2487</v>
      </c>
      <c r="FS8" s="610" t="s">
        <v>2487</v>
      </c>
      <c r="FT8" s="610" t="s">
        <v>2487</v>
      </c>
      <c r="FU8" s="610" t="s">
        <v>2487</v>
      </c>
      <c r="FV8" s="610" t="s">
        <v>2487</v>
      </c>
      <c r="FW8" s="610" t="s">
        <v>2487</v>
      </c>
      <c r="FX8" s="610" t="s">
        <v>2487</v>
      </c>
      <c r="FY8" s="610" t="s">
        <v>2487</v>
      </c>
      <c r="FZ8" s="610" t="s">
        <v>2487</v>
      </c>
      <c r="GA8" s="610" t="s">
        <v>2487</v>
      </c>
      <c r="GB8" s="610" t="s">
        <v>2487</v>
      </c>
      <c r="GC8" s="610" t="s">
        <v>2487</v>
      </c>
      <c r="GD8" s="564">
        <f t="shared" si="3"/>
        <v>79950</v>
      </c>
      <c r="GE8" s="564">
        <f t="shared" si="4"/>
        <v>79950</v>
      </c>
      <c r="GF8" s="564">
        <f t="shared" si="5"/>
        <v>79950</v>
      </c>
      <c r="GG8" s="564">
        <f t="shared" si="6"/>
        <v>79950</v>
      </c>
      <c r="GH8" s="564">
        <f t="shared" si="7"/>
        <v>79950</v>
      </c>
      <c r="GI8" s="564">
        <f t="shared" si="8"/>
        <v>79950</v>
      </c>
      <c r="GJ8" s="564">
        <f t="shared" si="9"/>
        <v>79950</v>
      </c>
      <c r="GK8" s="564">
        <f t="shared" si="10"/>
        <v>79950</v>
      </c>
      <c r="GL8" s="564">
        <f t="shared" si="11"/>
        <v>79950</v>
      </c>
      <c r="GM8" s="564">
        <f t="shared" si="12"/>
        <v>79950</v>
      </c>
      <c r="GN8" s="564">
        <f t="shared" si="13"/>
        <v>79950</v>
      </c>
      <c r="GO8" s="564">
        <f t="shared" si="14"/>
        <v>79950</v>
      </c>
      <c r="GP8" s="564"/>
      <c r="GS8" s="375" t="s">
        <v>448</v>
      </c>
      <c r="GT8" s="374" t="str">
        <f t="shared" si="1"/>
        <v>〇</v>
      </c>
    </row>
    <row r="9" spans="1:202">
      <c r="B9" s="371">
        <v>5</v>
      </c>
      <c r="C9" s="378">
        <v>5</v>
      </c>
      <c r="D9" s="373" t="s">
        <v>466</v>
      </c>
      <c r="E9" s="373" t="s">
        <v>14</v>
      </c>
      <c r="F9" s="603">
        <f t="shared" si="2"/>
        <v>110</v>
      </c>
      <c r="G9" s="603"/>
      <c r="H9" s="603">
        <v>65</v>
      </c>
      <c r="I9" s="603">
        <v>45</v>
      </c>
      <c r="J9" s="603"/>
      <c r="K9" s="603"/>
      <c r="L9" s="603"/>
      <c r="M9" s="603"/>
      <c r="N9" s="608"/>
      <c r="O9" s="603">
        <v>1577000</v>
      </c>
      <c r="P9" s="603">
        <v>2721000</v>
      </c>
      <c r="Q9" s="603">
        <v>2721000</v>
      </c>
      <c r="R9" s="603">
        <v>1791000</v>
      </c>
      <c r="S9" s="603">
        <v>0</v>
      </c>
      <c r="T9" s="603">
        <v>0</v>
      </c>
      <c r="U9" s="603">
        <v>0</v>
      </c>
      <c r="V9" s="603">
        <v>1051000</v>
      </c>
      <c r="W9" s="603">
        <v>1814000</v>
      </c>
      <c r="X9" s="603">
        <v>1814000</v>
      </c>
      <c r="Y9" s="603">
        <v>1194000</v>
      </c>
      <c r="Z9" s="603">
        <v>0</v>
      </c>
      <c r="AA9" s="603">
        <v>0</v>
      </c>
      <c r="AB9" s="603">
        <v>0</v>
      </c>
      <c r="AC9" s="603">
        <v>526000</v>
      </c>
      <c r="AD9" s="603">
        <v>907000</v>
      </c>
      <c r="AE9" s="603">
        <v>907000</v>
      </c>
      <c r="AF9" s="603">
        <v>597000</v>
      </c>
      <c r="AG9" s="603">
        <v>0</v>
      </c>
      <c r="AH9" s="603">
        <v>0</v>
      </c>
      <c r="AI9" s="603">
        <v>0</v>
      </c>
      <c r="AJ9" s="604" t="s">
        <v>2377</v>
      </c>
      <c r="AK9" s="605" t="s">
        <v>2378</v>
      </c>
      <c r="AL9" s="605" t="s">
        <v>2490</v>
      </c>
      <c r="AM9" s="606" t="s">
        <v>2007</v>
      </c>
      <c r="AN9" s="609" t="s">
        <v>12</v>
      </c>
      <c r="AO9" s="610" t="s">
        <v>1368</v>
      </c>
      <c r="AP9" s="610" t="s">
        <v>1368</v>
      </c>
      <c r="AQ9" s="610" t="s">
        <v>1368</v>
      </c>
      <c r="AR9" s="610" t="s">
        <v>1368</v>
      </c>
      <c r="AS9" s="610" t="s">
        <v>1368</v>
      </c>
      <c r="AT9" s="610" t="s">
        <v>1368</v>
      </c>
      <c r="AU9" s="610" t="s">
        <v>1368</v>
      </c>
      <c r="AV9" s="610" t="s">
        <v>1368</v>
      </c>
      <c r="AW9" s="610" t="s">
        <v>1368</v>
      </c>
      <c r="AX9" s="610" t="s">
        <v>1368</v>
      </c>
      <c r="AY9" s="610" t="s">
        <v>1368</v>
      </c>
      <c r="AZ9" s="610" t="s">
        <v>1368</v>
      </c>
      <c r="BA9" s="610" t="s">
        <v>1368</v>
      </c>
      <c r="BB9" s="610" t="s">
        <v>1368</v>
      </c>
      <c r="BC9" s="610" t="s">
        <v>1368</v>
      </c>
      <c r="BD9" s="610" t="s">
        <v>1368</v>
      </c>
      <c r="BE9" s="610" t="s">
        <v>1368</v>
      </c>
      <c r="BF9" s="610" t="s">
        <v>1368</v>
      </c>
      <c r="BG9" s="610" t="s">
        <v>1368</v>
      </c>
      <c r="BH9" s="610" t="s">
        <v>1368</v>
      </c>
      <c r="BI9" s="610" t="s">
        <v>1368</v>
      </c>
      <c r="BJ9" s="610" t="s">
        <v>1368</v>
      </c>
      <c r="BK9" s="610" t="s">
        <v>1368</v>
      </c>
      <c r="BL9" s="610" t="s">
        <v>1368</v>
      </c>
      <c r="BM9" s="610">
        <v>2</v>
      </c>
      <c r="BN9" s="610">
        <v>2</v>
      </c>
      <c r="BO9" s="610">
        <v>2</v>
      </c>
      <c r="BP9" s="610">
        <v>2</v>
      </c>
      <c r="BQ9" s="610">
        <v>2</v>
      </c>
      <c r="BR9" s="610">
        <v>2</v>
      </c>
      <c r="BS9" s="610">
        <v>2</v>
      </c>
      <c r="BT9" s="610">
        <v>2</v>
      </c>
      <c r="BU9" s="610">
        <v>2</v>
      </c>
      <c r="BV9" s="610">
        <v>2</v>
      </c>
      <c r="BW9" s="610">
        <v>2</v>
      </c>
      <c r="BX9" s="610">
        <v>2</v>
      </c>
      <c r="BY9" s="610">
        <v>0</v>
      </c>
      <c r="BZ9" s="610">
        <v>0</v>
      </c>
      <c r="CA9" s="610">
        <v>0</v>
      </c>
      <c r="CB9" s="610">
        <v>0</v>
      </c>
      <c r="CC9" s="610">
        <v>0</v>
      </c>
      <c r="CD9" s="610">
        <v>0</v>
      </c>
      <c r="CE9" s="610">
        <v>0</v>
      </c>
      <c r="CF9" s="610">
        <v>0</v>
      </c>
      <c r="CG9" s="610">
        <v>0</v>
      </c>
      <c r="CH9" s="610">
        <v>0</v>
      </c>
      <c r="CI9" s="610">
        <v>0</v>
      </c>
      <c r="CJ9" s="610">
        <v>0</v>
      </c>
      <c r="CK9" s="610">
        <v>0</v>
      </c>
      <c r="CL9" s="610">
        <v>0</v>
      </c>
      <c r="CM9" s="610">
        <v>0</v>
      </c>
      <c r="CN9" s="610">
        <v>0</v>
      </c>
      <c r="CO9" s="610">
        <v>0</v>
      </c>
      <c r="CP9" s="610">
        <v>0</v>
      </c>
      <c r="CQ9" s="610">
        <v>0</v>
      </c>
      <c r="CR9" s="610">
        <v>0</v>
      </c>
      <c r="CS9" s="610">
        <v>0</v>
      </c>
      <c r="CT9" s="610">
        <v>0</v>
      </c>
      <c r="CU9" s="610">
        <v>0</v>
      </c>
      <c r="CV9" s="610">
        <v>0</v>
      </c>
      <c r="CW9" s="610" t="s">
        <v>12</v>
      </c>
      <c r="CX9" s="610">
        <v>0</v>
      </c>
      <c r="CY9" s="610" t="s">
        <v>1707</v>
      </c>
      <c r="CZ9" s="610" t="s">
        <v>1707</v>
      </c>
      <c r="DA9" s="610" t="s">
        <v>1707</v>
      </c>
      <c r="DB9" s="610" t="s">
        <v>1707</v>
      </c>
      <c r="DC9" s="610" t="s">
        <v>1707</v>
      </c>
      <c r="DD9" s="610" t="s">
        <v>1707</v>
      </c>
      <c r="DE9" s="610" t="s">
        <v>1707</v>
      </c>
      <c r="DF9" s="610" t="s">
        <v>1707</v>
      </c>
      <c r="DG9" s="610" t="s">
        <v>1707</v>
      </c>
      <c r="DH9" s="610" t="s">
        <v>1707</v>
      </c>
      <c r="DI9" s="610" t="s">
        <v>1707</v>
      </c>
      <c r="DJ9" s="610" t="s">
        <v>1707</v>
      </c>
      <c r="DK9" s="610" t="s">
        <v>18</v>
      </c>
      <c r="DL9" s="610" t="s">
        <v>18</v>
      </c>
      <c r="DM9" s="610" t="s">
        <v>18</v>
      </c>
      <c r="DN9" s="610" t="s">
        <v>18</v>
      </c>
      <c r="DO9" s="610" t="s">
        <v>18</v>
      </c>
      <c r="DP9" s="610" t="s">
        <v>18</v>
      </c>
      <c r="DQ9" s="610" t="s">
        <v>18</v>
      </c>
      <c r="DR9" s="610" t="s">
        <v>18</v>
      </c>
      <c r="DS9" s="610" t="s">
        <v>18</v>
      </c>
      <c r="DT9" s="610" t="s">
        <v>18</v>
      </c>
      <c r="DU9" s="610" t="s">
        <v>18</v>
      </c>
      <c r="DV9" s="610" t="s">
        <v>18</v>
      </c>
      <c r="DW9" s="609" t="s">
        <v>1368</v>
      </c>
      <c r="DX9" s="609" t="s">
        <v>1368</v>
      </c>
      <c r="DY9" s="609" t="s">
        <v>1368</v>
      </c>
      <c r="DZ9" s="609" t="s">
        <v>1368</v>
      </c>
      <c r="EA9" s="609" t="s">
        <v>1368</v>
      </c>
      <c r="EB9" s="609" t="s">
        <v>1368</v>
      </c>
      <c r="EC9" s="609" t="s">
        <v>1368</v>
      </c>
      <c r="ED9" s="609" t="s">
        <v>1368</v>
      </c>
      <c r="EE9" s="609" t="s">
        <v>1368</v>
      </c>
      <c r="EF9" s="609" t="s">
        <v>1368</v>
      </c>
      <c r="EG9" s="609" t="s">
        <v>1368</v>
      </c>
      <c r="EH9" s="609" t="s">
        <v>1368</v>
      </c>
      <c r="EI9" s="610" t="s">
        <v>1707</v>
      </c>
      <c r="EJ9" s="610" t="s">
        <v>1707</v>
      </c>
      <c r="EK9" s="610" t="s">
        <v>1707</v>
      </c>
      <c r="EL9" s="610" t="s">
        <v>1707</v>
      </c>
      <c r="EM9" s="610" t="s">
        <v>1707</v>
      </c>
      <c r="EN9" s="610" t="s">
        <v>1707</v>
      </c>
      <c r="EO9" s="610" t="s">
        <v>1707</v>
      </c>
      <c r="EP9" s="610" t="s">
        <v>1707</v>
      </c>
      <c r="EQ9" s="610" t="s">
        <v>1707</v>
      </c>
      <c r="ER9" s="610" t="s">
        <v>1707</v>
      </c>
      <c r="ES9" s="610" t="s">
        <v>1707</v>
      </c>
      <c r="ET9" s="610" t="s">
        <v>1707</v>
      </c>
      <c r="EU9" s="610">
        <v>4070</v>
      </c>
      <c r="EV9" s="610" t="s">
        <v>2449</v>
      </c>
      <c r="EW9" s="610" t="s">
        <v>2449</v>
      </c>
      <c r="EX9" s="610" t="s">
        <v>2449</v>
      </c>
      <c r="EY9" s="610" t="s">
        <v>2449</v>
      </c>
      <c r="EZ9" s="610" t="s">
        <v>2449</v>
      </c>
      <c r="FA9" s="610" t="s">
        <v>2449</v>
      </c>
      <c r="FB9" s="610" t="s">
        <v>2449</v>
      </c>
      <c r="FC9" s="610" t="s">
        <v>2449</v>
      </c>
      <c r="FD9" s="610" t="s">
        <v>2449</v>
      </c>
      <c r="FE9" s="610" t="s">
        <v>2449</v>
      </c>
      <c r="FF9" s="610" t="s">
        <v>2449</v>
      </c>
      <c r="FG9" s="610" t="s">
        <v>2449</v>
      </c>
      <c r="FH9" s="610">
        <v>43</v>
      </c>
      <c r="FI9" s="610">
        <v>43</v>
      </c>
      <c r="FJ9" s="610">
        <v>43</v>
      </c>
      <c r="FK9" s="610">
        <v>43</v>
      </c>
      <c r="FL9" s="610">
        <v>43</v>
      </c>
      <c r="FM9" s="610">
        <v>43</v>
      </c>
      <c r="FN9" s="610">
        <v>43</v>
      </c>
      <c r="FO9" s="610">
        <v>43</v>
      </c>
      <c r="FP9" s="610">
        <v>43</v>
      </c>
      <c r="FQ9" s="610">
        <v>42</v>
      </c>
      <c r="FR9" s="610" t="s">
        <v>2488</v>
      </c>
      <c r="FS9" s="610" t="s">
        <v>2488</v>
      </c>
      <c r="FT9" s="610" t="s">
        <v>2488</v>
      </c>
      <c r="FU9" s="610" t="s">
        <v>2488</v>
      </c>
      <c r="FV9" s="610" t="s">
        <v>2488</v>
      </c>
      <c r="FW9" s="610" t="s">
        <v>2488</v>
      </c>
      <c r="FX9" s="610" t="s">
        <v>2488</v>
      </c>
      <c r="FY9" s="610" t="s">
        <v>2488</v>
      </c>
      <c r="FZ9" s="610" t="s">
        <v>2488</v>
      </c>
      <c r="GA9" s="610" t="s">
        <v>2488</v>
      </c>
      <c r="GB9" s="610" t="s">
        <v>2488</v>
      </c>
      <c r="GC9" s="610" t="s">
        <v>2488</v>
      </c>
      <c r="GD9" s="564" t="str">
        <f t="shared" si="3"/>
        <v/>
      </c>
      <c r="GE9" s="564" t="str">
        <f t="shared" si="4"/>
        <v/>
      </c>
      <c r="GF9" s="564" t="str">
        <f t="shared" si="5"/>
        <v/>
      </c>
      <c r="GG9" s="564" t="str">
        <f t="shared" si="6"/>
        <v/>
      </c>
      <c r="GH9" s="564" t="str">
        <f t="shared" si="7"/>
        <v/>
      </c>
      <c r="GI9" s="564" t="str">
        <f t="shared" si="8"/>
        <v/>
      </c>
      <c r="GJ9" s="564" t="str">
        <f t="shared" si="9"/>
        <v/>
      </c>
      <c r="GK9" s="564" t="str">
        <f t="shared" si="10"/>
        <v/>
      </c>
      <c r="GL9" s="564" t="str">
        <f t="shared" si="11"/>
        <v/>
      </c>
      <c r="GM9" s="564" t="str">
        <f t="shared" si="12"/>
        <v/>
      </c>
      <c r="GN9" s="564" t="str">
        <f t="shared" si="13"/>
        <v/>
      </c>
      <c r="GO9" s="564" t="str">
        <f t="shared" si="14"/>
        <v/>
      </c>
      <c r="GP9" s="564"/>
      <c r="GS9" s="375" t="s">
        <v>466</v>
      </c>
      <c r="GT9" s="374" t="str">
        <f t="shared" si="1"/>
        <v>〇</v>
      </c>
    </row>
    <row r="10" spans="1:202">
      <c r="B10" s="371">
        <v>6</v>
      </c>
      <c r="C10" s="378">
        <v>6</v>
      </c>
      <c r="D10" s="373" t="s">
        <v>463</v>
      </c>
      <c r="E10" s="373" t="s">
        <v>14</v>
      </c>
      <c r="F10" s="603">
        <f t="shared" si="2"/>
        <v>120</v>
      </c>
      <c r="G10" s="603"/>
      <c r="H10" s="603">
        <v>69</v>
      </c>
      <c r="I10" s="603">
        <v>51</v>
      </c>
      <c r="J10" s="603"/>
      <c r="K10" s="603"/>
      <c r="L10" s="603"/>
      <c r="M10" s="603"/>
      <c r="N10" s="608"/>
      <c r="O10" s="603">
        <v>1577000</v>
      </c>
      <c r="P10" s="603">
        <v>2721000</v>
      </c>
      <c r="Q10" s="603">
        <v>2721000</v>
      </c>
      <c r="R10" s="603">
        <v>1791000</v>
      </c>
      <c r="S10" s="603">
        <v>0</v>
      </c>
      <c r="T10" s="603">
        <v>2181000</v>
      </c>
      <c r="U10" s="603">
        <v>2181000</v>
      </c>
      <c r="V10" s="603">
        <v>1051000</v>
      </c>
      <c r="W10" s="603">
        <v>1814000</v>
      </c>
      <c r="X10" s="603">
        <v>1814000</v>
      </c>
      <c r="Y10" s="603">
        <v>1194000</v>
      </c>
      <c r="Z10" s="603">
        <v>0</v>
      </c>
      <c r="AA10" s="603">
        <v>1454000</v>
      </c>
      <c r="AB10" s="603">
        <v>1454000</v>
      </c>
      <c r="AC10" s="603">
        <v>526000</v>
      </c>
      <c r="AD10" s="603">
        <v>907000</v>
      </c>
      <c r="AE10" s="603">
        <v>907000</v>
      </c>
      <c r="AF10" s="603">
        <v>597000</v>
      </c>
      <c r="AG10" s="603">
        <v>0</v>
      </c>
      <c r="AH10" s="603">
        <v>727000</v>
      </c>
      <c r="AI10" s="603">
        <v>727000</v>
      </c>
      <c r="AJ10" s="604" t="s">
        <v>2377</v>
      </c>
      <c r="AK10" s="605" t="s">
        <v>2378</v>
      </c>
      <c r="AL10" s="605" t="s">
        <v>2490</v>
      </c>
      <c r="AM10" s="606" t="s">
        <v>2008</v>
      </c>
      <c r="AN10" s="609" t="s">
        <v>12</v>
      </c>
      <c r="AO10" s="610" t="s">
        <v>1368</v>
      </c>
      <c r="AP10" s="610" t="s">
        <v>1368</v>
      </c>
      <c r="AQ10" s="610" t="s">
        <v>1368</v>
      </c>
      <c r="AR10" s="610" t="s">
        <v>1368</v>
      </c>
      <c r="AS10" s="610" t="s">
        <v>1368</v>
      </c>
      <c r="AT10" s="610" t="s">
        <v>1368</v>
      </c>
      <c r="AU10" s="610" t="s">
        <v>1368</v>
      </c>
      <c r="AV10" s="610" t="s">
        <v>1368</v>
      </c>
      <c r="AW10" s="610" t="s">
        <v>1368</v>
      </c>
      <c r="AX10" s="610" t="s">
        <v>1368</v>
      </c>
      <c r="AY10" s="610" t="s">
        <v>1368</v>
      </c>
      <c r="AZ10" s="610" t="s">
        <v>1368</v>
      </c>
      <c r="BA10" s="610" t="s">
        <v>1368</v>
      </c>
      <c r="BB10" s="610" t="s">
        <v>1368</v>
      </c>
      <c r="BC10" s="610" t="s">
        <v>1368</v>
      </c>
      <c r="BD10" s="610" t="s">
        <v>1368</v>
      </c>
      <c r="BE10" s="610" t="s">
        <v>1368</v>
      </c>
      <c r="BF10" s="610" t="s">
        <v>1368</v>
      </c>
      <c r="BG10" s="610" t="s">
        <v>1368</v>
      </c>
      <c r="BH10" s="610" t="s">
        <v>1368</v>
      </c>
      <c r="BI10" s="610" t="s">
        <v>1368</v>
      </c>
      <c r="BJ10" s="610" t="s">
        <v>1368</v>
      </c>
      <c r="BK10" s="610" t="s">
        <v>1368</v>
      </c>
      <c r="BL10" s="610" t="s">
        <v>1368</v>
      </c>
      <c r="BM10" s="610">
        <v>1</v>
      </c>
      <c r="BN10" s="610">
        <v>1</v>
      </c>
      <c r="BO10" s="610">
        <v>1</v>
      </c>
      <c r="BP10" s="610">
        <v>1</v>
      </c>
      <c r="BQ10" s="610">
        <v>1</v>
      </c>
      <c r="BR10" s="610">
        <v>1</v>
      </c>
      <c r="BS10" s="610">
        <v>1</v>
      </c>
      <c r="BT10" s="610">
        <v>1</v>
      </c>
      <c r="BU10" s="610">
        <v>1</v>
      </c>
      <c r="BV10" s="610">
        <v>1</v>
      </c>
      <c r="BW10" s="610">
        <v>1</v>
      </c>
      <c r="BX10" s="610">
        <v>1</v>
      </c>
      <c r="BY10" s="610">
        <v>0</v>
      </c>
      <c r="BZ10" s="610">
        <v>0</v>
      </c>
      <c r="CA10" s="610">
        <v>0</v>
      </c>
      <c r="CB10" s="610">
        <v>0</v>
      </c>
      <c r="CC10" s="610">
        <v>0</v>
      </c>
      <c r="CD10" s="610">
        <v>0</v>
      </c>
      <c r="CE10" s="610">
        <v>0</v>
      </c>
      <c r="CF10" s="610">
        <v>0</v>
      </c>
      <c r="CG10" s="610">
        <v>0</v>
      </c>
      <c r="CH10" s="610">
        <v>0</v>
      </c>
      <c r="CI10" s="610">
        <v>0</v>
      </c>
      <c r="CJ10" s="610">
        <v>0</v>
      </c>
      <c r="CK10" s="610">
        <v>0</v>
      </c>
      <c r="CL10" s="610">
        <v>0</v>
      </c>
      <c r="CM10" s="610">
        <v>0</v>
      </c>
      <c r="CN10" s="610">
        <v>0</v>
      </c>
      <c r="CO10" s="610">
        <v>0</v>
      </c>
      <c r="CP10" s="610">
        <v>0</v>
      </c>
      <c r="CQ10" s="610">
        <v>0</v>
      </c>
      <c r="CR10" s="610">
        <v>0</v>
      </c>
      <c r="CS10" s="610">
        <v>0</v>
      </c>
      <c r="CT10" s="610">
        <v>0</v>
      </c>
      <c r="CU10" s="610">
        <v>0</v>
      </c>
      <c r="CV10" s="610">
        <v>0</v>
      </c>
      <c r="CW10" s="610" t="s">
        <v>14</v>
      </c>
      <c r="CX10" s="610">
        <v>0</v>
      </c>
      <c r="CY10" s="610" t="s">
        <v>1707</v>
      </c>
      <c r="CZ10" s="610" t="s">
        <v>1707</v>
      </c>
      <c r="DA10" s="610" t="s">
        <v>1707</v>
      </c>
      <c r="DB10" s="610" t="s">
        <v>1707</v>
      </c>
      <c r="DC10" s="610" t="s">
        <v>1707</v>
      </c>
      <c r="DD10" s="610" t="s">
        <v>1707</v>
      </c>
      <c r="DE10" s="610" t="s">
        <v>1707</v>
      </c>
      <c r="DF10" s="610" t="s">
        <v>1707</v>
      </c>
      <c r="DG10" s="610" t="s">
        <v>1707</v>
      </c>
      <c r="DH10" s="610" t="s">
        <v>1707</v>
      </c>
      <c r="DI10" s="610" t="s">
        <v>1707</v>
      </c>
      <c r="DJ10" s="610" t="s">
        <v>1707</v>
      </c>
      <c r="DK10" s="610" t="s">
        <v>18</v>
      </c>
      <c r="DL10" s="610" t="s">
        <v>18</v>
      </c>
      <c r="DM10" s="610" t="s">
        <v>18</v>
      </c>
      <c r="DN10" s="610" t="s">
        <v>18</v>
      </c>
      <c r="DO10" s="610" t="s">
        <v>18</v>
      </c>
      <c r="DP10" s="610" t="s">
        <v>18</v>
      </c>
      <c r="DQ10" s="610" t="s">
        <v>18</v>
      </c>
      <c r="DR10" s="610" t="s">
        <v>18</v>
      </c>
      <c r="DS10" s="610" t="s">
        <v>18</v>
      </c>
      <c r="DT10" s="610" t="s">
        <v>18</v>
      </c>
      <c r="DU10" s="610" t="s">
        <v>18</v>
      </c>
      <c r="DV10" s="610" t="s">
        <v>18</v>
      </c>
      <c r="DW10" s="609" t="s">
        <v>1368</v>
      </c>
      <c r="DX10" s="609" t="s">
        <v>1368</v>
      </c>
      <c r="DY10" s="609" t="s">
        <v>1368</v>
      </c>
      <c r="DZ10" s="609" t="s">
        <v>1368</v>
      </c>
      <c r="EA10" s="609" t="s">
        <v>1368</v>
      </c>
      <c r="EB10" s="609" t="s">
        <v>1368</v>
      </c>
      <c r="EC10" s="609" t="s">
        <v>1368</v>
      </c>
      <c r="ED10" s="609" t="s">
        <v>1368</v>
      </c>
      <c r="EE10" s="609" t="s">
        <v>1368</v>
      </c>
      <c r="EF10" s="609" t="s">
        <v>1368</v>
      </c>
      <c r="EG10" s="609" t="s">
        <v>1368</v>
      </c>
      <c r="EH10" s="609" t="s">
        <v>1368</v>
      </c>
      <c r="EI10" s="610" t="s">
        <v>1707</v>
      </c>
      <c r="EJ10" s="610" t="s">
        <v>1707</v>
      </c>
      <c r="EK10" s="610" t="s">
        <v>1707</v>
      </c>
      <c r="EL10" s="610" t="s">
        <v>1707</v>
      </c>
      <c r="EM10" s="610" t="s">
        <v>1707</v>
      </c>
      <c r="EN10" s="610" t="s">
        <v>1707</v>
      </c>
      <c r="EO10" s="610" t="s">
        <v>1707</v>
      </c>
      <c r="EP10" s="610" t="s">
        <v>1707</v>
      </c>
      <c r="EQ10" s="610" t="s">
        <v>1707</v>
      </c>
      <c r="ER10" s="610" t="s">
        <v>1707</v>
      </c>
      <c r="ES10" s="610" t="s">
        <v>1707</v>
      </c>
      <c r="ET10" s="610" t="s">
        <v>1707</v>
      </c>
      <c r="EU10" s="610">
        <v>4070</v>
      </c>
      <c r="EV10" s="610" t="s">
        <v>2449</v>
      </c>
      <c r="EW10" s="610" t="s">
        <v>2449</v>
      </c>
      <c r="EX10" s="610" t="s">
        <v>2449</v>
      </c>
      <c r="EY10" s="610" t="s">
        <v>2449</v>
      </c>
      <c r="EZ10" s="610" t="s">
        <v>2449</v>
      </c>
      <c r="FA10" s="610" t="s">
        <v>2449</v>
      </c>
      <c r="FB10" s="610" t="s">
        <v>2449</v>
      </c>
      <c r="FC10" s="610" t="s">
        <v>2449</v>
      </c>
      <c r="FD10" s="610" t="s">
        <v>2449</v>
      </c>
      <c r="FE10" s="610" t="s">
        <v>2449</v>
      </c>
      <c r="FF10" s="610" t="s">
        <v>2449</v>
      </c>
      <c r="FG10" s="610" t="s">
        <v>2449</v>
      </c>
      <c r="FH10" s="610">
        <v>50</v>
      </c>
      <c r="FI10" s="610">
        <v>50</v>
      </c>
      <c r="FJ10" s="610">
        <v>50</v>
      </c>
      <c r="FK10" s="610">
        <v>49</v>
      </c>
      <c r="FL10" s="610">
        <v>49</v>
      </c>
      <c r="FM10" s="610">
        <v>49</v>
      </c>
      <c r="FN10" s="610">
        <v>49</v>
      </c>
      <c r="FO10" s="610">
        <v>49</v>
      </c>
      <c r="FP10" s="610">
        <v>49</v>
      </c>
      <c r="FQ10" s="610">
        <v>49</v>
      </c>
      <c r="FR10" s="610" t="s">
        <v>2487</v>
      </c>
      <c r="FS10" s="610" t="s">
        <v>2487</v>
      </c>
      <c r="FT10" s="610" t="s">
        <v>2487</v>
      </c>
      <c r="FU10" s="610" t="s">
        <v>2487</v>
      </c>
      <c r="FV10" s="610" t="s">
        <v>2487</v>
      </c>
      <c r="FW10" s="610" t="s">
        <v>2487</v>
      </c>
      <c r="FX10" s="610" t="s">
        <v>2487</v>
      </c>
      <c r="FY10" s="610" t="s">
        <v>2487</v>
      </c>
      <c r="FZ10" s="610" t="s">
        <v>2487</v>
      </c>
      <c r="GA10" s="610" t="s">
        <v>2487</v>
      </c>
      <c r="GB10" s="610" t="s">
        <v>2487</v>
      </c>
      <c r="GC10" s="610" t="s">
        <v>2487</v>
      </c>
      <c r="GD10" s="564">
        <f t="shared" si="3"/>
        <v>79950</v>
      </c>
      <c r="GE10" s="564">
        <f t="shared" si="4"/>
        <v>79950</v>
      </c>
      <c r="GF10" s="564">
        <f t="shared" si="5"/>
        <v>79950</v>
      </c>
      <c r="GG10" s="564">
        <f t="shared" si="6"/>
        <v>79950</v>
      </c>
      <c r="GH10" s="564">
        <f t="shared" si="7"/>
        <v>79950</v>
      </c>
      <c r="GI10" s="564">
        <f t="shared" si="8"/>
        <v>79950</v>
      </c>
      <c r="GJ10" s="564">
        <f t="shared" si="9"/>
        <v>79950</v>
      </c>
      <c r="GK10" s="564">
        <f t="shared" si="10"/>
        <v>79950</v>
      </c>
      <c r="GL10" s="564">
        <f t="shared" si="11"/>
        <v>79950</v>
      </c>
      <c r="GM10" s="564">
        <f t="shared" si="12"/>
        <v>79950</v>
      </c>
      <c r="GN10" s="564">
        <f t="shared" si="13"/>
        <v>79950</v>
      </c>
      <c r="GO10" s="564">
        <f t="shared" si="14"/>
        <v>79950</v>
      </c>
      <c r="GP10" s="564"/>
      <c r="GS10" s="375" t="s">
        <v>463</v>
      </c>
      <c r="GT10" s="374" t="str">
        <f t="shared" si="1"/>
        <v>〇</v>
      </c>
    </row>
    <row r="11" spans="1:202">
      <c r="B11" s="371">
        <v>7</v>
      </c>
      <c r="C11" s="378">
        <v>7</v>
      </c>
      <c r="D11" s="373" t="s">
        <v>470</v>
      </c>
      <c r="E11" s="373" t="s">
        <v>14</v>
      </c>
      <c r="F11" s="603">
        <f t="shared" si="2"/>
        <v>150</v>
      </c>
      <c r="G11" s="603"/>
      <c r="H11" s="603">
        <v>80</v>
      </c>
      <c r="I11" s="603">
        <v>70</v>
      </c>
      <c r="J11" s="603"/>
      <c r="K11" s="603"/>
      <c r="L11" s="603"/>
      <c r="M11" s="603"/>
      <c r="N11" s="608"/>
      <c r="O11" s="603">
        <v>1577000</v>
      </c>
      <c r="P11" s="603">
        <v>2721000</v>
      </c>
      <c r="Q11" s="603">
        <v>2721000</v>
      </c>
      <c r="R11" s="603">
        <v>1791000</v>
      </c>
      <c r="S11" s="603">
        <v>0</v>
      </c>
      <c r="T11" s="603">
        <v>4362000</v>
      </c>
      <c r="U11" s="603">
        <v>0</v>
      </c>
      <c r="V11" s="603">
        <v>1051000</v>
      </c>
      <c r="W11" s="603">
        <v>1814000</v>
      </c>
      <c r="X11" s="603">
        <v>1814000</v>
      </c>
      <c r="Y11" s="603">
        <v>1194000</v>
      </c>
      <c r="Z11" s="603">
        <v>0</v>
      </c>
      <c r="AA11" s="603">
        <v>2908000</v>
      </c>
      <c r="AB11" s="603">
        <v>0</v>
      </c>
      <c r="AC11" s="603">
        <v>0</v>
      </c>
      <c r="AD11" s="603">
        <v>0</v>
      </c>
      <c r="AE11" s="603">
        <v>0</v>
      </c>
      <c r="AF11" s="603">
        <v>0</v>
      </c>
      <c r="AG11" s="603">
        <v>0</v>
      </c>
      <c r="AH11" s="603">
        <v>0</v>
      </c>
      <c r="AI11" s="603">
        <v>0</v>
      </c>
      <c r="AJ11" s="604" t="s">
        <v>2377</v>
      </c>
      <c r="AK11" s="605" t="s">
        <v>2379</v>
      </c>
      <c r="AL11" s="605" t="s">
        <v>1545</v>
      </c>
      <c r="AM11" s="606" t="s">
        <v>2009</v>
      </c>
      <c r="AN11" s="609" t="s">
        <v>12</v>
      </c>
      <c r="AO11" s="610" t="s">
        <v>1368</v>
      </c>
      <c r="AP11" s="610" t="s">
        <v>1368</v>
      </c>
      <c r="AQ11" s="610" t="s">
        <v>1368</v>
      </c>
      <c r="AR11" s="610" t="s">
        <v>1368</v>
      </c>
      <c r="AS11" s="610" t="s">
        <v>1368</v>
      </c>
      <c r="AT11" s="610" t="s">
        <v>1368</v>
      </c>
      <c r="AU11" s="610" t="s">
        <v>1368</v>
      </c>
      <c r="AV11" s="610" t="s">
        <v>1368</v>
      </c>
      <c r="AW11" s="610" t="s">
        <v>1368</v>
      </c>
      <c r="AX11" s="610" t="s">
        <v>1368</v>
      </c>
      <c r="AY11" s="610" t="s">
        <v>1368</v>
      </c>
      <c r="AZ11" s="610" t="s">
        <v>1368</v>
      </c>
      <c r="BA11" s="610" t="s">
        <v>1368</v>
      </c>
      <c r="BB11" s="610" t="s">
        <v>1368</v>
      </c>
      <c r="BC11" s="610" t="s">
        <v>1368</v>
      </c>
      <c r="BD11" s="610" t="s">
        <v>1368</v>
      </c>
      <c r="BE11" s="610" t="s">
        <v>1368</v>
      </c>
      <c r="BF11" s="610" t="s">
        <v>1368</v>
      </c>
      <c r="BG11" s="610" t="s">
        <v>1368</v>
      </c>
      <c r="BH11" s="610" t="s">
        <v>1368</v>
      </c>
      <c r="BI11" s="610" t="s">
        <v>1368</v>
      </c>
      <c r="BJ11" s="610" t="s">
        <v>1368</v>
      </c>
      <c r="BK11" s="610" t="s">
        <v>1368</v>
      </c>
      <c r="BL11" s="610" t="s">
        <v>1368</v>
      </c>
      <c r="BM11" s="610">
        <v>3</v>
      </c>
      <c r="BN11" s="610">
        <v>3</v>
      </c>
      <c r="BO11" s="610">
        <v>3</v>
      </c>
      <c r="BP11" s="610">
        <v>3</v>
      </c>
      <c r="BQ11" s="610">
        <v>3</v>
      </c>
      <c r="BR11" s="610">
        <v>3</v>
      </c>
      <c r="BS11" s="610">
        <v>3</v>
      </c>
      <c r="BT11" s="610">
        <v>3</v>
      </c>
      <c r="BU11" s="610">
        <v>3</v>
      </c>
      <c r="BV11" s="610">
        <v>3</v>
      </c>
      <c r="BW11" s="610">
        <v>3</v>
      </c>
      <c r="BX11" s="610">
        <v>3</v>
      </c>
      <c r="BY11" s="610">
        <v>0</v>
      </c>
      <c r="BZ11" s="610">
        <v>0</v>
      </c>
      <c r="CA11" s="610">
        <v>0</v>
      </c>
      <c r="CB11" s="610">
        <v>0</v>
      </c>
      <c r="CC11" s="610">
        <v>0</v>
      </c>
      <c r="CD11" s="610">
        <v>0</v>
      </c>
      <c r="CE11" s="610">
        <v>0</v>
      </c>
      <c r="CF11" s="610">
        <v>0</v>
      </c>
      <c r="CG11" s="610">
        <v>0</v>
      </c>
      <c r="CH11" s="610">
        <v>0</v>
      </c>
      <c r="CI11" s="610">
        <v>0</v>
      </c>
      <c r="CJ11" s="610">
        <v>0</v>
      </c>
      <c r="CK11" s="610">
        <v>0</v>
      </c>
      <c r="CL11" s="610">
        <v>0</v>
      </c>
      <c r="CM11" s="610">
        <v>0</v>
      </c>
      <c r="CN11" s="610">
        <v>0</v>
      </c>
      <c r="CO11" s="610">
        <v>0</v>
      </c>
      <c r="CP11" s="610">
        <v>0</v>
      </c>
      <c r="CQ11" s="610">
        <v>0</v>
      </c>
      <c r="CR11" s="610">
        <v>0</v>
      </c>
      <c r="CS11" s="610">
        <v>0</v>
      </c>
      <c r="CT11" s="610">
        <v>0</v>
      </c>
      <c r="CU11" s="610">
        <v>0</v>
      </c>
      <c r="CV11" s="610">
        <v>0</v>
      </c>
      <c r="CW11" s="610" t="s">
        <v>14</v>
      </c>
      <c r="CX11" s="610">
        <v>1</v>
      </c>
      <c r="CY11" s="610" t="s">
        <v>1707</v>
      </c>
      <c r="CZ11" s="610" t="s">
        <v>1707</v>
      </c>
      <c r="DA11" s="610" t="s">
        <v>1707</v>
      </c>
      <c r="DB11" s="610" t="s">
        <v>1707</v>
      </c>
      <c r="DC11" s="610" t="s">
        <v>1707</v>
      </c>
      <c r="DD11" s="610" t="s">
        <v>1707</v>
      </c>
      <c r="DE11" s="610" t="s">
        <v>1707</v>
      </c>
      <c r="DF11" s="610" t="s">
        <v>1707</v>
      </c>
      <c r="DG11" s="610" t="s">
        <v>1707</v>
      </c>
      <c r="DH11" s="610" t="s">
        <v>1707</v>
      </c>
      <c r="DI11" s="610" t="s">
        <v>1707</v>
      </c>
      <c r="DJ11" s="610" t="s">
        <v>1707</v>
      </c>
      <c r="DK11" s="610" t="s">
        <v>18</v>
      </c>
      <c r="DL11" s="610" t="s">
        <v>18</v>
      </c>
      <c r="DM11" s="610" t="s">
        <v>18</v>
      </c>
      <c r="DN11" s="610" t="s">
        <v>18</v>
      </c>
      <c r="DO11" s="610" t="s">
        <v>18</v>
      </c>
      <c r="DP11" s="610" t="s">
        <v>18</v>
      </c>
      <c r="DQ11" s="610" t="s">
        <v>18</v>
      </c>
      <c r="DR11" s="610" t="s">
        <v>18</v>
      </c>
      <c r="DS11" s="610" t="s">
        <v>18</v>
      </c>
      <c r="DT11" s="610" t="s">
        <v>18</v>
      </c>
      <c r="DU11" s="610" t="s">
        <v>18</v>
      </c>
      <c r="DV11" s="610" t="s">
        <v>18</v>
      </c>
      <c r="DW11" s="609" t="s">
        <v>2269</v>
      </c>
      <c r="DX11" s="609" t="s">
        <v>2269</v>
      </c>
      <c r="DY11" s="609" t="s">
        <v>2269</v>
      </c>
      <c r="DZ11" s="609" t="s">
        <v>2269</v>
      </c>
      <c r="EA11" s="609" t="s">
        <v>2269</v>
      </c>
      <c r="EB11" s="609" t="s">
        <v>2269</v>
      </c>
      <c r="EC11" s="609" t="s">
        <v>2269</v>
      </c>
      <c r="ED11" s="609" t="s">
        <v>2269</v>
      </c>
      <c r="EE11" s="609" t="s">
        <v>2269</v>
      </c>
      <c r="EF11" s="609" t="s">
        <v>2269</v>
      </c>
      <c r="EG11" s="609" t="s">
        <v>2269</v>
      </c>
      <c r="EH11" s="609" t="s">
        <v>2269</v>
      </c>
      <c r="EI11" s="610" t="s">
        <v>1707</v>
      </c>
      <c r="EJ11" s="610" t="s">
        <v>1707</v>
      </c>
      <c r="EK11" s="610" t="s">
        <v>1707</v>
      </c>
      <c r="EL11" s="610" t="s">
        <v>1707</v>
      </c>
      <c r="EM11" s="610" t="s">
        <v>1707</v>
      </c>
      <c r="EN11" s="610" t="s">
        <v>1707</v>
      </c>
      <c r="EO11" s="610" t="s">
        <v>1707</v>
      </c>
      <c r="EP11" s="610" t="s">
        <v>1707</v>
      </c>
      <c r="EQ11" s="610" t="s">
        <v>1707</v>
      </c>
      <c r="ER11" s="610" t="s">
        <v>1707</v>
      </c>
      <c r="ES11" s="610" t="s">
        <v>1707</v>
      </c>
      <c r="ET11" s="610" t="s">
        <v>1707</v>
      </c>
      <c r="EU11" s="610">
        <v>4070</v>
      </c>
      <c r="EV11" s="610" t="s">
        <v>2449</v>
      </c>
      <c r="EW11" s="610" t="s">
        <v>2449</v>
      </c>
      <c r="EX11" s="610" t="s">
        <v>2449</v>
      </c>
      <c r="EY11" s="610" t="s">
        <v>2449</v>
      </c>
      <c r="EZ11" s="610" t="s">
        <v>2449</v>
      </c>
      <c r="FA11" s="610" t="s">
        <v>2449</v>
      </c>
      <c r="FB11" s="610" t="s">
        <v>2449</v>
      </c>
      <c r="FC11" s="610" t="s">
        <v>2449</v>
      </c>
      <c r="FD11" s="610" t="s">
        <v>2449</v>
      </c>
      <c r="FE11" s="610" t="s">
        <v>2449</v>
      </c>
      <c r="FF11" s="610" t="s">
        <v>2449</v>
      </c>
      <c r="FG11" s="610" t="s">
        <v>2449</v>
      </c>
      <c r="FH11" s="610">
        <v>62</v>
      </c>
      <c r="FI11" s="610">
        <v>62</v>
      </c>
      <c r="FJ11" s="610">
        <v>62</v>
      </c>
      <c r="FK11" s="610">
        <v>62</v>
      </c>
      <c r="FL11" s="610">
        <v>62</v>
      </c>
      <c r="FM11" s="610">
        <v>62</v>
      </c>
      <c r="FN11" s="610">
        <v>62</v>
      </c>
      <c r="FO11" s="610">
        <v>62</v>
      </c>
      <c r="FP11" s="610">
        <v>62</v>
      </c>
      <c r="FQ11" s="610">
        <v>62</v>
      </c>
      <c r="FR11" s="610" t="s">
        <v>2487</v>
      </c>
      <c r="FS11" s="610" t="s">
        <v>2487</v>
      </c>
      <c r="FT11" s="610" t="s">
        <v>2487</v>
      </c>
      <c r="FU11" s="610" t="s">
        <v>2487</v>
      </c>
      <c r="FV11" s="610" t="s">
        <v>2487</v>
      </c>
      <c r="FW11" s="610" t="s">
        <v>2487</v>
      </c>
      <c r="FX11" s="610" t="s">
        <v>2487</v>
      </c>
      <c r="FY11" s="610" t="s">
        <v>2487</v>
      </c>
      <c r="FZ11" s="610" t="s">
        <v>2487</v>
      </c>
      <c r="GA11" s="610" t="s">
        <v>2487</v>
      </c>
      <c r="GB11" s="610" t="s">
        <v>2487</v>
      </c>
      <c r="GC11" s="610" t="s">
        <v>2487</v>
      </c>
      <c r="GD11" s="564">
        <f t="shared" si="3"/>
        <v>79950</v>
      </c>
      <c r="GE11" s="564">
        <f t="shared" si="4"/>
        <v>79950</v>
      </c>
      <c r="GF11" s="564">
        <f t="shared" si="5"/>
        <v>79950</v>
      </c>
      <c r="GG11" s="564">
        <f t="shared" si="6"/>
        <v>79950</v>
      </c>
      <c r="GH11" s="564">
        <f t="shared" si="7"/>
        <v>79950</v>
      </c>
      <c r="GI11" s="564">
        <f t="shared" si="8"/>
        <v>79950</v>
      </c>
      <c r="GJ11" s="564">
        <f t="shared" si="9"/>
        <v>79950</v>
      </c>
      <c r="GK11" s="564">
        <f t="shared" si="10"/>
        <v>79950</v>
      </c>
      <c r="GL11" s="564">
        <f t="shared" si="11"/>
        <v>79950</v>
      </c>
      <c r="GM11" s="564">
        <f t="shared" si="12"/>
        <v>79950</v>
      </c>
      <c r="GN11" s="564">
        <f t="shared" si="13"/>
        <v>79950</v>
      </c>
      <c r="GO11" s="564">
        <f t="shared" si="14"/>
        <v>79950</v>
      </c>
      <c r="GP11" s="564"/>
      <c r="GS11" s="375" t="s">
        <v>470</v>
      </c>
      <c r="GT11" s="374" t="str">
        <f t="shared" si="1"/>
        <v>〇</v>
      </c>
    </row>
    <row r="12" spans="1:202">
      <c r="B12" s="371">
        <v>8</v>
      </c>
      <c r="C12" s="378">
        <v>8</v>
      </c>
      <c r="D12" s="373" t="s">
        <v>477</v>
      </c>
      <c r="E12" s="373" t="s">
        <v>1707</v>
      </c>
      <c r="F12" s="603">
        <f t="shared" si="2"/>
        <v>129</v>
      </c>
      <c r="G12" s="603"/>
      <c r="H12" s="603">
        <v>54</v>
      </c>
      <c r="I12" s="603">
        <v>75</v>
      </c>
      <c r="J12" s="603">
        <v>30</v>
      </c>
      <c r="K12" s="603"/>
      <c r="L12" s="603">
        <v>0</v>
      </c>
      <c r="M12" s="603">
        <v>30</v>
      </c>
      <c r="N12" s="608"/>
      <c r="O12" s="603">
        <v>1577000</v>
      </c>
      <c r="P12" s="603">
        <v>2721000</v>
      </c>
      <c r="Q12" s="603">
        <v>2721000</v>
      </c>
      <c r="R12" s="603">
        <v>1791000</v>
      </c>
      <c r="S12" s="603">
        <v>0</v>
      </c>
      <c r="T12" s="603">
        <v>6543000</v>
      </c>
      <c r="U12" s="603">
        <v>2181000</v>
      </c>
      <c r="V12" s="603">
        <v>0</v>
      </c>
      <c r="W12" s="603">
        <v>0</v>
      </c>
      <c r="X12" s="603">
        <v>0</v>
      </c>
      <c r="Y12" s="603">
        <v>0</v>
      </c>
      <c r="Z12" s="603">
        <v>0</v>
      </c>
      <c r="AA12" s="603">
        <v>0</v>
      </c>
      <c r="AB12" s="603">
        <v>0</v>
      </c>
      <c r="AC12" s="603">
        <v>0</v>
      </c>
      <c r="AD12" s="603">
        <v>0</v>
      </c>
      <c r="AE12" s="603">
        <v>0</v>
      </c>
      <c r="AF12" s="603">
        <v>0</v>
      </c>
      <c r="AG12" s="603">
        <v>0</v>
      </c>
      <c r="AH12" s="603">
        <v>0</v>
      </c>
      <c r="AI12" s="603">
        <v>0</v>
      </c>
      <c r="AJ12" s="604" t="s">
        <v>2377</v>
      </c>
      <c r="AK12" s="605" t="s">
        <v>1545</v>
      </c>
      <c r="AL12" s="605" t="s">
        <v>1545</v>
      </c>
      <c r="AM12" s="606" t="s">
        <v>2010</v>
      </c>
      <c r="AN12" s="609" t="s">
        <v>12</v>
      </c>
      <c r="AO12" s="610" t="s">
        <v>1368</v>
      </c>
      <c r="AP12" s="610" t="s">
        <v>1368</v>
      </c>
      <c r="AQ12" s="610" t="s">
        <v>1368</v>
      </c>
      <c r="AR12" s="610" t="s">
        <v>1368</v>
      </c>
      <c r="AS12" s="610" t="s">
        <v>1368</v>
      </c>
      <c r="AT12" s="610" t="s">
        <v>1368</v>
      </c>
      <c r="AU12" s="610" t="s">
        <v>1368</v>
      </c>
      <c r="AV12" s="610" t="s">
        <v>1368</v>
      </c>
      <c r="AW12" s="610" t="s">
        <v>1368</v>
      </c>
      <c r="AX12" s="610" t="s">
        <v>1368</v>
      </c>
      <c r="AY12" s="610" t="s">
        <v>1368</v>
      </c>
      <c r="AZ12" s="610" t="s">
        <v>1368</v>
      </c>
      <c r="BA12" s="610" t="s">
        <v>1368</v>
      </c>
      <c r="BB12" s="610" t="s">
        <v>1368</v>
      </c>
      <c r="BC12" s="610" t="s">
        <v>1368</v>
      </c>
      <c r="BD12" s="610" t="s">
        <v>1368</v>
      </c>
      <c r="BE12" s="610" t="s">
        <v>1368</v>
      </c>
      <c r="BF12" s="610" t="s">
        <v>1368</v>
      </c>
      <c r="BG12" s="610" t="s">
        <v>1368</v>
      </c>
      <c r="BH12" s="610" t="s">
        <v>1368</v>
      </c>
      <c r="BI12" s="610" t="s">
        <v>1368</v>
      </c>
      <c r="BJ12" s="610" t="s">
        <v>1368</v>
      </c>
      <c r="BK12" s="610" t="s">
        <v>1368</v>
      </c>
      <c r="BL12" s="610" t="s">
        <v>1368</v>
      </c>
      <c r="BM12" s="610">
        <v>2</v>
      </c>
      <c r="BN12" s="610">
        <v>2</v>
      </c>
      <c r="BO12" s="610">
        <v>2</v>
      </c>
      <c r="BP12" s="610">
        <v>2</v>
      </c>
      <c r="BQ12" s="610">
        <v>2</v>
      </c>
      <c r="BR12" s="610">
        <v>2</v>
      </c>
      <c r="BS12" s="610">
        <v>2</v>
      </c>
      <c r="BT12" s="610">
        <v>3</v>
      </c>
      <c r="BU12" s="610">
        <v>3</v>
      </c>
      <c r="BV12" s="610">
        <v>3</v>
      </c>
      <c r="BW12" s="610">
        <v>3</v>
      </c>
      <c r="BX12" s="610">
        <v>3</v>
      </c>
      <c r="BY12" s="610">
        <v>0</v>
      </c>
      <c r="BZ12" s="610">
        <v>0</v>
      </c>
      <c r="CA12" s="610">
        <v>0</v>
      </c>
      <c r="CB12" s="610">
        <v>0</v>
      </c>
      <c r="CC12" s="610">
        <v>0</v>
      </c>
      <c r="CD12" s="610">
        <v>0</v>
      </c>
      <c r="CE12" s="610">
        <v>0</v>
      </c>
      <c r="CF12" s="610">
        <v>0</v>
      </c>
      <c r="CG12" s="610">
        <v>0</v>
      </c>
      <c r="CH12" s="610">
        <v>0</v>
      </c>
      <c r="CI12" s="610">
        <v>0</v>
      </c>
      <c r="CJ12" s="610">
        <v>0</v>
      </c>
      <c r="CK12" s="610">
        <v>0</v>
      </c>
      <c r="CL12" s="610">
        <v>0</v>
      </c>
      <c r="CM12" s="610">
        <v>0</v>
      </c>
      <c r="CN12" s="610">
        <v>0</v>
      </c>
      <c r="CO12" s="610">
        <v>0</v>
      </c>
      <c r="CP12" s="610">
        <v>0</v>
      </c>
      <c r="CQ12" s="610">
        <v>0</v>
      </c>
      <c r="CR12" s="610">
        <v>0</v>
      </c>
      <c r="CS12" s="610">
        <v>0</v>
      </c>
      <c r="CT12" s="610">
        <v>0</v>
      </c>
      <c r="CU12" s="610">
        <v>0</v>
      </c>
      <c r="CV12" s="610">
        <v>0</v>
      </c>
      <c r="CW12" s="610" t="s">
        <v>14</v>
      </c>
      <c r="CX12" s="610">
        <v>0</v>
      </c>
      <c r="CY12" s="610" t="s">
        <v>1707</v>
      </c>
      <c r="CZ12" s="610" t="s">
        <v>1707</v>
      </c>
      <c r="DA12" s="610" t="s">
        <v>1707</v>
      </c>
      <c r="DB12" s="610" t="s">
        <v>1707</v>
      </c>
      <c r="DC12" s="610" t="s">
        <v>1707</v>
      </c>
      <c r="DD12" s="610" t="s">
        <v>1707</v>
      </c>
      <c r="DE12" s="610" t="s">
        <v>1707</v>
      </c>
      <c r="DF12" s="610" t="s">
        <v>1707</v>
      </c>
      <c r="DG12" s="610" t="s">
        <v>1707</v>
      </c>
      <c r="DH12" s="610" t="s">
        <v>1707</v>
      </c>
      <c r="DI12" s="610" t="s">
        <v>1707</v>
      </c>
      <c r="DJ12" s="610" t="s">
        <v>1707</v>
      </c>
      <c r="DK12" s="610" t="s">
        <v>1368</v>
      </c>
      <c r="DL12" s="610" t="s">
        <v>1368</v>
      </c>
      <c r="DM12" s="610" t="s">
        <v>1368</v>
      </c>
      <c r="DN12" s="610" t="s">
        <v>1368</v>
      </c>
      <c r="DO12" s="610" t="s">
        <v>1368</v>
      </c>
      <c r="DP12" s="610" t="s">
        <v>1368</v>
      </c>
      <c r="DQ12" s="610" t="s">
        <v>1368</v>
      </c>
      <c r="DR12" s="610" t="s">
        <v>1368</v>
      </c>
      <c r="DS12" s="610" t="s">
        <v>1368</v>
      </c>
      <c r="DT12" s="610" t="s">
        <v>1368</v>
      </c>
      <c r="DU12" s="610" t="s">
        <v>1368</v>
      </c>
      <c r="DV12" s="610" t="s">
        <v>1368</v>
      </c>
      <c r="DW12" s="609" t="s">
        <v>1368</v>
      </c>
      <c r="DX12" s="609" t="s">
        <v>1368</v>
      </c>
      <c r="DY12" s="609" t="s">
        <v>1368</v>
      </c>
      <c r="DZ12" s="609" t="s">
        <v>1368</v>
      </c>
      <c r="EA12" s="609" t="s">
        <v>1368</v>
      </c>
      <c r="EB12" s="609" t="s">
        <v>1368</v>
      </c>
      <c r="EC12" s="609" t="s">
        <v>1368</v>
      </c>
      <c r="ED12" s="609" t="s">
        <v>1368</v>
      </c>
      <c r="EE12" s="609" t="s">
        <v>1368</v>
      </c>
      <c r="EF12" s="609" t="s">
        <v>1368</v>
      </c>
      <c r="EG12" s="609" t="s">
        <v>1368</v>
      </c>
      <c r="EH12" s="609" t="s">
        <v>1368</v>
      </c>
      <c r="EI12" s="610" t="s">
        <v>1707</v>
      </c>
      <c r="EJ12" s="610" t="s">
        <v>1707</v>
      </c>
      <c r="EK12" s="610" t="s">
        <v>1707</v>
      </c>
      <c r="EL12" s="610" t="s">
        <v>1707</v>
      </c>
      <c r="EM12" s="610" t="s">
        <v>1707</v>
      </c>
      <c r="EN12" s="610" t="s">
        <v>1707</v>
      </c>
      <c r="EO12" s="610" t="s">
        <v>1707</v>
      </c>
      <c r="EP12" s="610" t="s">
        <v>1707</v>
      </c>
      <c r="EQ12" s="610" t="s">
        <v>1707</v>
      </c>
      <c r="ER12" s="610" t="s">
        <v>1707</v>
      </c>
      <c r="ES12" s="610" t="s">
        <v>1707</v>
      </c>
      <c r="ET12" s="610" t="s">
        <v>1707</v>
      </c>
      <c r="EU12" s="610">
        <v>4040</v>
      </c>
      <c r="EV12" s="610" t="s">
        <v>1707</v>
      </c>
      <c r="EW12" s="610" t="s">
        <v>1707</v>
      </c>
      <c r="EX12" s="610" t="s">
        <v>1707</v>
      </c>
      <c r="EY12" s="610" t="s">
        <v>1707</v>
      </c>
      <c r="EZ12" s="610" t="s">
        <v>1707</v>
      </c>
      <c r="FA12" s="610" t="s">
        <v>1707</v>
      </c>
      <c r="FB12" s="610" t="s">
        <v>1707</v>
      </c>
      <c r="FC12" s="610" t="s">
        <v>1707</v>
      </c>
      <c r="FD12" s="610" t="s">
        <v>1707</v>
      </c>
      <c r="FE12" s="610" t="s">
        <v>1707</v>
      </c>
      <c r="FF12" s="610" t="s">
        <v>1707</v>
      </c>
      <c r="FG12" s="610" t="s">
        <v>1707</v>
      </c>
      <c r="FH12" s="610">
        <v>52</v>
      </c>
      <c r="FI12" s="610">
        <v>51</v>
      </c>
      <c r="FJ12" s="610">
        <v>51</v>
      </c>
      <c r="FK12" s="610">
        <v>52</v>
      </c>
      <c r="FL12" s="610">
        <v>51</v>
      </c>
      <c r="FM12" s="610">
        <v>51</v>
      </c>
      <c r="FN12" s="610">
        <v>51</v>
      </c>
      <c r="FO12" s="610">
        <v>51</v>
      </c>
      <c r="FP12" s="610">
        <v>51</v>
      </c>
      <c r="FQ12" s="610">
        <v>51</v>
      </c>
      <c r="FR12" s="610" t="s">
        <v>2487</v>
      </c>
      <c r="FS12" s="610" t="s">
        <v>2487</v>
      </c>
      <c r="FT12" s="610" t="s">
        <v>2487</v>
      </c>
      <c r="FU12" s="610" t="s">
        <v>2487</v>
      </c>
      <c r="FV12" s="610" t="s">
        <v>2487</v>
      </c>
      <c r="FW12" s="610" t="s">
        <v>2487</v>
      </c>
      <c r="FX12" s="610" t="s">
        <v>2487</v>
      </c>
      <c r="FY12" s="610" t="s">
        <v>2487</v>
      </c>
      <c r="FZ12" s="610" t="s">
        <v>2487</v>
      </c>
      <c r="GA12" s="610" t="s">
        <v>2487</v>
      </c>
      <c r="GB12" s="610" t="s">
        <v>2487</v>
      </c>
      <c r="GC12" s="610" t="s">
        <v>2487</v>
      </c>
      <c r="GD12" s="564">
        <f t="shared" si="3"/>
        <v>79950</v>
      </c>
      <c r="GE12" s="564">
        <f t="shared" si="4"/>
        <v>79950</v>
      </c>
      <c r="GF12" s="564">
        <f t="shared" si="5"/>
        <v>79950</v>
      </c>
      <c r="GG12" s="564">
        <f t="shared" si="6"/>
        <v>79950</v>
      </c>
      <c r="GH12" s="564">
        <f t="shared" si="7"/>
        <v>79950</v>
      </c>
      <c r="GI12" s="564">
        <f t="shared" si="8"/>
        <v>79950</v>
      </c>
      <c r="GJ12" s="564">
        <f t="shared" si="9"/>
        <v>79950</v>
      </c>
      <c r="GK12" s="564">
        <f t="shared" si="10"/>
        <v>79950</v>
      </c>
      <c r="GL12" s="564">
        <f t="shared" si="11"/>
        <v>79950</v>
      </c>
      <c r="GM12" s="564">
        <f t="shared" si="12"/>
        <v>79950</v>
      </c>
      <c r="GN12" s="564">
        <f t="shared" si="13"/>
        <v>79950</v>
      </c>
      <c r="GO12" s="564">
        <f t="shared" si="14"/>
        <v>79950</v>
      </c>
      <c r="GP12" s="564"/>
      <c r="GS12" s="375" t="s">
        <v>477</v>
      </c>
      <c r="GT12" s="374" t="str">
        <f t="shared" si="1"/>
        <v>〇</v>
      </c>
    </row>
    <row r="13" spans="1:202">
      <c r="B13" s="371">
        <v>9</v>
      </c>
      <c r="C13" s="378">
        <v>9</v>
      </c>
      <c r="D13" s="373" t="s">
        <v>489</v>
      </c>
      <c r="E13" s="373" t="s">
        <v>14</v>
      </c>
      <c r="F13" s="603">
        <f t="shared" si="2"/>
        <v>90</v>
      </c>
      <c r="G13" s="603"/>
      <c r="H13" s="603">
        <v>45</v>
      </c>
      <c r="I13" s="603">
        <v>45</v>
      </c>
      <c r="J13" s="603"/>
      <c r="K13" s="603"/>
      <c r="L13" s="603"/>
      <c r="M13" s="603"/>
      <c r="N13" s="608"/>
      <c r="O13" s="603">
        <v>1577000</v>
      </c>
      <c r="P13" s="603">
        <v>2721000</v>
      </c>
      <c r="Q13" s="603">
        <v>2721000</v>
      </c>
      <c r="R13" s="603">
        <v>1791000</v>
      </c>
      <c r="S13" s="603">
        <v>0</v>
      </c>
      <c r="T13" s="603">
        <v>0</v>
      </c>
      <c r="U13" s="603">
        <v>0</v>
      </c>
      <c r="V13" s="603">
        <v>1051000</v>
      </c>
      <c r="W13" s="603">
        <v>1814000</v>
      </c>
      <c r="X13" s="603">
        <v>1814000</v>
      </c>
      <c r="Y13" s="603">
        <v>1194000</v>
      </c>
      <c r="Z13" s="603">
        <v>0</v>
      </c>
      <c r="AA13" s="603">
        <v>0</v>
      </c>
      <c r="AB13" s="603">
        <v>0</v>
      </c>
      <c r="AC13" s="603">
        <v>0</v>
      </c>
      <c r="AD13" s="603">
        <v>0</v>
      </c>
      <c r="AE13" s="603">
        <v>0</v>
      </c>
      <c r="AF13" s="603">
        <v>0</v>
      </c>
      <c r="AG13" s="603">
        <v>0</v>
      </c>
      <c r="AH13" s="603">
        <v>0</v>
      </c>
      <c r="AI13" s="603">
        <v>0</v>
      </c>
      <c r="AJ13" s="604" t="s">
        <v>2377</v>
      </c>
      <c r="AK13" s="605" t="s">
        <v>2378</v>
      </c>
      <c r="AL13" s="605" t="s">
        <v>1545</v>
      </c>
      <c r="AM13" s="606" t="s">
        <v>2011</v>
      </c>
      <c r="AN13" s="609" t="s">
        <v>12</v>
      </c>
      <c r="AO13" s="610" t="s">
        <v>13</v>
      </c>
      <c r="AP13" s="610" t="s">
        <v>13</v>
      </c>
      <c r="AQ13" s="610" t="s">
        <v>13</v>
      </c>
      <c r="AR13" s="610" t="s">
        <v>13</v>
      </c>
      <c r="AS13" s="610" t="s">
        <v>13</v>
      </c>
      <c r="AT13" s="610" t="s">
        <v>13</v>
      </c>
      <c r="AU13" s="610" t="s">
        <v>13</v>
      </c>
      <c r="AV13" s="610" t="s">
        <v>13</v>
      </c>
      <c r="AW13" s="610" t="s">
        <v>13</v>
      </c>
      <c r="AX13" s="610" t="s">
        <v>13</v>
      </c>
      <c r="AY13" s="610" t="s">
        <v>13</v>
      </c>
      <c r="AZ13" s="610" t="s">
        <v>13</v>
      </c>
      <c r="BA13" s="610" t="s">
        <v>14</v>
      </c>
      <c r="BB13" s="610" t="s">
        <v>14</v>
      </c>
      <c r="BC13" s="610" t="s">
        <v>14</v>
      </c>
      <c r="BD13" s="610" t="s">
        <v>14</v>
      </c>
      <c r="BE13" s="610" t="s">
        <v>14</v>
      </c>
      <c r="BF13" s="610" t="s">
        <v>14</v>
      </c>
      <c r="BG13" s="610" t="s">
        <v>14</v>
      </c>
      <c r="BH13" s="610" t="s">
        <v>14</v>
      </c>
      <c r="BI13" s="610" t="s">
        <v>14</v>
      </c>
      <c r="BJ13" s="610" t="s">
        <v>14</v>
      </c>
      <c r="BK13" s="610" t="s">
        <v>14</v>
      </c>
      <c r="BL13" s="610" t="s">
        <v>14</v>
      </c>
      <c r="BM13" s="610">
        <v>0</v>
      </c>
      <c r="BN13" s="610">
        <v>1</v>
      </c>
      <c r="BO13" s="610">
        <v>1</v>
      </c>
      <c r="BP13" s="610">
        <v>1</v>
      </c>
      <c r="BQ13" s="610">
        <v>1</v>
      </c>
      <c r="BR13" s="610">
        <v>1</v>
      </c>
      <c r="BS13" s="610">
        <v>1</v>
      </c>
      <c r="BT13" s="610">
        <v>1</v>
      </c>
      <c r="BU13" s="610">
        <v>1</v>
      </c>
      <c r="BV13" s="610">
        <v>1</v>
      </c>
      <c r="BW13" s="610">
        <v>1</v>
      </c>
      <c r="BX13" s="610">
        <v>1</v>
      </c>
      <c r="BY13" s="610">
        <v>0</v>
      </c>
      <c r="BZ13" s="610">
        <v>0</v>
      </c>
      <c r="CA13" s="610">
        <v>0</v>
      </c>
      <c r="CB13" s="610">
        <v>0</v>
      </c>
      <c r="CC13" s="610">
        <v>0</v>
      </c>
      <c r="CD13" s="610">
        <v>0</v>
      </c>
      <c r="CE13" s="610">
        <v>0</v>
      </c>
      <c r="CF13" s="610">
        <v>0</v>
      </c>
      <c r="CG13" s="610">
        <v>0</v>
      </c>
      <c r="CH13" s="610">
        <v>0</v>
      </c>
      <c r="CI13" s="610">
        <v>0</v>
      </c>
      <c r="CJ13" s="610">
        <v>0</v>
      </c>
      <c r="CK13" s="610">
        <v>0</v>
      </c>
      <c r="CL13" s="610">
        <v>0</v>
      </c>
      <c r="CM13" s="610">
        <v>0</v>
      </c>
      <c r="CN13" s="610">
        <v>0</v>
      </c>
      <c r="CO13" s="610">
        <v>0</v>
      </c>
      <c r="CP13" s="610">
        <v>0</v>
      </c>
      <c r="CQ13" s="610">
        <v>0</v>
      </c>
      <c r="CR13" s="610">
        <v>0</v>
      </c>
      <c r="CS13" s="610">
        <v>0</v>
      </c>
      <c r="CT13" s="610">
        <v>0</v>
      </c>
      <c r="CU13" s="610">
        <v>0</v>
      </c>
      <c r="CV13" s="610">
        <v>0</v>
      </c>
      <c r="CW13" s="610" t="s">
        <v>14</v>
      </c>
      <c r="CX13" s="610">
        <v>0</v>
      </c>
      <c r="CY13" s="610" t="s">
        <v>2449</v>
      </c>
      <c r="CZ13" s="610" t="s">
        <v>2449</v>
      </c>
      <c r="DA13" s="610" t="s">
        <v>2449</v>
      </c>
      <c r="DB13" s="610" t="s">
        <v>2449</v>
      </c>
      <c r="DC13" s="610" t="s">
        <v>2449</v>
      </c>
      <c r="DD13" s="610" t="s">
        <v>2449</v>
      </c>
      <c r="DE13" s="610" t="s">
        <v>2449</v>
      </c>
      <c r="DF13" s="610" t="s">
        <v>2449</v>
      </c>
      <c r="DG13" s="610" t="s">
        <v>2449</v>
      </c>
      <c r="DH13" s="610" t="s">
        <v>2449</v>
      </c>
      <c r="DI13" s="610" t="s">
        <v>2449</v>
      </c>
      <c r="DJ13" s="610" t="s">
        <v>2449</v>
      </c>
      <c r="DK13" s="610" t="s">
        <v>1368</v>
      </c>
      <c r="DL13" s="610" t="s">
        <v>1368</v>
      </c>
      <c r="DM13" s="610" t="s">
        <v>1368</v>
      </c>
      <c r="DN13" s="610" t="s">
        <v>1368</v>
      </c>
      <c r="DO13" s="610" t="s">
        <v>1368</v>
      </c>
      <c r="DP13" s="610" t="s">
        <v>1368</v>
      </c>
      <c r="DQ13" s="610" t="s">
        <v>1368</v>
      </c>
      <c r="DR13" s="610" t="s">
        <v>1368</v>
      </c>
      <c r="DS13" s="610" t="s">
        <v>1368</v>
      </c>
      <c r="DT13" s="610" t="s">
        <v>1368</v>
      </c>
      <c r="DU13" s="610" t="s">
        <v>1368</v>
      </c>
      <c r="DV13" s="610" t="s">
        <v>1368</v>
      </c>
      <c r="DW13" s="609" t="s">
        <v>1368</v>
      </c>
      <c r="DX13" s="609" t="s">
        <v>1368</v>
      </c>
      <c r="DY13" s="609" t="s">
        <v>1368</v>
      </c>
      <c r="DZ13" s="609" t="s">
        <v>1368</v>
      </c>
      <c r="EA13" s="609" t="s">
        <v>1368</v>
      </c>
      <c r="EB13" s="609" t="s">
        <v>1368</v>
      </c>
      <c r="EC13" s="609" t="s">
        <v>1368</v>
      </c>
      <c r="ED13" s="609" t="s">
        <v>1368</v>
      </c>
      <c r="EE13" s="609" t="s">
        <v>1368</v>
      </c>
      <c r="EF13" s="609" t="s">
        <v>1368</v>
      </c>
      <c r="EG13" s="609" t="s">
        <v>1368</v>
      </c>
      <c r="EH13" s="609" t="s">
        <v>1368</v>
      </c>
      <c r="EI13" s="610" t="s">
        <v>1707</v>
      </c>
      <c r="EJ13" s="610" t="s">
        <v>1707</v>
      </c>
      <c r="EK13" s="610" t="s">
        <v>1707</v>
      </c>
      <c r="EL13" s="610" t="s">
        <v>1707</v>
      </c>
      <c r="EM13" s="610" t="s">
        <v>1707</v>
      </c>
      <c r="EN13" s="610" t="s">
        <v>1707</v>
      </c>
      <c r="EO13" s="610" t="s">
        <v>1707</v>
      </c>
      <c r="EP13" s="610" t="s">
        <v>1707</v>
      </c>
      <c r="EQ13" s="610" t="s">
        <v>1707</v>
      </c>
      <c r="ER13" s="610" t="s">
        <v>1707</v>
      </c>
      <c r="ES13" s="610" t="s">
        <v>1707</v>
      </c>
      <c r="ET13" s="610" t="s">
        <v>1707</v>
      </c>
      <c r="EU13" s="610">
        <v>4070</v>
      </c>
      <c r="EV13" s="610" t="s">
        <v>1707</v>
      </c>
      <c r="EW13" s="610" t="s">
        <v>1707</v>
      </c>
      <c r="EX13" s="610" t="s">
        <v>1707</v>
      </c>
      <c r="EY13" s="610" t="s">
        <v>1707</v>
      </c>
      <c r="EZ13" s="610" t="s">
        <v>1707</v>
      </c>
      <c r="FA13" s="610" t="s">
        <v>1707</v>
      </c>
      <c r="FB13" s="610" t="s">
        <v>1707</v>
      </c>
      <c r="FC13" s="610" t="s">
        <v>1707</v>
      </c>
      <c r="FD13" s="610" t="s">
        <v>1707</v>
      </c>
      <c r="FE13" s="610" t="s">
        <v>1707</v>
      </c>
      <c r="FF13" s="610" t="s">
        <v>1707</v>
      </c>
      <c r="FG13" s="610" t="s">
        <v>1707</v>
      </c>
      <c r="FH13" s="610">
        <v>29</v>
      </c>
      <c r="FI13" s="610">
        <v>29</v>
      </c>
      <c r="FJ13" s="610">
        <v>29</v>
      </c>
      <c r="FK13" s="610">
        <v>29</v>
      </c>
      <c r="FL13" s="610">
        <v>29</v>
      </c>
      <c r="FM13" s="610">
        <v>29</v>
      </c>
      <c r="FN13" s="610">
        <v>29</v>
      </c>
      <c r="FO13" s="610">
        <v>30</v>
      </c>
      <c r="FP13" s="610">
        <v>30</v>
      </c>
      <c r="FQ13" s="610">
        <v>30</v>
      </c>
      <c r="FR13" s="610" t="s">
        <v>2487</v>
      </c>
      <c r="FS13" s="610" t="s">
        <v>2487</v>
      </c>
      <c r="FT13" s="610" t="s">
        <v>2487</v>
      </c>
      <c r="FU13" s="610" t="s">
        <v>2487</v>
      </c>
      <c r="FV13" s="610" t="s">
        <v>2487</v>
      </c>
      <c r="FW13" s="610" t="s">
        <v>2487</v>
      </c>
      <c r="FX13" s="610" t="s">
        <v>2487</v>
      </c>
      <c r="FY13" s="610" t="s">
        <v>2487</v>
      </c>
      <c r="FZ13" s="610" t="s">
        <v>2487</v>
      </c>
      <c r="GA13" s="610" t="s">
        <v>2487</v>
      </c>
      <c r="GB13" s="610" t="s">
        <v>2487</v>
      </c>
      <c r="GC13" s="610" t="s">
        <v>2487</v>
      </c>
      <c r="GD13" s="564">
        <f t="shared" si="3"/>
        <v>79950</v>
      </c>
      <c r="GE13" s="564">
        <f t="shared" si="4"/>
        <v>79950</v>
      </c>
      <c r="GF13" s="564">
        <f t="shared" si="5"/>
        <v>79950</v>
      </c>
      <c r="GG13" s="564">
        <f t="shared" si="6"/>
        <v>79950</v>
      </c>
      <c r="GH13" s="564">
        <f t="shared" si="7"/>
        <v>79950</v>
      </c>
      <c r="GI13" s="564">
        <f t="shared" si="8"/>
        <v>79950</v>
      </c>
      <c r="GJ13" s="564">
        <f t="shared" si="9"/>
        <v>79950</v>
      </c>
      <c r="GK13" s="564">
        <f t="shared" si="10"/>
        <v>79950</v>
      </c>
      <c r="GL13" s="564">
        <f t="shared" si="11"/>
        <v>79950</v>
      </c>
      <c r="GM13" s="564">
        <f t="shared" si="12"/>
        <v>79950</v>
      </c>
      <c r="GN13" s="564">
        <f t="shared" si="13"/>
        <v>79950</v>
      </c>
      <c r="GO13" s="564">
        <f t="shared" si="14"/>
        <v>79950</v>
      </c>
      <c r="GP13" s="564"/>
      <c r="GS13" s="375" t="s">
        <v>489</v>
      </c>
      <c r="GT13" s="374" t="str">
        <f t="shared" si="1"/>
        <v>〇</v>
      </c>
    </row>
    <row r="14" spans="1:202">
      <c r="B14" s="371">
        <v>10</v>
      </c>
      <c r="C14" s="378">
        <v>10</v>
      </c>
      <c r="D14" s="373" t="s">
        <v>460</v>
      </c>
      <c r="E14" s="373" t="s">
        <v>14</v>
      </c>
      <c r="F14" s="603">
        <f t="shared" si="2"/>
        <v>110</v>
      </c>
      <c r="G14" s="603"/>
      <c r="H14" s="603">
        <v>66</v>
      </c>
      <c r="I14" s="603">
        <v>44</v>
      </c>
      <c r="J14" s="603"/>
      <c r="K14" s="603"/>
      <c r="L14" s="603"/>
      <c r="M14" s="603"/>
      <c r="N14" s="608"/>
      <c r="O14" s="603">
        <v>1577000</v>
      </c>
      <c r="P14" s="603">
        <v>2721000</v>
      </c>
      <c r="Q14" s="603">
        <v>2721000</v>
      </c>
      <c r="R14" s="603">
        <v>1791000</v>
      </c>
      <c r="S14" s="603">
        <v>0</v>
      </c>
      <c r="T14" s="603">
        <v>2181000</v>
      </c>
      <c r="U14" s="603">
        <v>2181000</v>
      </c>
      <c r="V14" s="603">
        <v>1051000</v>
      </c>
      <c r="W14" s="603">
        <v>1814000</v>
      </c>
      <c r="X14" s="603">
        <v>1814000</v>
      </c>
      <c r="Y14" s="603">
        <v>1194000</v>
      </c>
      <c r="Z14" s="603">
        <v>0</v>
      </c>
      <c r="AA14" s="603">
        <v>1454000</v>
      </c>
      <c r="AB14" s="603">
        <v>1454000</v>
      </c>
      <c r="AC14" s="603">
        <v>526000</v>
      </c>
      <c r="AD14" s="603">
        <v>907000</v>
      </c>
      <c r="AE14" s="603">
        <v>907000</v>
      </c>
      <c r="AF14" s="603">
        <v>597000</v>
      </c>
      <c r="AG14" s="603">
        <v>0</v>
      </c>
      <c r="AH14" s="603">
        <v>727000</v>
      </c>
      <c r="AI14" s="603">
        <v>727000</v>
      </c>
      <c r="AJ14" s="604" t="s">
        <v>2377</v>
      </c>
      <c r="AK14" s="605" t="s">
        <v>2378</v>
      </c>
      <c r="AL14" s="605" t="s">
        <v>2490</v>
      </c>
      <c r="AM14" s="606" t="s">
        <v>2012</v>
      </c>
      <c r="AN14" s="609" t="s">
        <v>12</v>
      </c>
      <c r="AO14" s="610" t="s">
        <v>1368</v>
      </c>
      <c r="AP14" s="610" t="s">
        <v>1368</v>
      </c>
      <c r="AQ14" s="610" t="s">
        <v>1368</v>
      </c>
      <c r="AR14" s="610" t="s">
        <v>1368</v>
      </c>
      <c r="AS14" s="610" t="s">
        <v>1368</v>
      </c>
      <c r="AT14" s="610" t="s">
        <v>1368</v>
      </c>
      <c r="AU14" s="610" t="s">
        <v>1368</v>
      </c>
      <c r="AV14" s="610" t="s">
        <v>1368</v>
      </c>
      <c r="AW14" s="610" t="s">
        <v>1368</v>
      </c>
      <c r="AX14" s="610" t="s">
        <v>1368</v>
      </c>
      <c r="AY14" s="610" t="s">
        <v>1368</v>
      </c>
      <c r="AZ14" s="610" t="s">
        <v>1368</v>
      </c>
      <c r="BA14" s="610" t="s">
        <v>1368</v>
      </c>
      <c r="BB14" s="610" t="s">
        <v>1368</v>
      </c>
      <c r="BC14" s="610" t="s">
        <v>1368</v>
      </c>
      <c r="BD14" s="610" t="s">
        <v>1368</v>
      </c>
      <c r="BE14" s="610" t="s">
        <v>1368</v>
      </c>
      <c r="BF14" s="610" t="s">
        <v>1368</v>
      </c>
      <c r="BG14" s="610" t="s">
        <v>1368</v>
      </c>
      <c r="BH14" s="610" t="s">
        <v>1368</v>
      </c>
      <c r="BI14" s="610" t="s">
        <v>1368</v>
      </c>
      <c r="BJ14" s="610" t="s">
        <v>1368</v>
      </c>
      <c r="BK14" s="610" t="s">
        <v>1368</v>
      </c>
      <c r="BL14" s="610" t="s">
        <v>1368</v>
      </c>
      <c r="BM14" s="610">
        <v>0</v>
      </c>
      <c r="BN14" s="610">
        <v>0</v>
      </c>
      <c r="BO14" s="610">
        <v>0</v>
      </c>
      <c r="BP14" s="610">
        <v>0</v>
      </c>
      <c r="BQ14" s="610">
        <v>0</v>
      </c>
      <c r="BR14" s="610">
        <v>0</v>
      </c>
      <c r="BS14" s="610">
        <v>0</v>
      </c>
      <c r="BT14" s="610">
        <v>0</v>
      </c>
      <c r="BU14" s="610">
        <v>0</v>
      </c>
      <c r="BV14" s="610">
        <v>0</v>
      </c>
      <c r="BW14" s="610">
        <v>0</v>
      </c>
      <c r="BX14" s="610">
        <v>0</v>
      </c>
      <c r="BY14" s="610">
        <v>0</v>
      </c>
      <c r="BZ14" s="610">
        <v>0</v>
      </c>
      <c r="CA14" s="610">
        <v>0</v>
      </c>
      <c r="CB14" s="610">
        <v>0</v>
      </c>
      <c r="CC14" s="610">
        <v>0</v>
      </c>
      <c r="CD14" s="610">
        <v>0</v>
      </c>
      <c r="CE14" s="610">
        <v>0</v>
      </c>
      <c r="CF14" s="610">
        <v>0</v>
      </c>
      <c r="CG14" s="610">
        <v>0</v>
      </c>
      <c r="CH14" s="610">
        <v>0</v>
      </c>
      <c r="CI14" s="610">
        <v>0</v>
      </c>
      <c r="CJ14" s="610">
        <v>0</v>
      </c>
      <c r="CK14" s="610">
        <v>0</v>
      </c>
      <c r="CL14" s="610">
        <v>0</v>
      </c>
      <c r="CM14" s="610">
        <v>0</v>
      </c>
      <c r="CN14" s="610">
        <v>0</v>
      </c>
      <c r="CO14" s="610">
        <v>0</v>
      </c>
      <c r="CP14" s="610">
        <v>0</v>
      </c>
      <c r="CQ14" s="610">
        <v>0</v>
      </c>
      <c r="CR14" s="610">
        <v>0</v>
      </c>
      <c r="CS14" s="610">
        <v>0</v>
      </c>
      <c r="CT14" s="610">
        <v>0</v>
      </c>
      <c r="CU14" s="610">
        <v>0</v>
      </c>
      <c r="CV14" s="610">
        <v>0</v>
      </c>
      <c r="CW14" s="610" t="s">
        <v>14</v>
      </c>
      <c r="CX14" s="610">
        <v>0</v>
      </c>
      <c r="CY14" s="610" t="s">
        <v>1707</v>
      </c>
      <c r="CZ14" s="610" t="s">
        <v>1707</v>
      </c>
      <c r="DA14" s="610" t="s">
        <v>1707</v>
      </c>
      <c r="DB14" s="610" t="s">
        <v>1707</v>
      </c>
      <c r="DC14" s="610" t="s">
        <v>1707</v>
      </c>
      <c r="DD14" s="610" t="s">
        <v>1707</v>
      </c>
      <c r="DE14" s="610" t="s">
        <v>1707</v>
      </c>
      <c r="DF14" s="610" t="s">
        <v>1707</v>
      </c>
      <c r="DG14" s="610" t="s">
        <v>1707</v>
      </c>
      <c r="DH14" s="610" t="s">
        <v>1707</v>
      </c>
      <c r="DI14" s="610" t="s">
        <v>1707</v>
      </c>
      <c r="DJ14" s="610" t="s">
        <v>1707</v>
      </c>
      <c r="DK14" s="610" t="s">
        <v>1368</v>
      </c>
      <c r="DL14" s="610" t="s">
        <v>1368</v>
      </c>
      <c r="DM14" s="610" t="s">
        <v>1368</v>
      </c>
      <c r="DN14" s="610" t="s">
        <v>1368</v>
      </c>
      <c r="DO14" s="610" t="s">
        <v>1368</v>
      </c>
      <c r="DP14" s="610" t="s">
        <v>1368</v>
      </c>
      <c r="DQ14" s="610" t="s">
        <v>1368</v>
      </c>
      <c r="DR14" s="610" t="s">
        <v>1368</v>
      </c>
      <c r="DS14" s="610" t="s">
        <v>1368</v>
      </c>
      <c r="DT14" s="610" t="s">
        <v>1368</v>
      </c>
      <c r="DU14" s="610" t="s">
        <v>1368</v>
      </c>
      <c r="DV14" s="610" t="s">
        <v>1368</v>
      </c>
      <c r="DW14" s="609" t="s">
        <v>1368</v>
      </c>
      <c r="DX14" s="609" t="s">
        <v>1368</v>
      </c>
      <c r="DY14" s="609" t="s">
        <v>1368</v>
      </c>
      <c r="DZ14" s="609" t="s">
        <v>1368</v>
      </c>
      <c r="EA14" s="609" t="s">
        <v>1368</v>
      </c>
      <c r="EB14" s="609" t="s">
        <v>1368</v>
      </c>
      <c r="EC14" s="609" t="s">
        <v>1368</v>
      </c>
      <c r="ED14" s="609" t="s">
        <v>1368</v>
      </c>
      <c r="EE14" s="609" t="s">
        <v>1368</v>
      </c>
      <c r="EF14" s="609" t="s">
        <v>1368</v>
      </c>
      <c r="EG14" s="609" t="s">
        <v>1368</v>
      </c>
      <c r="EH14" s="609" t="s">
        <v>1368</v>
      </c>
      <c r="EI14" s="610" t="s">
        <v>1707</v>
      </c>
      <c r="EJ14" s="610" t="s">
        <v>1707</v>
      </c>
      <c r="EK14" s="610" t="s">
        <v>1707</v>
      </c>
      <c r="EL14" s="610" t="s">
        <v>1707</v>
      </c>
      <c r="EM14" s="610" t="s">
        <v>1707</v>
      </c>
      <c r="EN14" s="610" t="s">
        <v>1707</v>
      </c>
      <c r="EO14" s="610" t="s">
        <v>1707</v>
      </c>
      <c r="EP14" s="610" t="s">
        <v>1707</v>
      </c>
      <c r="EQ14" s="610" t="s">
        <v>1707</v>
      </c>
      <c r="ER14" s="610" t="s">
        <v>1707</v>
      </c>
      <c r="ES14" s="610" t="s">
        <v>1707</v>
      </c>
      <c r="ET14" s="610" t="s">
        <v>1707</v>
      </c>
      <c r="EU14" s="610">
        <v>4070</v>
      </c>
      <c r="EV14" s="610" t="s">
        <v>1707</v>
      </c>
      <c r="EW14" s="610" t="s">
        <v>1707</v>
      </c>
      <c r="EX14" s="610" t="s">
        <v>1707</v>
      </c>
      <c r="EY14" s="610" t="s">
        <v>1707</v>
      </c>
      <c r="EZ14" s="610" t="s">
        <v>1707</v>
      </c>
      <c r="FA14" s="610" t="s">
        <v>1707</v>
      </c>
      <c r="FB14" s="610" t="s">
        <v>1707</v>
      </c>
      <c r="FC14" s="610" t="s">
        <v>1707</v>
      </c>
      <c r="FD14" s="610" t="s">
        <v>1707</v>
      </c>
      <c r="FE14" s="610" t="s">
        <v>1707</v>
      </c>
      <c r="FF14" s="610" t="s">
        <v>1707</v>
      </c>
      <c r="FG14" s="610" t="s">
        <v>1707</v>
      </c>
      <c r="FH14" s="610">
        <v>49</v>
      </c>
      <c r="FI14" s="610">
        <v>48</v>
      </c>
      <c r="FJ14" s="610">
        <v>48</v>
      </c>
      <c r="FK14" s="610">
        <v>47</v>
      </c>
      <c r="FL14" s="610">
        <v>47</v>
      </c>
      <c r="FM14" s="610">
        <v>47</v>
      </c>
      <c r="FN14" s="610">
        <v>47</v>
      </c>
      <c r="FO14" s="610">
        <v>47</v>
      </c>
      <c r="FP14" s="610">
        <v>47</v>
      </c>
      <c r="FQ14" s="610">
        <v>47</v>
      </c>
      <c r="FR14" s="610" t="s">
        <v>2487</v>
      </c>
      <c r="FS14" s="610" t="s">
        <v>2487</v>
      </c>
      <c r="FT14" s="610" t="s">
        <v>2487</v>
      </c>
      <c r="FU14" s="610" t="s">
        <v>2487</v>
      </c>
      <c r="FV14" s="610" t="s">
        <v>2487</v>
      </c>
      <c r="FW14" s="610" t="s">
        <v>2487</v>
      </c>
      <c r="FX14" s="610" t="s">
        <v>2487</v>
      </c>
      <c r="FY14" s="610" t="s">
        <v>2487</v>
      </c>
      <c r="FZ14" s="610" t="s">
        <v>2487</v>
      </c>
      <c r="GA14" s="610" t="s">
        <v>2487</v>
      </c>
      <c r="GB14" s="610" t="s">
        <v>2487</v>
      </c>
      <c r="GC14" s="610" t="s">
        <v>2487</v>
      </c>
      <c r="GD14" s="564">
        <f t="shared" si="3"/>
        <v>79950</v>
      </c>
      <c r="GE14" s="564">
        <f t="shared" si="4"/>
        <v>79950</v>
      </c>
      <c r="GF14" s="564">
        <f t="shared" si="5"/>
        <v>79950</v>
      </c>
      <c r="GG14" s="564">
        <f t="shared" si="6"/>
        <v>79950</v>
      </c>
      <c r="GH14" s="564">
        <f t="shared" si="7"/>
        <v>79950</v>
      </c>
      <c r="GI14" s="564">
        <f t="shared" si="8"/>
        <v>79950</v>
      </c>
      <c r="GJ14" s="564">
        <f t="shared" si="9"/>
        <v>79950</v>
      </c>
      <c r="GK14" s="564">
        <f t="shared" si="10"/>
        <v>79950</v>
      </c>
      <c r="GL14" s="564">
        <f t="shared" si="11"/>
        <v>79950</v>
      </c>
      <c r="GM14" s="564">
        <f t="shared" si="12"/>
        <v>79950</v>
      </c>
      <c r="GN14" s="564">
        <f t="shared" si="13"/>
        <v>79950</v>
      </c>
      <c r="GO14" s="564">
        <f t="shared" si="14"/>
        <v>79950</v>
      </c>
      <c r="GP14" s="564"/>
      <c r="GS14" s="375" t="s">
        <v>460</v>
      </c>
      <c r="GT14" s="374" t="str">
        <f t="shared" si="1"/>
        <v>〇</v>
      </c>
    </row>
    <row r="15" spans="1:202">
      <c r="B15" s="371">
        <v>11</v>
      </c>
      <c r="C15" s="378">
        <v>11</v>
      </c>
      <c r="D15" s="373" t="s">
        <v>474</v>
      </c>
      <c r="E15" s="373" t="s">
        <v>14</v>
      </c>
      <c r="F15" s="603">
        <f t="shared" si="2"/>
        <v>135</v>
      </c>
      <c r="G15" s="603"/>
      <c r="H15" s="603">
        <v>75</v>
      </c>
      <c r="I15" s="603">
        <v>60</v>
      </c>
      <c r="J15" s="603"/>
      <c r="K15" s="603"/>
      <c r="L15" s="603"/>
      <c r="M15" s="603"/>
      <c r="N15" s="608"/>
      <c r="O15" s="603">
        <v>1577000</v>
      </c>
      <c r="P15" s="603">
        <v>2721000</v>
      </c>
      <c r="Q15" s="603">
        <v>2721000</v>
      </c>
      <c r="R15" s="603">
        <v>1791000</v>
      </c>
      <c r="S15" s="603">
        <v>0</v>
      </c>
      <c r="T15" s="603">
        <v>0</v>
      </c>
      <c r="U15" s="603">
        <v>2181000</v>
      </c>
      <c r="V15" s="603">
        <v>1051000</v>
      </c>
      <c r="W15" s="603">
        <v>1814000</v>
      </c>
      <c r="X15" s="603">
        <v>1814000</v>
      </c>
      <c r="Y15" s="603">
        <v>1194000</v>
      </c>
      <c r="Z15" s="603">
        <v>0</v>
      </c>
      <c r="AA15" s="603">
        <v>0</v>
      </c>
      <c r="AB15" s="603">
        <v>1454000</v>
      </c>
      <c r="AC15" s="603">
        <v>0</v>
      </c>
      <c r="AD15" s="603">
        <v>0</v>
      </c>
      <c r="AE15" s="603">
        <v>0</v>
      </c>
      <c r="AF15" s="603">
        <v>0</v>
      </c>
      <c r="AG15" s="603">
        <v>0</v>
      </c>
      <c r="AH15" s="603">
        <v>0</v>
      </c>
      <c r="AI15" s="603">
        <v>0</v>
      </c>
      <c r="AJ15" s="604" t="s">
        <v>2377</v>
      </c>
      <c r="AK15" s="605" t="s">
        <v>2378</v>
      </c>
      <c r="AL15" s="605" t="s">
        <v>1545</v>
      </c>
      <c r="AM15" s="606" t="s">
        <v>2013</v>
      </c>
      <c r="AN15" s="609" t="s">
        <v>12</v>
      </c>
      <c r="AO15" s="610" t="s">
        <v>1368</v>
      </c>
      <c r="AP15" s="610" t="s">
        <v>1368</v>
      </c>
      <c r="AQ15" s="610" t="s">
        <v>1368</v>
      </c>
      <c r="AR15" s="610" t="s">
        <v>1368</v>
      </c>
      <c r="AS15" s="610" t="s">
        <v>1368</v>
      </c>
      <c r="AT15" s="610" t="s">
        <v>1368</v>
      </c>
      <c r="AU15" s="610" t="s">
        <v>1368</v>
      </c>
      <c r="AV15" s="610" t="s">
        <v>1368</v>
      </c>
      <c r="AW15" s="610" t="s">
        <v>1368</v>
      </c>
      <c r="AX15" s="610" t="s">
        <v>1368</v>
      </c>
      <c r="AY15" s="610" t="s">
        <v>1368</v>
      </c>
      <c r="AZ15" s="610" t="s">
        <v>1368</v>
      </c>
      <c r="BA15" s="610" t="s">
        <v>1368</v>
      </c>
      <c r="BB15" s="610" t="s">
        <v>1368</v>
      </c>
      <c r="BC15" s="610" t="s">
        <v>1368</v>
      </c>
      <c r="BD15" s="610" t="s">
        <v>1368</v>
      </c>
      <c r="BE15" s="610" t="s">
        <v>1368</v>
      </c>
      <c r="BF15" s="610" t="s">
        <v>1368</v>
      </c>
      <c r="BG15" s="610" t="s">
        <v>1368</v>
      </c>
      <c r="BH15" s="610" t="s">
        <v>1368</v>
      </c>
      <c r="BI15" s="610" t="s">
        <v>1368</v>
      </c>
      <c r="BJ15" s="610" t="s">
        <v>1368</v>
      </c>
      <c r="BK15" s="610" t="s">
        <v>1368</v>
      </c>
      <c r="BL15" s="610" t="s">
        <v>1368</v>
      </c>
      <c r="BM15" s="610">
        <v>0</v>
      </c>
      <c r="BN15" s="610">
        <v>0</v>
      </c>
      <c r="BO15" s="610">
        <v>0</v>
      </c>
      <c r="BP15" s="610">
        <v>0</v>
      </c>
      <c r="BQ15" s="610">
        <v>0</v>
      </c>
      <c r="BR15" s="610">
        <v>0</v>
      </c>
      <c r="BS15" s="610">
        <v>0</v>
      </c>
      <c r="BT15" s="610">
        <v>0</v>
      </c>
      <c r="BU15" s="610">
        <v>0</v>
      </c>
      <c r="BV15" s="610">
        <v>0</v>
      </c>
      <c r="BW15" s="610">
        <v>0</v>
      </c>
      <c r="BX15" s="610">
        <v>0</v>
      </c>
      <c r="BY15" s="610">
        <v>0</v>
      </c>
      <c r="BZ15" s="610">
        <v>0</v>
      </c>
      <c r="CA15" s="610">
        <v>0</v>
      </c>
      <c r="CB15" s="610">
        <v>0</v>
      </c>
      <c r="CC15" s="610">
        <v>0</v>
      </c>
      <c r="CD15" s="610">
        <v>0</v>
      </c>
      <c r="CE15" s="610">
        <v>0</v>
      </c>
      <c r="CF15" s="610">
        <v>0</v>
      </c>
      <c r="CG15" s="610">
        <v>0</v>
      </c>
      <c r="CH15" s="610">
        <v>0</v>
      </c>
      <c r="CI15" s="610">
        <v>0</v>
      </c>
      <c r="CJ15" s="610">
        <v>0</v>
      </c>
      <c r="CK15" s="610">
        <v>0</v>
      </c>
      <c r="CL15" s="610">
        <v>0</v>
      </c>
      <c r="CM15" s="610">
        <v>0</v>
      </c>
      <c r="CN15" s="610">
        <v>0</v>
      </c>
      <c r="CO15" s="610">
        <v>0</v>
      </c>
      <c r="CP15" s="610">
        <v>0</v>
      </c>
      <c r="CQ15" s="610">
        <v>0</v>
      </c>
      <c r="CR15" s="610">
        <v>0</v>
      </c>
      <c r="CS15" s="610">
        <v>0</v>
      </c>
      <c r="CT15" s="610">
        <v>0</v>
      </c>
      <c r="CU15" s="610">
        <v>0</v>
      </c>
      <c r="CV15" s="610">
        <v>0</v>
      </c>
      <c r="CW15" s="610" t="s">
        <v>14</v>
      </c>
      <c r="CX15" s="610">
        <v>0</v>
      </c>
      <c r="CY15" s="610" t="s">
        <v>1707</v>
      </c>
      <c r="CZ15" s="610" t="s">
        <v>1707</v>
      </c>
      <c r="DA15" s="610" t="s">
        <v>1707</v>
      </c>
      <c r="DB15" s="610" t="s">
        <v>1707</v>
      </c>
      <c r="DC15" s="610" t="s">
        <v>1707</v>
      </c>
      <c r="DD15" s="610" t="s">
        <v>1707</v>
      </c>
      <c r="DE15" s="610" t="s">
        <v>1707</v>
      </c>
      <c r="DF15" s="610" t="s">
        <v>1707</v>
      </c>
      <c r="DG15" s="610" t="s">
        <v>1707</v>
      </c>
      <c r="DH15" s="610" t="s">
        <v>1707</v>
      </c>
      <c r="DI15" s="610" t="s">
        <v>1707</v>
      </c>
      <c r="DJ15" s="610" t="s">
        <v>1707</v>
      </c>
      <c r="DK15" s="610" t="s">
        <v>1368</v>
      </c>
      <c r="DL15" s="610" t="s">
        <v>1368</v>
      </c>
      <c r="DM15" s="610" t="s">
        <v>1368</v>
      </c>
      <c r="DN15" s="610" t="s">
        <v>1368</v>
      </c>
      <c r="DO15" s="610" t="s">
        <v>1368</v>
      </c>
      <c r="DP15" s="610" t="s">
        <v>1368</v>
      </c>
      <c r="DQ15" s="610" t="s">
        <v>1368</v>
      </c>
      <c r="DR15" s="610" t="s">
        <v>1368</v>
      </c>
      <c r="DS15" s="610" t="s">
        <v>1368</v>
      </c>
      <c r="DT15" s="610" t="s">
        <v>1368</v>
      </c>
      <c r="DU15" s="610" t="s">
        <v>1368</v>
      </c>
      <c r="DV15" s="610" t="s">
        <v>1368</v>
      </c>
      <c r="DW15" s="609" t="s">
        <v>1368</v>
      </c>
      <c r="DX15" s="609" t="s">
        <v>1368</v>
      </c>
      <c r="DY15" s="609" t="s">
        <v>1368</v>
      </c>
      <c r="DZ15" s="609" t="s">
        <v>1368</v>
      </c>
      <c r="EA15" s="609" t="s">
        <v>1368</v>
      </c>
      <c r="EB15" s="609" t="s">
        <v>1368</v>
      </c>
      <c r="EC15" s="609" t="s">
        <v>1368</v>
      </c>
      <c r="ED15" s="609" t="s">
        <v>1368</v>
      </c>
      <c r="EE15" s="609" t="s">
        <v>1368</v>
      </c>
      <c r="EF15" s="609" t="s">
        <v>1368</v>
      </c>
      <c r="EG15" s="609" t="s">
        <v>1368</v>
      </c>
      <c r="EH15" s="609" t="s">
        <v>1368</v>
      </c>
      <c r="EI15" s="610" t="s">
        <v>1707</v>
      </c>
      <c r="EJ15" s="610" t="s">
        <v>1707</v>
      </c>
      <c r="EK15" s="610" t="s">
        <v>1707</v>
      </c>
      <c r="EL15" s="610" t="s">
        <v>1707</v>
      </c>
      <c r="EM15" s="610" t="s">
        <v>1707</v>
      </c>
      <c r="EN15" s="610" t="s">
        <v>1707</v>
      </c>
      <c r="EO15" s="610" t="s">
        <v>1707</v>
      </c>
      <c r="EP15" s="610" t="s">
        <v>1707</v>
      </c>
      <c r="EQ15" s="610" t="s">
        <v>1707</v>
      </c>
      <c r="ER15" s="610" t="s">
        <v>1707</v>
      </c>
      <c r="ES15" s="610" t="s">
        <v>1707</v>
      </c>
      <c r="ET15" s="610" t="s">
        <v>1707</v>
      </c>
      <c r="EU15" s="610">
        <v>3950</v>
      </c>
      <c r="EV15" s="610" t="s">
        <v>1707</v>
      </c>
      <c r="EW15" s="610" t="s">
        <v>1707</v>
      </c>
      <c r="EX15" s="610" t="s">
        <v>1707</v>
      </c>
      <c r="EY15" s="610" t="s">
        <v>1707</v>
      </c>
      <c r="EZ15" s="610" t="s">
        <v>1707</v>
      </c>
      <c r="FA15" s="610" t="s">
        <v>1707</v>
      </c>
      <c r="FB15" s="610" t="s">
        <v>1707</v>
      </c>
      <c r="FC15" s="610" t="s">
        <v>1707</v>
      </c>
      <c r="FD15" s="610" t="s">
        <v>1707</v>
      </c>
      <c r="FE15" s="610" t="s">
        <v>1707</v>
      </c>
      <c r="FF15" s="610" t="s">
        <v>1707</v>
      </c>
      <c r="FG15" s="610" t="s">
        <v>1707</v>
      </c>
      <c r="FH15" s="610">
        <v>57</v>
      </c>
      <c r="FI15" s="610">
        <v>57</v>
      </c>
      <c r="FJ15" s="610">
        <v>57</v>
      </c>
      <c r="FK15" s="610">
        <v>58</v>
      </c>
      <c r="FL15" s="610">
        <v>58</v>
      </c>
      <c r="FM15" s="610">
        <v>58</v>
      </c>
      <c r="FN15" s="610">
        <v>58</v>
      </c>
      <c r="FO15" s="610">
        <v>58</v>
      </c>
      <c r="FP15" s="610">
        <v>58</v>
      </c>
      <c r="FQ15" s="610">
        <v>58</v>
      </c>
      <c r="FR15" s="610" t="s">
        <v>2487</v>
      </c>
      <c r="FS15" s="610" t="s">
        <v>2487</v>
      </c>
      <c r="FT15" s="610" t="s">
        <v>2487</v>
      </c>
      <c r="FU15" s="610" t="s">
        <v>2487</v>
      </c>
      <c r="FV15" s="610" t="s">
        <v>2487</v>
      </c>
      <c r="FW15" s="610" t="s">
        <v>2487</v>
      </c>
      <c r="FX15" s="610" t="s">
        <v>2487</v>
      </c>
      <c r="FY15" s="610" t="s">
        <v>2487</v>
      </c>
      <c r="FZ15" s="610" t="s">
        <v>2487</v>
      </c>
      <c r="GA15" s="610" t="s">
        <v>2487</v>
      </c>
      <c r="GB15" s="610" t="s">
        <v>2487</v>
      </c>
      <c r="GC15" s="610" t="s">
        <v>2487</v>
      </c>
      <c r="GD15" s="564">
        <f t="shared" si="3"/>
        <v>79950</v>
      </c>
      <c r="GE15" s="564">
        <f t="shared" si="4"/>
        <v>79950</v>
      </c>
      <c r="GF15" s="564">
        <f t="shared" si="5"/>
        <v>79950</v>
      </c>
      <c r="GG15" s="564">
        <f t="shared" si="6"/>
        <v>79950</v>
      </c>
      <c r="GH15" s="564">
        <f t="shared" si="7"/>
        <v>79950</v>
      </c>
      <c r="GI15" s="564">
        <f t="shared" si="8"/>
        <v>79950</v>
      </c>
      <c r="GJ15" s="564">
        <f t="shared" si="9"/>
        <v>79950</v>
      </c>
      <c r="GK15" s="564">
        <f t="shared" si="10"/>
        <v>79950</v>
      </c>
      <c r="GL15" s="564">
        <f t="shared" si="11"/>
        <v>79950</v>
      </c>
      <c r="GM15" s="564">
        <f t="shared" si="12"/>
        <v>79950</v>
      </c>
      <c r="GN15" s="564">
        <f t="shared" si="13"/>
        <v>79950</v>
      </c>
      <c r="GO15" s="564">
        <f t="shared" si="14"/>
        <v>79950</v>
      </c>
      <c r="GP15" s="564"/>
      <c r="GS15" s="375" t="s">
        <v>474</v>
      </c>
      <c r="GT15" s="374" t="str">
        <f t="shared" si="1"/>
        <v>〇</v>
      </c>
    </row>
    <row r="16" spans="1:202">
      <c r="B16" s="371">
        <v>12</v>
      </c>
      <c r="C16" s="378">
        <v>12</v>
      </c>
      <c r="D16" s="373" t="s">
        <v>483</v>
      </c>
      <c r="E16" s="373" t="s">
        <v>14</v>
      </c>
      <c r="F16" s="603">
        <f t="shared" si="2"/>
        <v>120</v>
      </c>
      <c r="G16" s="603"/>
      <c r="H16" s="565">
        <v>90</v>
      </c>
      <c r="I16" s="565">
        <v>30</v>
      </c>
      <c r="J16" s="603"/>
      <c r="K16" s="603"/>
      <c r="L16" s="603"/>
      <c r="M16" s="603"/>
      <c r="N16" s="608"/>
      <c r="O16" s="603">
        <v>1577000</v>
      </c>
      <c r="P16" s="603">
        <v>2721000</v>
      </c>
      <c r="Q16" s="603">
        <v>2721000</v>
      </c>
      <c r="R16" s="603">
        <v>1791000</v>
      </c>
      <c r="S16" s="603">
        <v>0</v>
      </c>
      <c r="T16" s="603">
        <v>4362000</v>
      </c>
      <c r="U16" s="603">
        <v>0</v>
      </c>
      <c r="V16" s="603">
        <v>1051000</v>
      </c>
      <c r="W16" s="603">
        <v>1814000</v>
      </c>
      <c r="X16" s="603">
        <v>1814000</v>
      </c>
      <c r="Y16" s="603">
        <v>1194000</v>
      </c>
      <c r="Z16" s="603">
        <v>0</v>
      </c>
      <c r="AA16" s="603">
        <v>2908000</v>
      </c>
      <c r="AB16" s="603">
        <v>0</v>
      </c>
      <c r="AC16" s="603">
        <v>526000</v>
      </c>
      <c r="AD16" s="603">
        <v>907000</v>
      </c>
      <c r="AE16" s="603">
        <v>907000</v>
      </c>
      <c r="AF16" s="603">
        <v>597000</v>
      </c>
      <c r="AG16" s="603">
        <v>0</v>
      </c>
      <c r="AH16" s="603">
        <v>1454000</v>
      </c>
      <c r="AI16" s="603">
        <v>0</v>
      </c>
      <c r="AJ16" s="604" t="s">
        <v>2377</v>
      </c>
      <c r="AK16" s="605" t="s">
        <v>2378</v>
      </c>
      <c r="AL16" s="605" t="s">
        <v>2490</v>
      </c>
      <c r="AM16" s="606" t="s">
        <v>2014</v>
      </c>
      <c r="AN16" s="609" t="s">
        <v>12</v>
      </c>
      <c r="AO16" s="610" t="s">
        <v>1368</v>
      </c>
      <c r="AP16" s="610" t="s">
        <v>1368</v>
      </c>
      <c r="AQ16" s="610" t="s">
        <v>1368</v>
      </c>
      <c r="AR16" s="610" t="s">
        <v>1368</v>
      </c>
      <c r="AS16" s="610" t="s">
        <v>1368</v>
      </c>
      <c r="AT16" s="610" t="s">
        <v>1368</v>
      </c>
      <c r="AU16" s="610" t="s">
        <v>1368</v>
      </c>
      <c r="AV16" s="610" t="s">
        <v>1368</v>
      </c>
      <c r="AW16" s="610" t="s">
        <v>1368</v>
      </c>
      <c r="AX16" s="610" t="s">
        <v>1368</v>
      </c>
      <c r="AY16" s="610" t="s">
        <v>1368</v>
      </c>
      <c r="AZ16" s="610" t="s">
        <v>1368</v>
      </c>
      <c r="BA16" s="610" t="s">
        <v>1368</v>
      </c>
      <c r="BB16" s="610" t="s">
        <v>1368</v>
      </c>
      <c r="BC16" s="610" t="s">
        <v>1368</v>
      </c>
      <c r="BD16" s="610" t="s">
        <v>1368</v>
      </c>
      <c r="BE16" s="610" t="s">
        <v>1368</v>
      </c>
      <c r="BF16" s="610" t="s">
        <v>1368</v>
      </c>
      <c r="BG16" s="610" t="s">
        <v>1368</v>
      </c>
      <c r="BH16" s="610" t="s">
        <v>1368</v>
      </c>
      <c r="BI16" s="610" t="s">
        <v>1368</v>
      </c>
      <c r="BJ16" s="610" t="s">
        <v>1368</v>
      </c>
      <c r="BK16" s="610" t="s">
        <v>1368</v>
      </c>
      <c r="BL16" s="610" t="s">
        <v>1368</v>
      </c>
      <c r="BM16" s="610">
        <v>0</v>
      </c>
      <c r="BN16" s="610">
        <v>2</v>
      </c>
      <c r="BO16" s="610">
        <v>2</v>
      </c>
      <c r="BP16" s="610">
        <v>2</v>
      </c>
      <c r="BQ16" s="610">
        <v>2</v>
      </c>
      <c r="BR16" s="610">
        <v>2</v>
      </c>
      <c r="BS16" s="610">
        <v>2</v>
      </c>
      <c r="BT16" s="610">
        <v>2</v>
      </c>
      <c r="BU16" s="610">
        <v>2</v>
      </c>
      <c r="BV16" s="610">
        <v>2</v>
      </c>
      <c r="BW16" s="610">
        <v>2</v>
      </c>
      <c r="BX16" s="610">
        <v>2</v>
      </c>
      <c r="BY16" s="610">
        <v>0</v>
      </c>
      <c r="BZ16" s="610">
        <v>0</v>
      </c>
      <c r="CA16" s="610">
        <v>0</v>
      </c>
      <c r="CB16" s="610">
        <v>0</v>
      </c>
      <c r="CC16" s="610">
        <v>0</v>
      </c>
      <c r="CD16" s="610">
        <v>0</v>
      </c>
      <c r="CE16" s="610">
        <v>0</v>
      </c>
      <c r="CF16" s="610">
        <v>0</v>
      </c>
      <c r="CG16" s="610">
        <v>0</v>
      </c>
      <c r="CH16" s="610">
        <v>0</v>
      </c>
      <c r="CI16" s="610">
        <v>0</v>
      </c>
      <c r="CJ16" s="610">
        <v>0</v>
      </c>
      <c r="CK16" s="610">
        <v>0</v>
      </c>
      <c r="CL16" s="610">
        <v>0</v>
      </c>
      <c r="CM16" s="610">
        <v>0</v>
      </c>
      <c r="CN16" s="610">
        <v>0</v>
      </c>
      <c r="CO16" s="610">
        <v>0</v>
      </c>
      <c r="CP16" s="610">
        <v>0</v>
      </c>
      <c r="CQ16" s="610">
        <v>0</v>
      </c>
      <c r="CR16" s="610">
        <v>0</v>
      </c>
      <c r="CS16" s="610">
        <v>0</v>
      </c>
      <c r="CT16" s="610">
        <v>0</v>
      </c>
      <c r="CU16" s="610">
        <v>0</v>
      </c>
      <c r="CV16" s="610">
        <v>0</v>
      </c>
      <c r="CW16" s="610" t="s">
        <v>12</v>
      </c>
      <c r="CX16" s="610">
        <v>0</v>
      </c>
      <c r="CY16" s="610" t="s">
        <v>1707</v>
      </c>
      <c r="CZ16" s="610" t="s">
        <v>1707</v>
      </c>
      <c r="DA16" s="610" t="s">
        <v>1707</v>
      </c>
      <c r="DB16" s="610" t="s">
        <v>1707</v>
      </c>
      <c r="DC16" s="610" t="s">
        <v>1707</v>
      </c>
      <c r="DD16" s="610" t="s">
        <v>1707</v>
      </c>
      <c r="DE16" s="610" t="s">
        <v>1707</v>
      </c>
      <c r="DF16" s="610" t="s">
        <v>1707</v>
      </c>
      <c r="DG16" s="610" t="s">
        <v>1707</v>
      </c>
      <c r="DH16" s="610" t="s">
        <v>1707</v>
      </c>
      <c r="DI16" s="610" t="s">
        <v>1707</v>
      </c>
      <c r="DJ16" s="610" t="s">
        <v>1707</v>
      </c>
      <c r="DK16" s="610" t="s">
        <v>20</v>
      </c>
      <c r="DL16" s="610" t="s">
        <v>20</v>
      </c>
      <c r="DM16" s="610" t="s">
        <v>20</v>
      </c>
      <c r="DN16" s="610" t="s">
        <v>20</v>
      </c>
      <c r="DO16" s="610" t="s">
        <v>20</v>
      </c>
      <c r="DP16" s="610" t="s">
        <v>20</v>
      </c>
      <c r="DQ16" s="610" t="s">
        <v>20</v>
      </c>
      <c r="DR16" s="610" t="s">
        <v>20</v>
      </c>
      <c r="DS16" s="610" t="s">
        <v>20</v>
      </c>
      <c r="DT16" s="610" t="s">
        <v>20</v>
      </c>
      <c r="DU16" s="610" t="s">
        <v>20</v>
      </c>
      <c r="DV16" s="610" t="s">
        <v>20</v>
      </c>
      <c r="DW16" s="609" t="s">
        <v>1368</v>
      </c>
      <c r="DX16" s="609" t="s">
        <v>1368</v>
      </c>
      <c r="DY16" s="609" t="s">
        <v>1368</v>
      </c>
      <c r="DZ16" s="609" t="s">
        <v>1368</v>
      </c>
      <c r="EA16" s="609" t="s">
        <v>1368</v>
      </c>
      <c r="EB16" s="609" t="s">
        <v>1368</v>
      </c>
      <c r="EC16" s="609" t="s">
        <v>1368</v>
      </c>
      <c r="ED16" s="609" t="s">
        <v>1368</v>
      </c>
      <c r="EE16" s="609" t="s">
        <v>1368</v>
      </c>
      <c r="EF16" s="609" t="s">
        <v>1368</v>
      </c>
      <c r="EG16" s="609" t="s">
        <v>1368</v>
      </c>
      <c r="EH16" s="609" t="s">
        <v>1368</v>
      </c>
      <c r="EI16" s="610" t="s">
        <v>1707</v>
      </c>
      <c r="EJ16" s="610" t="s">
        <v>1707</v>
      </c>
      <c r="EK16" s="610" t="s">
        <v>1707</v>
      </c>
      <c r="EL16" s="610" t="s">
        <v>1707</v>
      </c>
      <c r="EM16" s="610" t="s">
        <v>1707</v>
      </c>
      <c r="EN16" s="610" t="s">
        <v>1707</v>
      </c>
      <c r="EO16" s="610" t="s">
        <v>1707</v>
      </c>
      <c r="EP16" s="610" t="s">
        <v>1707</v>
      </c>
      <c r="EQ16" s="610" t="s">
        <v>1707</v>
      </c>
      <c r="ER16" s="610" t="s">
        <v>1707</v>
      </c>
      <c r="ES16" s="610" t="s">
        <v>1707</v>
      </c>
      <c r="ET16" s="610" t="s">
        <v>1707</v>
      </c>
      <c r="EU16" s="610">
        <v>4070</v>
      </c>
      <c r="EV16" s="610" t="s">
        <v>2449</v>
      </c>
      <c r="EW16" s="610" t="s">
        <v>2449</v>
      </c>
      <c r="EX16" s="610" t="s">
        <v>2449</v>
      </c>
      <c r="EY16" s="610" t="s">
        <v>2449</v>
      </c>
      <c r="EZ16" s="610" t="s">
        <v>2449</v>
      </c>
      <c r="FA16" s="610" t="s">
        <v>2449</v>
      </c>
      <c r="FB16" s="610" t="s">
        <v>2449</v>
      </c>
      <c r="FC16" s="610" t="s">
        <v>2449</v>
      </c>
      <c r="FD16" s="610" t="s">
        <v>2449</v>
      </c>
      <c r="FE16" s="610" t="s">
        <v>2449</v>
      </c>
      <c r="FF16" s="610" t="s">
        <v>2449</v>
      </c>
      <c r="FG16" s="610" t="s">
        <v>2449</v>
      </c>
      <c r="FH16" s="610">
        <v>48</v>
      </c>
      <c r="FI16" s="610">
        <v>50</v>
      </c>
      <c r="FJ16" s="610">
        <v>50</v>
      </c>
      <c r="FK16" s="610">
        <v>50</v>
      </c>
      <c r="FL16" s="610">
        <v>51</v>
      </c>
      <c r="FM16" s="610">
        <v>50</v>
      </c>
      <c r="FN16" s="610">
        <v>51</v>
      </c>
      <c r="FO16" s="610">
        <v>51</v>
      </c>
      <c r="FP16" s="610">
        <v>51</v>
      </c>
      <c r="FQ16" s="610">
        <v>50</v>
      </c>
      <c r="FR16" s="610" t="s">
        <v>2487</v>
      </c>
      <c r="FS16" s="610" t="s">
        <v>2487</v>
      </c>
      <c r="FT16" s="610" t="s">
        <v>2487</v>
      </c>
      <c r="FU16" s="610" t="s">
        <v>2487</v>
      </c>
      <c r="FV16" s="610" t="s">
        <v>2487</v>
      </c>
      <c r="FW16" s="610" t="s">
        <v>2487</v>
      </c>
      <c r="FX16" s="610" t="s">
        <v>2487</v>
      </c>
      <c r="FY16" s="610" t="s">
        <v>2487</v>
      </c>
      <c r="FZ16" s="610" t="s">
        <v>2487</v>
      </c>
      <c r="GA16" s="610" t="s">
        <v>2487</v>
      </c>
      <c r="GB16" s="610" t="s">
        <v>2487</v>
      </c>
      <c r="GC16" s="610" t="s">
        <v>2487</v>
      </c>
      <c r="GD16" s="564">
        <f t="shared" si="3"/>
        <v>79950</v>
      </c>
      <c r="GE16" s="564">
        <f t="shared" si="4"/>
        <v>79950</v>
      </c>
      <c r="GF16" s="564">
        <f t="shared" si="5"/>
        <v>79950</v>
      </c>
      <c r="GG16" s="564">
        <f t="shared" si="6"/>
        <v>79950</v>
      </c>
      <c r="GH16" s="564">
        <f t="shared" si="7"/>
        <v>79950</v>
      </c>
      <c r="GI16" s="564">
        <f t="shared" si="8"/>
        <v>79950</v>
      </c>
      <c r="GJ16" s="564">
        <f t="shared" si="9"/>
        <v>79950</v>
      </c>
      <c r="GK16" s="564">
        <f t="shared" si="10"/>
        <v>79950</v>
      </c>
      <c r="GL16" s="564">
        <f t="shared" si="11"/>
        <v>79950</v>
      </c>
      <c r="GM16" s="564">
        <f t="shared" si="12"/>
        <v>79950</v>
      </c>
      <c r="GN16" s="564">
        <f t="shared" si="13"/>
        <v>79950</v>
      </c>
      <c r="GO16" s="564">
        <f t="shared" si="14"/>
        <v>79950</v>
      </c>
      <c r="GP16" s="564"/>
      <c r="GS16" s="375" t="s">
        <v>483</v>
      </c>
      <c r="GT16" s="374" t="str">
        <f t="shared" si="1"/>
        <v>〇</v>
      </c>
    </row>
    <row r="17" spans="2:202">
      <c r="B17" s="371">
        <v>13</v>
      </c>
      <c r="C17" s="378">
        <v>13</v>
      </c>
      <c r="D17" s="373" t="s">
        <v>486</v>
      </c>
      <c r="E17" s="373" t="s">
        <v>14</v>
      </c>
      <c r="F17" s="603">
        <f t="shared" si="2"/>
        <v>90</v>
      </c>
      <c r="G17" s="603"/>
      <c r="H17" s="603">
        <v>60</v>
      </c>
      <c r="I17" s="603">
        <v>30</v>
      </c>
      <c r="J17" s="603"/>
      <c r="K17" s="603"/>
      <c r="L17" s="603"/>
      <c r="M17" s="603"/>
      <c r="N17" s="608"/>
      <c r="O17" s="603">
        <v>1577000</v>
      </c>
      <c r="P17" s="603">
        <v>2721000</v>
      </c>
      <c r="Q17" s="603">
        <v>2721000</v>
      </c>
      <c r="R17" s="603">
        <v>1791000</v>
      </c>
      <c r="S17" s="603">
        <v>0</v>
      </c>
      <c r="T17" s="603">
        <v>2181000</v>
      </c>
      <c r="U17" s="603">
        <v>0</v>
      </c>
      <c r="V17" s="603">
        <v>1051000</v>
      </c>
      <c r="W17" s="603">
        <v>1814000</v>
      </c>
      <c r="X17" s="603">
        <v>1814000</v>
      </c>
      <c r="Y17" s="603">
        <v>1194000</v>
      </c>
      <c r="Z17" s="603">
        <v>0</v>
      </c>
      <c r="AA17" s="603">
        <v>1454000</v>
      </c>
      <c r="AB17" s="603">
        <v>0</v>
      </c>
      <c r="AC17" s="603">
        <v>526000</v>
      </c>
      <c r="AD17" s="603">
        <v>907000</v>
      </c>
      <c r="AE17" s="603">
        <v>907000</v>
      </c>
      <c r="AF17" s="603">
        <v>597000</v>
      </c>
      <c r="AG17" s="603">
        <v>0</v>
      </c>
      <c r="AH17" s="603">
        <v>727000</v>
      </c>
      <c r="AI17" s="603">
        <v>0</v>
      </c>
      <c r="AJ17" s="604" t="s">
        <v>2377</v>
      </c>
      <c r="AK17" s="605" t="s">
        <v>2378</v>
      </c>
      <c r="AL17" s="605" t="s">
        <v>2490</v>
      </c>
      <c r="AM17" s="606" t="s">
        <v>2015</v>
      </c>
      <c r="AN17" s="609" t="s">
        <v>12</v>
      </c>
      <c r="AO17" s="610" t="s">
        <v>1368</v>
      </c>
      <c r="AP17" s="610" t="s">
        <v>1368</v>
      </c>
      <c r="AQ17" s="610" t="s">
        <v>1368</v>
      </c>
      <c r="AR17" s="610" t="s">
        <v>1368</v>
      </c>
      <c r="AS17" s="610" t="s">
        <v>1368</v>
      </c>
      <c r="AT17" s="610" t="s">
        <v>1368</v>
      </c>
      <c r="AU17" s="610" t="s">
        <v>1368</v>
      </c>
      <c r="AV17" s="610" t="s">
        <v>1368</v>
      </c>
      <c r="AW17" s="610" t="s">
        <v>1368</v>
      </c>
      <c r="AX17" s="610" t="s">
        <v>1368</v>
      </c>
      <c r="AY17" s="610" t="s">
        <v>1368</v>
      </c>
      <c r="AZ17" s="610" t="s">
        <v>1368</v>
      </c>
      <c r="BA17" s="610" t="s">
        <v>1368</v>
      </c>
      <c r="BB17" s="610" t="s">
        <v>1368</v>
      </c>
      <c r="BC17" s="610" t="s">
        <v>1368</v>
      </c>
      <c r="BD17" s="610" t="s">
        <v>1368</v>
      </c>
      <c r="BE17" s="610" t="s">
        <v>1368</v>
      </c>
      <c r="BF17" s="610" t="s">
        <v>1368</v>
      </c>
      <c r="BG17" s="610" t="s">
        <v>1368</v>
      </c>
      <c r="BH17" s="610" t="s">
        <v>1368</v>
      </c>
      <c r="BI17" s="610" t="s">
        <v>1368</v>
      </c>
      <c r="BJ17" s="610" t="s">
        <v>1368</v>
      </c>
      <c r="BK17" s="610" t="s">
        <v>1368</v>
      </c>
      <c r="BL17" s="610" t="s">
        <v>1368</v>
      </c>
      <c r="BM17" s="610">
        <v>1</v>
      </c>
      <c r="BN17" s="610">
        <v>1</v>
      </c>
      <c r="BO17" s="610">
        <v>1</v>
      </c>
      <c r="BP17" s="610">
        <v>1</v>
      </c>
      <c r="BQ17" s="610">
        <v>1</v>
      </c>
      <c r="BR17" s="610">
        <v>1</v>
      </c>
      <c r="BS17" s="610">
        <v>1</v>
      </c>
      <c r="BT17" s="610">
        <v>1</v>
      </c>
      <c r="BU17" s="610">
        <v>1</v>
      </c>
      <c r="BV17" s="610">
        <v>1</v>
      </c>
      <c r="BW17" s="610">
        <v>1</v>
      </c>
      <c r="BX17" s="610">
        <v>1</v>
      </c>
      <c r="BY17" s="610">
        <v>0</v>
      </c>
      <c r="BZ17" s="610">
        <v>0</v>
      </c>
      <c r="CA17" s="610">
        <v>0</v>
      </c>
      <c r="CB17" s="610">
        <v>0</v>
      </c>
      <c r="CC17" s="610">
        <v>0</v>
      </c>
      <c r="CD17" s="610">
        <v>0</v>
      </c>
      <c r="CE17" s="610">
        <v>0</v>
      </c>
      <c r="CF17" s="610">
        <v>0</v>
      </c>
      <c r="CG17" s="610">
        <v>0</v>
      </c>
      <c r="CH17" s="610">
        <v>0</v>
      </c>
      <c r="CI17" s="610">
        <v>0</v>
      </c>
      <c r="CJ17" s="610">
        <v>0</v>
      </c>
      <c r="CK17" s="610">
        <v>0</v>
      </c>
      <c r="CL17" s="610">
        <v>0</v>
      </c>
      <c r="CM17" s="610">
        <v>0</v>
      </c>
      <c r="CN17" s="610">
        <v>0</v>
      </c>
      <c r="CO17" s="610">
        <v>0</v>
      </c>
      <c r="CP17" s="610">
        <v>0</v>
      </c>
      <c r="CQ17" s="610">
        <v>0</v>
      </c>
      <c r="CR17" s="610">
        <v>0</v>
      </c>
      <c r="CS17" s="610">
        <v>0</v>
      </c>
      <c r="CT17" s="610">
        <v>0</v>
      </c>
      <c r="CU17" s="610">
        <v>0</v>
      </c>
      <c r="CV17" s="610">
        <v>0</v>
      </c>
      <c r="CW17" s="610" t="s">
        <v>14</v>
      </c>
      <c r="CX17" s="610">
        <v>0</v>
      </c>
      <c r="CY17" s="610" t="s">
        <v>1707</v>
      </c>
      <c r="CZ17" s="610" t="s">
        <v>1707</v>
      </c>
      <c r="DA17" s="610" t="s">
        <v>1707</v>
      </c>
      <c r="DB17" s="610" t="s">
        <v>1707</v>
      </c>
      <c r="DC17" s="610" t="s">
        <v>1707</v>
      </c>
      <c r="DD17" s="610" t="s">
        <v>1707</v>
      </c>
      <c r="DE17" s="610" t="s">
        <v>1707</v>
      </c>
      <c r="DF17" s="610" t="s">
        <v>1707</v>
      </c>
      <c r="DG17" s="610" t="s">
        <v>1707</v>
      </c>
      <c r="DH17" s="610" t="s">
        <v>1707</v>
      </c>
      <c r="DI17" s="610" t="s">
        <v>1707</v>
      </c>
      <c r="DJ17" s="610" t="s">
        <v>1707</v>
      </c>
      <c r="DK17" s="610" t="s">
        <v>1368</v>
      </c>
      <c r="DL17" s="610" t="s">
        <v>1368</v>
      </c>
      <c r="DM17" s="610" t="s">
        <v>1368</v>
      </c>
      <c r="DN17" s="610" t="s">
        <v>1368</v>
      </c>
      <c r="DO17" s="610" t="s">
        <v>1368</v>
      </c>
      <c r="DP17" s="610" t="s">
        <v>1368</v>
      </c>
      <c r="DQ17" s="610" t="s">
        <v>1368</v>
      </c>
      <c r="DR17" s="610" t="s">
        <v>1368</v>
      </c>
      <c r="DS17" s="610" t="s">
        <v>1368</v>
      </c>
      <c r="DT17" s="610" t="s">
        <v>1368</v>
      </c>
      <c r="DU17" s="610" t="s">
        <v>1368</v>
      </c>
      <c r="DV17" s="610" t="s">
        <v>1368</v>
      </c>
      <c r="DW17" s="609" t="s">
        <v>1368</v>
      </c>
      <c r="DX17" s="609" t="s">
        <v>1368</v>
      </c>
      <c r="DY17" s="609" t="s">
        <v>1368</v>
      </c>
      <c r="DZ17" s="609" t="s">
        <v>1368</v>
      </c>
      <c r="EA17" s="609" t="s">
        <v>1368</v>
      </c>
      <c r="EB17" s="609" t="s">
        <v>1368</v>
      </c>
      <c r="EC17" s="609" t="s">
        <v>1368</v>
      </c>
      <c r="ED17" s="609" t="s">
        <v>1368</v>
      </c>
      <c r="EE17" s="609" t="s">
        <v>1368</v>
      </c>
      <c r="EF17" s="609" t="s">
        <v>1368</v>
      </c>
      <c r="EG17" s="609" t="s">
        <v>1368</v>
      </c>
      <c r="EH17" s="609" t="s">
        <v>1368</v>
      </c>
      <c r="EI17" s="610" t="s">
        <v>1707</v>
      </c>
      <c r="EJ17" s="610" t="s">
        <v>1707</v>
      </c>
      <c r="EK17" s="610" t="s">
        <v>1707</v>
      </c>
      <c r="EL17" s="610" t="s">
        <v>1707</v>
      </c>
      <c r="EM17" s="610" t="s">
        <v>1707</v>
      </c>
      <c r="EN17" s="610" t="s">
        <v>1707</v>
      </c>
      <c r="EO17" s="610" t="s">
        <v>1707</v>
      </c>
      <c r="EP17" s="610" t="s">
        <v>1707</v>
      </c>
      <c r="EQ17" s="610" t="s">
        <v>1707</v>
      </c>
      <c r="ER17" s="610" t="s">
        <v>1707</v>
      </c>
      <c r="ES17" s="610" t="s">
        <v>1707</v>
      </c>
      <c r="ET17" s="610" t="s">
        <v>1707</v>
      </c>
      <c r="EU17" s="610">
        <v>4010</v>
      </c>
      <c r="EV17" s="610" t="s">
        <v>1707</v>
      </c>
      <c r="EW17" s="610" t="s">
        <v>1707</v>
      </c>
      <c r="EX17" s="610" t="s">
        <v>1707</v>
      </c>
      <c r="EY17" s="610" t="s">
        <v>1707</v>
      </c>
      <c r="EZ17" s="610" t="s">
        <v>1707</v>
      </c>
      <c r="FA17" s="610" t="s">
        <v>1707</v>
      </c>
      <c r="FB17" s="610" t="s">
        <v>1707</v>
      </c>
      <c r="FC17" s="610" t="s">
        <v>1707</v>
      </c>
      <c r="FD17" s="610" t="s">
        <v>1707</v>
      </c>
      <c r="FE17" s="610" t="s">
        <v>1707</v>
      </c>
      <c r="FF17" s="610" t="s">
        <v>1707</v>
      </c>
      <c r="FG17" s="610" t="s">
        <v>1707</v>
      </c>
      <c r="FH17" s="610">
        <v>42</v>
      </c>
      <c r="FI17" s="610">
        <v>42</v>
      </c>
      <c r="FJ17" s="610">
        <v>42</v>
      </c>
      <c r="FK17" s="610">
        <v>42</v>
      </c>
      <c r="FL17" s="610">
        <v>42</v>
      </c>
      <c r="FM17" s="610">
        <v>42</v>
      </c>
      <c r="FN17" s="610">
        <v>42</v>
      </c>
      <c r="FO17" s="610">
        <v>42</v>
      </c>
      <c r="FP17" s="610">
        <v>42</v>
      </c>
      <c r="FQ17" s="610">
        <v>42</v>
      </c>
      <c r="FR17" s="610" t="s">
        <v>2487</v>
      </c>
      <c r="FS17" s="610" t="s">
        <v>2487</v>
      </c>
      <c r="FT17" s="610" t="s">
        <v>2487</v>
      </c>
      <c r="FU17" s="610" t="s">
        <v>2487</v>
      </c>
      <c r="FV17" s="610" t="s">
        <v>2487</v>
      </c>
      <c r="FW17" s="610" t="s">
        <v>2487</v>
      </c>
      <c r="FX17" s="610" t="s">
        <v>2487</v>
      </c>
      <c r="FY17" s="610" t="s">
        <v>2487</v>
      </c>
      <c r="FZ17" s="610" t="s">
        <v>2487</v>
      </c>
      <c r="GA17" s="610" t="s">
        <v>2487</v>
      </c>
      <c r="GB17" s="610" t="s">
        <v>2487</v>
      </c>
      <c r="GC17" s="610" t="s">
        <v>2487</v>
      </c>
      <c r="GD17" s="564">
        <f t="shared" si="3"/>
        <v>79950</v>
      </c>
      <c r="GE17" s="564">
        <f t="shared" si="4"/>
        <v>79950</v>
      </c>
      <c r="GF17" s="564">
        <f t="shared" si="5"/>
        <v>79950</v>
      </c>
      <c r="GG17" s="564">
        <f t="shared" si="6"/>
        <v>79950</v>
      </c>
      <c r="GH17" s="564">
        <f t="shared" si="7"/>
        <v>79950</v>
      </c>
      <c r="GI17" s="564">
        <f t="shared" si="8"/>
        <v>79950</v>
      </c>
      <c r="GJ17" s="564">
        <f t="shared" si="9"/>
        <v>79950</v>
      </c>
      <c r="GK17" s="564">
        <f t="shared" si="10"/>
        <v>79950</v>
      </c>
      <c r="GL17" s="564">
        <f t="shared" si="11"/>
        <v>79950</v>
      </c>
      <c r="GM17" s="564">
        <f t="shared" si="12"/>
        <v>79950</v>
      </c>
      <c r="GN17" s="564">
        <f t="shared" si="13"/>
        <v>79950</v>
      </c>
      <c r="GO17" s="564">
        <f t="shared" si="14"/>
        <v>79950</v>
      </c>
      <c r="GP17" s="564"/>
      <c r="GS17" s="375" t="s">
        <v>486</v>
      </c>
      <c r="GT17" s="374" t="str">
        <f t="shared" si="1"/>
        <v>〇</v>
      </c>
    </row>
    <row r="18" spans="2:202">
      <c r="B18" s="371">
        <v>14</v>
      </c>
      <c r="C18" s="378">
        <v>14</v>
      </c>
      <c r="D18" s="373" t="s">
        <v>455</v>
      </c>
      <c r="E18" s="373" t="s">
        <v>14</v>
      </c>
      <c r="F18" s="603">
        <f t="shared" si="2"/>
        <v>110</v>
      </c>
      <c r="G18" s="603"/>
      <c r="H18" s="603">
        <v>70</v>
      </c>
      <c r="I18" s="603">
        <v>40</v>
      </c>
      <c r="J18" s="603"/>
      <c r="K18" s="603"/>
      <c r="L18" s="603"/>
      <c r="M18" s="603"/>
      <c r="N18" s="608"/>
      <c r="O18" s="603">
        <v>1577000</v>
      </c>
      <c r="P18" s="603">
        <v>0</v>
      </c>
      <c r="Q18" s="603">
        <v>0</v>
      </c>
      <c r="R18" s="603">
        <v>1791000</v>
      </c>
      <c r="S18" s="603">
        <v>0</v>
      </c>
      <c r="T18" s="603">
        <v>0</v>
      </c>
      <c r="U18" s="603">
        <v>0</v>
      </c>
      <c r="V18" s="603">
        <v>0</v>
      </c>
      <c r="W18" s="603">
        <v>0</v>
      </c>
      <c r="X18" s="603">
        <v>0</v>
      </c>
      <c r="Y18" s="603">
        <v>0</v>
      </c>
      <c r="Z18" s="603">
        <v>0</v>
      </c>
      <c r="AA18" s="603">
        <v>0</v>
      </c>
      <c r="AB18" s="603">
        <v>0</v>
      </c>
      <c r="AC18" s="603">
        <v>0</v>
      </c>
      <c r="AD18" s="603">
        <v>0</v>
      </c>
      <c r="AE18" s="603">
        <v>0</v>
      </c>
      <c r="AF18" s="603">
        <v>0</v>
      </c>
      <c r="AG18" s="603">
        <v>0</v>
      </c>
      <c r="AH18" s="603">
        <v>0</v>
      </c>
      <c r="AI18" s="603">
        <v>0</v>
      </c>
      <c r="AJ18" s="604" t="s">
        <v>2377</v>
      </c>
      <c r="AK18" s="605" t="s">
        <v>1545</v>
      </c>
      <c r="AL18" s="605" t="s">
        <v>1545</v>
      </c>
      <c r="AM18" s="606" t="s">
        <v>2016</v>
      </c>
      <c r="AN18" s="609" t="s">
        <v>12</v>
      </c>
      <c r="AO18" s="610" t="s">
        <v>1368</v>
      </c>
      <c r="AP18" s="610" t="s">
        <v>1368</v>
      </c>
      <c r="AQ18" s="610" t="s">
        <v>1368</v>
      </c>
      <c r="AR18" s="610" t="s">
        <v>1368</v>
      </c>
      <c r="AS18" s="610" t="s">
        <v>1368</v>
      </c>
      <c r="AT18" s="610" t="s">
        <v>1368</v>
      </c>
      <c r="AU18" s="610" t="s">
        <v>1368</v>
      </c>
      <c r="AV18" s="610" t="s">
        <v>1368</v>
      </c>
      <c r="AW18" s="610" t="s">
        <v>1368</v>
      </c>
      <c r="AX18" s="610" t="s">
        <v>1368</v>
      </c>
      <c r="AY18" s="610" t="s">
        <v>1368</v>
      </c>
      <c r="AZ18" s="610" t="s">
        <v>1368</v>
      </c>
      <c r="BA18" s="610" t="s">
        <v>1368</v>
      </c>
      <c r="BB18" s="610" t="s">
        <v>1368</v>
      </c>
      <c r="BC18" s="610" t="s">
        <v>1368</v>
      </c>
      <c r="BD18" s="610" t="s">
        <v>1368</v>
      </c>
      <c r="BE18" s="610" t="s">
        <v>1368</v>
      </c>
      <c r="BF18" s="610" t="s">
        <v>1368</v>
      </c>
      <c r="BG18" s="610" t="s">
        <v>1368</v>
      </c>
      <c r="BH18" s="610" t="s">
        <v>1368</v>
      </c>
      <c r="BI18" s="610" t="s">
        <v>1368</v>
      </c>
      <c r="BJ18" s="610" t="s">
        <v>1368</v>
      </c>
      <c r="BK18" s="610" t="s">
        <v>1368</v>
      </c>
      <c r="BL18" s="610" t="s">
        <v>1368</v>
      </c>
      <c r="BM18" s="610">
        <v>0</v>
      </c>
      <c r="BN18" s="610">
        <v>0</v>
      </c>
      <c r="BO18" s="610">
        <v>0</v>
      </c>
      <c r="BP18" s="610">
        <v>0</v>
      </c>
      <c r="BQ18" s="610">
        <v>0</v>
      </c>
      <c r="BR18" s="610">
        <v>0</v>
      </c>
      <c r="BS18" s="610">
        <v>0</v>
      </c>
      <c r="BT18" s="610">
        <v>0</v>
      </c>
      <c r="BU18" s="610">
        <v>0</v>
      </c>
      <c r="BV18" s="610">
        <v>0</v>
      </c>
      <c r="BW18" s="610">
        <v>0</v>
      </c>
      <c r="BX18" s="610">
        <v>0</v>
      </c>
      <c r="BY18" s="610">
        <v>0</v>
      </c>
      <c r="BZ18" s="610">
        <v>0</v>
      </c>
      <c r="CA18" s="610">
        <v>0</v>
      </c>
      <c r="CB18" s="610">
        <v>0</v>
      </c>
      <c r="CC18" s="610">
        <v>0</v>
      </c>
      <c r="CD18" s="610">
        <v>0</v>
      </c>
      <c r="CE18" s="610">
        <v>0</v>
      </c>
      <c r="CF18" s="610">
        <v>0</v>
      </c>
      <c r="CG18" s="610">
        <v>0</v>
      </c>
      <c r="CH18" s="610">
        <v>0</v>
      </c>
      <c r="CI18" s="610">
        <v>0</v>
      </c>
      <c r="CJ18" s="610">
        <v>0</v>
      </c>
      <c r="CK18" s="610">
        <v>0</v>
      </c>
      <c r="CL18" s="610">
        <v>0</v>
      </c>
      <c r="CM18" s="610">
        <v>0</v>
      </c>
      <c r="CN18" s="610">
        <v>0</v>
      </c>
      <c r="CO18" s="610">
        <v>0</v>
      </c>
      <c r="CP18" s="610">
        <v>0</v>
      </c>
      <c r="CQ18" s="610">
        <v>0</v>
      </c>
      <c r="CR18" s="610">
        <v>0</v>
      </c>
      <c r="CS18" s="610">
        <v>0</v>
      </c>
      <c r="CT18" s="610">
        <v>0</v>
      </c>
      <c r="CU18" s="610">
        <v>0</v>
      </c>
      <c r="CV18" s="610">
        <v>0</v>
      </c>
      <c r="CW18" s="610" t="s">
        <v>14</v>
      </c>
      <c r="CX18" s="610">
        <v>0</v>
      </c>
      <c r="CY18" s="610" t="s">
        <v>2449</v>
      </c>
      <c r="CZ18" s="610" t="s">
        <v>2449</v>
      </c>
      <c r="DA18" s="610" t="s">
        <v>2449</v>
      </c>
      <c r="DB18" s="610" t="s">
        <v>2449</v>
      </c>
      <c r="DC18" s="610" t="s">
        <v>2449</v>
      </c>
      <c r="DD18" s="610" t="s">
        <v>2449</v>
      </c>
      <c r="DE18" s="610" t="s">
        <v>2449</v>
      </c>
      <c r="DF18" s="610" t="s">
        <v>2449</v>
      </c>
      <c r="DG18" s="610" t="s">
        <v>2449</v>
      </c>
      <c r="DH18" s="610" t="s">
        <v>2449</v>
      </c>
      <c r="DI18" s="610" t="s">
        <v>2449</v>
      </c>
      <c r="DJ18" s="610" t="s">
        <v>2449</v>
      </c>
      <c r="DK18" s="610" t="s">
        <v>20</v>
      </c>
      <c r="DL18" s="610" t="s">
        <v>20</v>
      </c>
      <c r="DM18" s="610" t="s">
        <v>20</v>
      </c>
      <c r="DN18" s="610" t="s">
        <v>20</v>
      </c>
      <c r="DO18" s="610" t="s">
        <v>20</v>
      </c>
      <c r="DP18" s="610" t="s">
        <v>20</v>
      </c>
      <c r="DQ18" s="610" t="s">
        <v>20</v>
      </c>
      <c r="DR18" s="610" t="s">
        <v>20</v>
      </c>
      <c r="DS18" s="610" t="s">
        <v>20</v>
      </c>
      <c r="DT18" s="610" t="s">
        <v>20</v>
      </c>
      <c r="DU18" s="610" t="s">
        <v>20</v>
      </c>
      <c r="DV18" s="610" t="s">
        <v>20</v>
      </c>
      <c r="DW18" s="609" t="s">
        <v>1368</v>
      </c>
      <c r="DX18" s="609" t="s">
        <v>1368</v>
      </c>
      <c r="DY18" s="609" t="s">
        <v>1368</v>
      </c>
      <c r="DZ18" s="609" t="s">
        <v>1368</v>
      </c>
      <c r="EA18" s="609" t="s">
        <v>1368</v>
      </c>
      <c r="EB18" s="609" t="s">
        <v>1368</v>
      </c>
      <c r="EC18" s="609" t="s">
        <v>1368</v>
      </c>
      <c r="ED18" s="609" t="s">
        <v>1368</v>
      </c>
      <c r="EE18" s="609" t="s">
        <v>1368</v>
      </c>
      <c r="EF18" s="609" t="s">
        <v>1368</v>
      </c>
      <c r="EG18" s="609" t="s">
        <v>1368</v>
      </c>
      <c r="EH18" s="609" t="s">
        <v>1368</v>
      </c>
      <c r="EI18" s="610" t="s">
        <v>1707</v>
      </c>
      <c r="EJ18" s="610" t="s">
        <v>1707</v>
      </c>
      <c r="EK18" s="610" t="s">
        <v>1707</v>
      </c>
      <c r="EL18" s="610" t="s">
        <v>1707</v>
      </c>
      <c r="EM18" s="610" t="s">
        <v>1707</v>
      </c>
      <c r="EN18" s="610" t="s">
        <v>1707</v>
      </c>
      <c r="EO18" s="610" t="s">
        <v>1707</v>
      </c>
      <c r="EP18" s="610" t="s">
        <v>1707</v>
      </c>
      <c r="EQ18" s="610" t="s">
        <v>1707</v>
      </c>
      <c r="ER18" s="610" t="s">
        <v>1707</v>
      </c>
      <c r="ES18" s="610" t="s">
        <v>1707</v>
      </c>
      <c r="ET18" s="610" t="s">
        <v>1707</v>
      </c>
      <c r="EU18" s="610">
        <v>4070</v>
      </c>
      <c r="EV18" s="610" t="s">
        <v>2449</v>
      </c>
      <c r="EW18" s="610" t="s">
        <v>2449</v>
      </c>
      <c r="EX18" s="610" t="s">
        <v>2449</v>
      </c>
      <c r="EY18" s="610" t="s">
        <v>2449</v>
      </c>
      <c r="EZ18" s="610" t="s">
        <v>2449</v>
      </c>
      <c r="FA18" s="610" t="s">
        <v>2449</v>
      </c>
      <c r="FB18" s="610" t="s">
        <v>2449</v>
      </c>
      <c r="FC18" s="610" t="s">
        <v>2449</v>
      </c>
      <c r="FD18" s="610" t="s">
        <v>2449</v>
      </c>
      <c r="FE18" s="610" t="s">
        <v>2449</v>
      </c>
      <c r="FF18" s="610" t="s">
        <v>2449</v>
      </c>
      <c r="FG18" s="610" t="s">
        <v>2449</v>
      </c>
      <c r="FH18" s="610">
        <v>35</v>
      </c>
      <c r="FI18" s="610">
        <v>35</v>
      </c>
      <c r="FJ18" s="610">
        <v>35</v>
      </c>
      <c r="FK18" s="610">
        <v>35</v>
      </c>
      <c r="FL18" s="610">
        <v>35</v>
      </c>
      <c r="FM18" s="610">
        <v>35</v>
      </c>
      <c r="FN18" s="610">
        <v>35</v>
      </c>
      <c r="FO18" s="610">
        <v>35</v>
      </c>
      <c r="FP18" s="610">
        <v>35</v>
      </c>
      <c r="FQ18" s="610">
        <v>35</v>
      </c>
      <c r="FR18" s="610" t="s">
        <v>2489</v>
      </c>
      <c r="FS18" s="610" t="s">
        <v>2489</v>
      </c>
      <c r="FT18" s="610" t="s">
        <v>2489</v>
      </c>
      <c r="FU18" s="610" t="s">
        <v>2489</v>
      </c>
      <c r="FV18" s="610" t="s">
        <v>2489</v>
      </c>
      <c r="FW18" s="610" t="s">
        <v>2489</v>
      </c>
      <c r="FX18" s="610" t="s">
        <v>2489</v>
      </c>
      <c r="FY18" s="610" t="s">
        <v>2489</v>
      </c>
      <c r="FZ18" s="610" t="s">
        <v>2489</v>
      </c>
      <c r="GA18" s="610" t="s">
        <v>2489</v>
      </c>
      <c r="GB18" s="610" t="s">
        <v>2489</v>
      </c>
      <c r="GC18" s="610" t="s">
        <v>2489</v>
      </c>
      <c r="GD18" s="564" t="str">
        <f t="shared" si="3"/>
        <v/>
      </c>
      <c r="GE18" s="564" t="str">
        <f t="shared" si="4"/>
        <v/>
      </c>
      <c r="GF18" s="564" t="str">
        <f t="shared" si="5"/>
        <v/>
      </c>
      <c r="GG18" s="564" t="str">
        <f t="shared" si="6"/>
        <v/>
      </c>
      <c r="GH18" s="564" t="str">
        <f t="shared" si="7"/>
        <v/>
      </c>
      <c r="GI18" s="564" t="str">
        <f t="shared" si="8"/>
        <v/>
      </c>
      <c r="GJ18" s="564" t="str">
        <f t="shared" si="9"/>
        <v/>
      </c>
      <c r="GK18" s="564" t="str">
        <f t="shared" si="10"/>
        <v/>
      </c>
      <c r="GL18" s="564" t="str">
        <f t="shared" si="11"/>
        <v/>
      </c>
      <c r="GM18" s="564" t="str">
        <f t="shared" si="12"/>
        <v/>
      </c>
      <c r="GN18" s="564" t="str">
        <f t="shared" si="13"/>
        <v/>
      </c>
      <c r="GO18" s="564" t="str">
        <f t="shared" si="14"/>
        <v/>
      </c>
      <c r="GP18" s="564"/>
      <c r="GS18" s="375" t="s">
        <v>455</v>
      </c>
      <c r="GT18" s="374" t="str">
        <f t="shared" si="1"/>
        <v>〇</v>
      </c>
    </row>
    <row r="19" spans="2:202">
      <c r="B19" s="371">
        <v>15</v>
      </c>
      <c r="C19" s="378">
        <v>15</v>
      </c>
      <c r="D19" s="373" t="s">
        <v>495</v>
      </c>
      <c r="E19" s="373" t="s">
        <v>14</v>
      </c>
      <c r="F19" s="603">
        <f t="shared" si="2"/>
        <v>110</v>
      </c>
      <c r="G19" s="603"/>
      <c r="H19" s="603">
        <v>66</v>
      </c>
      <c r="I19" s="603">
        <v>44</v>
      </c>
      <c r="J19" s="603"/>
      <c r="K19" s="603"/>
      <c r="L19" s="603"/>
      <c r="M19" s="603"/>
      <c r="N19" s="608"/>
      <c r="O19" s="603">
        <v>1577000</v>
      </c>
      <c r="P19" s="603">
        <v>2721000</v>
      </c>
      <c r="Q19" s="603">
        <v>2721000</v>
      </c>
      <c r="R19" s="603">
        <v>1188000</v>
      </c>
      <c r="S19" s="603">
        <v>0</v>
      </c>
      <c r="T19" s="603">
        <v>2181000</v>
      </c>
      <c r="U19" s="603">
        <v>2181000</v>
      </c>
      <c r="V19" s="603">
        <v>1051000</v>
      </c>
      <c r="W19" s="603">
        <v>1814000</v>
      </c>
      <c r="X19" s="603">
        <v>1814000</v>
      </c>
      <c r="Y19" s="603">
        <v>792000</v>
      </c>
      <c r="Z19" s="603">
        <v>0</v>
      </c>
      <c r="AA19" s="603">
        <v>1454000</v>
      </c>
      <c r="AB19" s="603">
        <v>1454000</v>
      </c>
      <c r="AC19" s="603">
        <v>0</v>
      </c>
      <c r="AD19" s="603">
        <v>0</v>
      </c>
      <c r="AE19" s="603">
        <v>0</v>
      </c>
      <c r="AF19" s="603">
        <v>0</v>
      </c>
      <c r="AG19" s="603">
        <v>0</v>
      </c>
      <c r="AH19" s="603">
        <v>0</v>
      </c>
      <c r="AI19" s="603">
        <v>0</v>
      </c>
      <c r="AJ19" s="604" t="s">
        <v>2377</v>
      </c>
      <c r="AK19" s="605" t="s">
        <v>2378</v>
      </c>
      <c r="AL19" s="605" t="s">
        <v>1545</v>
      </c>
      <c r="AM19" s="606" t="s">
        <v>2017</v>
      </c>
      <c r="AN19" s="609" t="s">
        <v>12</v>
      </c>
      <c r="AO19" s="610" t="s">
        <v>1368</v>
      </c>
      <c r="AP19" s="610" t="s">
        <v>1368</v>
      </c>
      <c r="AQ19" s="610" t="s">
        <v>1368</v>
      </c>
      <c r="AR19" s="610" t="s">
        <v>1368</v>
      </c>
      <c r="AS19" s="610" t="s">
        <v>1368</v>
      </c>
      <c r="AT19" s="610" t="s">
        <v>1368</v>
      </c>
      <c r="AU19" s="610" t="s">
        <v>1368</v>
      </c>
      <c r="AV19" s="610" t="s">
        <v>1368</v>
      </c>
      <c r="AW19" s="610" t="s">
        <v>1368</v>
      </c>
      <c r="AX19" s="610" t="s">
        <v>1368</v>
      </c>
      <c r="AY19" s="610" t="s">
        <v>1368</v>
      </c>
      <c r="AZ19" s="610" t="s">
        <v>1368</v>
      </c>
      <c r="BA19" s="610" t="s">
        <v>1368</v>
      </c>
      <c r="BB19" s="610" t="s">
        <v>1368</v>
      </c>
      <c r="BC19" s="610" t="s">
        <v>1368</v>
      </c>
      <c r="BD19" s="610" t="s">
        <v>1368</v>
      </c>
      <c r="BE19" s="610" t="s">
        <v>1368</v>
      </c>
      <c r="BF19" s="610" t="s">
        <v>1368</v>
      </c>
      <c r="BG19" s="610" t="s">
        <v>1368</v>
      </c>
      <c r="BH19" s="610" t="s">
        <v>1368</v>
      </c>
      <c r="BI19" s="610" t="s">
        <v>1368</v>
      </c>
      <c r="BJ19" s="610" t="s">
        <v>1368</v>
      </c>
      <c r="BK19" s="610" t="s">
        <v>1368</v>
      </c>
      <c r="BL19" s="610" t="s">
        <v>1368</v>
      </c>
      <c r="BM19" s="610">
        <v>1</v>
      </c>
      <c r="BN19" s="610">
        <v>1</v>
      </c>
      <c r="BO19" s="610">
        <v>1</v>
      </c>
      <c r="BP19" s="610">
        <v>1</v>
      </c>
      <c r="BQ19" s="610">
        <v>1</v>
      </c>
      <c r="BR19" s="610">
        <v>1</v>
      </c>
      <c r="BS19" s="610">
        <v>1</v>
      </c>
      <c r="BT19" s="610">
        <v>1</v>
      </c>
      <c r="BU19" s="610">
        <v>1</v>
      </c>
      <c r="BV19" s="610">
        <v>1</v>
      </c>
      <c r="BW19" s="610">
        <v>1</v>
      </c>
      <c r="BX19" s="610">
        <v>1</v>
      </c>
      <c r="BY19" s="610">
        <v>0</v>
      </c>
      <c r="BZ19" s="610">
        <v>0</v>
      </c>
      <c r="CA19" s="610">
        <v>0</v>
      </c>
      <c r="CB19" s="610">
        <v>0</v>
      </c>
      <c r="CC19" s="610">
        <v>0</v>
      </c>
      <c r="CD19" s="610">
        <v>0</v>
      </c>
      <c r="CE19" s="610">
        <v>0</v>
      </c>
      <c r="CF19" s="610">
        <v>0</v>
      </c>
      <c r="CG19" s="610">
        <v>0</v>
      </c>
      <c r="CH19" s="610">
        <v>0</v>
      </c>
      <c r="CI19" s="610">
        <v>0</v>
      </c>
      <c r="CJ19" s="610">
        <v>0</v>
      </c>
      <c r="CK19" s="610">
        <v>0</v>
      </c>
      <c r="CL19" s="610">
        <v>0</v>
      </c>
      <c r="CM19" s="610">
        <v>0</v>
      </c>
      <c r="CN19" s="610">
        <v>0</v>
      </c>
      <c r="CO19" s="610">
        <v>0</v>
      </c>
      <c r="CP19" s="610">
        <v>0</v>
      </c>
      <c r="CQ19" s="610">
        <v>0</v>
      </c>
      <c r="CR19" s="610">
        <v>0</v>
      </c>
      <c r="CS19" s="610">
        <v>0</v>
      </c>
      <c r="CT19" s="610">
        <v>0</v>
      </c>
      <c r="CU19" s="610">
        <v>0</v>
      </c>
      <c r="CV19" s="610">
        <v>0</v>
      </c>
      <c r="CW19" s="610" t="s">
        <v>14</v>
      </c>
      <c r="CX19" s="610">
        <v>0</v>
      </c>
      <c r="CY19" s="610" t="s">
        <v>1707</v>
      </c>
      <c r="CZ19" s="610" t="s">
        <v>1707</v>
      </c>
      <c r="DA19" s="610" t="s">
        <v>1707</v>
      </c>
      <c r="DB19" s="610" t="s">
        <v>1707</v>
      </c>
      <c r="DC19" s="610" t="s">
        <v>1707</v>
      </c>
      <c r="DD19" s="610" t="s">
        <v>1707</v>
      </c>
      <c r="DE19" s="610" t="s">
        <v>1707</v>
      </c>
      <c r="DF19" s="610" t="s">
        <v>1707</v>
      </c>
      <c r="DG19" s="610" t="s">
        <v>1707</v>
      </c>
      <c r="DH19" s="610" t="s">
        <v>1707</v>
      </c>
      <c r="DI19" s="610" t="s">
        <v>1707</v>
      </c>
      <c r="DJ19" s="610" t="s">
        <v>1707</v>
      </c>
      <c r="DK19" s="610" t="s">
        <v>20</v>
      </c>
      <c r="DL19" s="610" t="s">
        <v>20</v>
      </c>
      <c r="DM19" s="610" t="s">
        <v>20</v>
      </c>
      <c r="DN19" s="610" t="s">
        <v>20</v>
      </c>
      <c r="DO19" s="610" t="s">
        <v>20</v>
      </c>
      <c r="DP19" s="610" t="s">
        <v>20</v>
      </c>
      <c r="DQ19" s="610" t="s">
        <v>20</v>
      </c>
      <c r="DR19" s="610" t="s">
        <v>20</v>
      </c>
      <c r="DS19" s="610" t="s">
        <v>20</v>
      </c>
      <c r="DT19" s="610" t="s">
        <v>20</v>
      </c>
      <c r="DU19" s="610" t="s">
        <v>20</v>
      </c>
      <c r="DV19" s="610" t="s">
        <v>20</v>
      </c>
      <c r="DW19" s="609" t="s">
        <v>1368</v>
      </c>
      <c r="DX19" s="609" t="s">
        <v>1368</v>
      </c>
      <c r="DY19" s="609" t="s">
        <v>1368</v>
      </c>
      <c r="DZ19" s="609" t="s">
        <v>1368</v>
      </c>
      <c r="EA19" s="609" t="s">
        <v>1368</v>
      </c>
      <c r="EB19" s="609" t="s">
        <v>1368</v>
      </c>
      <c r="EC19" s="609" t="s">
        <v>1368</v>
      </c>
      <c r="ED19" s="609" t="s">
        <v>1368</v>
      </c>
      <c r="EE19" s="609" t="s">
        <v>1368</v>
      </c>
      <c r="EF19" s="609" t="s">
        <v>1368</v>
      </c>
      <c r="EG19" s="609" t="s">
        <v>1368</v>
      </c>
      <c r="EH19" s="609" t="s">
        <v>1368</v>
      </c>
      <c r="EI19" s="610" t="s">
        <v>1707</v>
      </c>
      <c r="EJ19" s="610" t="s">
        <v>1707</v>
      </c>
      <c r="EK19" s="610" t="s">
        <v>1707</v>
      </c>
      <c r="EL19" s="610" t="s">
        <v>1707</v>
      </c>
      <c r="EM19" s="610" t="s">
        <v>1707</v>
      </c>
      <c r="EN19" s="610" t="s">
        <v>1707</v>
      </c>
      <c r="EO19" s="610" t="s">
        <v>1707</v>
      </c>
      <c r="EP19" s="610" t="s">
        <v>1707</v>
      </c>
      <c r="EQ19" s="610" t="s">
        <v>1707</v>
      </c>
      <c r="ER19" s="610" t="s">
        <v>1707</v>
      </c>
      <c r="ES19" s="610" t="s">
        <v>1707</v>
      </c>
      <c r="ET19" s="610" t="s">
        <v>1707</v>
      </c>
      <c r="EU19" s="610">
        <v>4070</v>
      </c>
      <c r="EV19" s="610" t="s">
        <v>2449</v>
      </c>
      <c r="EW19" s="610" t="s">
        <v>2449</v>
      </c>
      <c r="EX19" s="610" t="s">
        <v>2449</v>
      </c>
      <c r="EY19" s="610" t="s">
        <v>2449</v>
      </c>
      <c r="EZ19" s="610" t="s">
        <v>2449</v>
      </c>
      <c r="FA19" s="610" t="s">
        <v>2449</v>
      </c>
      <c r="FB19" s="610" t="s">
        <v>2449</v>
      </c>
      <c r="FC19" s="610" t="s">
        <v>2449</v>
      </c>
      <c r="FD19" s="610" t="s">
        <v>2449</v>
      </c>
      <c r="FE19" s="610" t="s">
        <v>2449</v>
      </c>
      <c r="FF19" s="610" t="s">
        <v>2449</v>
      </c>
      <c r="FG19" s="610" t="s">
        <v>2449</v>
      </c>
      <c r="FH19" s="610">
        <v>46</v>
      </c>
      <c r="FI19" s="610">
        <v>46</v>
      </c>
      <c r="FJ19" s="610">
        <v>47</v>
      </c>
      <c r="FK19" s="610">
        <v>47</v>
      </c>
      <c r="FL19" s="610">
        <v>47</v>
      </c>
      <c r="FM19" s="610">
        <v>47</v>
      </c>
      <c r="FN19" s="610">
        <v>47</v>
      </c>
      <c r="FO19" s="610">
        <v>47</v>
      </c>
      <c r="FP19" s="610">
        <v>47</v>
      </c>
      <c r="FQ19" s="610">
        <v>47</v>
      </c>
      <c r="FR19" s="610" t="s">
        <v>2487</v>
      </c>
      <c r="FS19" s="610" t="s">
        <v>2487</v>
      </c>
      <c r="FT19" s="610" t="s">
        <v>2487</v>
      </c>
      <c r="FU19" s="610" t="s">
        <v>2487</v>
      </c>
      <c r="FV19" s="610" t="s">
        <v>2487</v>
      </c>
      <c r="FW19" s="610" t="s">
        <v>2487</v>
      </c>
      <c r="FX19" s="610" t="s">
        <v>2487</v>
      </c>
      <c r="FY19" s="610" t="s">
        <v>2487</v>
      </c>
      <c r="FZ19" s="610" t="s">
        <v>2487</v>
      </c>
      <c r="GA19" s="610" t="s">
        <v>2487</v>
      </c>
      <c r="GB19" s="610" t="s">
        <v>2487</v>
      </c>
      <c r="GC19" s="610" t="s">
        <v>2487</v>
      </c>
      <c r="GD19" s="564">
        <f t="shared" si="3"/>
        <v>79950</v>
      </c>
      <c r="GE19" s="564">
        <f t="shared" si="4"/>
        <v>79950</v>
      </c>
      <c r="GF19" s="564">
        <f t="shared" si="5"/>
        <v>79950</v>
      </c>
      <c r="GG19" s="564">
        <f t="shared" si="6"/>
        <v>79950</v>
      </c>
      <c r="GH19" s="564">
        <f t="shared" si="7"/>
        <v>79950</v>
      </c>
      <c r="GI19" s="564">
        <f t="shared" si="8"/>
        <v>79950</v>
      </c>
      <c r="GJ19" s="564">
        <f t="shared" si="9"/>
        <v>79950</v>
      </c>
      <c r="GK19" s="564">
        <f t="shared" si="10"/>
        <v>79950</v>
      </c>
      <c r="GL19" s="564">
        <f t="shared" si="11"/>
        <v>79950</v>
      </c>
      <c r="GM19" s="564">
        <f t="shared" si="12"/>
        <v>79950</v>
      </c>
      <c r="GN19" s="564">
        <f t="shared" si="13"/>
        <v>79950</v>
      </c>
      <c r="GO19" s="564">
        <f t="shared" si="14"/>
        <v>79950</v>
      </c>
      <c r="GP19" s="564"/>
      <c r="GS19" s="375" t="s">
        <v>495</v>
      </c>
      <c r="GT19" s="374" t="str">
        <f t="shared" si="1"/>
        <v>〇</v>
      </c>
    </row>
    <row r="20" spans="2:202">
      <c r="B20" s="371">
        <v>16</v>
      </c>
      <c r="C20" s="378">
        <v>16</v>
      </c>
      <c r="D20" s="373" t="s">
        <v>499</v>
      </c>
      <c r="E20" s="373" t="s">
        <v>14</v>
      </c>
      <c r="F20" s="603">
        <f t="shared" si="2"/>
        <v>90</v>
      </c>
      <c r="G20" s="603"/>
      <c r="H20" s="603">
        <v>60</v>
      </c>
      <c r="I20" s="603">
        <v>30</v>
      </c>
      <c r="J20" s="603"/>
      <c r="K20" s="603"/>
      <c r="L20" s="603"/>
      <c r="M20" s="603"/>
      <c r="N20" s="608"/>
      <c r="O20" s="603">
        <v>1577000</v>
      </c>
      <c r="P20" s="603">
        <v>2721000</v>
      </c>
      <c r="Q20" s="603">
        <v>2721000</v>
      </c>
      <c r="R20" s="603">
        <v>1791000</v>
      </c>
      <c r="S20" s="603">
        <v>0</v>
      </c>
      <c r="T20" s="603">
        <v>2181000</v>
      </c>
      <c r="U20" s="603">
        <v>0</v>
      </c>
      <c r="V20" s="603">
        <v>1051000</v>
      </c>
      <c r="W20" s="603">
        <v>1814000</v>
      </c>
      <c r="X20" s="603">
        <v>1814000</v>
      </c>
      <c r="Y20" s="603">
        <v>1194000</v>
      </c>
      <c r="Z20" s="603">
        <v>0</v>
      </c>
      <c r="AA20" s="603">
        <v>1454000</v>
      </c>
      <c r="AB20" s="603">
        <v>0</v>
      </c>
      <c r="AC20" s="603">
        <v>0</v>
      </c>
      <c r="AD20" s="603">
        <v>0</v>
      </c>
      <c r="AE20" s="603">
        <v>0</v>
      </c>
      <c r="AF20" s="603">
        <v>0</v>
      </c>
      <c r="AG20" s="603">
        <v>0</v>
      </c>
      <c r="AH20" s="603">
        <v>0</v>
      </c>
      <c r="AI20" s="603">
        <v>0</v>
      </c>
      <c r="AJ20" s="604" t="s">
        <v>2377</v>
      </c>
      <c r="AK20" s="605" t="s">
        <v>2378</v>
      </c>
      <c r="AL20" s="605" t="s">
        <v>1545</v>
      </c>
      <c r="AM20" s="606" t="s">
        <v>2018</v>
      </c>
      <c r="AN20" s="609" t="s">
        <v>12</v>
      </c>
      <c r="AO20" s="610" t="s">
        <v>1368</v>
      </c>
      <c r="AP20" s="610" t="s">
        <v>1368</v>
      </c>
      <c r="AQ20" s="610" t="s">
        <v>1368</v>
      </c>
      <c r="AR20" s="610" t="s">
        <v>1368</v>
      </c>
      <c r="AS20" s="610" t="s">
        <v>1368</v>
      </c>
      <c r="AT20" s="610" t="s">
        <v>1368</v>
      </c>
      <c r="AU20" s="610" t="s">
        <v>1368</v>
      </c>
      <c r="AV20" s="610" t="s">
        <v>1368</v>
      </c>
      <c r="AW20" s="610" t="s">
        <v>1368</v>
      </c>
      <c r="AX20" s="610" t="s">
        <v>1368</v>
      </c>
      <c r="AY20" s="610" t="s">
        <v>1368</v>
      </c>
      <c r="AZ20" s="610" t="s">
        <v>1368</v>
      </c>
      <c r="BA20" s="610" t="s">
        <v>1368</v>
      </c>
      <c r="BB20" s="610" t="s">
        <v>1368</v>
      </c>
      <c r="BC20" s="610" t="s">
        <v>1368</v>
      </c>
      <c r="BD20" s="610" t="s">
        <v>1368</v>
      </c>
      <c r="BE20" s="610" t="s">
        <v>1368</v>
      </c>
      <c r="BF20" s="610" t="s">
        <v>1368</v>
      </c>
      <c r="BG20" s="610" t="s">
        <v>1368</v>
      </c>
      <c r="BH20" s="610" t="s">
        <v>1368</v>
      </c>
      <c r="BI20" s="610" t="s">
        <v>1368</v>
      </c>
      <c r="BJ20" s="610" t="s">
        <v>1368</v>
      </c>
      <c r="BK20" s="610" t="s">
        <v>1368</v>
      </c>
      <c r="BL20" s="610" t="s">
        <v>1368</v>
      </c>
      <c r="BM20" s="610">
        <v>1</v>
      </c>
      <c r="BN20" s="610">
        <v>1</v>
      </c>
      <c r="BO20" s="610">
        <v>1</v>
      </c>
      <c r="BP20" s="610">
        <v>1</v>
      </c>
      <c r="BQ20" s="610">
        <v>1</v>
      </c>
      <c r="BR20" s="610">
        <v>1</v>
      </c>
      <c r="BS20" s="610">
        <v>1</v>
      </c>
      <c r="BT20" s="610">
        <v>1</v>
      </c>
      <c r="BU20" s="610">
        <v>1</v>
      </c>
      <c r="BV20" s="610">
        <v>1</v>
      </c>
      <c r="BW20" s="610">
        <v>1</v>
      </c>
      <c r="BX20" s="610">
        <v>1</v>
      </c>
      <c r="BY20" s="610">
        <v>0</v>
      </c>
      <c r="BZ20" s="610">
        <v>0</v>
      </c>
      <c r="CA20" s="610">
        <v>0</v>
      </c>
      <c r="CB20" s="610">
        <v>0</v>
      </c>
      <c r="CC20" s="610">
        <v>0</v>
      </c>
      <c r="CD20" s="610">
        <v>0</v>
      </c>
      <c r="CE20" s="610">
        <v>0</v>
      </c>
      <c r="CF20" s="610">
        <v>0</v>
      </c>
      <c r="CG20" s="610">
        <v>0</v>
      </c>
      <c r="CH20" s="610">
        <v>0</v>
      </c>
      <c r="CI20" s="610">
        <v>0</v>
      </c>
      <c r="CJ20" s="610">
        <v>0</v>
      </c>
      <c r="CK20" s="610">
        <v>0</v>
      </c>
      <c r="CL20" s="610">
        <v>0</v>
      </c>
      <c r="CM20" s="610">
        <v>0</v>
      </c>
      <c r="CN20" s="610">
        <v>0</v>
      </c>
      <c r="CO20" s="610">
        <v>0</v>
      </c>
      <c r="CP20" s="610">
        <v>0</v>
      </c>
      <c r="CQ20" s="610">
        <v>0</v>
      </c>
      <c r="CR20" s="610">
        <v>0</v>
      </c>
      <c r="CS20" s="610">
        <v>0</v>
      </c>
      <c r="CT20" s="610">
        <v>0</v>
      </c>
      <c r="CU20" s="610">
        <v>0</v>
      </c>
      <c r="CV20" s="610">
        <v>0</v>
      </c>
      <c r="CW20" s="610" t="s">
        <v>14</v>
      </c>
      <c r="CX20" s="610">
        <v>0</v>
      </c>
      <c r="CY20" s="610" t="s">
        <v>1707</v>
      </c>
      <c r="CZ20" s="610" t="s">
        <v>1707</v>
      </c>
      <c r="DA20" s="610" t="s">
        <v>1707</v>
      </c>
      <c r="DB20" s="610" t="s">
        <v>1707</v>
      </c>
      <c r="DC20" s="610" t="s">
        <v>1707</v>
      </c>
      <c r="DD20" s="610" t="s">
        <v>1707</v>
      </c>
      <c r="DE20" s="610" t="s">
        <v>1707</v>
      </c>
      <c r="DF20" s="610" t="s">
        <v>1707</v>
      </c>
      <c r="DG20" s="610" t="s">
        <v>1707</v>
      </c>
      <c r="DH20" s="610" t="s">
        <v>1707</v>
      </c>
      <c r="DI20" s="610" t="s">
        <v>1707</v>
      </c>
      <c r="DJ20" s="610" t="s">
        <v>1707</v>
      </c>
      <c r="DK20" s="610" t="s">
        <v>20</v>
      </c>
      <c r="DL20" s="610" t="s">
        <v>20</v>
      </c>
      <c r="DM20" s="610" t="s">
        <v>20</v>
      </c>
      <c r="DN20" s="610" t="s">
        <v>20</v>
      </c>
      <c r="DO20" s="610" t="s">
        <v>20</v>
      </c>
      <c r="DP20" s="610" t="s">
        <v>20</v>
      </c>
      <c r="DQ20" s="610" t="s">
        <v>20</v>
      </c>
      <c r="DR20" s="610" t="s">
        <v>20</v>
      </c>
      <c r="DS20" s="610" t="s">
        <v>20</v>
      </c>
      <c r="DT20" s="610" t="s">
        <v>20</v>
      </c>
      <c r="DU20" s="610" t="s">
        <v>20</v>
      </c>
      <c r="DV20" s="610" t="s">
        <v>20</v>
      </c>
      <c r="DW20" s="609" t="s">
        <v>1368</v>
      </c>
      <c r="DX20" s="609" t="s">
        <v>1368</v>
      </c>
      <c r="DY20" s="609" t="s">
        <v>1368</v>
      </c>
      <c r="DZ20" s="609" t="s">
        <v>1368</v>
      </c>
      <c r="EA20" s="609" t="s">
        <v>1368</v>
      </c>
      <c r="EB20" s="609" t="s">
        <v>1368</v>
      </c>
      <c r="EC20" s="609" t="s">
        <v>1368</v>
      </c>
      <c r="ED20" s="609" t="s">
        <v>1368</v>
      </c>
      <c r="EE20" s="609" t="s">
        <v>1368</v>
      </c>
      <c r="EF20" s="609" t="s">
        <v>1368</v>
      </c>
      <c r="EG20" s="609" t="s">
        <v>1368</v>
      </c>
      <c r="EH20" s="609" t="s">
        <v>1368</v>
      </c>
      <c r="EI20" s="610" t="s">
        <v>1707</v>
      </c>
      <c r="EJ20" s="610" t="s">
        <v>1707</v>
      </c>
      <c r="EK20" s="610" t="s">
        <v>1707</v>
      </c>
      <c r="EL20" s="610" t="s">
        <v>1707</v>
      </c>
      <c r="EM20" s="610" t="s">
        <v>1707</v>
      </c>
      <c r="EN20" s="610" t="s">
        <v>1707</v>
      </c>
      <c r="EO20" s="610" t="s">
        <v>1707</v>
      </c>
      <c r="EP20" s="610" t="s">
        <v>1707</v>
      </c>
      <c r="EQ20" s="610" t="s">
        <v>1707</v>
      </c>
      <c r="ER20" s="610" t="s">
        <v>1707</v>
      </c>
      <c r="ES20" s="610" t="s">
        <v>1707</v>
      </c>
      <c r="ET20" s="610" t="s">
        <v>1707</v>
      </c>
      <c r="EU20" s="610">
        <v>4070</v>
      </c>
      <c r="EV20" s="610" t="s">
        <v>2449</v>
      </c>
      <c r="EW20" s="610" t="s">
        <v>2449</v>
      </c>
      <c r="EX20" s="610" t="s">
        <v>2449</v>
      </c>
      <c r="EY20" s="610" t="s">
        <v>2449</v>
      </c>
      <c r="EZ20" s="610" t="s">
        <v>2449</v>
      </c>
      <c r="FA20" s="610" t="s">
        <v>2449</v>
      </c>
      <c r="FB20" s="610" t="s">
        <v>2449</v>
      </c>
      <c r="FC20" s="610" t="s">
        <v>2449</v>
      </c>
      <c r="FD20" s="610" t="s">
        <v>2449</v>
      </c>
      <c r="FE20" s="610" t="s">
        <v>2449</v>
      </c>
      <c r="FF20" s="610" t="s">
        <v>2449</v>
      </c>
      <c r="FG20" s="610" t="s">
        <v>2449</v>
      </c>
      <c r="FH20" s="610">
        <v>32</v>
      </c>
      <c r="FI20" s="610">
        <v>32</v>
      </c>
      <c r="FJ20" s="610">
        <v>32</v>
      </c>
      <c r="FK20" s="610">
        <v>32</v>
      </c>
      <c r="FL20" s="610">
        <v>32</v>
      </c>
      <c r="FM20" s="610">
        <v>32</v>
      </c>
      <c r="FN20" s="610">
        <v>32</v>
      </c>
      <c r="FO20" s="610">
        <v>32</v>
      </c>
      <c r="FP20" s="610">
        <v>32</v>
      </c>
      <c r="FQ20" s="610">
        <v>32</v>
      </c>
      <c r="FR20" s="610" t="s">
        <v>2487</v>
      </c>
      <c r="FS20" s="610" t="s">
        <v>2487</v>
      </c>
      <c r="FT20" s="610" t="s">
        <v>2487</v>
      </c>
      <c r="FU20" s="610" t="s">
        <v>2487</v>
      </c>
      <c r="FV20" s="610" t="s">
        <v>2487</v>
      </c>
      <c r="FW20" s="610" t="s">
        <v>2487</v>
      </c>
      <c r="FX20" s="610" t="s">
        <v>2487</v>
      </c>
      <c r="FY20" s="610" t="s">
        <v>2487</v>
      </c>
      <c r="FZ20" s="610" t="s">
        <v>2487</v>
      </c>
      <c r="GA20" s="610" t="s">
        <v>2487</v>
      </c>
      <c r="GB20" s="610" t="s">
        <v>2487</v>
      </c>
      <c r="GC20" s="610" t="s">
        <v>2487</v>
      </c>
      <c r="GD20" s="564">
        <f t="shared" si="3"/>
        <v>79950</v>
      </c>
      <c r="GE20" s="564">
        <f t="shared" si="4"/>
        <v>79950</v>
      </c>
      <c r="GF20" s="564">
        <f t="shared" si="5"/>
        <v>79950</v>
      </c>
      <c r="GG20" s="564">
        <f t="shared" si="6"/>
        <v>79950</v>
      </c>
      <c r="GH20" s="564">
        <f t="shared" si="7"/>
        <v>79950</v>
      </c>
      <c r="GI20" s="564">
        <f t="shared" si="8"/>
        <v>79950</v>
      </c>
      <c r="GJ20" s="564">
        <f t="shared" si="9"/>
        <v>79950</v>
      </c>
      <c r="GK20" s="564">
        <f t="shared" si="10"/>
        <v>79950</v>
      </c>
      <c r="GL20" s="564">
        <f t="shared" si="11"/>
        <v>79950</v>
      </c>
      <c r="GM20" s="564">
        <f t="shared" si="12"/>
        <v>79950</v>
      </c>
      <c r="GN20" s="564">
        <f t="shared" si="13"/>
        <v>79950</v>
      </c>
      <c r="GO20" s="564">
        <f t="shared" si="14"/>
        <v>79950</v>
      </c>
      <c r="GP20" s="564"/>
      <c r="GS20" s="375" t="s">
        <v>499</v>
      </c>
      <c r="GT20" s="374" t="str">
        <f t="shared" si="1"/>
        <v>〇</v>
      </c>
    </row>
    <row r="21" spans="2:202">
      <c r="B21" s="371">
        <v>17</v>
      </c>
      <c r="C21" s="378">
        <v>17</v>
      </c>
      <c r="D21" s="373" t="s">
        <v>1438</v>
      </c>
      <c r="E21" s="373" t="s">
        <v>14</v>
      </c>
      <c r="F21" s="603">
        <f t="shared" si="2"/>
        <v>90</v>
      </c>
      <c r="G21" s="603"/>
      <c r="H21" s="603">
        <v>60</v>
      </c>
      <c r="I21" s="603">
        <v>30</v>
      </c>
      <c r="J21" s="603"/>
      <c r="K21" s="603"/>
      <c r="L21" s="603"/>
      <c r="M21" s="603"/>
      <c r="N21" s="608"/>
      <c r="O21" s="603">
        <v>1577000</v>
      </c>
      <c r="P21" s="603">
        <v>2721000</v>
      </c>
      <c r="Q21" s="603">
        <v>2721000</v>
      </c>
      <c r="R21" s="603">
        <v>1791000</v>
      </c>
      <c r="S21" s="603">
        <v>0</v>
      </c>
      <c r="T21" s="603">
        <v>0</v>
      </c>
      <c r="U21" s="603">
        <v>0</v>
      </c>
      <c r="V21" s="603">
        <v>1051000</v>
      </c>
      <c r="W21" s="603">
        <v>1814000</v>
      </c>
      <c r="X21" s="603">
        <v>1814000</v>
      </c>
      <c r="Y21" s="603">
        <v>1194000</v>
      </c>
      <c r="Z21" s="603">
        <v>0</v>
      </c>
      <c r="AA21" s="603">
        <v>0</v>
      </c>
      <c r="AB21" s="603">
        <v>0</v>
      </c>
      <c r="AC21" s="603">
        <v>0</v>
      </c>
      <c r="AD21" s="603">
        <v>0</v>
      </c>
      <c r="AE21" s="603">
        <v>0</v>
      </c>
      <c r="AF21" s="603">
        <v>0</v>
      </c>
      <c r="AG21" s="603">
        <v>0</v>
      </c>
      <c r="AH21" s="603">
        <v>0</v>
      </c>
      <c r="AI21" s="603">
        <v>0</v>
      </c>
      <c r="AJ21" s="604" t="s">
        <v>2377</v>
      </c>
      <c r="AK21" s="605" t="s">
        <v>2378</v>
      </c>
      <c r="AL21" s="605" t="s">
        <v>1545</v>
      </c>
      <c r="AM21" s="606" t="s">
        <v>2019</v>
      </c>
      <c r="AN21" s="609" t="s">
        <v>12</v>
      </c>
      <c r="AO21" s="610" t="s">
        <v>1368</v>
      </c>
      <c r="AP21" s="610" t="s">
        <v>1368</v>
      </c>
      <c r="AQ21" s="610" t="s">
        <v>1368</v>
      </c>
      <c r="AR21" s="610" t="s">
        <v>1368</v>
      </c>
      <c r="AS21" s="610" t="s">
        <v>1368</v>
      </c>
      <c r="AT21" s="610" t="s">
        <v>1368</v>
      </c>
      <c r="AU21" s="610" t="s">
        <v>1368</v>
      </c>
      <c r="AV21" s="610" t="s">
        <v>1368</v>
      </c>
      <c r="AW21" s="610" t="s">
        <v>1368</v>
      </c>
      <c r="AX21" s="610" t="s">
        <v>1368</v>
      </c>
      <c r="AY21" s="610" t="s">
        <v>1368</v>
      </c>
      <c r="AZ21" s="610" t="s">
        <v>1368</v>
      </c>
      <c r="BA21" s="610" t="s">
        <v>1368</v>
      </c>
      <c r="BB21" s="610" t="s">
        <v>1368</v>
      </c>
      <c r="BC21" s="610" t="s">
        <v>1368</v>
      </c>
      <c r="BD21" s="610" t="s">
        <v>1368</v>
      </c>
      <c r="BE21" s="610" t="s">
        <v>1368</v>
      </c>
      <c r="BF21" s="610" t="s">
        <v>1368</v>
      </c>
      <c r="BG21" s="610" t="s">
        <v>1368</v>
      </c>
      <c r="BH21" s="610" t="s">
        <v>1368</v>
      </c>
      <c r="BI21" s="610" t="s">
        <v>1368</v>
      </c>
      <c r="BJ21" s="610" t="s">
        <v>1368</v>
      </c>
      <c r="BK21" s="610" t="s">
        <v>1368</v>
      </c>
      <c r="BL21" s="610" t="s">
        <v>1368</v>
      </c>
      <c r="BM21" s="610">
        <v>0</v>
      </c>
      <c r="BN21" s="610">
        <v>0</v>
      </c>
      <c r="BO21" s="610">
        <v>0</v>
      </c>
      <c r="BP21" s="610">
        <v>0</v>
      </c>
      <c r="BQ21" s="610">
        <v>0</v>
      </c>
      <c r="BR21" s="610">
        <v>0</v>
      </c>
      <c r="BS21" s="610">
        <v>0</v>
      </c>
      <c r="BT21" s="610">
        <v>0</v>
      </c>
      <c r="BU21" s="610">
        <v>0</v>
      </c>
      <c r="BV21" s="610">
        <v>0</v>
      </c>
      <c r="BW21" s="610">
        <v>0</v>
      </c>
      <c r="BX21" s="610">
        <v>0</v>
      </c>
      <c r="BY21" s="610">
        <v>0</v>
      </c>
      <c r="BZ21" s="610">
        <v>0</v>
      </c>
      <c r="CA21" s="610">
        <v>0</v>
      </c>
      <c r="CB21" s="610">
        <v>0</v>
      </c>
      <c r="CC21" s="610">
        <v>0</v>
      </c>
      <c r="CD21" s="610">
        <v>0</v>
      </c>
      <c r="CE21" s="610">
        <v>0</v>
      </c>
      <c r="CF21" s="610">
        <v>0</v>
      </c>
      <c r="CG21" s="610">
        <v>0</v>
      </c>
      <c r="CH21" s="610">
        <v>0</v>
      </c>
      <c r="CI21" s="610">
        <v>0</v>
      </c>
      <c r="CJ21" s="610">
        <v>0</v>
      </c>
      <c r="CK21" s="610">
        <v>0</v>
      </c>
      <c r="CL21" s="610">
        <v>0</v>
      </c>
      <c r="CM21" s="610">
        <v>0</v>
      </c>
      <c r="CN21" s="610">
        <v>0</v>
      </c>
      <c r="CO21" s="610">
        <v>0</v>
      </c>
      <c r="CP21" s="610">
        <v>0</v>
      </c>
      <c r="CQ21" s="610">
        <v>0</v>
      </c>
      <c r="CR21" s="610">
        <v>0</v>
      </c>
      <c r="CS21" s="610">
        <v>0</v>
      </c>
      <c r="CT21" s="610">
        <v>0</v>
      </c>
      <c r="CU21" s="610">
        <v>0</v>
      </c>
      <c r="CV21" s="610">
        <v>0</v>
      </c>
      <c r="CW21" s="610" t="s">
        <v>14</v>
      </c>
      <c r="CX21" s="610">
        <v>0</v>
      </c>
      <c r="CY21" s="610" t="s">
        <v>1707</v>
      </c>
      <c r="CZ21" s="610" t="s">
        <v>1707</v>
      </c>
      <c r="DA21" s="610" t="s">
        <v>1707</v>
      </c>
      <c r="DB21" s="610" t="s">
        <v>1707</v>
      </c>
      <c r="DC21" s="610" t="s">
        <v>1707</v>
      </c>
      <c r="DD21" s="610" t="s">
        <v>1707</v>
      </c>
      <c r="DE21" s="610" t="s">
        <v>1707</v>
      </c>
      <c r="DF21" s="610" t="s">
        <v>1707</v>
      </c>
      <c r="DG21" s="610" t="s">
        <v>1707</v>
      </c>
      <c r="DH21" s="610" t="s">
        <v>1707</v>
      </c>
      <c r="DI21" s="610" t="s">
        <v>1707</v>
      </c>
      <c r="DJ21" s="610" t="s">
        <v>1707</v>
      </c>
      <c r="DK21" s="610" t="s">
        <v>1368</v>
      </c>
      <c r="DL21" s="610" t="s">
        <v>1368</v>
      </c>
      <c r="DM21" s="610" t="s">
        <v>1368</v>
      </c>
      <c r="DN21" s="610" t="s">
        <v>1368</v>
      </c>
      <c r="DO21" s="610" t="s">
        <v>1368</v>
      </c>
      <c r="DP21" s="610" t="s">
        <v>1368</v>
      </c>
      <c r="DQ21" s="610" t="s">
        <v>1368</v>
      </c>
      <c r="DR21" s="610" t="s">
        <v>1368</v>
      </c>
      <c r="DS21" s="610" t="s">
        <v>1368</v>
      </c>
      <c r="DT21" s="610" t="s">
        <v>1368</v>
      </c>
      <c r="DU21" s="610" t="s">
        <v>1368</v>
      </c>
      <c r="DV21" s="610" t="s">
        <v>1368</v>
      </c>
      <c r="DW21" s="609" t="s">
        <v>1368</v>
      </c>
      <c r="DX21" s="609" t="s">
        <v>1368</v>
      </c>
      <c r="DY21" s="609" t="s">
        <v>1368</v>
      </c>
      <c r="DZ21" s="609" t="s">
        <v>1368</v>
      </c>
      <c r="EA21" s="609" t="s">
        <v>1368</v>
      </c>
      <c r="EB21" s="609" t="s">
        <v>1368</v>
      </c>
      <c r="EC21" s="609" t="s">
        <v>1368</v>
      </c>
      <c r="ED21" s="609" t="s">
        <v>1368</v>
      </c>
      <c r="EE21" s="609" t="s">
        <v>1368</v>
      </c>
      <c r="EF21" s="609" t="s">
        <v>1368</v>
      </c>
      <c r="EG21" s="609" t="s">
        <v>1368</v>
      </c>
      <c r="EH21" s="609" t="s">
        <v>1368</v>
      </c>
      <c r="EI21" s="610" t="s">
        <v>1707</v>
      </c>
      <c r="EJ21" s="610" t="s">
        <v>1707</v>
      </c>
      <c r="EK21" s="610" t="s">
        <v>1707</v>
      </c>
      <c r="EL21" s="610" t="s">
        <v>1707</v>
      </c>
      <c r="EM21" s="610" t="s">
        <v>1707</v>
      </c>
      <c r="EN21" s="610" t="s">
        <v>1707</v>
      </c>
      <c r="EO21" s="610" t="s">
        <v>1707</v>
      </c>
      <c r="EP21" s="610" t="s">
        <v>1707</v>
      </c>
      <c r="EQ21" s="610" t="s">
        <v>1707</v>
      </c>
      <c r="ER21" s="610" t="s">
        <v>1707</v>
      </c>
      <c r="ES21" s="610" t="s">
        <v>1707</v>
      </c>
      <c r="ET21" s="610" t="s">
        <v>1707</v>
      </c>
      <c r="EU21" s="610">
        <v>4070</v>
      </c>
      <c r="EV21" s="610" t="s">
        <v>1707</v>
      </c>
      <c r="EW21" s="610" t="s">
        <v>1707</v>
      </c>
      <c r="EX21" s="610" t="s">
        <v>1707</v>
      </c>
      <c r="EY21" s="610" t="s">
        <v>1707</v>
      </c>
      <c r="EZ21" s="610" t="s">
        <v>1707</v>
      </c>
      <c r="FA21" s="610" t="s">
        <v>1707</v>
      </c>
      <c r="FB21" s="610" t="s">
        <v>1707</v>
      </c>
      <c r="FC21" s="610" t="s">
        <v>1707</v>
      </c>
      <c r="FD21" s="610" t="s">
        <v>1707</v>
      </c>
      <c r="FE21" s="610" t="s">
        <v>1707</v>
      </c>
      <c r="FF21" s="610" t="s">
        <v>1707</v>
      </c>
      <c r="FG21" s="610" t="s">
        <v>1707</v>
      </c>
      <c r="FH21" s="610">
        <v>36</v>
      </c>
      <c r="FI21" s="610">
        <v>36</v>
      </c>
      <c r="FJ21" s="610">
        <v>36</v>
      </c>
      <c r="FK21" s="610">
        <v>36</v>
      </c>
      <c r="FL21" s="610">
        <v>36</v>
      </c>
      <c r="FM21" s="610">
        <v>36</v>
      </c>
      <c r="FN21" s="610">
        <v>36</v>
      </c>
      <c r="FO21" s="610">
        <v>36</v>
      </c>
      <c r="FP21" s="610">
        <v>36</v>
      </c>
      <c r="FQ21" s="610">
        <v>36</v>
      </c>
      <c r="FR21" s="610" t="s">
        <v>2487</v>
      </c>
      <c r="FS21" s="610" t="s">
        <v>2487</v>
      </c>
      <c r="FT21" s="610" t="s">
        <v>2487</v>
      </c>
      <c r="FU21" s="610" t="s">
        <v>2487</v>
      </c>
      <c r="FV21" s="610" t="s">
        <v>2487</v>
      </c>
      <c r="FW21" s="610" t="s">
        <v>2487</v>
      </c>
      <c r="FX21" s="610" t="s">
        <v>2487</v>
      </c>
      <c r="FY21" s="610" t="s">
        <v>2487</v>
      </c>
      <c r="FZ21" s="610" t="s">
        <v>2487</v>
      </c>
      <c r="GA21" s="610" t="s">
        <v>2487</v>
      </c>
      <c r="GB21" s="610" t="s">
        <v>2487</v>
      </c>
      <c r="GC21" s="610" t="s">
        <v>2487</v>
      </c>
      <c r="GD21" s="564">
        <f t="shared" si="3"/>
        <v>79950</v>
      </c>
      <c r="GE21" s="564">
        <f t="shared" si="4"/>
        <v>79950</v>
      </c>
      <c r="GF21" s="564">
        <f t="shared" si="5"/>
        <v>79950</v>
      </c>
      <c r="GG21" s="564">
        <f t="shared" si="6"/>
        <v>79950</v>
      </c>
      <c r="GH21" s="564">
        <f t="shared" si="7"/>
        <v>79950</v>
      </c>
      <c r="GI21" s="564">
        <f t="shared" si="8"/>
        <v>79950</v>
      </c>
      <c r="GJ21" s="564">
        <f t="shared" si="9"/>
        <v>79950</v>
      </c>
      <c r="GK21" s="564">
        <f t="shared" si="10"/>
        <v>79950</v>
      </c>
      <c r="GL21" s="564">
        <f t="shared" si="11"/>
        <v>79950</v>
      </c>
      <c r="GM21" s="564">
        <f t="shared" si="12"/>
        <v>79950</v>
      </c>
      <c r="GN21" s="564">
        <f t="shared" si="13"/>
        <v>79950</v>
      </c>
      <c r="GO21" s="564">
        <f t="shared" si="14"/>
        <v>79950</v>
      </c>
      <c r="GP21" s="564"/>
      <c r="GS21" s="375" t="s">
        <v>1438</v>
      </c>
      <c r="GT21" s="374" t="str">
        <f t="shared" si="1"/>
        <v>〇</v>
      </c>
    </row>
    <row r="22" spans="2:202">
      <c r="B22" s="371">
        <v>18</v>
      </c>
      <c r="C22" s="378">
        <v>18</v>
      </c>
      <c r="D22" s="373" t="s">
        <v>503</v>
      </c>
      <c r="E22" s="373" t="s">
        <v>14</v>
      </c>
      <c r="F22" s="603">
        <f t="shared" si="2"/>
        <v>90</v>
      </c>
      <c r="G22" s="603"/>
      <c r="H22" s="603">
        <v>60</v>
      </c>
      <c r="I22" s="603">
        <v>30</v>
      </c>
      <c r="J22" s="603"/>
      <c r="K22" s="603"/>
      <c r="L22" s="603"/>
      <c r="M22" s="603"/>
      <c r="N22" s="608"/>
      <c r="O22" s="603">
        <v>1577000</v>
      </c>
      <c r="P22" s="603">
        <v>2721000</v>
      </c>
      <c r="Q22" s="603">
        <v>2721000</v>
      </c>
      <c r="R22" s="603">
        <v>1791000</v>
      </c>
      <c r="S22" s="603">
        <v>0</v>
      </c>
      <c r="T22" s="603">
        <v>2181000</v>
      </c>
      <c r="U22" s="603">
        <v>2181000</v>
      </c>
      <c r="V22" s="603">
        <v>1051000</v>
      </c>
      <c r="W22" s="603">
        <v>1814000</v>
      </c>
      <c r="X22" s="603">
        <v>1814000</v>
      </c>
      <c r="Y22" s="603">
        <v>1194000</v>
      </c>
      <c r="Z22" s="603">
        <v>0</v>
      </c>
      <c r="AA22" s="603">
        <v>1454000</v>
      </c>
      <c r="AB22" s="603">
        <v>1454000</v>
      </c>
      <c r="AC22" s="603">
        <v>526000</v>
      </c>
      <c r="AD22" s="603">
        <v>907000</v>
      </c>
      <c r="AE22" s="603">
        <v>907000</v>
      </c>
      <c r="AF22" s="603">
        <v>597000</v>
      </c>
      <c r="AG22" s="603">
        <v>0</v>
      </c>
      <c r="AH22" s="603">
        <v>727000</v>
      </c>
      <c r="AI22" s="603">
        <v>727000</v>
      </c>
      <c r="AJ22" s="604" t="s">
        <v>2377</v>
      </c>
      <c r="AK22" s="605" t="s">
        <v>2378</v>
      </c>
      <c r="AL22" s="605" t="s">
        <v>2490</v>
      </c>
      <c r="AM22" s="606" t="s">
        <v>2020</v>
      </c>
      <c r="AN22" s="609" t="s">
        <v>12</v>
      </c>
      <c r="AO22" s="610" t="s">
        <v>1368</v>
      </c>
      <c r="AP22" s="610" t="s">
        <v>1368</v>
      </c>
      <c r="AQ22" s="610" t="s">
        <v>1368</v>
      </c>
      <c r="AR22" s="610" t="s">
        <v>1368</v>
      </c>
      <c r="AS22" s="610" t="s">
        <v>1368</v>
      </c>
      <c r="AT22" s="610" t="s">
        <v>1368</v>
      </c>
      <c r="AU22" s="610" t="s">
        <v>1368</v>
      </c>
      <c r="AV22" s="610" t="s">
        <v>1368</v>
      </c>
      <c r="AW22" s="610" t="s">
        <v>1368</v>
      </c>
      <c r="AX22" s="610" t="s">
        <v>1368</v>
      </c>
      <c r="AY22" s="610" t="s">
        <v>1368</v>
      </c>
      <c r="AZ22" s="610" t="s">
        <v>1368</v>
      </c>
      <c r="BA22" s="610" t="s">
        <v>1368</v>
      </c>
      <c r="BB22" s="610" t="s">
        <v>1368</v>
      </c>
      <c r="BC22" s="610" t="s">
        <v>1368</v>
      </c>
      <c r="BD22" s="610" t="s">
        <v>1368</v>
      </c>
      <c r="BE22" s="610" t="s">
        <v>1368</v>
      </c>
      <c r="BF22" s="610" t="s">
        <v>1368</v>
      </c>
      <c r="BG22" s="610" t="s">
        <v>1368</v>
      </c>
      <c r="BH22" s="610" t="s">
        <v>1368</v>
      </c>
      <c r="BI22" s="610" t="s">
        <v>1368</v>
      </c>
      <c r="BJ22" s="610" t="s">
        <v>1368</v>
      </c>
      <c r="BK22" s="610" t="s">
        <v>1368</v>
      </c>
      <c r="BL22" s="610" t="s">
        <v>1368</v>
      </c>
      <c r="BM22" s="610">
        <v>1</v>
      </c>
      <c r="BN22" s="610">
        <v>1</v>
      </c>
      <c r="BO22" s="610">
        <v>1</v>
      </c>
      <c r="BP22" s="610">
        <v>1</v>
      </c>
      <c r="BQ22" s="610">
        <v>1</v>
      </c>
      <c r="BR22" s="610">
        <v>1</v>
      </c>
      <c r="BS22" s="610">
        <v>1</v>
      </c>
      <c r="BT22" s="610">
        <v>1</v>
      </c>
      <c r="BU22" s="610">
        <v>1</v>
      </c>
      <c r="BV22" s="610">
        <v>1</v>
      </c>
      <c r="BW22" s="610">
        <v>1</v>
      </c>
      <c r="BX22" s="610">
        <v>1</v>
      </c>
      <c r="BY22" s="610">
        <v>0</v>
      </c>
      <c r="BZ22" s="610">
        <v>0</v>
      </c>
      <c r="CA22" s="610">
        <v>0</v>
      </c>
      <c r="CB22" s="610">
        <v>0</v>
      </c>
      <c r="CC22" s="610">
        <v>0</v>
      </c>
      <c r="CD22" s="610">
        <v>0</v>
      </c>
      <c r="CE22" s="610">
        <v>0</v>
      </c>
      <c r="CF22" s="610">
        <v>0</v>
      </c>
      <c r="CG22" s="610">
        <v>0</v>
      </c>
      <c r="CH22" s="610">
        <v>0</v>
      </c>
      <c r="CI22" s="610">
        <v>0</v>
      </c>
      <c r="CJ22" s="610">
        <v>0</v>
      </c>
      <c r="CK22" s="610">
        <v>0</v>
      </c>
      <c r="CL22" s="610">
        <v>0</v>
      </c>
      <c r="CM22" s="610">
        <v>0</v>
      </c>
      <c r="CN22" s="610">
        <v>0</v>
      </c>
      <c r="CO22" s="610">
        <v>0</v>
      </c>
      <c r="CP22" s="610">
        <v>0</v>
      </c>
      <c r="CQ22" s="610">
        <v>0</v>
      </c>
      <c r="CR22" s="610">
        <v>0</v>
      </c>
      <c r="CS22" s="610">
        <v>0</v>
      </c>
      <c r="CT22" s="610">
        <v>0</v>
      </c>
      <c r="CU22" s="610">
        <v>0</v>
      </c>
      <c r="CV22" s="610">
        <v>0</v>
      </c>
      <c r="CW22" s="610" t="s">
        <v>14</v>
      </c>
      <c r="CX22" s="610">
        <v>0</v>
      </c>
      <c r="CY22" s="610" t="s">
        <v>1707</v>
      </c>
      <c r="CZ22" s="610" t="s">
        <v>1707</v>
      </c>
      <c r="DA22" s="610" t="s">
        <v>1707</v>
      </c>
      <c r="DB22" s="610" t="s">
        <v>1707</v>
      </c>
      <c r="DC22" s="610" t="s">
        <v>1707</v>
      </c>
      <c r="DD22" s="610" t="s">
        <v>1707</v>
      </c>
      <c r="DE22" s="610" t="s">
        <v>1707</v>
      </c>
      <c r="DF22" s="610" t="s">
        <v>1707</v>
      </c>
      <c r="DG22" s="610" t="s">
        <v>1707</v>
      </c>
      <c r="DH22" s="610" t="s">
        <v>1707</v>
      </c>
      <c r="DI22" s="610" t="s">
        <v>1707</v>
      </c>
      <c r="DJ22" s="610" t="s">
        <v>1707</v>
      </c>
      <c r="DK22" s="610" t="s">
        <v>18</v>
      </c>
      <c r="DL22" s="610" t="s">
        <v>18</v>
      </c>
      <c r="DM22" s="610" t="s">
        <v>18</v>
      </c>
      <c r="DN22" s="610" t="s">
        <v>18</v>
      </c>
      <c r="DO22" s="610" t="s">
        <v>18</v>
      </c>
      <c r="DP22" s="610" t="s">
        <v>18</v>
      </c>
      <c r="DQ22" s="610" t="s">
        <v>18</v>
      </c>
      <c r="DR22" s="610" t="s">
        <v>18</v>
      </c>
      <c r="DS22" s="610" t="s">
        <v>18</v>
      </c>
      <c r="DT22" s="610" t="s">
        <v>18</v>
      </c>
      <c r="DU22" s="610" t="s">
        <v>18</v>
      </c>
      <c r="DV22" s="610" t="s">
        <v>18</v>
      </c>
      <c r="DW22" s="609" t="s">
        <v>1368</v>
      </c>
      <c r="DX22" s="609" t="s">
        <v>1368</v>
      </c>
      <c r="DY22" s="609" t="s">
        <v>1368</v>
      </c>
      <c r="DZ22" s="609" t="s">
        <v>1368</v>
      </c>
      <c r="EA22" s="609" t="s">
        <v>1368</v>
      </c>
      <c r="EB22" s="609" t="s">
        <v>1368</v>
      </c>
      <c r="EC22" s="609" t="s">
        <v>1368</v>
      </c>
      <c r="ED22" s="609" t="s">
        <v>1368</v>
      </c>
      <c r="EE22" s="609" t="s">
        <v>1368</v>
      </c>
      <c r="EF22" s="609" t="s">
        <v>1368</v>
      </c>
      <c r="EG22" s="609" t="s">
        <v>1368</v>
      </c>
      <c r="EH22" s="609" t="s">
        <v>1368</v>
      </c>
      <c r="EI22" s="610" t="s">
        <v>1707</v>
      </c>
      <c r="EJ22" s="610" t="s">
        <v>1707</v>
      </c>
      <c r="EK22" s="610" t="s">
        <v>1707</v>
      </c>
      <c r="EL22" s="610" t="s">
        <v>1707</v>
      </c>
      <c r="EM22" s="610" t="s">
        <v>1707</v>
      </c>
      <c r="EN22" s="610" t="s">
        <v>1707</v>
      </c>
      <c r="EO22" s="610" t="s">
        <v>1707</v>
      </c>
      <c r="EP22" s="610" t="s">
        <v>1707</v>
      </c>
      <c r="EQ22" s="610" t="s">
        <v>1707</v>
      </c>
      <c r="ER22" s="610" t="s">
        <v>1707</v>
      </c>
      <c r="ES22" s="610" t="s">
        <v>1707</v>
      </c>
      <c r="ET22" s="610" t="s">
        <v>1707</v>
      </c>
      <c r="EU22" s="610">
        <v>4070</v>
      </c>
      <c r="EV22" s="610" t="s">
        <v>2449</v>
      </c>
      <c r="EW22" s="610" t="s">
        <v>2449</v>
      </c>
      <c r="EX22" s="610" t="s">
        <v>2449</v>
      </c>
      <c r="EY22" s="610" t="s">
        <v>2449</v>
      </c>
      <c r="EZ22" s="610" t="s">
        <v>2449</v>
      </c>
      <c r="FA22" s="610" t="s">
        <v>2449</v>
      </c>
      <c r="FB22" s="610" t="s">
        <v>2449</v>
      </c>
      <c r="FC22" s="610" t="s">
        <v>2449</v>
      </c>
      <c r="FD22" s="610" t="s">
        <v>2449</v>
      </c>
      <c r="FE22" s="610" t="s">
        <v>2449</v>
      </c>
      <c r="FF22" s="610" t="s">
        <v>2449</v>
      </c>
      <c r="FG22" s="610" t="s">
        <v>2449</v>
      </c>
      <c r="FH22" s="610">
        <v>43</v>
      </c>
      <c r="FI22" s="610">
        <v>43</v>
      </c>
      <c r="FJ22" s="610">
        <v>43</v>
      </c>
      <c r="FK22" s="610">
        <v>43</v>
      </c>
      <c r="FL22" s="610">
        <v>43</v>
      </c>
      <c r="FM22" s="610">
        <v>43</v>
      </c>
      <c r="FN22" s="610">
        <v>43</v>
      </c>
      <c r="FO22" s="610">
        <v>43</v>
      </c>
      <c r="FP22" s="610">
        <v>43</v>
      </c>
      <c r="FQ22" s="610">
        <v>43</v>
      </c>
      <c r="FR22" s="610" t="s">
        <v>2487</v>
      </c>
      <c r="FS22" s="610" t="s">
        <v>2487</v>
      </c>
      <c r="FT22" s="610" t="s">
        <v>2487</v>
      </c>
      <c r="FU22" s="610" t="s">
        <v>2487</v>
      </c>
      <c r="FV22" s="610" t="s">
        <v>2487</v>
      </c>
      <c r="FW22" s="610" t="s">
        <v>2487</v>
      </c>
      <c r="FX22" s="610" t="s">
        <v>2487</v>
      </c>
      <c r="FY22" s="610" t="s">
        <v>2487</v>
      </c>
      <c r="FZ22" s="610" t="s">
        <v>2487</v>
      </c>
      <c r="GA22" s="610" t="s">
        <v>2487</v>
      </c>
      <c r="GB22" s="610" t="s">
        <v>2487</v>
      </c>
      <c r="GC22" s="610" t="s">
        <v>2487</v>
      </c>
      <c r="GD22" s="564">
        <f t="shared" si="3"/>
        <v>79950</v>
      </c>
      <c r="GE22" s="564">
        <f t="shared" si="4"/>
        <v>79950</v>
      </c>
      <c r="GF22" s="564">
        <f t="shared" si="5"/>
        <v>79950</v>
      </c>
      <c r="GG22" s="564">
        <f t="shared" si="6"/>
        <v>79950</v>
      </c>
      <c r="GH22" s="564">
        <f t="shared" si="7"/>
        <v>79950</v>
      </c>
      <c r="GI22" s="564">
        <f t="shared" si="8"/>
        <v>79950</v>
      </c>
      <c r="GJ22" s="564">
        <f t="shared" si="9"/>
        <v>79950</v>
      </c>
      <c r="GK22" s="564">
        <f t="shared" si="10"/>
        <v>79950</v>
      </c>
      <c r="GL22" s="564">
        <f t="shared" si="11"/>
        <v>79950</v>
      </c>
      <c r="GM22" s="564">
        <f t="shared" si="12"/>
        <v>79950</v>
      </c>
      <c r="GN22" s="564">
        <f t="shared" si="13"/>
        <v>79950</v>
      </c>
      <c r="GO22" s="564">
        <f t="shared" si="14"/>
        <v>79950</v>
      </c>
      <c r="GP22" s="564"/>
      <c r="GS22" s="375" t="s">
        <v>503</v>
      </c>
      <c r="GT22" s="374" t="str">
        <f t="shared" si="1"/>
        <v>〇</v>
      </c>
    </row>
    <row r="23" spans="2:202">
      <c r="B23" s="371">
        <v>19</v>
      </c>
      <c r="C23" s="378">
        <v>19</v>
      </c>
      <c r="D23" s="373" t="s">
        <v>497</v>
      </c>
      <c r="E23" s="373" t="s">
        <v>14</v>
      </c>
      <c r="F23" s="603">
        <f t="shared" si="2"/>
        <v>90</v>
      </c>
      <c r="G23" s="603"/>
      <c r="H23" s="603">
        <v>60</v>
      </c>
      <c r="I23" s="603">
        <v>30</v>
      </c>
      <c r="J23" s="603"/>
      <c r="K23" s="603"/>
      <c r="L23" s="603"/>
      <c r="M23" s="603"/>
      <c r="N23" s="608"/>
      <c r="O23" s="603">
        <v>1577000</v>
      </c>
      <c r="P23" s="603">
        <v>2721000</v>
      </c>
      <c r="Q23" s="603">
        <v>2721000</v>
      </c>
      <c r="R23" s="603">
        <v>1791000</v>
      </c>
      <c r="S23" s="603">
        <v>0</v>
      </c>
      <c r="T23" s="603">
        <v>2181000</v>
      </c>
      <c r="U23" s="603">
        <v>0</v>
      </c>
      <c r="V23" s="603">
        <v>1051000</v>
      </c>
      <c r="W23" s="603">
        <v>1814000</v>
      </c>
      <c r="X23" s="603">
        <v>1814000</v>
      </c>
      <c r="Y23" s="603">
        <v>1194000</v>
      </c>
      <c r="Z23" s="603">
        <v>0</v>
      </c>
      <c r="AA23" s="603">
        <v>1454000</v>
      </c>
      <c r="AB23" s="603">
        <v>0</v>
      </c>
      <c r="AC23" s="603">
        <v>0</v>
      </c>
      <c r="AD23" s="603">
        <v>0</v>
      </c>
      <c r="AE23" s="603">
        <v>0</v>
      </c>
      <c r="AF23" s="603">
        <v>0</v>
      </c>
      <c r="AG23" s="603">
        <v>0</v>
      </c>
      <c r="AH23" s="603">
        <v>0</v>
      </c>
      <c r="AI23" s="603">
        <v>0</v>
      </c>
      <c r="AJ23" s="604" t="s">
        <v>2377</v>
      </c>
      <c r="AK23" s="605" t="s">
        <v>2378</v>
      </c>
      <c r="AL23" s="605" t="s">
        <v>1545</v>
      </c>
      <c r="AM23" s="606" t="s">
        <v>2021</v>
      </c>
      <c r="AN23" s="609" t="s">
        <v>12</v>
      </c>
      <c r="AO23" s="610" t="s">
        <v>1368</v>
      </c>
      <c r="AP23" s="610" t="s">
        <v>1368</v>
      </c>
      <c r="AQ23" s="610" t="s">
        <v>1368</v>
      </c>
      <c r="AR23" s="610" t="s">
        <v>1368</v>
      </c>
      <c r="AS23" s="610" t="s">
        <v>1368</v>
      </c>
      <c r="AT23" s="610" t="s">
        <v>1368</v>
      </c>
      <c r="AU23" s="610" t="s">
        <v>1368</v>
      </c>
      <c r="AV23" s="610" t="s">
        <v>1368</v>
      </c>
      <c r="AW23" s="610" t="s">
        <v>1368</v>
      </c>
      <c r="AX23" s="610" t="s">
        <v>1368</v>
      </c>
      <c r="AY23" s="610" t="s">
        <v>1368</v>
      </c>
      <c r="AZ23" s="610" t="s">
        <v>1368</v>
      </c>
      <c r="BA23" s="610" t="s">
        <v>1368</v>
      </c>
      <c r="BB23" s="610" t="s">
        <v>1368</v>
      </c>
      <c r="BC23" s="610" t="s">
        <v>1368</v>
      </c>
      <c r="BD23" s="610" t="s">
        <v>1368</v>
      </c>
      <c r="BE23" s="610" t="s">
        <v>1368</v>
      </c>
      <c r="BF23" s="610" t="s">
        <v>1368</v>
      </c>
      <c r="BG23" s="610" t="s">
        <v>1368</v>
      </c>
      <c r="BH23" s="610" t="s">
        <v>1368</v>
      </c>
      <c r="BI23" s="610" t="s">
        <v>1368</v>
      </c>
      <c r="BJ23" s="610" t="s">
        <v>1368</v>
      </c>
      <c r="BK23" s="610" t="s">
        <v>1368</v>
      </c>
      <c r="BL23" s="610" t="s">
        <v>1368</v>
      </c>
      <c r="BM23" s="610">
        <v>1</v>
      </c>
      <c r="BN23" s="610">
        <v>1</v>
      </c>
      <c r="BO23" s="610">
        <v>1</v>
      </c>
      <c r="BP23" s="610">
        <v>1</v>
      </c>
      <c r="BQ23" s="610">
        <v>1</v>
      </c>
      <c r="BR23" s="610">
        <v>1</v>
      </c>
      <c r="BS23" s="610">
        <v>1</v>
      </c>
      <c r="BT23" s="610">
        <v>1</v>
      </c>
      <c r="BU23" s="610">
        <v>1</v>
      </c>
      <c r="BV23" s="610">
        <v>1</v>
      </c>
      <c r="BW23" s="610">
        <v>1</v>
      </c>
      <c r="BX23" s="610">
        <v>1</v>
      </c>
      <c r="BY23" s="610">
        <v>0</v>
      </c>
      <c r="BZ23" s="610">
        <v>0</v>
      </c>
      <c r="CA23" s="610">
        <v>0</v>
      </c>
      <c r="CB23" s="610">
        <v>0</v>
      </c>
      <c r="CC23" s="610">
        <v>0</v>
      </c>
      <c r="CD23" s="610">
        <v>0</v>
      </c>
      <c r="CE23" s="610">
        <v>0</v>
      </c>
      <c r="CF23" s="610">
        <v>0</v>
      </c>
      <c r="CG23" s="610">
        <v>0</v>
      </c>
      <c r="CH23" s="610">
        <v>0</v>
      </c>
      <c r="CI23" s="610">
        <v>0</v>
      </c>
      <c r="CJ23" s="610">
        <v>0</v>
      </c>
      <c r="CK23" s="610">
        <v>0</v>
      </c>
      <c r="CL23" s="610">
        <v>0</v>
      </c>
      <c r="CM23" s="610">
        <v>0</v>
      </c>
      <c r="CN23" s="610">
        <v>0</v>
      </c>
      <c r="CO23" s="610">
        <v>0</v>
      </c>
      <c r="CP23" s="610">
        <v>0</v>
      </c>
      <c r="CQ23" s="610">
        <v>0</v>
      </c>
      <c r="CR23" s="610">
        <v>0</v>
      </c>
      <c r="CS23" s="610">
        <v>0</v>
      </c>
      <c r="CT23" s="610">
        <v>0</v>
      </c>
      <c r="CU23" s="610">
        <v>0</v>
      </c>
      <c r="CV23" s="610">
        <v>0</v>
      </c>
      <c r="CW23" s="610" t="s">
        <v>14</v>
      </c>
      <c r="CX23" s="610">
        <v>0</v>
      </c>
      <c r="CY23" s="610" t="s">
        <v>1707</v>
      </c>
      <c r="CZ23" s="610" t="s">
        <v>1707</v>
      </c>
      <c r="DA23" s="610" t="s">
        <v>1707</v>
      </c>
      <c r="DB23" s="610" t="s">
        <v>1707</v>
      </c>
      <c r="DC23" s="610" t="s">
        <v>1707</v>
      </c>
      <c r="DD23" s="610" t="s">
        <v>1707</v>
      </c>
      <c r="DE23" s="610" t="s">
        <v>1707</v>
      </c>
      <c r="DF23" s="610" t="s">
        <v>1707</v>
      </c>
      <c r="DG23" s="610" t="s">
        <v>1707</v>
      </c>
      <c r="DH23" s="610" t="s">
        <v>1707</v>
      </c>
      <c r="DI23" s="610" t="s">
        <v>1707</v>
      </c>
      <c r="DJ23" s="610" t="s">
        <v>1707</v>
      </c>
      <c r="DK23" s="610" t="s">
        <v>18</v>
      </c>
      <c r="DL23" s="610" t="s">
        <v>18</v>
      </c>
      <c r="DM23" s="610" t="s">
        <v>18</v>
      </c>
      <c r="DN23" s="610" t="s">
        <v>18</v>
      </c>
      <c r="DO23" s="610" t="s">
        <v>18</v>
      </c>
      <c r="DP23" s="610" t="s">
        <v>18</v>
      </c>
      <c r="DQ23" s="610" t="s">
        <v>18</v>
      </c>
      <c r="DR23" s="610" t="s">
        <v>18</v>
      </c>
      <c r="DS23" s="610" t="s">
        <v>18</v>
      </c>
      <c r="DT23" s="610" t="s">
        <v>18</v>
      </c>
      <c r="DU23" s="610" t="s">
        <v>18</v>
      </c>
      <c r="DV23" s="610" t="s">
        <v>18</v>
      </c>
      <c r="DW23" s="609" t="s">
        <v>1368</v>
      </c>
      <c r="DX23" s="609" t="s">
        <v>1368</v>
      </c>
      <c r="DY23" s="609" t="s">
        <v>1368</v>
      </c>
      <c r="DZ23" s="609" t="s">
        <v>1368</v>
      </c>
      <c r="EA23" s="609" t="s">
        <v>1368</v>
      </c>
      <c r="EB23" s="609" t="s">
        <v>1368</v>
      </c>
      <c r="EC23" s="609" t="s">
        <v>1368</v>
      </c>
      <c r="ED23" s="609" t="s">
        <v>1368</v>
      </c>
      <c r="EE23" s="609" t="s">
        <v>1368</v>
      </c>
      <c r="EF23" s="609" t="s">
        <v>1368</v>
      </c>
      <c r="EG23" s="609" t="s">
        <v>1368</v>
      </c>
      <c r="EH23" s="609" t="s">
        <v>1368</v>
      </c>
      <c r="EI23" s="610" t="s">
        <v>1707</v>
      </c>
      <c r="EJ23" s="610" t="s">
        <v>1707</v>
      </c>
      <c r="EK23" s="610" t="s">
        <v>1707</v>
      </c>
      <c r="EL23" s="610" t="s">
        <v>1707</v>
      </c>
      <c r="EM23" s="610" t="s">
        <v>1707</v>
      </c>
      <c r="EN23" s="610" t="s">
        <v>1707</v>
      </c>
      <c r="EO23" s="610" t="s">
        <v>1707</v>
      </c>
      <c r="EP23" s="610" t="s">
        <v>1707</v>
      </c>
      <c r="EQ23" s="610" t="s">
        <v>1707</v>
      </c>
      <c r="ER23" s="610" t="s">
        <v>1707</v>
      </c>
      <c r="ES23" s="610" t="s">
        <v>1707</v>
      </c>
      <c r="ET23" s="610" t="s">
        <v>1707</v>
      </c>
      <c r="EU23" s="610">
        <v>4070</v>
      </c>
      <c r="EV23" s="610" t="s">
        <v>2449</v>
      </c>
      <c r="EW23" s="610" t="s">
        <v>2449</v>
      </c>
      <c r="EX23" s="610" t="s">
        <v>2449</v>
      </c>
      <c r="EY23" s="610" t="s">
        <v>2449</v>
      </c>
      <c r="EZ23" s="610" t="s">
        <v>2449</v>
      </c>
      <c r="FA23" s="610" t="s">
        <v>2449</v>
      </c>
      <c r="FB23" s="610" t="s">
        <v>2449</v>
      </c>
      <c r="FC23" s="610" t="s">
        <v>2449</v>
      </c>
      <c r="FD23" s="610" t="s">
        <v>2449</v>
      </c>
      <c r="FE23" s="610" t="s">
        <v>2449</v>
      </c>
      <c r="FF23" s="610" t="s">
        <v>2449</v>
      </c>
      <c r="FG23" s="610" t="s">
        <v>2449</v>
      </c>
      <c r="FH23" s="610">
        <v>38</v>
      </c>
      <c r="FI23" s="610">
        <v>40</v>
      </c>
      <c r="FJ23" s="610">
        <v>40</v>
      </c>
      <c r="FK23" s="610">
        <v>40</v>
      </c>
      <c r="FL23" s="610">
        <v>40</v>
      </c>
      <c r="FM23" s="610">
        <v>40</v>
      </c>
      <c r="FN23" s="610">
        <v>40</v>
      </c>
      <c r="FO23" s="610">
        <v>40</v>
      </c>
      <c r="FP23" s="610">
        <v>39</v>
      </c>
      <c r="FQ23" s="610">
        <v>40</v>
      </c>
      <c r="FR23" s="610" t="s">
        <v>2487</v>
      </c>
      <c r="FS23" s="610" t="s">
        <v>2487</v>
      </c>
      <c r="FT23" s="610" t="s">
        <v>2487</v>
      </c>
      <c r="FU23" s="610" t="s">
        <v>2487</v>
      </c>
      <c r="FV23" s="610" t="s">
        <v>2487</v>
      </c>
      <c r="FW23" s="610" t="s">
        <v>2487</v>
      </c>
      <c r="FX23" s="610" t="s">
        <v>2487</v>
      </c>
      <c r="FY23" s="610" t="s">
        <v>2487</v>
      </c>
      <c r="FZ23" s="610" t="s">
        <v>2487</v>
      </c>
      <c r="GA23" s="610" t="s">
        <v>2487</v>
      </c>
      <c r="GB23" s="610" t="s">
        <v>2487</v>
      </c>
      <c r="GC23" s="610" t="s">
        <v>2487</v>
      </c>
      <c r="GD23" s="564">
        <f t="shared" si="3"/>
        <v>79950</v>
      </c>
      <c r="GE23" s="564">
        <f t="shared" si="4"/>
        <v>79950</v>
      </c>
      <c r="GF23" s="564">
        <f t="shared" si="5"/>
        <v>79950</v>
      </c>
      <c r="GG23" s="564">
        <f t="shared" si="6"/>
        <v>79950</v>
      </c>
      <c r="GH23" s="564">
        <f t="shared" si="7"/>
        <v>79950</v>
      </c>
      <c r="GI23" s="564">
        <f t="shared" si="8"/>
        <v>79950</v>
      </c>
      <c r="GJ23" s="564">
        <f t="shared" si="9"/>
        <v>79950</v>
      </c>
      <c r="GK23" s="564">
        <f t="shared" si="10"/>
        <v>79950</v>
      </c>
      <c r="GL23" s="564">
        <f t="shared" si="11"/>
        <v>79950</v>
      </c>
      <c r="GM23" s="564">
        <f t="shared" si="12"/>
        <v>79950</v>
      </c>
      <c r="GN23" s="564">
        <f t="shared" si="13"/>
        <v>79950</v>
      </c>
      <c r="GO23" s="564">
        <f t="shared" si="14"/>
        <v>79950</v>
      </c>
      <c r="GP23" s="564"/>
      <c r="GS23" s="375" t="s">
        <v>497</v>
      </c>
      <c r="GT23" s="374" t="str">
        <f t="shared" si="1"/>
        <v>〇</v>
      </c>
    </row>
    <row r="24" spans="2:202">
      <c r="B24" s="371">
        <v>20</v>
      </c>
      <c r="C24" s="378">
        <v>20</v>
      </c>
      <c r="D24" s="373" t="s">
        <v>481</v>
      </c>
      <c r="E24" s="373" t="s">
        <v>14</v>
      </c>
      <c r="F24" s="603">
        <f t="shared" si="2"/>
        <v>120</v>
      </c>
      <c r="G24" s="603"/>
      <c r="H24" s="603">
        <v>67</v>
      </c>
      <c r="I24" s="603">
        <v>53</v>
      </c>
      <c r="J24" s="603"/>
      <c r="K24" s="603"/>
      <c r="L24" s="603"/>
      <c r="M24" s="603"/>
      <c r="N24" s="608"/>
      <c r="O24" s="603">
        <v>1577000</v>
      </c>
      <c r="P24" s="603">
        <v>2721000</v>
      </c>
      <c r="Q24" s="603">
        <v>2721000</v>
      </c>
      <c r="R24" s="603">
        <v>1791000</v>
      </c>
      <c r="S24" s="603">
        <v>0</v>
      </c>
      <c r="T24" s="603">
        <v>0</v>
      </c>
      <c r="U24" s="603">
        <v>0</v>
      </c>
      <c r="V24" s="603">
        <v>0</v>
      </c>
      <c r="W24" s="603">
        <v>0</v>
      </c>
      <c r="X24" s="603">
        <v>0</v>
      </c>
      <c r="Y24" s="603">
        <v>0</v>
      </c>
      <c r="Z24" s="603">
        <v>0</v>
      </c>
      <c r="AA24" s="603">
        <v>0</v>
      </c>
      <c r="AB24" s="603">
        <v>0</v>
      </c>
      <c r="AC24" s="603">
        <v>0</v>
      </c>
      <c r="AD24" s="603">
        <v>0</v>
      </c>
      <c r="AE24" s="603">
        <v>0</v>
      </c>
      <c r="AF24" s="603">
        <v>0</v>
      </c>
      <c r="AG24" s="603">
        <v>0</v>
      </c>
      <c r="AH24" s="603">
        <v>0</v>
      </c>
      <c r="AI24" s="603">
        <v>0</v>
      </c>
      <c r="AJ24" s="604" t="s">
        <v>2377</v>
      </c>
      <c r="AK24" s="605" t="s">
        <v>1545</v>
      </c>
      <c r="AL24" s="605" t="s">
        <v>1545</v>
      </c>
      <c r="AM24" s="606" t="s">
        <v>2022</v>
      </c>
      <c r="AN24" s="609" t="s">
        <v>12</v>
      </c>
      <c r="AO24" s="610" t="s">
        <v>1368</v>
      </c>
      <c r="AP24" s="610" t="s">
        <v>1368</v>
      </c>
      <c r="AQ24" s="610" t="s">
        <v>1368</v>
      </c>
      <c r="AR24" s="610" t="s">
        <v>1368</v>
      </c>
      <c r="AS24" s="610" t="s">
        <v>1368</v>
      </c>
      <c r="AT24" s="610" t="s">
        <v>1368</v>
      </c>
      <c r="AU24" s="610" t="s">
        <v>1368</v>
      </c>
      <c r="AV24" s="610" t="s">
        <v>1368</v>
      </c>
      <c r="AW24" s="610" t="s">
        <v>1368</v>
      </c>
      <c r="AX24" s="610" t="s">
        <v>1368</v>
      </c>
      <c r="AY24" s="610" t="s">
        <v>1368</v>
      </c>
      <c r="AZ24" s="610" t="s">
        <v>1368</v>
      </c>
      <c r="BA24" s="610" t="s">
        <v>1368</v>
      </c>
      <c r="BB24" s="610" t="s">
        <v>1368</v>
      </c>
      <c r="BC24" s="610" t="s">
        <v>1368</v>
      </c>
      <c r="BD24" s="610" t="s">
        <v>1368</v>
      </c>
      <c r="BE24" s="610" t="s">
        <v>1368</v>
      </c>
      <c r="BF24" s="610" t="s">
        <v>1368</v>
      </c>
      <c r="BG24" s="610" t="s">
        <v>1368</v>
      </c>
      <c r="BH24" s="610" t="s">
        <v>1368</v>
      </c>
      <c r="BI24" s="610" t="s">
        <v>1368</v>
      </c>
      <c r="BJ24" s="610" t="s">
        <v>1368</v>
      </c>
      <c r="BK24" s="610" t="s">
        <v>1368</v>
      </c>
      <c r="BL24" s="610" t="s">
        <v>1368</v>
      </c>
      <c r="BM24" s="610">
        <v>0</v>
      </c>
      <c r="BN24" s="610">
        <v>0</v>
      </c>
      <c r="BO24" s="610">
        <v>0</v>
      </c>
      <c r="BP24" s="610">
        <v>0</v>
      </c>
      <c r="BQ24" s="610">
        <v>0</v>
      </c>
      <c r="BR24" s="610">
        <v>0</v>
      </c>
      <c r="BS24" s="610">
        <v>0</v>
      </c>
      <c r="BT24" s="610">
        <v>0</v>
      </c>
      <c r="BU24" s="610">
        <v>0</v>
      </c>
      <c r="BV24" s="610">
        <v>0</v>
      </c>
      <c r="BW24" s="610">
        <v>0</v>
      </c>
      <c r="BX24" s="610">
        <v>0</v>
      </c>
      <c r="BY24" s="610">
        <v>0</v>
      </c>
      <c r="BZ24" s="610">
        <v>0</v>
      </c>
      <c r="CA24" s="610">
        <v>0</v>
      </c>
      <c r="CB24" s="610">
        <v>0</v>
      </c>
      <c r="CC24" s="610">
        <v>0</v>
      </c>
      <c r="CD24" s="610">
        <v>0</v>
      </c>
      <c r="CE24" s="610">
        <v>0</v>
      </c>
      <c r="CF24" s="610">
        <v>0</v>
      </c>
      <c r="CG24" s="610">
        <v>0</v>
      </c>
      <c r="CH24" s="610">
        <v>0</v>
      </c>
      <c r="CI24" s="610">
        <v>0</v>
      </c>
      <c r="CJ24" s="610">
        <v>0</v>
      </c>
      <c r="CK24" s="610">
        <v>0</v>
      </c>
      <c r="CL24" s="610">
        <v>0</v>
      </c>
      <c r="CM24" s="610">
        <v>0</v>
      </c>
      <c r="CN24" s="610">
        <v>0</v>
      </c>
      <c r="CO24" s="610">
        <v>0</v>
      </c>
      <c r="CP24" s="610">
        <v>0</v>
      </c>
      <c r="CQ24" s="610">
        <v>0</v>
      </c>
      <c r="CR24" s="610">
        <v>0</v>
      </c>
      <c r="CS24" s="610">
        <v>0</v>
      </c>
      <c r="CT24" s="610">
        <v>0</v>
      </c>
      <c r="CU24" s="610">
        <v>0</v>
      </c>
      <c r="CV24" s="610">
        <v>0</v>
      </c>
      <c r="CW24" s="610" t="s">
        <v>14</v>
      </c>
      <c r="CX24" s="610">
        <v>0</v>
      </c>
      <c r="CY24" s="610" t="s">
        <v>1707</v>
      </c>
      <c r="CZ24" s="610" t="s">
        <v>2449</v>
      </c>
      <c r="DA24" s="610" t="s">
        <v>2449</v>
      </c>
      <c r="DB24" s="610" t="s">
        <v>2449</v>
      </c>
      <c r="DC24" s="610" t="s">
        <v>2449</v>
      </c>
      <c r="DD24" s="610" t="s">
        <v>2449</v>
      </c>
      <c r="DE24" s="610" t="s">
        <v>2449</v>
      </c>
      <c r="DF24" s="610" t="s">
        <v>2449</v>
      </c>
      <c r="DG24" s="610" t="s">
        <v>2449</v>
      </c>
      <c r="DH24" s="610" t="s">
        <v>2449</v>
      </c>
      <c r="DI24" s="610" t="s">
        <v>2449</v>
      </c>
      <c r="DJ24" s="610" t="s">
        <v>2449</v>
      </c>
      <c r="DK24" s="610" t="s">
        <v>1368</v>
      </c>
      <c r="DL24" s="610" t="s">
        <v>1368</v>
      </c>
      <c r="DM24" s="610" t="s">
        <v>1368</v>
      </c>
      <c r="DN24" s="610" t="s">
        <v>1368</v>
      </c>
      <c r="DO24" s="610" t="s">
        <v>1368</v>
      </c>
      <c r="DP24" s="610" t="s">
        <v>1368</v>
      </c>
      <c r="DQ24" s="610" t="s">
        <v>1368</v>
      </c>
      <c r="DR24" s="610" t="s">
        <v>1368</v>
      </c>
      <c r="DS24" s="610" t="s">
        <v>1368</v>
      </c>
      <c r="DT24" s="610" t="s">
        <v>1368</v>
      </c>
      <c r="DU24" s="610" t="s">
        <v>1368</v>
      </c>
      <c r="DV24" s="610" t="s">
        <v>1368</v>
      </c>
      <c r="DW24" s="609" t="s">
        <v>1368</v>
      </c>
      <c r="DX24" s="609" t="s">
        <v>1368</v>
      </c>
      <c r="DY24" s="609" t="s">
        <v>1368</v>
      </c>
      <c r="DZ24" s="609" t="s">
        <v>1368</v>
      </c>
      <c r="EA24" s="609" t="s">
        <v>1368</v>
      </c>
      <c r="EB24" s="609" t="s">
        <v>1368</v>
      </c>
      <c r="EC24" s="609" t="s">
        <v>1368</v>
      </c>
      <c r="ED24" s="609" t="s">
        <v>1368</v>
      </c>
      <c r="EE24" s="609" t="s">
        <v>1368</v>
      </c>
      <c r="EF24" s="609" t="s">
        <v>1368</v>
      </c>
      <c r="EG24" s="609" t="s">
        <v>1368</v>
      </c>
      <c r="EH24" s="609" t="s">
        <v>1368</v>
      </c>
      <c r="EI24" s="610" t="s">
        <v>1707</v>
      </c>
      <c r="EJ24" s="610" t="s">
        <v>1707</v>
      </c>
      <c r="EK24" s="610" t="s">
        <v>1707</v>
      </c>
      <c r="EL24" s="610" t="s">
        <v>1707</v>
      </c>
      <c r="EM24" s="610" t="s">
        <v>1707</v>
      </c>
      <c r="EN24" s="610" t="s">
        <v>1707</v>
      </c>
      <c r="EO24" s="610" t="s">
        <v>1707</v>
      </c>
      <c r="EP24" s="610" t="s">
        <v>1707</v>
      </c>
      <c r="EQ24" s="610" t="s">
        <v>1707</v>
      </c>
      <c r="ER24" s="610" t="s">
        <v>1707</v>
      </c>
      <c r="ES24" s="610" t="s">
        <v>1707</v>
      </c>
      <c r="ET24" s="610" t="s">
        <v>1707</v>
      </c>
      <c r="EU24" s="610">
        <v>4040</v>
      </c>
      <c r="EV24" s="610" t="s">
        <v>1707</v>
      </c>
      <c r="EW24" s="610" t="s">
        <v>1707</v>
      </c>
      <c r="EX24" s="610" t="s">
        <v>1707</v>
      </c>
      <c r="EY24" s="610" t="s">
        <v>1707</v>
      </c>
      <c r="EZ24" s="610" t="s">
        <v>1707</v>
      </c>
      <c r="FA24" s="610" t="s">
        <v>1707</v>
      </c>
      <c r="FB24" s="610" t="s">
        <v>1707</v>
      </c>
      <c r="FC24" s="610" t="s">
        <v>1707</v>
      </c>
      <c r="FD24" s="610" t="s">
        <v>1707</v>
      </c>
      <c r="FE24" s="610" t="s">
        <v>1707</v>
      </c>
      <c r="FF24" s="610" t="s">
        <v>1707</v>
      </c>
      <c r="FG24" s="610" t="s">
        <v>1707</v>
      </c>
      <c r="FH24" s="610">
        <v>34</v>
      </c>
      <c r="FI24" s="610">
        <v>35</v>
      </c>
      <c r="FJ24" s="610">
        <v>35</v>
      </c>
      <c r="FK24" s="610">
        <v>34</v>
      </c>
      <c r="FL24" s="610">
        <v>34</v>
      </c>
      <c r="FM24" s="610">
        <v>34</v>
      </c>
      <c r="FN24" s="610">
        <v>34</v>
      </c>
      <c r="FO24" s="610">
        <v>31</v>
      </c>
      <c r="FP24" s="610">
        <v>31</v>
      </c>
      <c r="FQ24" s="610">
        <v>30</v>
      </c>
      <c r="FR24" s="610" t="s">
        <v>2487</v>
      </c>
      <c r="FS24" s="610" t="s">
        <v>2487</v>
      </c>
      <c r="FT24" s="610" t="s">
        <v>2487</v>
      </c>
      <c r="FU24" s="610" t="s">
        <v>2487</v>
      </c>
      <c r="FV24" s="610" t="s">
        <v>2487</v>
      </c>
      <c r="FW24" s="610" t="s">
        <v>2487</v>
      </c>
      <c r="FX24" s="610" t="s">
        <v>2487</v>
      </c>
      <c r="FY24" s="610" t="s">
        <v>2487</v>
      </c>
      <c r="FZ24" s="610" t="s">
        <v>2487</v>
      </c>
      <c r="GA24" s="610" t="s">
        <v>2487</v>
      </c>
      <c r="GB24" s="610" t="s">
        <v>2487</v>
      </c>
      <c r="GC24" s="610" t="s">
        <v>2487</v>
      </c>
      <c r="GD24" s="564">
        <f t="shared" si="3"/>
        <v>79950</v>
      </c>
      <c r="GE24" s="564">
        <f t="shared" si="4"/>
        <v>79950</v>
      </c>
      <c r="GF24" s="564">
        <f t="shared" si="5"/>
        <v>79950</v>
      </c>
      <c r="GG24" s="564">
        <f t="shared" si="6"/>
        <v>79950</v>
      </c>
      <c r="GH24" s="564">
        <f t="shared" si="7"/>
        <v>79950</v>
      </c>
      <c r="GI24" s="564">
        <f t="shared" si="8"/>
        <v>79950</v>
      </c>
      <c r="GJ24" s="564">
        <f t="shared" si="9"/>
        <v>79950</v>
      </c>
      <c r="GK24" s="564">
        <f t="shared" si="10"/>
        <v>79950</v>
      </c>
      <c r="GL24" s="564">
        <f t="shared" si="11"/>
        <v>79950</v>
      </c>
      <c r="GM24" s="564">
        <f t="shared" si="12"/>
        <v>79950</v>
      </c>
      <c r="GN24" s="564">
        <f t="shared" si="13"/>
        <v>79950</v>
      </c>
      <c r="GO24" s="564">
        <f t="shared" si="14"/>
        <v>79950</v>
      </c>
      <c r="GP24" s="564"/>
      <c r="GS24" s="375" t="s">
        <v>481</v>
      </c>
      <c r="GT24" s="374" t="str">
        <f t="shared" si="1"/>
        <v>〇</v>
      </c>
    </row>
    <row r="25" spans="2:202">
      <c r="B25" s="371">
        <v>21</v>
      </c>
      <c r="C25" s="378">
        <v>21</v>
      </c>
      <c r="D25" s="373" t="s">
        <v>505</v>
      </c>
      <c r="E25" s="373" t="s">
        <v>14</v>
      </c>
      <c r="F25" s="603">
        <f t="shared" si="2"/>
        <v>90</v>
      </c>
      <c r="G25" s="603"/>
      <c r="H25" s="565">
        <v>59</v>
      </c>
      <c r="I25" s="565">
        <v>31</v>
      </c>
      <c r="J25" s="603"/>
      <c r="K25" s="603"/>
      <c r="L25" s="603"/>
      <c r="M25" s="603"/>
      <c r="N25" s="608"/>
      <c r="O25" s="603">
        <v>1577000</v>
      </c>
      <c r="P25" s="603">
        <v>2721000</v>
      </c>
      <c r="Q25" s="603">
        <v>2721000</v>
      </c>
      <c r="R25" s="603">
        <v>0</v>
      </c>
      <c r="S25" s="603">
        <v>0</v>
      </c>
      <c r="T25" s="603">
        <v>0</v>
      </c>
      <c r="U25" s="603">
        <v>0</v>
      </c>
      <c r="V25" s="603">
        <v>1051000</v>
      </c>
      <c r="W25" s="603">
        <v>1814000</v>
      </c>
      <c r="X25" s="603">
        <v>1814000</v>
      </c>
      <c r="Y25" s="603">
        <v>0</v>
      </c>
      <c r="Z25" s="603">
        <v>0</v>
      </c>
      <c r="AA25" s="603">
        <v>0</v>
      </c>
      <c r="AB25" s="603">
        <v>0</v>
      </c>
      <c r="AC25" s="603">
        <v>0</v>
      </c>
      <c r="AD25" s="603">
        <v>0</v>
      </c>
      <c r="AE25" s="603">
        <v>0</v>
      </c>
      <c r="AF25" s="603">
        <v>0</v>
      </c>
      <c r="AG25" s="603">
        <v>0</v>
      </c>
      <c r="AH25" s="603">
        <v>0</v>
      </c>
      <c r="AI25" s="603">
        <v>0</v>
      </c>
      <c r="AJ25" s="604" t="s">
        <v>2377</v>
      </c>
      <c r="AK25" s="605" t="s">
        <v>2378</v>
      </c>
      <c r="AL25" s="605" t="s">
        <v>1545</v>
      </c>
      <c r="AM25" s="606" t="s">
        <v>2023</v>
      </c>
      <c r="AN25" s="609" t="s">
        <v>12</v>
      </c>
      <c r="AO25" s="610" t="s">
        <v>1368</v>
      </c>
      <c r="AP25" s="610" t="s">
        <v>1368</v>
      </c>
      <c r="AQ25" s="610" t="s">
        <v>1368</v>
      </c>
      <c r="AR25" s="610" t="s">
        <v>1368</v>
      </c>
      <c r="AS25" s="610" t="s">
        <v>1368</v>
      </c>
      <c r="AT25" s="610" t="s">
        <v>1368</v>
      </c>
      <c r="AU25" s="610" t="s">
        <v>1368</v>
      </c>
      <c r="AV25" s="610" t="s">
        <v>1368</v>
      </c>
      <c r="AW25" s="610" t="s">
        <v>1368</v>
      </c>
      <c r="AX25" s="610" t="s">
        <v>1368</v>
      </c>
      <c r="AY25" s="610" t="s">
        <v>1368</v>
      </c>
      <c r="AZ25" s="610" t="s">
        <v>1368</v>
      </c>
      <c r="BA25" s="610" t="s">
        <v>1368</v>
      </c>
      <c r="BB25" s="610" t="s">
        <v>1368</v>
      </c>
      <c r="BC25" s="610" t="s">
        <v>1368</v>
      </c>
      <c r="BD25" s="610" t="s">
        <v>1368</v>
      </c>
      <c r="BE25" s="610" t="s">
        <v>1368</v>
      </c>
      <c r="BF25" s="610" t="s">
        <v>1368</v>
      </c>
      <c r="BG25" s="610" t="s">
        <v>1368</v>
      </c>
      <c r="BH25" s="610" t="s">
        <v>1368</v>
      </c>
      <c r="BI25" s="610" t="s">
        <v>1368</v>
      </c>
      <c r="BJ25" s="610" t="s">
        <v>1368</v>
      </c>
      <c r="BK25" s="610" t="s">
        <v>1368</v>
      </c>
      <c r="BL25" s="610" t="s">
        <v>1368</v>
      </c>
      <c r="BM25" s="610">
        <v>0</v>
      </c>
      <c r="BN25" s="610">
        <v>0</v>
      </c>
      <c r="BO25" s="610">
        <v>0</v>
      </c>
      <c r="BP25" s="610">
        <v>0</v>
      </c>
      <c r="BQ25" s="610">
        <v>0</v>
      </c>
      <c r="BR25" s="610">
        <v>0</v>
      </c>
      <c r="BS25" s="610">
        <v>0</v>
      </c>
      <c r="BT25" s="610">
        <v>0</v>
      </c>
      <c r="BU25" s="610">
        <v>0</v>
      </c>
      <c r="BV25" s="610">
        <v>0</v>
      </c>
      <c r="BW25" s="610">
        <v>0</v>
      </c>
      <c r="BX25" s="610">
        <v>0</v>
      </c>
      <c r="BY25" s="610">
        <v>0</v>
      </c>
      <c r="BZ25" s="610">
        <v>0</v>
      </c>
      <c r="CA25" s="610">
        <v>0</v>
      </c>
      <c r="CB25" s="610">
        <v>0</v>
      </c>
      <c r="CC25" s="610">
        <v>0</v>
      </c>
      <c r="CD25" s="610">
        <v>0</v>
      </c>
      <c r="CE25" s="610">
        <v>0</v>
      </c>
      <c r="CF25" s="610">
        <v>0</v>
      </c>
      <c r="CG25" s="610">
        <v>0</v>
      </c>
      <c r="CH25" s="610">
        <v>0</v>
      </c>
      <c r="CI25" s="610">
        <v>0</v>
      </c>
      <c r="CJ25" s="610">
        <v>0</v>
      </c>
      <c r="CK25" s="610">
        <v>0</v>
      </c>
      <c r="CL25" s="610">
        <v>0</v>
      </c>
      <c r="CM25" s="610">
        <v>0</v>
      </c>
      <c r="CN25" s="610">
        <v>0</v>
      </c>
      <c r="CO25" s="610">
        <v>0</v>
      </c>
      <c r="CP25" s="610">
        <v>0</v>
      </c>
      <c r="CQ25" s="610">
        <v>0</v>
      </c>
      <c r="CR25" s="610">
        <v>0</v>
      </c>
      <c r="CS25" s="610">
        <v>0</v>
      </c>
      <c r="CT25" s="610">
        <v>0</v>
      </c>
      <c r="CU25" s="610">
        <v>0</v>
      </c>
      <c r="CV25" s="610">
        <v>0</v>
      </c>
      <c r="CW25" s="610" t="s">
        <v>14</v>
      </c>
      <c r="CX25" s="610">
        <v>0</v>
      </c>
      <c r="CY25" s="610" t="s">
        <v>1707</v>
      </c>
      <c r="CZ25" s="610" t="s">
        <v>1707</v>
      </c>
      <c r="DA25" s="610" t="s">
        <v>1707</v>
      </c>
      <c r="DB25" s="610" t="s">
        <v>1707</v>
      </c>
      <c r="DC25" s="610" t="s">
        <v>1707</v>
      </c>
      <c r="DD25" s="610" t="s">
        <v>1707</v>
      </c>
      <c r="DE25" s="610" t="s">
        <v>1707</v>
      </c>
      <c r="DF25" s="610" t="s">
        <v>1707</v>
      </c>
      <c r="DG25" s="610" t="s">
        <v>1707</v>
      </c>
      <c r="DH25" s="610" t="s">
        <v>1707</v>
      </c>
      <c r="DI25" s="610" t="s">
        <v>1707</v>
      </c>
      <c r="DJ25" s="610" t="s">
        <v>1707</v>
      </c>
      <c r="DK25" s="610" t="s">
        <v>1368</v>
      </c>
      <c r="DL25" s="610" t="s">
        <v>1368</v>
      </c>
      <c r="DM25" s="610" t="s">
        <v>1368</v>
      </c>
      <c r="DN25" s="610" t="s">
        <v>1368</v>
      </c>
      <c r="DO25" s="610" t="s">
        <v>1368</v>
      </c>
      <c r="DP25" s="610" t="s">
        <v>1368</v>
      </c>
      <c r="DQ25" s="610" t="s">
        <v>1368</v>
      </c>
      <c r="DR25" s="610" t="s">
        <v>1368</v>
      </c>
      <c r="DS25" s="610" t="s">
        <v>1368</v>
      </c>
      <c r="DT25" s="610" t="s">
        <v>1368</v>
      </c>
      <c r="DU25" s="610" t="s">
        <v>1368</v>
      </c>
      <c r="DV25" s="610" t="s">
        <v>1368</v>
      </c>
      <c r="DW25" s="609" t="s">
        <v>1368</v>
      </c>
      <c r="DX25" s="609" t="s">
        <v>1368</v>
      </c>
      <c r="DY25" s="609" t="s">
        <v>1368</v>
      </c>
      <c r="DZ25" s="609" t="s">
        <v>1368</v>
      </c>
      <c r="EA25" s="609" t="s">
        <v>1368</v>
      </c>
      <c r="EB25" s="609" t="s">
        <v>1368</v>
      </c>
      <c r="EC25" s="609" t="s">
        <v>1368</v>
      </c>
      <c r="ED25" s="609" t="s">
        <v>1368</v>
      </c>
      <c r="EE25" s="609" t="s">
        <v>1368</v>
      </c>
      <c r="EF25" s="609" t="s">
        <v>1368</v>
      </c>
      <c r="EG25" s="609" t="s">
        <v>1368</v>
      </c>
      <c r="EH25" s="609" t="s">
        <v>1368</v>
      </c>
      <c r="EI25" s="610" t="s">
        <v>1707</v>
      </c>
      <c r="EJ25" s="610" t="s">
        <v>1707</v>
      </c>
      <c r="EK25" s="610" t="s">
        <v>1707</v>
      </c>
      <c r="EL25" s="610" t="s">
        <v>1707</v>
      </c>
      <c r="EM25" s="610" t="s">
        <v>1707</v>
      </c>
      <c r="EN25" s="610" t="s">
        <v>1707</v>
      </c>
      <c r="EO25" s="610" t="s">
        <v>1707</v>
      </c>
      <c r="EP25" s="610" t="s">
        <v>1707</v>
      </c>
      <c r="EQ25" s="610" t="s">
        <v>1707</v>
      </c>
      <c r="ER25" s="610" t="s">
        <v>1707</v>
      </c>
      <c r="ES25" s="610" t="s">
        <v>1707</v>
      </c>
      <c r="ET25" s="610" t="s">
        <v>1707</v>
      </c>
      <c r="EU25" s="610">
        <v>4070</v>
      </c>
      <c r="EV25" s="610" t="s">
        <v>1707</v>
      </c>
      <c r="EW25" s="610" t="s">
        <v>1707</v>
      </c>
      <c r="EX25" s="610" t="s">
        <v>1707</v>
      </c>
      <c r="EY25" s="610" t="s">
        <v>1707</v>
      </c>
      <c r="EZ25" s="610" t="s">
        <v>1707</v>
      </c>
      <c r="FA25" s="610" t="s">
        <v>1707</v>
      </c>
      <c r="FB25" s="610" t="s">
        <v>1707</v>
      </c>
      <c r="FC25" s="610" t="s">
        <v>1707</v>
      </c>
      <c r="FD25" s="610" t="s">
        <v>1707</v>
      </c>
      <c r="FE25" s="610" t="s">
        <v>1707</v>
      </c>
      <c r="FF25" s="610" t="s">
        <v>1707</v>
      </c>
      <c r="FG25" s="610" t="s">
        <v>1707</v>
      </c>
      <c r="FH25" s="610">
        <v>48</v>
      </c>
      <c r="FI25" s="610">
        <v>48</v>
      </c>
      <c r="FJ25" s="610">
        <v>47</v>
      </c>
      <c r="FK25" s="610">
        <v>47</v>
      </c>
      <c r="FL25" s="610">
        <v>48</v>
      </c>
      <c r="FM25" s="610">
        <v>48</v>
      </c>
      <c r="FN25" s="610">
        <v>48</v>
      </c>
      <c r="FO25" s="610">
        <v>48</v>
      </c>
      <c r="FP25" s="610">
        <v>48</v>
      </c>
      <c r="FQ25" s="610">
        <v>47</v>
      </c>
      <c r="FR25" s="610" t="s">
        <v>2488</v>
      </c>
      <c r="FS25" s="610" t="s">
        <v>2488</v>
      </c>
      <c r="FT25" s="610" t="s">
        <v>2488</v>
      </c>
      <c r="FU25" s="610" t="s">
        <v>2488</v>
      </c>
      <c r="FV25" s="610" t="s">
        <v>2488</v>
      </c>
      <c r="FW25" s="610" t="s">
        <v>2488</v>
      </c>
      <c r="FX25" s="610" t="s">
        <v>2488</v>
      </c>
      <c r="FY25" s="610" t="s">
        <v>2488</v>
      </c>
      <c r="FZ25" s="610" t="s">
        <v>2488</v>
      </c>
      <c r="GA25" s="610" t="s">
        <v>2488</v>
      </c>
      <c r="GB25" s="610" t="s">
        <v>2488</v>
      </c>
      <c r="GC25" s="610" t="s">
        <v>2488</v>
      </c>
      <c r="GD25" s="564" t="str">
        <f t="shared" si="3"/>
        <v/>
      </c>
      <c r="GE25" s="564" t="str">
        <f t="shared" si="4"/>
        <v/>
      </c>
      <c r="GF25" s="564" t="str">
        <f t="shared" si="5"/>
        <v/>
      </c>
      <c r="GG25" s="564" t="str">
        <f t="shared" si="6"/>
        <v/>
      </c>
      <c r="GH25" s="564" t="str">
        <f t="shared" si="7"/>
        <v/>
      </c>
      <c r="GI25" s="564" t="str">
        <f t="shared" si="8"/>
        <v/>
      </c>
      <c r="GJ25" s="564" t="str">
        <f t="shared" si="9"/>
        <v/>
      </c>
      <c r="GK25" s="564" t="str">
        <f t="shared" si="10"/>
        <v/>
      </c>
      <c r="GL25" s="564" t="str">
        <f t="shared" si="11"/>
        <v/>
      </c>
      <c r="GM25" s="564" t="str">
        <f t="shared" si="12"/>
        <v/>
      </c>
      <c r="GN25" s="564" t="str">
        <f t="shared" si="13"/>
        <v/>
      </c>
      <c r="GO25" s="564" t="str">
        <f t="shared" si="14"/>
        <v/>
      </c>
      <c r="GP25" s="564"/>
      <c r="GS25" s="375" t="s">
        <v>505</v>
      </c>
      <c r="GT25" s="374" t="str">
        <f t="shared" si="1"/>
        <v>〇</v>
      </c>
    </row>
    <row r="26" spans="2:202">
      <c r="B26" s="371">
        <v>22</v>
      </c>
      <c r="C26" s="378">
        <v>22</v>
      </c>
      <c r="D26" s="373" t="s">
        <v>471</v>
      </c>
      <c r="E26" s="373" t="s">
        <v>14</v>
      </c>
      <c r="F26" s="603">
        <f t="shared" si="2"/>
        <v>90</v>
      </c>
      <c r="G26" s="603"/>
      <c r="H26" s="603">
        <v>60</v>
      </c>
      <c r="I26" s="603">
        <v>30</v>
      </c>
      <c r="J26" s="603"/>
      <c r="K26" s="603"/>
      <c r="L26" s="603"/>
      <c r="M26" s="603"/>
      <c r="N26" s="608"/>
      <c r="O26" s="603">
        <v>1577000</v>
      </c>
      <c r="P26" s="603">
        <v>2721000</v>
      </c>
      <c r="Q26" s="603">
        <v>2721000</v>
      </c>
      <c r="R26" s="603">
        <v>1791000</v>
      </c>
      <c r="S26" s="603">
        <v>0</v>
      </c>
      <c r="T26" s="603">
        <v>2181000</v>
      </c>
      <c r="U26" s="603">
        <v>2181000</v>
      </c>
      <c r="V26" s="603">
        <v>1051000</v>
      </c>
      <c r="W26" s="603">
        <v>1814000</v>
      </c>
      <c r="X26" s="603">
        <v>1814000</v>
      </c>
      <c r="Y26" s="603">
        <v>1194000</v>
      </c>
      <c r="Z26" s="603">
        <v>0</v>
      </c>
      <c r="AA26" s="603">
        <v>1454000</v>
      </c>
      <c r="AB26" s="603">
        <v>1454000</v>
      </c>
      <c r="AC26" s="603">
        <v>526000</v>
      </c>
      <c r="AD26" s="603">
        <v>907000</v>
      </c>
      <c r="AE26" s="603">
        <v>907000</v>
      </c>
      <c r="AF26" s="603">
        <v>597000</v>
      </c>
      <c r="AG26" s="603">
        <v>0</v>
      </c>
      <c r="AH26" s="603">
        <v>727000</v>
      </c>
      <c r="AI26" s="603">
        <v>727000</v>
      </c>
      <c r="AJ26" s="604" t="s">
        <v>2377</v>
      </c>
      <c r="AK26" s="605" t="s">
        <v>2378</v>
      </c>
      <c r="AL26" s="605" t="s">
        <v>2490</v>
      </c>
      <c r="AM26" s="606" t="s">
        <v>2024</v>
      </c>
      <c r="AN26" s="609" t="s">
        <v>12</v>
      </c>
      <c r="AO26" s="610" t="s">
        <v>1368</v>
      </c>
      <c r="AP26" s="610" t="s">
        <v>1368</v>
      </c>
      <c r="AQ26" s="610" t="s">
        <v>1368</v>
      </c>
      <c r="AR26" s="610" t="s">
        <v>1368</v>
      </c>
      <c r="AS26" s="610" t="s">
        <v>1368</v>
      </c>
      <c r="AT26" s="610" t="s">
        <v>1368</v>
      </c>
      <c r="AU26" s="610" t="s">
        <v>1368</v>
      </c>
      <c r="AV26" s="610" t="s">
        <v>1368</v>
      </c>
      <c r="AW26" s="610" t="s">
        <v>1368</v>
      </c>
      <c r="AX26" s="610" t="s">
        <v>1368</v>
      </c>
      <c r="AY26" s="610" t="s">
        <v>1368</v>
      </c>
      <c r="AZ26" s="610" t="s">
        <v>1368</v>
      </c>
      <c r="BA26" s="610" t="s">
        <v>1368</v>
      </c>
      <c r="BB26" s="610" t="s">
        <v>1368</v>
      </c>
      <c r="BC26" s="610" t="s">
        <v>1368</v>
      </c>
      <c r="BD26" s="610" t="s">
        <v>1368</v>
      </c>
      <c r="BE26" s="610" t="s">
        <v>1368</v>
      </c>
      <c r="BF26" s="610" t="s">
        <v>1368</v>
      </c>
      <c r="BG26" s="610" t="s">
        <v>1368</v>
      </c>
      <c r="BH26" s="610" t="s">
        <v>1368</v>
      </c>
      <c r="BI26" s="610" t="s">
        <v>1368</v>
      </c>
      <c r="BJ26" s="610" t="s">
        <v>1368</v>
      </c>
      <c r="BK26" s="610" t="s">
        <v>1368</v>
      </c>
      <c r="BL26" s="610" t="s">
        <v>1368</v>
      </c>
      <c r="BM26" s="610">
        <v>1</v>
      </c>
      <c r="BN26" s="610">
        <v>1</v>
      </c>
      <c r="BO26" s="610">
        <v>1</v>
      </c>
      <c r="BP26" s="610">
        <v>1</v>
      </c>
      <c r="BQ26" s="610">
        <v>1</v>
      </c>
      <c r="BR26" s="610">
        <v>1</v>
      </c>
      <c r="BS26" s="610">
        <v>1</v>
      </c>
      <c r="BT26" s="610">
        <v>1</v>
      </c>
      <c r="BU26" s="610">
        <v>1</v>
      </c>
      <c r="BV26" s="610">
        <v>1</v>
      </c>
      <c r="BW26" s="610">
        <v>1</v>
      </c>
      <c r="BX26" s="610">
        <v>1</v>
      </c>
      <c r="BY26" s="610">
        <v>0</v>
      </c>
      <c r="BZ26" s="610">
        <v>0</v>
      </c>
      <c r="CA26" s="610">
        <v>0</v>
      </c>
      <c r="CB26" s="610">
        <v>0</v>
      </c>
      <c r="CC26" s="610">
        <v>0</v>
      </c>
      <c r="CD26" s="610">
        <v>0</v>
      </c>
      <c r="CE26" s="610">
        <v>0</v>
      </c>
      <c r="CF26" s="610">
        <v>0</v>
      </c>
      <c r="CG26" s="610">
        <v>0</v>
      </c>
      <c r="CH26" s="610">
        <v>0</v>
      </c>
      <c r="CI26" s="610">
        <v>0</v>
      </c>
      <c r="CJ26" s="610">
        <v>0</v>
      </c>
      <c r="CK26" s="610">
        <v>0</v>
      </c>
      <c r="CL26" s="610">
        <v>0</v>
      </c>
      <c r="CM26" s="610">
        <v>0</v>
      </c>
      <c r="CN26" s="610">
        <v>0</v>
      </c>
      <c r="CO26" s="610">
        <v>0</v>
      </c>
      <c r="CP26" s="610">
        <v>0</v>
      </c>
      <c r="CQ26" s="610">
        <v>0</v>
      </c>
      <c r="CR26" s="610">
        <v>0</v>
      </c>
      <c r="CS26" s="610">
        <v>0</v>
      </c>
      <c r="CT26" s="610">
        <v>0</v>
      </c>
      <c r="CU26" s="610">
        <v>0</v>
      </c>
      <c r="CV26" s="610">
        <v>0</v>
      </c>
      <c r="CW26" s="610" t="s">
        <v>14</v>
      </c>
      <c r="CX26" s="610">
        <v>0</v>
      </c>
      <c r="CY26" s="610" t="s">
        <v>1707</v>
      </c>
      <c r="CZ26" s="610" t="s">
        <v>1707</v>
      </c>
      <c r="DA26" s="610" t="s">
        <v>1707</v>
      </c>
      <c r="DB26" s="610" t="s">
        <v>1707</v>
      </c>
      <c r="DC26" s="610" t="s">
        <v>1707</v>
      </c>
      <c r="DD26" s="610" t="s">
        <v>1707</v>
      </c>
      <c r="DE26" s="610" t="s">
        <v>1707</v>
      </c>
      <c r="DF26" s="610" t="s">
        <v>1707</v>
      </c>
      <c r="DG26" s="610" t="s">
        <v>1707</v>
      </c>
      <c r="DH26" s="610" t="s">
        <v>1707</v>
      </c>
      <c r="DI26" s="610" t="s">
        <v>1707</v>
      </c>
      <c r="DJ26" s="610" t="s">
        <v>1707</v>
      </c>
      <c r="DK26" s="610" t="s">
        <v>1368</v>
      </c>
      <c r="DL26" s="610" t="s">
        <v>1368</v>
      </c>
      <c r="DM26" s="610" t="s">
        <v>1368</v>
      </c>
      <c r="DN26" s="610" t="s">
        <v>1368</v>
      </c>
      <c r="DO26" s="610" t="s">
        <v>1368</v>
      </c>
      <c r="DP26" s="610" t="s">
        <v>1368</v>
      </c>
      <c r="DQ26" s="610" t="s">
        <v>1368</v>
      </c>
      <c r="DR26" s="610" t="s">
        <v>1368</v>
      </c>
      <c r="DS26" s="610" t="s">
        <v>1368</v>
      </c>
      <c r="DT26" s="610" t="s">
        <v>1368</v>
      </c>
      <c r="DU26" s="610" t="s">
        <v>1368</v>
      </c>
      <c r="DV26" s="610" t="s">
        <v>1368</v>
      </c>
      <c r="DW26" s="609" t="s">
        <v>1368</v>
      </c>
      <c r="DX26" s="609" t="s">
        <v>1368</v>
      </c>
      <c r="DY26" s="609" t="s">
        <v>1368</v>
      </c>
      <c r="DZ26" s="609" t="s">
        <v>1368</v>
      </c>
      <c r="EA26" s="609" t="s">
        <v>1368</v>
      </c>
      <c r="EB26" s="609" t="s">
        <v>1368</v>
      </c>
      <c r="EC26" s="609" t="s">
        <v>1368</v>
      </c>
      <c r="ED26" s="609" t="s">
        <v>1368</v>
      </c>
      <c r="EE26" s="609" t="s">
        <v>1368</v>
      </c>
      <c r="EF26" s="609" t="s">
        <v>1368</v>
      </c>
      <c r="EG26" s="609" t="s">
        <v>1368</v>
      </c>
      <c r="EH26" s="609" t="s">
        <v>1368</v>
      </c>
      <c r="EI26" s="610" t="s">
        <v>1707</v>
      </c>
      <c r="EJ26" s="610" t="s">
        <v>1707</v>
      </c>
      <c r="EK26" s="610" t="s">
        <v>1707</v>
      </c>
      <c r="EL26" s="610" t="s">
        <v>1707</v>
      </c>
      <c r="EM26" s="610" t="s">
        <v>1707</v>
      </c>
      <c r="EN26" s="610" t="s">
        <v>1707</v>
      </c>
      <c r="EO26" s="610" t="s">
        <v>1707</v>
      </c>
      <c r="EP26" s="610" t="s">
        <v>1707</v>
      </c>
      <c r="EQ26" s="610" t="s">
        <v>1707</v>
      </c>
      <c r="ER26" s="610" t="s">
        <v>1707</v>
      </c>
      <c r="ES26" s="610" t="s">
        <v>1707</v>
      </c>
      <c r="ET26" s="610" t="s">
        <v>1707</v>
      </c>
      <c r="EU26" s="610">
        <v>4040</v>
      </c>
      <c r="EV26" s="610" t="s">
        <v>1707</v>
      </c>
      <c r="EW26" s="610" t="s">
        <v>1707</v>
      </c>
      <c r="EX26" s="610" t="s">
        <v>1707</v>
      </c>
      <c r="EY26" s="610" t="s">
        <v>1707</v>
      </c>
      <c r="EZ26" s="610" t="s">
        <v>1707</v>
      </c>
      <c r="FA26" s="610" t="s">
        <v>1707</v>
      </c>
      <c r="FB26" s="610" t="s">
        <v>1707</v>
      </c>
      <c r="FC26" s="610" t="s">
        <v>1707</v>
      </c>
      <c r="FD26" s="610" t="s">
        <v>1707</v>
      </c>
      <c r="FE26" s="610" t="s">
        <v>1707</v>
      </c>
      <c r="FF26" s="610" t="s">
        <v>1707</v>
      </c>
      <c r="FG26" s="610" t="s">
        <v>1707</v>
      </c>
      <c r="FH26" s="610">
        <v>40</v>
      </c>
      <c r="FI26" s="610">
        <v>40</v>
      </c>
      <c r="FJ26" s="610">
        <v>40</v>
      </c>
      <c r="FK26" s="610">
        <v>39</v>
      </c>
      <c r="FL26" s="610">
        <v>40</v>
      </c>
      <c r="FM26" s="610">
        <v>40</v>
      </c>
      <c r="FN26" s="610">
        <v>40</v>
      </c>
      <c r="FO26" s="610">
        <v>40</v>
      </c>
      <c r="FP26" s="610">
        <v>40</v>
      </c>
      <c r="FQ26" s="610">
        <v>40</v>
      </c>
      <c r="FR26" s="610" t="s">
        <v>2487</v>
      </c>
      <c r="FS26" s="610" t="s">
        <v>2487</v>
      </c>
      <c r="FT26" s="610" t="s">
        <v>2487</v>
      </c>
      <c r="FU26" s="610" t="s">
        <v>2487</v>
      </c>
      <c r="FV26" s="610" t="s">
        <v>2487</v>
      </c>
      <c r="FW26" s="610" t="s">
        <v>2487</v>
      </c>
      <c r="FX26" s="610" t="s">
        <v>2487</v>
      </c>
      <c r="FY26" s="610" t="s">
        <v>2487</v>
      </c>
      <c r="FZ26" s="610" t="s">
        <v>2487</v>
      </c>
      <c r="GA26" s="610" t="s">
        <v>2487</v>
      </c>
      <c r="GB26" s="610" t="s">
        <v>2487</v>
      </c>
      <c r="GC26" s="610" t="s">
        <v>2487</v>
      </c>
      <c r="GD26" s="564">
        <f t="shared" si="3"/>
        <v>79950</v>
      </c>
      <c r="GE26" s="564">
        <f t="shared" si="4"/>
        <v>79950</v>
      </c>
      <c r="GF26" s="564">
        <f t="shared" si="5"/>
        <v>79950</v>
      </c>
      <c r="GG26" s="564">
        <f t="shared" si="6"/>
        <v>79950</v>
      </c>
      <c r="GH26" s="564">
        <f t="shared" si="7"/>
        <v>79950</v>
      </c>
      <c r="GI26" s="564">
        <f t="shared" si="8"/>
        <v>79950</v>
      </c>
      <c r="GJ26" s="564">
        <f t="shared" si="9"/>
        <v>79950</v>
      </c>
      <c r="GK26" s="564">
        <f t="shared" si="10"/>
        <v>79950</v>
      </c>
      <c r="GL26" s="564">
        <f t="shared" si="11"/>
        <v>79950</v>
      </c>
      <c r="GM26" s="564">
        <f t="shared" si="12"/>
        <v>79950</v>
      </c>
      <c r="GN26" s="564">
        <f t="shared" si="13"/>
        <v>79950</v>
      </c>
      <c r="GO26" s="564">
        <f t="shared" si="14"/>
        <v>79950</v>
      </c>
      <c r="GP26" s="564"/>
      <c r="GS26" s="375" t="s">
        <v>471</v>
      </c>
      <c r="GT26" s="374" t="str">
        <f t="shared" si="1"/>
        <v>〇</v>
      </c>
    </row>
    <row r="27" spans="2:202">
      <c r="B27" s="371">
        <v>23</v>
      </c>
      <c r="C27" s="378">
        <v>23</v>
      </c>
      <c r="D27" s="373" t="s">
        <v>484</v>
      </c>
      <c r="E27" s="373" t="s">
        <v>14</v>
      </c>
      <c r="F27" s="603">
        <f t="shared" si="2"/>
        <v>120</v>
      </c>
      <c r="G27" s="603"/>
      <c r="H27" s="603">
        <v>80</v>
      </c>
      <c r="I27" s="603">
        <v>40</v>
      </c>
      <c r="J27" s="603"/>
      <c r="K27" s="603"/>
      <c r="L27" s="603"/>
      <c r="M27" s="603"/>
      <c r="N27" s="608"/>
      <c r="O27" s="603">
        <v>1577000</v>
      </c>
      <c r="P27" s="603">
        <v>2721000</v>
      </c>
      <c r="Q27" s="603">
        <v>2721000</v>
      </c>
      <c r="R27" s="603">
        <v>1188000</v>
      </c>
      <c r="S27" s="603">
        <v>0</v>
      </c>
      <c r="T27" s="603">
        <v>0</v>
      </c>
      <c r="U27" s="603">
        <v>0</v>
      </c>
      <c r="V27" s="603">
        <v>1051000</v>
      </c>
      <c r="W27" s="603">
        <v>1814000</v>
      </c>
      <c r="X27" s="603">
        <v>1814000</v>
      </c>
      <c r="Y27" s="603">
        <v>792000</v>
      </c>
      <c r="Z27" s="603">
        <v>0</v>
      </c>
      <c r="AA27" s="603">
        <v>0</v>
      </c>
      <c r="AB27" s="603">
        <v>0</v>
      </c>
      <c r="AC27" s="603">
        <v>526000</v>
      </c>
      <c r="AD27" s="603">
        <v>907000</v>
      </c>
      <c r="AE27" s="603">
        <v>907000</v>
      </c>
      <c r="AF27" s="603">
        <v>396000</v>
      </c>
      <c r="AG27" s="603">
        <v>0</v>
      </c>
      <c r="AH27" s="603">
        <v>0</v>
      </c>
      <c r="AI27" s="603">
        <v>0</v>
      </c>
      <c r="AJ27" s="604" t="s">
        <v>2377</v>
      </c>
      <c r="AK27" s="605" t="s">
        <v>2378</v>
      </c>
      <c r="AL27" s="605" t="s">
        <v>2490</v>
      </c>
      <c r="AM27" s="606" t="s">
        <v>2025</v>
      </c>
      <c r="AN27" s="609" t="s">
        <v>12</v>
      </c>
      <c r="AO27" s="610" t="s">
        <v>13</v>
      </c>
      <c r="AP27" s="610" t="s">
        <v>13</v>
      </c>
      <c r="AQ27" s="610" t="s">
        <v>13</v>
      </c>
      <c r="AR27" s="610" t="s">
        <v>13</v>
      </c>
      <c r="AS27" s="610" t="s">
        <v>13</v>
      </c>
      <c r="AT27" s="610" t="s">
        <v>13</v>
      </c>
      <c r="AU27" s="610" t="s">
        <v>13</v>
      </c>
      <c r="AV27" s="610" t="s">
        <v>13</v>
      </c>
      <c r="AW27" s="610" t="s">
        <v>13</v>
      </c>
      <c r="AX27" s="610" t="s">
        <v>13</v>
      </c>
      <c r="AY27" s="610" t="s">
        <v>13</v>
      </c>
      <c r="AZ27" s="610" t="s">
        <v>13</v>
      </c>
      <c r="BA27" s="610" t="s">
        <v>14</v>
      </c>
      <c r="BB27" s="610" t="s">
        <v>14</v>
      </c>
      <c r="BC27" s="610" t="s">
        <v>14</v>
      </c>
      <c r="BD27" s="610" t="s">
        <v>14</v>
      </c>
      <c r="BE27" s="610" t="s">
        <v>14</v>
      </c>
      <c r="BF27" s="610" t="s">
        <v>14</v>
      </c>
      <c r="BG27" s="610" t="s">
        <v>14</v>
      </c>
      <c r="BH27" s="610" t="s">
        <v>14</v>
      </c>
      <c r="BI27" s="610" t="s">
        <v>14</v>
      </c>
      <c r="BJ27" s="610" t="s">
        <v>14</v>
      </c>
      <c r="BK27" s="610" t="s">
        <v>14</v>
      </c>
      <c r="BL27" s="610" t="s">
        <v>14</v>
      </c>
      <c r="BM27" s="610">
        <v>1</v>
      </c>
      <c r="BN27" s="610">
        <v>1</v>
      </c>
      <c r="BO27" s="610">
        <v>1</v>
      </c>
      <c r="BP27" s="610">
        <v>1</v>
      </c>
      <c r="BQ27" s="610">
        <v>1</v>
      </c>
      <c r="BR27" s="610">
        <v>1</v>
      </c>
      <c r="BS27" s="610">
        <v>1</v>
      </c>
      <c r="BT27" s="610">
        <v>1</v>
      </c>
      <c r="BU27" s="610">
        <v>1</v>
      </c>
      <c r="BV27" s="610">
        <v>1</v>
      </c>
      <c r="BW27" s="610">
        <v>1</v>
      </c>
      <c r="BX27" s="610">
        <v>1</v>
      </c>
      <c r="BY27" s="610">
        <v>0</v>
      </c>
      <c r="BZ27" s="610">
        <v>0</v>
      </c>
      <c r="CA27" s="610">
        <v>0</v>
      </c>
      <c r="CB27" s="610">
        <v>0</v>
      </c>
      <c r="CC27" s="610">
        <v>0</v>
      </c>
      <c r="CD27" s="610">
        <v>0</v>
      </c>
      <c r="CE27" s="610">
        <v>0</v>
      </c>
      <c r="CF27" s="610">
        <v>0</v>
      </c>
      <c r="CG27" s="610">
        <v>0</v>
      </c>
      <c r="CH27" s="610">
        <v>0</v>
      </c>
      <c r="CI27" s="610">
        <v>0</v>
      </c>
      <c r="CJ27" s="610">
        <v>0</v>
      </c>
      <c r="CK27" s="610">
        <v>0</v>
      </c>
      <c r="CL27" s="610">
        <v>0</v>
      </c>
      <c r="CM27" s="610">
        <v>0</v>
      </c>
      <c r="CN27" s="610">
        <v>0</v>
      </c>
      <c r="CO27" s="610">
        <v>0</v>
      </c>
      <c r="CP27" s="610">
        <v>0</v>
      </c>
      <c r="CQ27" s="610">
        <v>0</v>
      </c>
      <c r="CR27" s="610">
        <v>0</v>
      </c>
      <c r="CS27" s="610">
        <v>0</v>
      </c>
      <c r="CT27" s="610">
        <v>0</v>
      </c>
      <c r="CU27" s="610">
        <v>0</v>
      </c>
      <c r="CV27" s="610">
        <v>0</v>
      </c>
      <c r="CW27" s="610" t="s">
        <v>14</v>
      </c>
      <c r="CX27" s="610">
        <v>0</v>
      </c>
      <c r="CY27" s="610" t="s">
        <v>1707</v>
      </c>
      <c r="CZ27" s="610" t="s">
        <v>1707</v>
      </c>
      <c r="DA27" s="610" t="s">
        <v>1707</v>
      </c>
      <c r="DB27" s="610" t="s">
        <v>1707</v>
      </c>
      <c r="DC27" s="610" t="s">
        <v>1707</v>
      </c>
      <c r="DD27" s="610" t="s">
        <v>1707</v>
      </c>
      <c r="DE27" s="610" t="s">
        <v>1707</v>
      </c>
      <c r="DF27" s="610" t="s">
        <v>1707</v>
      </c>
      <c r="DG27" s="610" t="s">
        <v>1707</v>
      </c>
      <c r="DH27" s="610" t="s">
        <v>1707</v>
      </c>
      <c r="DI27" s="610" t="s">
        <v>1707</v>
      </c>
      <c r="DJ27" s="610" t="s">
        <v>1707</v>
      </c>
      <c r="DK27" s="610" t="s">
        <v>1368</v>
      </c>
      <c r="DL27" s="610" t="s">
        <v>1368</v>
      </c>
      <c r="DM27" s="610" t="s">
        <v>1368</v>
      </c>
      <c r="DN27" s="610" t="s">
        <v>1368</v>
      </c>
      <c r="DO27" s="610" t="s">
        <v>1368</v>
      </c>
      <c r="DP27" s="610" t="s">
        <v>1368</v>
      </c>
      <c r="DQ27" s="610" t="s">
        <v>1368</v>
      </c>
      <c r="DR27" s="610" t="s">
        <v>1368</v>
      </c>
      <c r="DS27" s="610" t="s">
        <v>1368</v>
      </c>
      <c r="DT27" s="610" t="s">
        <v>1368</v>
      </c>
      <c r="DU27" s="610" t="s">
        <v>1368</v>
      </c>
      <c r="DV27" s="610" t="s">
        <v>1368</v>
      </c>
      <c r="DW27" s="609" t="s">
        <v>1368</v>
      </c>
      <c r="DX27" s="609" t="s">
        <v>1368</v>
      </c>
      <c r="DY27" s="609" t="s">
        <v>1368</v>
      </c>
      <c r="DZ27" s="609" t="s">
        <v>1368</v>
      </c>
      <c r="EA27" s="609" t="s">
        <v>1368</v>
      </c>
      <c r="EB27" s="609" t="s">
        <v>1368</v>
      </c>
      <c r="EC27" s="609" t="s">
        <v>1368</v>
      </c>
      <c r="ED27" s="609" t="s">
        <v>1368</v>
      </c>
      <c r="EE27" s="609" t="s">
        <v>1368</v>
      </c>
      <c r="EF27" s="609" t="s">
        <v>1368</v>
      </c>
      <c r="EG27" s="609" t="s">
        <v>1368</v>
      </c>
      <c r="EH27" s="609" t="s">
        <v>1368</v>
      </c>
      <c r="EI27" s="610" t="s">
        <v>1707</v>
      </c>
      <c r="EJ27" s="610" t="s">
        <v>1707</v>
      </c>
      <c r="EK27" s="610" t="s">
        <v>1707</v>
      </c>
      <c r="EL27" s="610" t="s">
        <v>1707</v>
      </c>
      <c r="EM27" s="610" t="s">
        <v>1707</v>
      </c>
      <c r="EN27" s="610" t="s">
        <v>1707</v>
      </c>
      <c r="EO27" s="610" t="s">
        <v>1707</v>
      </c>
      <c r="EP27" s="610" t="s">
        <v>1707</v>
      </c>
      <c r="EQ27" s="610" t="s">
        <v>1707</v>
      </c>
      <c r="ER27" s="610" t="s">
        <v>1707</v>
      </c>
      <c r="ES27" s="610" t="s">
        <v>1707</v>
      </c>
      <c r="ET27" s="610" t="s">
        <v>1707</v>
      </c>
      <c r="EU27" s="610">
        <v>4070</v>
      </c>
      <c r="EV27" s="610" t="s">
        <v>1707</v>
      </c>
      <c r="EW27" s="610" t="s">
        <v>1707</v>
      </c>
      <c r="EX27" s="610" t="s">
        <v>1707</v>
      </c>
      <c r="EY27" s="610" t="s">
        <v>1707</v>
      </c>
      <c r="EZ27" s="610" t="s">
        <v>1707</v>
      </c>
      <c r="FA27" s="610" t="s">
        <v>1707</v>
      </c>
      <c r="FB27" s="610" t="s">
        <v>1707</v>
      </c>
      <c r="FC27" s="610" t="s">
        <v>1707</v>
      </c>
      <c r="FD27" s="610" t="s">
        <v>1707</v>
      </c>
      <c r="FE27" s="610" t="s">
        <v>1707</v>
      </c>
      <c r="FF27" s="610" t="s">
        <v>1707</v>
      </c>
      <c r="FG27" s="610" t="s">
        <v>1707</v>
      </c>
      <c r="FH27" s="610">
        <v>53</v>
      </c>
      <c r="FI27" s="610">
        <v>52</v>
      </c>
      <c r="FJ27" s="610">
        <v>52</v>
      </c>
      <c r="FK27" s="610">
        <v>53</v>
      </c>
      <c r="FL27" s="610">
        <v>52</v>
      </c>
      <c r="FM27" s="610">
        <v>52</v>
      </c>
      <c r="FN27" s="610">
        <v>52</v>
      </c>
      <c r="FO27" s="610">
        <v>53</v>
      </c>
      <c r="FP27" s="610">
        <v>54</v>
      </c>
      <c r="FQ27" s="610">
        <v>54</v>
      </c>
      <c r="FR27" s="610" t="s">
        <v>2487</v>
      </c>
      <c r="FS27" s="610" t="s">
        <v>2487</v>
      </c>
      <c r="FT27" s="610" t="s">
        <v>2487</v>
      </c>
      <c r="FU27" s="610" t="s">
        <v>2487</v>
      </c>
      <c r="FV27" s="610" t="s">
        <v>2487</v>
      </c>
      <c r="FW27" s="610" t="s">
        <v>2487</v>
      </c>
      <c r="FX27" s="610" t="s">
        <v>2487</v>
      </c>
      <c r="FY27" s="610" t="s">
        <v>2487</v>
      </c>
      <c r="FZ27" s="610" t="s">
        <v>2487</v>
      </c>
      <c r="GA27" s="610" t="s">
        <v>2487</v>
      </c>
      <c r="GB27" s="610" t="s">
        <v>2487</v>
      </c>
      <c r="GC27" s="610" t="s">
        <v>2487</v>
      </c>
      <c r="GD27" s="564">
        <f t="shared" si="3"/>
        <v>79950</v>
      </c>
      <c r="GE27" s="564">
        <f t="shared" si="4"/>
        <v>79950</v>
      </c>
      <c r="GF27" s="564">
        <f t="shared" si="5"/>
        <v>79950</v>
      </c>
      <c r="GG27" s="564">
        <f t="shared" si="6"/>
        <v>79950</v>
      </c>
      <c r="GH27" s="564">
        <f t="shared" si="7"/>
        <v>79950</v>
      </c>
      <c r="GI27" s="564">
        <f t="shared" si="8"/>
        <v>79950</v>
      </c>
      <c r="GJ27" s="564">
        <f t="shared" si="9"/>
        <v>79950</v>
      </c>
      <c r="GK27" s="564">
        <f t="shared" si="10"/>
        <v>79950</v>
      </c>
      <c r="GL27" s="564">
        <f t="shared" si="11"/>
        <v>79950</v>
      </c>
      <c r="GM27" s="564">
        <f t="shared" si="12"/>
        <v>79950</v>
      </c>
      <c r="GN27" s="564">
        <f t="shared" si="13"/>
        <v>79950</v>
      </c>
      <c r="GO27" s="564">
        <f t="shared" si="14"/>
        <v>79950</v>
      </c>
      <c r="GP27" s="564"/>
      <c r="GS27" s="375" t="s">
        <v>484</v>
      </c>
      <c r="GT27" s="374" t="str">
        <f t="shared" si="1"/>
        <v>〇</v>
      </c>
    </row>
    <row r="28" spans="2:202">
      <c r="B28" s="371">
        <v>24</v>
      </c>
      <c r="C28" s="378">
        <v>24</v>
      </c>
      <c r="D28" s="373" t="s">
        <v>504</v>
      </c>
      <c r="E28" s="373" t="s">
        <v>14</v>
      </c>
      <c r="F28" s="603">
        <f t="shared" si="2"/>
        <v>90</v>
      </c>
      <c r="G28" s="603"/>
      <c r="H28" s="603">
        <v>50</v>
      </c>
      <c r="I28" s="603">
        <v>40</v>
      </c>
      <c r="J28" s="603"/>
      <c r="K28" s="603"/>
      <c r="L28" s="603"/>
      <c r="M28" s="603"/>
      <c r="N28" s="608"/>
      <c r="O28" s="603">
        <v>1577000</v>
      </c>
      <c r="P28" s="603">
        <v>2721000</v>
      </c>
      <c r="Q28" s="603">
        <v>2721000</v>
      </c>
      <c r="R28" s="603">
        <v>1791000</v>
      </c>
      <c r="S28" s="603">
        <v>0</v>
      </c>
      <c r="T28" s="603">
        <v>2181000</v>
      </c>
      <c r="U28" s="603">
        <v>0</v>
      </c>
      <c r="V28" s="603">
        <v>0</v>
      </c>
      <c r="W28" s="603">
        <v>0</v>
      </c>
      <c r="X28" s="603">
        <v>0</v>
      </c>
      <c r="Y28" s="603">
        <v>0</v>
      </c>
      <c r="Z28" s="603">
        <v>0</v>
      </c>
      <c r="AA28" s="603">
        <v>0</v>
      </c>
      <c r="AB28" s="603">
        <v>0</v>
      </c>
      <c r="AC28" s="603">
        <v>0</v>
      </c>
      <c r="AD28" s="603">
        <v>0</v>
      </c>
      <c r="AE28" s="603">
        <v>0</v>
      </c>
      <c r="AF28" s="603">
        <v>0</v>
      </c>
      <c r="AG28" s="603">
        <v>0</v>
      </c>
      <c r="AH28" s="603">
        <v>0</v>
      </c>
      <c r="AI28" s="603">
        <v>0</v>
      </c>
      <c r="AJ28" s="604" t="s">
        <v>2377</v>
      </c>
      <c r="AK28" s="605" t="s">
        <v>1545</v>
      </c>
      <c r="AL28" s="605" t="s">
        <v>1545</v>
      </c>
      <c r="AM28" s="606" t="s">
        <v>2026</v>
      </c>
      <c r="AN28" s="609" t="s">
        <v>12</v>
      </c>
      <c r="AO28" s="610" t="s">
        <v>1368</v>
      </c>
      <c r="AP28" s="610" t="s">
        <v>1368</v>
      </c>
      <c r="AQ28" s="610" t="s">
        <v>1368</v>
      </c>
      <c r="AR28" s="610" t="s">
        <v>1368</v>
      </c>
      <c r="AS28" s="610" t="s">
        <v>1368</v>
      </c>
      <c r="AT28" s="610" t="s">
        <v>1368</v>
      </c>
      <c r="AU28" s="610" t="s">
        <v>1368</v>
      </c>
      <c r="AV28" s="610" t="s">
        <v>1368</v>
      </c>
      <c r="AW28" s="610" t="s">
        <v>1368</v>
      </c>
      <c r="AX28" s="610" t="s">
        <v>1368</v>
      </c>
      <c r="AY28" s="610" t="s">
        <v>1368</v>
      </c>
      <c r="AZ28" s="610" t="s">
        <v>1368</v>
      </c>
      <c r="BA28" s="610" t="s">
        <v>1368</v>
      </c>
      <c r="BB28" s="610" t="s">
        <v>1368</v>
      </c>
      <c r="BC28" s="610" t="s">
        <v>1368</v>
      </c>
      <c r="BD28" s="610" t="s">
        <v>1368</v>
      </c>
      <c r="BE28" s="610" t="s">
        <v>1368</v>
      </c>
      <c r="BF28" s="610" t="s">
        <v>1368</v>
      </c>
      <c r="BG28" s="610" t="s">
        <v>1368</v>
      </c>
      <c r="BH28" s="610" t="s">
        <v>1368</v>
      </c>
      <c r="BI28" s="610" t="s">
        <v>1368</v>
      </c>
      <c r="BJ28" s="610" t="s">
        <v>1368</v>
      </c>
      <c r="BK28" s="610" t="s">
        <v>1368</v>
      </c>
      <c r="BL28" s="610" t="s">
        <v>1368</v>
      </c>
      <c r="BM28" s="610">
        <v>1</v>
      </c>
      <c r="BN28" s="610">
        <v>1</v>
      </c>
      <c r="BO28" s="610">
        <v>1</v>
      </c>
      <c r="BP28" s="610">
        <v>1</v>
      </c>
      <c r="BQ28" s="610">
        <v>1</v>
      </c>
      <c r="BR28" s="610">
        <v>1</v>
      </c>
      <c r="BS28" s="610">
        <v>1</v>
      </c>
      <c r="BT28" s="610">
        <v>1</v>
      </c>
      <c r="BU28" s="610">
        <v>1</v>
      </c>
      <c r="BV28" s="610">
        <v>1</v>
      </c>
      <c r="BW28" s="610">
        <v>1</v>
      </c>
      <c r="BX28" s="610">
        <v>1</v>
      </c>
      <c r="BY28" s="610">
        <v>0</v>
      </c>
      <c r="BZ28" s="610">
        <v>0</v>
      </c>
      <c r="CA28" s="610">
        <v>0</v>
      </c>
      <c r="CB28" s="610">
        <v>0</v>
      </c>
      <c r="CC28" s="610">
        <v>0</v>
      </c>
      <c r="CD28" s="610">
        <v>0</v>
      </c>
      <c r="CE28" s="610">
        <v>0</v>
      </c>
      <c r="CF28" s="610">
        <v>0</v>
      </c>
      <c r="CG28" s="610">
        <v>0</v>
      </c>
      <c r="CH28" s="610">
        <v>0</v>
      </c>
      <c r="CI28" s="610">
        <v>0</v>
      </c>
      <c r="CJ28" s="610">
        <v>0</v>
      </c>
      <c r="CK28" s="610">
        <v>0</v>
      </c>
      <c r="CL28" s="610">
        <v>0</v>
      </c>
      <c r="CM28" s="610">
        <v>0</v>
      </c>
      <c r="CN28" s="610">
        <v>0</v>
      </c>
      <c r="CO28" s="610">
        <v>0</v>
      </c>
      <c r="CP28" s="610">
        <v>0</v>
      </c>
      <c r="CQ28" s="610">
        <v>0</v>
      </c>
      <c r="CR28" s="610">
        <v>0</v>
      </c>
      <c r="CS28" s="610">
        <v>0</v>
      </c>
      <c r="CT28" s="610">
        <v>0</v>
      </c>
      <c r="CU28" s="610">
        <v>0</v>
      </c>
      <c r="CV28" s="610">
        <v>0</v>
      </c>
      <c r="CW28" s="610" t="s">
        <v>12</v>
      </c>
      <c r="CX28" s="610">
        <v>0</v>
      </c>
      <c r="CY28" s="610" t="s">
        <v>1707</v>
      </c>
      <c r="CZ28" s="610" t="s">
        <v>1707</v>
      </c>
      <c r="DA28" s="610" t="s">
        <v>1707</v>
      </c>
      <c r="DB28" s="610" t="s">
        <v>1707</v>
      </c>
      <c r="DC28" s="610" t="s">
        <v>1707</v>
      </c>
      <c r="DD28" s="610" t="s">
        <v>1707</v>
      </c>
      <c r="DE28" s="610" t="s">
        <v>1707</v>
      </c>
      <c r="DF28" s="610" t="s">
        <v>1707</v>
      </c>
      <c r="DG28" s="610" t="s">
        <v>1707</v>
      </c>
      <c r="DH28" s="610" t="s">
        <v>1707</v>
      </c>
      <c r="DI28" s="610" t="s">
        <v>1707</v>
      </c>
      <c r="DJ28" s="610" t="s">
        <v>1707</v>
      </c>
      <c r="DK28" s="610" t="s">
        <v>1368</v>
      </c>
      <c r="DL28" s="610" t="s">
        <v>1368</v>
      </c>
      <c r="DM28" s="610" t="s">
        <v>1368</v>
      </c>
      <c r="DN28" s="610" t="s">
        <v>1368</v>
      </c>
      <c r="DO28" s="610" t="s">
        <v>1368</v>
      </c>
      <c r="DP28" s="610" t="s">
        <v>1368</v>
      </c>
      <c r="DQ28" s="610" t="s">
        <v>1368</v>
      </c>
      <c r="DR28" s="610" t="s">
        <v>1368</v>
      </c>
      <c r="DS28" s="610" t="s">
        <v>1368</v>
      </c>
      <c r="DT28" s="610" t="s">
        <v>1368</v>
      </c>
      <c r="DU28" s="610" t="s">
        <v>1368</v>
      </c>
      <c r="DV28" s="610" t="s">
        <v>1368</v>
      </c>
      <c r="DW28" s="609" t="s">
        <v>1368</v>
      </c>
      <c r="DX28" s="609" t="s">
        <v>1368</v>
      </c>
      <c r="DY28" s="609" t="s">
        <v>1368</v>
      </c>
      <c r="DZ28" s="609" t="s">
        <v>1368</v>
      </c>
      <c r="EA28" s="609" t="s">
        <v>1368</v>
      </c>
      <c r="EB28" s="609" t="s">
        <v>1368</v>
      </c>
      <c r="EC28" s="609" t="s">
        <v>1368</v>
      </c>
      <c r="ED28" s="609" t="s">
        <v>1368</v>
      </c>
      <c r="EE28" s="609" t="s">
        <v>1368</v>
      </c>
      <c r="EF28" s="609" t="s">
        <v>1368</v>
      </c>
      <c r="EG28" s="609" t="s">
        <v>1368</v>
      </c>
      <c r="EH28" s="609" t="s">
        <v>1368</v>
      </c>
      <c r="EI28" s="610" t="s">
        <v>1707</v>
      </c>
      <c r="EJ28" s="610" t="s">
        <v>1707</v>
      </c>
      <c r="EK28" s="610" t="s">
        <v>1707</v>
      </c>
      <c r="EL28" s="610" t="s">
        <v>1707</v>
      </c>
      <c r="EM28" s="610" t="s">
        <v>1707</v>
      </c>
      <c r="EN28" s="610" t="s">
        <v>1707</v>
      </c>
      <c r="EO28" s="610" t="s">
        <v>1707</v>
      </c>
      <c r="EP28" s="610" t="s">
        <v>1707</v>
      </c>
      <c r="EQ28" s="610" t="s">
        <v>1707</v>
      </c>
      <c r="ER28" s="610" t="s">
        <v>1707</v>
      </c>
      <c r="ES28" s="610" t="s">
        <v>1707</v>
      </c>
      <c r="ET28" s="610" t="s">
        <v>1707</v>
      </c>
      <c r="EU28" s="610">
        <v>4010</v>
      </c>
      <c r="EV28" s="610" t="s">
        <v>1707</v>
      </c>
      <c r="EW28" s="610" t="s">
        <v>1707</v>
      </c>
      <c r="EX28" s="610" t="s">
        <v>1707</v>
      </c>
      <c r="EY28" s="610" t="s">
        <v>1707</v>
      </c>
      <c r="EZ28" s="610" t="s">
        <v>1707</v>
      </c>
      <c r="FA28" s="610" t="s">
        <v>1707</v>
      </c>
      <c r="FB28" s="610" t="s">
        <v>1707</v>
      </c>
      <c r="FC28" s="610" t="s">
        <v>1707</v>
      </c>
      <c r="FD28" s="610" t="s">
        <v>1707</v>
      </c>
      <c r="FE28" s="610" t="s">
        <v>1707</v>
      </c>
      <c r="FF28" s="610" t="s">
        <v>1707</v>
      </c>
      <c r="FG28" s="610" t="s">
        <v>1707</v>
      </c>
      <c r="FH28" s="610">
        <v>36</v>
      </c>
      <c r="FI28" s="610">
        <v>37</v>
      </c>
      <c r="FJ28" s="610">
        <v>37</v>
      </c>
      <c r="FK28" s="610">
        <v>37</v>
      </c>
      <c r="FL28" s="610">
        <v>37</v>
      </c>
      <c r="FM28" s="610">
        <v>37</v>
      </c>
      <c r="FN28" s="610">
        <v>37</v>
      </c>
      <c r="FO28" s="610">
        <v>37</v>
      </c>
      <c r="FP28" s="610">
        <v>37</v>
      </c>
      <c r="FQ28" s="610">
        <v>37</v>
      </c>
      <c r="FR28" s="610" t="s">
        <v>2487</v>
      </c>
      <c r="FS28" s="610" t="s">
        <v>2487</v>
      </c>
      <c r="FT28" s="610" t="s">
        <v>2487</v>
      </c>
      <c r="FU28" s="610" t="s">
        <v>2487</v>
      </c>
      <c r="FV28" s="610" t="s">
        <v>2487</v>
      </c>
      <c r="FW28" s="610" t="s">
        <v>2487</v>
      </c>
      <c r="FX28" s="610" t="s">
        <v>2487</v>
      </c>
      <c r="FY28" s="610" t="s">
        <v>2487</v>
      </c>
      <c r="FZ28" s="610" t="s">
        <v>2487</v>
      </c>
      <c r="GA28" s="610" t="s">
        <v>2487</v>
      </c>
      <c r="GB28" s="610" t="s">
        <v>2487</v>
      </c>
      <c r="GC28" s="610" t="s">
        <v>2487</v>
      </c>
      <c r="GD28" s="564">
        <f t="shared" si="3"/>
        <v>79950</v>
      </c>
      <c r="GE28" s="564">
        <f t="shared" si="4"/>
        <v>79950</v>
      </c>
      <c r="GF28" s="564">
        <f t="shared" si="5"/>
        <v>79950</v>
      </c>
      <c r="GG28" s="564">
        <f t="shared" si="6"/>
        <v>79950</v>
      </c>
      <c r="GH28" s="564">
        <f t="shared" si="7"/>
        <v>79950</v>
      </c>
      <c r="GI28" s="564">
        <f t="shared" si="8"/>
        <v>79950</v>
      </c>
      <c r="GJ28" s="564">
        <f t="shared" si="9"/>
        <v>79950</v>
      </c>
      <c r="GK28" s="564">
        <f t="shared" si="10"/>
        <v>79950</v>
      </c>
      <c r="GL28" s="564">
        <f t="shared" si="11"/>
        <v>79950</v>
      </c>
      <c r="GM28" s="564">
        <f t="shared" si="12"/>
        <v>79950</v>
      </c>
      <c r="GN28" s="564">
        <f t="shared" si="13"/>
        <v>79950</v>
      </c>
      <c r="GO28" s="564">
        <f t="shared" si="14"/>
        <v>79950</v>
      </c>
      <c r="GP28" s="564"/>
      <c r="GS28" s="375" t="s">
        <v>504</v>
      </c>
      <c r="GT28" s="374" t="str">
        <f t="shared" si="1"/>
        <v>〇</v>
      </c>
    </row>
    <row r="29" spans="2:202">
      <c r="B29" s="371">
        <v>25</v>
      </c>
      <c r="C29" s="378">
        <v>25</v>
      </c>
      <c r="D29" s="373" t="s">
        <v>1439</v>
      </c>
      <c r="E29" s="373" t="s">
        <v>14</v>
      </c>
      <c r="F29" s="603">
        <f t="shared" si="2"/>
        <v>45</v>
      </c>
      <c r="G29" s="603"/>
      <c r="H29" s="565">
        <v>26</v>
      </c>
      <c r="I29" s="565">
        <v>19</v>
      </c>
      <c r="J29" s="603"/>
      <c r="K29" s="603"/>
      <c r="L29" s="603"/>
      <c r="M29" s="603"/>
      <c r="N29" s="608"/>
      <c r="O29" s="603">
        <v>1577000</v>
      </c>
      <c r="P29" s="603">
        <v>2721000</v>
      </c>
      <c r="Q29" s="603">
        <v>2721000</v>
      </c>
      <c r="R29" s="603">
        <v>1791000</v>
      </c>
      <c r="S29" s="603">
        <v>0</v>
      </c>
      <c r="T29" s="603">
        <v>2181000</v>
      </c>
      <c r="U29" s="603">
        <v>0</v>
      </c>
      <c r="V29" s="603">
        <v>1051000</v>
      </c>
      <c r="W29" s="603">
        <v>1814000</v>
      </c>
      <c r="X29" s="603">
        <v>1814000</v>
      </c>
      <c r="Y29" s="603">
        <v>1194000</v>
      </c>
      <c r="Z29" s="603">
        <v>0</v>
      </c>
      <c r="AA29" s="603">
        <v>1454000</v>
      </c>
      <c r="AB29" s="603">
        <v>0</v>
      </c>
      <c r="AC29" s="603">
        <v>0</v>
      </c>
      <c r="AD29" s="603">
        <v>0</v>
      </c>
      <c r="AE29" s="603">
        <v>0</v>
      </c>
      <c r="AF29" s="603">
        <v>0</v>
      </c>
      <c r="AG29" s="603">
        <v>0</v>
      </c>
      <c r="AH29" s="603">
        <v>0</v>
      </c>
      <c r="AI29" s="603">
        <v>0</v>
      </c>
      <c r="AJ29" s="604" t="s">
        <v>2377</v>
      </c>
      <c r="AK29" s="605" t="s">
        <v>2378</v>
      </c>
      <c r="AL29" s="605" t="s">
        <v>1545</v>
      </c>
      <c r="AM29" s="606" t="s">
        <v>2027</v>
      </c>
      <c r="AN29" s="609" t="s">
        <v>12</v>
      </c>
      <c r="AO29" s="610" t="s">
        <v>1368</v>
      </c>
      <c r="AP29" s="610" t="s">
        <v>1368</v>
      </c>
      <c r="AQ29" s="610" t="s">
        <v>1368</v>
      </c>
      <c r="AR29" s="610" t="s">
        <v>1368</v>
      </c>
      <c r="AS29" s="610" t="s">
        <v>1368</v>
      </c>
      <c r="AT29" s="610" t="s">
        <v>1368</v>
      </c>
      <c r="AU29" s="610" t="s">
        <v>1368</v>
      </c>
      <c r="AV29" s="610" t="s">
        <v>1368</v>
      </c>
      <c r="AW29" s="610" t="s">
        <v>1368</v>
      </c>
      <c r="AX29" s="610" t="s">
        <v>1368</v>
      </c>
      <c r="AY29" s="610" t="s">
        <v>1368</v>
      </c>
      <c r="AZ29" s="610" t="s">
        <v>1368</v>
      </c>
      <c r="BA29" s="610" t="s">
        <v>1368</v>
      </c>
      <c r="BB29" s="610" t="s">
        <v>1368</v>
      </c>
      <c r="BC29" s="610" t="s">
        <v>1368</v>
      </c>
      <c r="BD29" s="610" t="s">
        <v>1368</v>
      </c>
      <c r="BE29" s="610" t="s">
        <v>1368</v>
      </c>
      <c r="BF29" s="610" t="s">
        <v>1368</v>
      </c>
      <c r="BG29" s="610" t="s">
        <v>1368</v>
      </c>
      <c r="BH29" s="610" t="s">
        <v>1368</v>
      </c>
      <c r="BI29" s="610" t="s">
        <v>1368</v>
      </c>
      <c r="BJ29" s="610" t="s">
        <v>1368</v>
      </c>
      <c r="BK29" s="610" t="s">
        <v>1368</v>
      </c>
      <c r="BL29" s="610" t="s">
        <v>1368</v>
      </c>
      <c r="BM29" s="610">
        <v>1</v>
      </c>
      <c r="BN29" s="610">
        <v>1</v>
      </c>
      <c r="BO29" s="610">
        <v>1</v>
      </c>
      <c r="BP29" s="610">
        <v>1</v>
      </c>
      <c r="BQ29" s="610">
        <v>1</v>
      </c>
      <c r="BR29" s="610">
        <v>1</v>
      </c>
      <c r="BS29" s="610">
        <v>1</v>
      </c>
      <c r="BT29" s="610">
        <v>1</v>
      </c>
      <c r="BU29" s="610">
        <v>1</v>
      </c>
      <c r="BV29" s="610">
        <v>1</v>
      </c>
      <c r="BW29" s="610">
        <v>1</v>
      </c>
      <c r="BX29" s="610">
        <v>1</v>
      </c>
      <c r="BY29" s="610">
        <v>0</v>
      </c>
      <c r="BZ29" s="610">
        <v>0</v>
      </c>
      <c r="CA29" s="610">
        <v>0</v>
      </c>
      <c r="CB29" s="610">
        <v>0</v>
      </c>
      <c r="CC29" s="610">
        <v>0</v>
      </c>
      <c r="CD29" s="610">
        <v>0</v>
      </c>
      <c r="CE29" s="610">
        <v>0</v>
      </c>
      <c r="CF29" s="610">
        <v>0</v>
      </c>
      <c r="CG29" s="610">
        <v>0</v>
      </c>
      <c r="CH29" s="610">
        <v>0</v>
      </c>
      <c r="CI29" s="610">
        <v>0</v>
      </c>
      <c r="CJ29" s="610">
        <v>0</v>
      </c>
      <c r="CK29" s="610">
        <v>0</v>
      </c>
      <c r="CL29" s="610">
        <v>0</v>
      </c>
      <c r="CM29" s="610">
        <v>0</v>
      </c>
      <c r="CN29" s="610">
        <v>0</v>
      </c>
      <c r="CO29" s="610">
        <v>0</v>
      </c>
      <c r="CP29" s="610">
        <v>0</v>
      </c>
      <c r="CQ29" s="610">
        <v>0</v>
      </c>
      <c r="CR29" s="610">
        <v>0</v>
      </c>
      <c r="CS29" s="610">
        <v>0</v>
      </c>
      <c r="CT29" s="610">
        <v>0</v>
      </c>
      <c r="CU29" s="610">
        <v>0</v>
      </c>
      <c r="CV29" s="610">
        <v>0</v>
      </c>
      <c r="CW29" s="610" t="s">
        <v>14</v>
      </c>
      <c r="CX29" s="610">
        <v>0</v>
      </c>
      <c r="CY29" s="610" t="s">
        <v>1707</v>
      </c>
      <c r="CZ29" s="610" t="s">
        <v>1707</v>
      </c>
      <c r="DA29" s="610" t="s">
        <v>1707</v>
      </c>
      <c r="DB29" s="610" t="s">
        <v>1707</v>
      </c>
      <c r="DC29" s="610" t="s">
        <v>1707</v>
      </c>
      <c r="DD29" s="610" t="s">
        <v>1707</v>
      </c>
      <c r="DE29" s="610" t="s">
        <v>1707</v>
      </c>
      <c r="DF29" s="610" t="s">
        <v>1707</v>
      </c>
      <c r="DG29" s="610" t="s">
        <v>1707</v>
      </c>
      <c r="DH29" s="610" t="s">
        <v>1707</v>
      </c>
      <c r="DI29" s="610" t="s">
        <v>1707</v>
      </c>
      <c r="DJ29" s="610" t="s">
        <v>1707</v>
      </c>
      <c r="DK29" s="610" t="s">
        <v>1368</v>
      </c>
      <c r="DL29" s="610" t="s">
        <v>1368</v>
      </c>
      <c r="DM29" s="610" t="s">
        <v>1368</v>
      </c>
      <c r="DN29" s="610" t="s">
        <v>1368</v>
      </c>
      <c r="DO29" s="610" t="s">
        <v>1368</v>
      </c>
      <c r="DP29" s="610" t="s">
        <v>1368</v>
      </c>
      <c r="DQ29" s="610" t="s">
        <v>1368</v>
      </c>
      <c r="DR29" s="610" t="s">
        <v>1368</v>
      </c>
      <c r="DS29" s="610" t="s">
        <v>1368</v>
      </c>
      <c r="DT29" s="610" t="s">
        <v>1368</v>
      </c>
      <c r="DU29" s="610" t="s">
        <v>1368</v>
      </c>
      <c r="DV29" s="610" t="s">
        <v>1368</v>
      </c>
      <c r="DW29" s="609" t="s">
        <v>1368</v>
      </c>
      <c r="DX29" s="609" t="s">
        <v>1368</v>
      </c>
      <c r="DY29" s="609" t="s">
        <v>1368</v>
      </c>
      <c r="DZ29" s="609" t="s">
        <v>1368</v>
      </c>
      <c r="EA29" s="609" t="s">
        <v>1368</v>
      </c>
      <c r="EB29" s="609" t="s">
        <v>1368</v>
      </c>
      <c r="EC29" s="609" t="s">
        <v>1368</v>
      </c>
      <c r="ED29" s="609" t="s">
        <v>1368</v>
      </c>
      <c r="EE29" s="609" t="s">
        <v>1368</v>
      </c>
      <c r="EF29" s="609" t="s">
        <v>1368</v>
      </c>
      <c r="EG29" s="609" t="s">
        <v>1368</v>
      </c>
      <c r="EH29" s="609" t="s">
        <v>1368</v>
      </c>
      <c r="EI29" s="610" t="s">
        <v>1707</v>
      </c>
      <c r="EJ29" s="610" t="s">
        <v>1707</v>
      </c>
      <c r="EK29" s="610" t="s">
        <v>1707</v>
      </c>
      <c r="EL29" s="610" t="s">
        <v>1707</v>
      </c>
      <c r="EM29" s="610" t="s">
        <v>1707</v>
      </c>
      <c r="EN29" s="610" t="s">
        <v>1707</v>
      </c>
      <c r="EO29" s="610" t="s">
        <v>1707</v>
      </c>
      <c r="EP29" s="610" t="s">
        <v>1707</v>
      </c>
      <c r="EQ29" s="610" t="s">
        <v>1707</v>
      </c>
      <c r="ER29" s="610" t="s">
        <v>1707</v>
      </c>
      <c r="ES29" s="610" t="s">
        <v>1707</v>
      </c>
      <c r="ET29" s="610" t="s">
        <v>1707</v>
      </c>
      <c r="EU29" s="610">
        <v>4070</v>
      </c>
      <c r="EV29" s="610" t="s">
        <v>1707</v>
      </c>
      <c r="EW29" s="610" t="s">
        <v>1707</v>
      </c>
      <c r="EX29" s="610" t="s">
        <v>1707</v>
      </c>
      <c r="EY29" s="610" t="s">
        <v>1707</v>
      </c>
      <c r="EZ29" s="610" t="s">
        <v>1707</v>
      </c>
      <c r="FA29" s="610" t="s">
        <v>1707</v>
      </c>
      <c r="FB29" s="610" t="s">
        <v>1707</v>
      </c>
      <c r="FC29" s="610" t="s">
        <v>1707</v>
      </c>
      <c r="FD29" s="610" t="s">
        <v>1707</v>
      </c>
      <c r="FE29" s="610" t="s">
        <v>1707</v>
      </c>
      <c r="FF29" s="610" t="s">
        <v>1707</v>
      </c>
      <c r="FG29" s="610" t="s">
        <v>1707</v>
      </c>
      <c r="FH29" s="610">
        <v>16</v>
      </c>
      <c r="FI29" s="610">
        <v>17</v>
      </c>
      <c r="FJ29" s="610">
        <v>16</v>
      </c>
      <c r="FK29" s="610">
        <v>16</v>
      </c>
      <c r="FL29" s="610">
        <v>17</v>
      </c>
      <c r="FM29" s="610">
        <v>17</v>
      </c>
      <c r="FN29" s="610">
        <v>17</v>
      </c>
      <c r="FO29" s="610">
        <v>17</v>
      </c>
      <c r="FP29" s="610">
        <v>17</v>
      </c>
      <c r="FQ29" s="610">
        <v>17</v>
      </c>
      <c r="FR29" s="610" t="s">
        <v>2489</v>
      </c>
      <c r="FS29" s="610" t="s">
        <v>2489</v>
      </c>
      <c r="FT29" s="610" t="s">
        <v>2489</v>
      </c>
      <c r="FU29" s="610" t="s">
        <v>2489</v>
      </c>
      <c r="FV29" s="610" t="s">
        <v>2489</v>
      </c>
      <c r="FW29" s="610" t="s">
        <v>2489</v>
      </c>
      <c r="FX29" s="610" t="s">
        <v>2489</v>
      </c>
      <c r="FY29" s="610" t="s">
        <v>2489</v>
      </c>
      <c r="FZ29" s="610" t="s">
        <v>2489</v>
      </c>
      <c r="GA29" s="610" t="s">
        <v>2489</v>
      </c>
      <c r="GB29" s="610" t="s">
        <v>2489</v>
      </c>
      <c r="GC29" s="610" t="s">
        <v>2489</v>
      </c>
      <c r="GD29" s="564" t="str">
        <f t="shared" si="3"/>
        <v/>
      </c>
      <c r="GE29" s="564" t="str">
        <f t="shared" si="4"/>
        <v/>
      </c>
      <c r="GF29" s="564" t="str">
        <f t="shared" si="5"/>
        <v/>
      </c>
      <c r="GG29" s="564" t="str">
        <f t="shared" si="6"/>
        <v/>
      </c>
      <c r="GH29" s="564" t="str">
        <f t="shared" si="7"/>
        <v/>
      </c>
      <c r="GI29" s="564" t="str">
        <f t="shared" si="8"/>
        <v/>
      </c>
      <c r="GJ29" s="564" t="str">
        <f t="shared" si="9"/>
        <v/>
      </c>
      <c r="GK29" s="564" t="str">
        <f t="shared" si="10"/>
        <v/>
      </c>
      <c r="GL29" s="564" t="str">
        <f t="shared" si="11"/>
        <v/>
      </c>
      <c r="GM29" s="564" t="str">
        <f t="shared" si="12"/>
        <v/>
      </c>
      <c r="GN29" s="564" t="str">
        <f t="shared" si="13"/>
        <v/>
      </c>
      <c r="GO29" s="564" t="str">
        <f t="shared" si="14"/>
        <v/>
      </c>
      <c r="GP29" s="564"/>
      <c r="GS29" s="375" t="s">
        <v>1439</v>
      </c>
      <c r="GT29" s="374" t="str">
        <f t="shared" si="1"/>
        <v>〇</v>
      </c>
    </row>
    <row r="30" spans="2:202">
      <c r="B30" s="371">
        <v>26</v>
      </c>
      <c r="C30" s="378">
        <v>26</v>
      </c>
      <c r="D30" s="373" t="s">
        <v>1440</v>
      </c>
      <c r="E30" s="373" t="s">
        <v>14</v>
      </c>
      <c r="F30" s="603">
        <f t="shared" si="2"/>
        <v>110</v>
      </c>
      <c r="G30" s="603"/>
      <c r="H30" s="603">
        <v>65</v>
      </c>
      <c r="I30" s="603">
        <v>45</v>
      </c>
      <c r="J30" s="603"/>
      <c r="K30" s="603"/>
      <c r="L30" s="603"/>
      <c r="M30" s="603"/>
      <c r="N30" s="608"/>
      <c r="O30" s="603">
        <v>1577000</v>
      </c>
      <c r="P30" s="603">
        <v>2721000</v>
      </c>
      <c r="Q30" s="603">
        <v>2721000</v>
      </c>
      <c r="R30" s="603">
        <v>1791000</v>
      </c>
      <c r="S30" s="603">
        <v>0</v>
      </c>
      <c r="T30" s="603">
        <v>0</v>
      </c>
      <c r="U30" s="603">
        <v>0</v>
      </c>
      <c r="V30" s="603">
        <v>0</v>
      </c>
      <c r="W30" s="603">
        <v>0</v>
      </c>
      <c r="X30" s="603">
        <v>0</v>
      </c>
      <c r="Y30" s="603">
        <v>0</v>
      </c>
      <c r="Z30" s="603">
        <v>0</v>
      </c>
      <c r="AA30" s="603">
        <v>0</v>
      </c>
      <c r="AB30" s="603">
        <v>0</v>
      </c>
      <c r="AC30" s="603">
        <v>0</v>
      </c>
      <c r="AD30" s="603">
        <v>0</v>
      </c>
      <c r="AE30" s="603">
        <v>0</v>
      </c>
      <c r="AF30" s="603">
        <v>0</v>
      </c>
      <c r="AG30" s="603">
        <v>0</v>
      </c>
      <c r="AH30" s="603">
        <v>0</v>
      </c>
      <c r="AI30" s="603">
        <v>0</v>
      </c>
      <c r="AJ30" s="604" t="s">
        <v>2377</v>
      </c>
      <c r="AK30" s="605" t="s">
        <v>1545</v>
      </c>
      <c r="AL30" s="605" t="s">
        <v>1545</v>
      </c>
      <c r="AM30" s="606" t="s">
        <v>2028</v>
      </c>
      <c r="AN30" s="609" t="s">
        <v>12</v>
      </c>
      <c r="AO30" s="610" t="s">
        <v>1368</v>
      </c>
      <c r="AP30" s="610" t="s">
        <v>1368</v>
      </c>
      <c r="AQ30" s="610" t="s">
        <v>1368</v>
      </c>
      <c r="AR30" s="610" t="s">
        <v>1368</v>
      </c>
      <c r="AS30" s="610" t="s">
        <v>1368</v>
      </c>
      <c r="AT30" s="610" t="s">
        <v>1368</v>
      </c>
      <c r="AU30" s="610" t="s">
        <v>1368</v>
      </c>
      <c r="AV30" s="610" t="s">
        <v>1368</v>
      </c>
      <c r="AW30" s="610" t="s">
        <v>1368</v>
      </c>
      <c r="AX30" s="610" t="s">
        <v>1368</v>
      </c>
      <c r="AY30" s="610" t="s">
        <v>1368</v>
      </c>
      <c r="AZ30" s="610" t="s">
        <v>1368</v>
      </c>
      <c r="BA30" s="610" t="s">
        <v>1368</v>
      </c>
      <c r="BB30" s="610" t="s">
        <v>1368</v>
      </c>
      <c r="BC30" s="610" t="s">
        <v>1368</v>
      </c>
      <c r="BD30" s="610" t="s">
        <v>1368</v>
      </c>
      <c r="BE30" s="610" t="s">
        <v>1368</v>
      </c>
      <c r="BF30" s="610" t="s">
        <v>1368</v>
      </c>
      <c r="BG30" s="610" t="s">
        <v>1368</v>
      </c>
      <c r="BH30" s="610" t="s">
        <v>1368</v>
      </c>
      <c r="BI30" s="610" t="s">
        <v>1368</v>
      </c>
      <c r="BJ30" s="610" t="s">
        <v>1368</v>
      </c>
      <c r="BK30" s="610" t="s">
        <v>1368</v>
      </c>
      <c r="BL30" s="610" t="s">
        <v>1368</v>
      </c>
      <c r="BM30" s="610">
        <v>0</v>
      </c>
      <c r="BN30" s="610">
        <v>0</v>
      </c>
      <c r="BO30" s="610">
        <v>0</v>
      </c>
      <c r="BP30" s="610">
        <v>0</v>
      </c>
      <c r="BQ30" s="610">
        <v>0</v>
      </c>
      <c r="BR30" s="610">
        <v>0</v>
      </c>
      <c r="BS30" s="610">
        <v>0</v>
      </c>
      <c r="BT30" s="610">
        <v>0</v>
      </c>
      <c r="BU30" s="610">
        <v>0</v>
      </c>
      <c r="BV30" s="610">
        <v>0</v>
      </c>
      <c r="BW30" s="610">
        <v>0</v>
      </c>
      <c r="BX30" s="610">
        <v>0</v>
      </c>
      <c r="BY30" s="610">
        <v>0</v>
      </c>
      <c r="BZ30" s="610">
        <v>0</v>
      </c>
      <c r="CA30" s="610">
        <v>0</v>
      </c>
      <c r="CB30" s="610">
        <v>0</v>
      </c>
      <c r="CC30" s="610">
        <v>0</v>
      </c>
      <c r="CD30" s="610">
        <v>0</v>
      </c>
      <c r="CE30" s="610">
        <v>0</v>
      </c>
      <c r="CF30" s="610">
        <v>0</v>
      </c>
      <c r="CG30" s="610">
        <v>0</v>
      </c>
      <c r="CH30" s="610">
        <v>0</v>
      </c>
      <c r="CI30" s="610">
        <v>0</v>
      </c>
      <c r="CJ30" s="610">
        <v>0</v>
      </c>
      <c r="CK30" s="610">
        <v>0</v>
      </c>
      <c r="CL30" s="610">
        <v>0</v>
      </c>
      <c r="CM30" s="610">
        <v>0</v>
      </c>
      <c r="CN30" s="610">
        <v>0</v>
      </c>
      <c r="CO30" s="610">
        <v>0</v>
      </c>
      <c r="CP30" s="610">
        <v>0</v>
      </c>
      <c r="CQ30" s="610">
        <v>0</v>
      </c>
      <c r="CR30" s="610">
        <v>0</v>
      </c>
      <c r="CS30" s="610">
        <v>0</v>
      </c>
      <c r="CT30" s="610">
        <v>0</v>
      </c>
      <c r="CU30" s="610">
        <v>0</v>
      </c>
      <c r="CV30" s="610">
        <v>0</v>
      </c>
      <c r="CW30" s="610" t="s">
        <v>14</v>
      </c>
      <c r="CX30" s="610">
        <v>0</v>
      </c>
      <c r="CY30" s="610" t="s">
        <v>1707</v>
      </c>
      <c r="CZ30" s="610" t="s">
        <v>1707</v>
      </c>
      <c r="DA30" s="610" t="s">
        <v>1707</v>
      </c>
      <c r="DB30" s="610" t="s">
        <v>1707</v>
      </c>
      <c r="DC30" s="610" t="s">
        <v>1707</v>
      </c>
      <c r="DD30" s="610" t="s">
        <v>1707</v>
      </c>
      <c r="DE30" s="610" t="s">
        <v>1707</v>
      </c>
      <c r="DF30" s="610" t="s">
        <v>1707</v>
      </c>
      <c r="DG30" s="610" t="s">
        <v>1707</v>
      </c>
      <c r="DH30" s="610" t="s">
        <v>1707</v>
      </c>
      <c r="DI30" s="610" t="s">
        <v>1707</v>
      </c>
      <c r="DJ30" s="610" t="s">
        <v>1707</v>
      </c>
      <c r="DK30" s="610" t="s">
        <v>1368</v>
      </c>
      <c r="DL30" s="610" t="s">
        <v>1368</v>
      </c>
      <c r="DM30" s="610" t="s">
        <v>1368</v>
      </c>
      <c r="DN30" s="610" t="s">
        <v>1368</v>
      </c>
      <c r="DO30" s="610" t="s">
        <v>1368</v>
      </c>
      <c r="DP30" s="610" t="s">
        <v>1368</v>
      </c>
      <c r="DQ30" s="610" t="s">
        <v>1368</v>
      </c>
      <c r="DR30" s="610" t="s">
        <v>1368</v>
      </c>
      <c r="DS30" s="610" t="s">
        <v>1368</v>
      </c>
      <c r="DT30" s="610" t="s">
        <v>1368</v>
      </c>
      <c r="DU30" s="610" t="s">
        <v>1368</v>
      </c>
      <c r="DV30" s="610" t="s">
        <v>1368</v>
      </c>
      <c r="DW30" s="609" t="s">
        <v>1368</v>
      </c>
      <c r="DX30" s="609" t="s">
        <v>1368</v>
      </c>
      <c r="DY30" s="609" t="s">
        <v>1368</v>
      </c>
      <c r="DZ30" s="609" t="s">
        <v>1368</v>
      </c>
      <c r="EA30" s="609" t="s">
        <v>1368</v>
      </c>
      <c r="EB30" s="609" t="s">
        <v>1368</v>
      </c>
      <c r="EC30" s="609" t="s">
        <v>1368</v>
      </c>
      <c r="ED30" s="609" t="s">
        <v>1368</v>
      </c>
      <c r="EE30" s="609" t="s">
        <v>1368</v>
      </c>
      <c r="EF30" s="609" t="s">
        <v>1368</v>
      </c>
      <c r="EG30" s="609" t="s">
        <v>1368</v>
      </c>
      <c r="EH30" s="609" t="s">
        <v>1368</v>
      </c>
      <c r="EI30" s="610" t="s">
        <v>1707</v>
      </c>
      <c r="EJ30" s="610" t="s">
        <v>1707</v>
      </c>
      <c r="EK30" s="610" t="s">
        <v>1707</v>
      </c>
      <c r="EL30" s="610" t="s">
        <v>1707</v>
      </c>
      <c r="EM30" s="610" t="s">
        <v>1707</v>
      </c>
      <c r="EN30" s="610" t="s">
        <v>1707</v>
      </c>
      <c r="EO30" s="610" t="s">
        <v>1707</v>
      </c>
      <c r="EP30" s="610" t="s">
        <v>1707</v>
      </c>
      <c r="EQ30" s="610" t="s">
        <v>1707</v>
      </c>
      <c r="ER30" s="610" t="s">
        <v>1707</v>
      </c>
      <c r="ES30" s="610" t="s">
        <v>1707</v>
      </c>
      <c r="ET30" s="610" t="s">
        <v>1707</v>
      </c>
      <c r="EU30" s="610">
        <v>3950</v>
      </c>
      <c r="EV30" s="610" t="s">
        <v>1707</v>
      </c>
      <c r="EW30" s="610" t="s">
        <v>1707</v>
      </c>
      <c r="EX30" s="610" t="s">
        <v>1707</v>
      </c>
      <c r="EY30" s="610" t="s">
        <v>1707</v>
      </c>
      <c r="EZ30" s="610" t="s">
        <v>1707</v>
      </c>
      <c r="FA30" s="610" t="s">
        <v>1707</v>
      </c>
      <c r="FB30" s="610" t="s">
        <v>1707</v>
      </c>
      <c r="FC30" s="610" t="s">
        <v>1707</v>
      </c>
      <c r="FD30" s="610" t="s">
        <v>1707</v>
      </c>
      <c r="FE30" s="610" t="s">
        <v>1707</v>
      </c>
      <c r="FF30" s="610" t="s">
        <v>1707</v>
      </c>
      <c r="FG30" s="610" t="s">
        <v>1707</v>
      </c>
      <c r="FH30" s="610">
        <v>51</v>
      </c>
      <c r="FI30" s="610">
        <v>51</v>
      </c>
      <c r="FJ30" s="610">
        <v>51</v>
      </c>
      <c r="FK30" s="610">
        <v>52</v>
      </c>
      <c r="FL30" s="610">
        <v>52</v>
      </c>
      <c r="FM30" s="610">
        <v>52</v>
      </c>
      <c r="FN30" s="610">
        <v>52</v>
      </c>
      <c r="FO30" s="610">
        <v>52</v>
      </c>
      <c r="FP30" s="610">
        <v>52</v>
      </c>
      <c r="FQ30" s="610">
        <v>52</v>
      </c>
      <c r="FR30" s="610" t="s">
        <v>2487</v>
      </c>
      <c r="FS30" s="610" t="s">
        <v>2487</v>
      </c>
      <c r="FT30" s="610" t="s">
        <v>2487</v>
      </c>
      <c r="FU30" s="610" t="s">
        <v>2487</v>
      </c>
      <c r="FV30" s="610" t="s">
        <v>2487</v>
      </c>
      <c r="FW30" s="610" t="s">
        <v>2487</v>
      </c>
      <c r="FX30" s="610" t="s">
        <v>2487</v>
      </c>
      <c r="FY30" s="610" t="s">
        <v>2487</v>
      </c>
      <c r="FZ30" s="610" t="s">
        <v>2487</v>
      </c>
      <c r="GA30" s="610" t="s">
        <v>2487</v>
      </c>
      <c r="GB30" s="610" t="s">
        <v>2487</v>
      </c>
      <c r="GC30" s="610" t="s">
        <v>2487</v>
      </c>
      <c r="GD30" s="564">
        <f t="shared" si="3"/>
        <v>79950</v>
      </c>
      <c r="GE30" s="564">
        <f t="shared" si="4"/>
        <v>79950</v>
      </c>
      <c r="GF30" s="564">
        <f t="shared" si="5"/>
        <v>79950</v>
      </c>
      <c r="GG30" s="564">
        <f t="shared" si="6"/>
        <v>79950</v>
      </c>
      <c r="GH30" s="564">
        <f t="shared" si="7"/>
        <v>79950</v>
      </c>
      <c r="GI30" s="564">
        <f t="shared" si="8"/>
        <v>79950</v>
      </c>
      <c r="GJ30" s="564">
        <f t="shared" si="9"/>
        <v>79950</v>
      </c>
      <c r="GK30" s="564">
        <f t="shared" si="10"/>
        <v>79950</v>
      </c>
      <c r="GL30" s="564">
        <f t="shared" si="11"/>
        <v>79950</v>
      </c>
      <c r="GM30" s="564">
        <f t="shared" si="12"/>
        <v>79950</v>
      </c>
      <c r="GN30" s="564">
        <f t="shared" si="13"/>
        <v>79950</v>
      </c>
      <c r="GO30" s="564">
        <f t="shared" si="14"/>
        <v>79950</v>
      </c>
      <c r="GP30" s="564"/>
      <c r="GS30" s="375" t="s">
        <v>1440</v>
      </c>
      <c r="GT30" s="374" t="str">
        <f t="shared" si="1"/>
        <v>〇</v>
      </c>
    </row>
    <row r="31" spans="2:202">
      <c r="B31" s="371">
        <v>27</v>
      </c>
      <c r="C31" s="378">
        <v>27</v>
      </c>
      <c r="D31" s="373" t="s">
        <v>1441</v>
      </c>
      <c r="E31" s="373" t="s">
        <v>14</v>
      </c>
      <c r="F31" s="603">
        <f t="shared" si="2"/>
        <v>120</v>
      </c>
      <c r="G31" s="603"/>
      <c r="H31" s="603">
        <v>70</v>
      </c>
      <c r="I31" s="603">
        <v>50</v>
      </c>
      <c r="J31" s="603"/>
      <c r="K31" s="603"/>
      <c r="L31" s="603"/>
      <c r="M31" s="603"/>
      <c r="N31" s="608"/>
      <c r="O31" s="603">
        <v>1577000</v>
      </c>
      <c r="P31" s="603">
        <v>2721000</v>
      </c>
      <c r="Q31" s="603">
        <v>2721000</v>
      </c>
      <c r="R31" s="603">
        <v>1791000</v>
      </c>
      <c r="S31" s="603">
        <v>0</v>
      </c>
      <c r="T31" s="603">
        <v>4362000</v>
      </c>
      <c r="U31" s="603">
        <v>2181000</v>
      </c>
      <c r="V31" s="603">
        <v>1051000</v>
      </c>
      <c r="W31" s="603">
        <v>1814000</v>
      </c>
      <c r="X31" s="603">
        <v>1814000</v>
      </c>
      <c r="Y31" s="603">
        <v>1194000</v>
      </c>
      <c r="Z31" s="603">
        <v>0</v>
      </c>
      <c r="AA31" s="603">
        <v>2908000</v>
      </c>
      <c r="AB31" s="603">
        <v>1454000</v>
      </c>
      <c r="AC31" s="603">
        <v>0</v>
      </c>
      <c r="AD31" s="603">
        <v>0</v>
      </c>
      <c r="AE31" s="603">
        <v>0</v>
      </c>
      <c r="AF31" s="603">
        <v>0</v>
      </c>
      <c r="AG31" s="603">
        <v>0</v>
      </c>
      <c r="AH31" s="603">
        <v>0</v>
      </c>
      <c r="AI31" s="603">
        <v>0</v>
      </c>
      <c r="AJ31" s="604" t="s">
        <v>2377</v>
      </c>
      <c r="AK31" s="605" t="s">
        <v>2378</v>
      </c>
      <c r="AL31" s="605" t="s">
        <v>1545</v>
      </c>
      <c r="AM31" s="606" t="s">
        <v>2029</v>
      </c>
      <c r="AN31" s="609" t="s">
        <v>12</v>
      </c>
      <c r="AO31" s="610" t="s">
        <v>1368</v>
      </c>
      <c r="AP31" s="610" t="s">
        <v>1368</v>
      </c>
      <c r="AQ31" s="610" t="s">
        <v>1368</v>
      </c>
      <c r="AR31" s="610" t="s">
        <v>1368</v>
      </c>
      <c r="AS31" s="610" t="s">
        <v>1368</v>
      </c>
      <c r="AT31" s="610" t="s">
        <v>1368</v>
      </c>
      <c r="AU31" s="610" t="s">
        <v>1368</v>
      </c>
      <c r="AV31" s="610" t="s">
        <v>1368</v>
      </c>
      <c r="AW31" s="610" t="s">
        <v>1368</v>
      </c>
      <c r="AX31" s="610" t="s">
        <v>1368</v>
      </c>
      <c r="AY31" s="610" t="s">
        <v>1368</v>
      </c>
      <c r="AZ31" s="610" t="s">
        <v>1368</v>
      </c>
      <c r="BA31" s="610" t="s">
        <v>1368</v>
      </c>
      <c r="BB31" s="610" t="s">
        <v>1368</v>
      </c>
      <c r="BC31" s="610" t="s">
        <v>1368</v>
      </c>
      <c r="BD31" s="610" t="s">
        <v>1368</v>
      </c>
      <c r="BE31" s="610" t="s">
        <v>1368</v>
      </c>
      <c r="BF31" s="610" t="s">
        <v>1368</v>
      </c>
      <c r="BG31" s="610" t="s">
        <v>1368</v>
      </c>
      <c r="BH31" s="610" t="s">
        <v>1368</v>
      </c>
      <c r="BI31" s="610" t="s">
        <v>1368</v>
      </c>
      <c r="BJ31" s="610" t="s">
        <v>1368</v>
      </c>
      <c r="BK31" s="610" t="s">
        <v>1368</v>
      </c>
      <c r="BL31" s="610" t="s">
        <v>1368</v>
      </c>
      <c r="BM31" s="610">
        <v>2</v>
      </c>
      <c r="BN31" s="610">
        <v>2</v>
      </c>
      <c r="BO31" s="610">
        <v>3</v>
      </c>
      <c r="BP31" s="610">
        <v>3</v>
      </c>
      <c r="BQ31" s="610">
        <v>3</v>
      </c>
      <c r="BR31" s="610">
        <v>3</v>
      </c>
      <c r="BS31" s="610">
        <v>3</v>
      </c>
      <c r="BT31" s="610">
        <v>3</v>
      </c>
      <c r="BU31" s="610">
        <v>3</v>
      </c>
      <c r="BV31" s="610">
        <v>3</v>
      </c>
      <c r="BW31" s="610">
        <v>3</v>
      </c>
      <c r="BX31" s="610">
        <v>3</v>
      </c>
      <c r="BY31" s="610">
        <v>0</v>
      </c>
      <c r="BZ31" s="610">
        <v>0</v>
      </c>
      <c r="CA31" s="610">
        <v>0</v>
      </c>
      <c r="CB31" s="610">
        <v>0</v>
      </c>
      <c r="CC31" s="610">
        <v>0</v>
      </c>
      <c r="CD31" s="610">
        <v>0</v>
      </c>
      <c r="CE31" s="610">
        <v>0</v>
      </c>
      <c r="CF31" s="610">
        <v>0</v>
      </c>
      <c r="CG31" s="610">
        <v>0</v>
      </c>
      <c r="CH31" s="610">
        <v>0</v>
      </c>
      <c r="CI31" s="610">
        <v>0</v>
      </c>
      <c r="CJ31" s="610">
        <v>0</v>
      </c>
      <c r="CK31" s="610">
        <v>0</v>
      </c>
      <c r="CL31" s="610">
        <v>0</v>
      </c>
      <c r="CM31" s="610">
        <v>0</v>
      </c>
      <c r="CN31" s="610">
        <v>0</v>
      </c>
      <c r="CO31" s="610">
        <v>0</v>
      </c>
      <c r="CP31" s="610">
        <v>0</v>
      </c>
      <c r="CQ31" s="610">
        <v>0</v>
      </c>
      <c r="CR31" s="610">
        <v>0</v>
      </c>
      <c r="CS31" s="610">
        <v>0</v>
      </c>
      <c r="CT31" s="610">
        <v>0</v>
      </c>
      <c r="CU31" s="610">
        <v>0</v>
      </c>
      <c r="CV31" s="610">
        <v>0</v>
      </c>
      <c r="CW31" s="610" t="s">
        <v>14</v>
      </c>
      <c r="CX31" s="610">
        <v>0</v>
      </c>
      <c r="CY31" s="610" t="s">
        <v>1707</v>
      </c>
      <c r="CZ31" s="610" t="s">
        <v>1707</v>
      </c>
      <c r="DA31" s="610" t="s">
        <v>1707</v>
      </c>
      <c r="DB31" s="610" t="s">
        <v>1707</v>
      </c>
      <c r="DC31" s="610" t="s">
        <v>1707</v>
      </c>
      <c r="DD31" s="610" t="s">
        <v>1707</v>
      </c>
      <c r="DE31" s="610" t="s">
        <v>1707</v>
      </c>
      <c r="DF31" s="610" t="s">
        <v>1707</v>
      </c>
      <c r="DG31" s="610" t="s">
        <v>1707</v>
      </c>
      <c r="DH31" s="610" t="s">
        <v>1707</v>
      </c>
      <c r="DI31" s="610" t="s">
        <v>1707</v>
      </c>
      <c r="DJ31" s="610" t="s">
        <v>1707</v>
      </c>
      <c r="DK31" s="610" t="s">
        <v>20</v>
      </c>
      <c r="DL31" s="610" t="s">
        <v>20</v>
      </c>
      <c r="DM31" s="610" t="s">
        <v>20</v>
      </c>
      <c r="DN31" s="610" t="s">
        <v>20</v>
      </c>
      <c r="DO31" s="610" t="s">
        <v>20</v>
      </c>
      <c r="DP31" s="610" t="s">
        <v>20</v>
      </c>
      <c r="DQ31" s="610" t="s">
        <v>20</v>
      </c>
      <c r="DR31" s="610" t="s">
        <v>20</v>
      </c>
      <c r="DS31" s="610" t="s">
        <v>20</v>
      </c>
      <c r="DT31" s="610" t="s">
        <v>20</v>
      </c>
      <c r="DU31" s="610" t="s">
        <v>20</v>
      </c>
      <c r="DV31" s="610" t="s">
        <v>20</v>
      </c>
      <c r="DW31" s="609" t="s">
        <v>1368</v>
      </c>
      <c r="DX31" s="609" t="s">
        <v>1368</v>
      </c>
      <c r="DY31" s="609" t="s">
        <v>1368</v>
      </c>
      <c r="DZ31" s="609" t="s">
        <v>1368</v>
      </c>
      <c r="EA31" s="609" t="s">
        <v>1368</v>
      </c>
      <c r="EB31" s="609" t="s">
        <v>1368</v>
      </c>
      <c r="EC31" s="609" t="s">
        <v>1368</v>
      </c>
      <c r="ED31" s="609" t="s">
        <v>1368</v>
      </c>
      <c r="EE31" s="609" t="s">
        <v>1368</v>
      </c>
      <c r="EF31" s="609" t="s">
        <v>1368</v>
      </c>
      <c r="EG31" s="609" t="s">
        <v>1368</v>
      </c>
      <c r="EH31" s="609" t="s">
        <v>1368</v>
      </c>
      <c r="EI31" s="610" t="s">
        <v>1707</v>
      </c>
      <c r="EJ31" s="610" t="s">
        <v>1707</v>
      </c>
      <c r="EK31" s="610" t="s">
        <v>1707</v>
      </c>
      <c r="EL31" s="610" t="s">
        <v>1707</v>
      </c>
      <c r="EM31" s="610" t="s">
        <v>1707</v>
      </c>
      <c r="EN31" s="610" t="s">
        <v>1707</v>
      </c>
      <c r="EO31" s="610" t="s">
        <v>1707</v>
      </c>
      <c r="EP31" s="610" t="s">
        <v>1707</v>
      </c>
      <c r="EQ31" s="610" t="s">
        <v>1707</v>
      </c>
      <c r="ER31" s="610" t="s">
        <v>1707</v>
      </c>
      <c r="ES31" s="610" t="s">
        <v>1707</v>
      </c>
      <c r="ET31" s="610" t="s">
        <v>1707</v>
      </c>
      <c r="EU31" s="610">
        <v>4070</v>
      </c>
      <c r="EV31" s="610" t="s">
        <v>2449</v>
      </c>
      <c r="EW31" s="610" t="s">
        <v>2449</v>
      </c>
      <c r="EX31" s="610" t="s">
        <v>2449</v>
      </c>
      <c r="EY31" s="610" t="s">
        <v>2449</v>
      </c>
      <c r="EZ31" s="610" t="s">
        <v>2449</v>
      </c>
      <c r="FA31" s="610" t="s">
        <v>2449</v>
      </c>
      <c r="FB31" s="610" t="s">
        <v>2449</v>
      </c>
      <c r="FC31" s="610" t="s">
        <v>2449</v>
      </c>
      <c r="FD31" s="610" t="s">
        <v>2449</v>
      </c>
      <c r="FE31" s="610" t="s">
        <v>2449</v>
      </c>
      <c r="FF31" s="610" t="s">
        <v>2449</v>
      </c>
      <c r="FG31" s="610" t="s">
        <v>2449</v>
      </c>
      <c r="FH31" s="610">
        <v>53</v>
      </c>
      <c r="FI31" s="610">
        <v>53</v>
      </c>
      <c r="FJ31" s="610">
        <v>53</v>
      </c>
      <c r="FK31" s="610">
        <v>53</v>
      </c>
      <c r="FL31" s="610">
        <v>53</v>
      </c>
      <c r="FM31" s="610">
        <v>53</v>
      </c>
      <c r="FN31" s="610">
        <v>53</v>
      </c>
      <c r="FO31" s="610">
        <v>53</v>
      </c>
      <c r="FP31" s="610">
        <v>53</v>
      </c>
      <c r="FQ31" s="610">
        <v>53</v>
      </c>
      <c r="FR31" s="610" t="s">
        <v>2487</v>
      </c>
      <c r="FS31" s="610" t="s">
        <v>2487</v>
      </c>
      <c r="FT31" s="610" t="s">
        <v>2487</v>
      </c>
      <c r="FU31" s="610" t="s">
        <v>2487</v>
      </c>
      <c r="FV31" s="610" t="s">
        <v>2487</v>
      </c>
      <c r="FW31" s="610" t="s">
        <v>2487</v>
      </c>
      <c r="FX31" s="610" t="s">
        <v>2487</v>
      </c>
      <c r="FY31" s="610" t="s">
        <v>2487</v>
      </c>
      <c r="FZ31" s="610" t="s">
        <v>2487</v>
      </c>
      <c r="GA31" s="610" t="s">
        <v>2487</v>
      </c>
      <c r="GB31" s="610" t="s">
        <v>2487</v>
      </c>
      <c r="GC31" s="610" t="s">
        <v>2487</v>
      </c>
      <c r="GD31" s="564">
        <f t="shared" si="3"/>
        <v>79950</v>
      </c>
      <c r="GE31" s="564">
        <f t="shared" si="4"/>
        <v>79950</v>
      </c>
      <c r="GF31" s="564">
        <f t="shared" si="5"/>
        <v>79950</v>
      </c>
      <c r="GG31" s="564">
        <f t="shared" si="6"/>
        <v>79950</v>
      </c>
      <c r="GH31" s="564">
        <f t="shared" si="7"/>
        <v>79950</v>
      </c>
      <c r="GI31" s="564">
        <f t="shared" si="8"/>
        <v>79950</v>
      </c>
      <c r="GJ31" s="564">
        <f t="shared" si="9"/>
        <v>79950</v>
      </c>
      <c r="GK31" s="564">
        <f t="shared" si="10"/>
        <v>79950</v>
      </c>
      <c r="GL31" s="564">
        <f t="shared" si="11"/>
        <v>79950</v>
      </c>
      <c r="GM31" s="564">
        <f t="shared" si="12"/>
        <v>79950</v>
      </c>
      <c r="GN31" s="564">
        <f t="shared" si="13"/>
        <v>79950</v>
      </c>
      <c r="GO31" s="564">
        <f t="shared" si="14"/>
        <v>79950</v>
      </c>
      <c r="GP31" s="564"/>
      <c r="GS31" s="375" t="s">
        <v>1441</v>
      </c>
      <c r="GT31" s="374" t="str">
        <f t="shared" si="1"/>
        <v>〇</v>
      </c>
    </row>
    <row r="32" spans="2:202">
      <c r="B32" s="371">
        <v>28</v>
      </c>
      <c r="C32" s="378">
        <v>28</v>
      </c>
      <c r="D32" s="373" t="s">
        <v>1442</v>
      </c>
      <c r="E32" s="373" t="s">
        <v>14</v>
      </c>
      <c r="F32" s="603">
        <f t="shared" si="2"/>
        <v>120</v>
      </c>
      <c r="G32" s="603"/>
      <c r="H32" s="603">
        <v>70</v>
      </c>
      <c r="I32" s="603">
        <v>50</v>
      </c>
      <c r="J32" s="603"/>
      <c r="K32" s="603"/>
      <c r="L32" s="603"/>
      <c r="M32" s="603"/>
      <c r="N32" s="608"/>
      <c r="O32" s="603">
        <v>1577000</v>
      </c>
      <c r="P32" s="603">
        <v>2721000</v>
      </c>
      <c r="Q32" s="603">
        <v>2721000</v>
      </c>
      <c r="R32" s="603">
        <v>1791000</v>
      </c>
      <c r="S32" s="603">
        <v>0</v>
      </c>
      <c r="T32" s="603">
        <v>2181000</v>
      </c>
      <c r="U32" s="603">
        <v>2181000</v>
      </c>
      <c r="V32" s="603">
        <v>1051000</v>
      </c>
      <c r="W32" s="603">
        <v>1814000</v>
      </c>
      <c r="X32" s="603">
        <v>1814000</v>
      </c>
      <c r="Y32" s="603">
        <v>1194000</v>
      </c>
      <c r="Z32" s="603">
        <v>0</v>
      </c>
      <c r="AA32" s="603">
        <v>1454000</v>
      </c>
      <c r="AB32" s="603">
        <v>1454000</v>
      </c>
      <c r="AC32" s="603">
        <v>526000</v>
      </c>
      <c r="AD32" s="603">
        <v>907000</v>
      </c>
      <c r="AE32" s="603">
        <v>907000</v>
      </c>
      <c r="AF32" s="603">
        <v>597000</v>
      </c>
      <c r="AG32" s="603">
        <v>0</v>
      </c>
      <c r="AH32" s="603">
        <v>727000</v>
      </c>
      <c r="AI32" s="603">
        <v>727000</v>
      </c>
      <c r="AJ32" s="604" t="s">
        <v>2377</v>
      </c>
      <c r="AK32" s="605" t="s">
        <v>2378</v>
      </c>
      <c r="AL32" s="605" t="s">
        <v>2490</v>
      </c>
      <c r="AM32" s="606" t="s">
        <v>2030</v>
      </c>
      <c r="AN32" s="609" t="s">
        <v>12</v>
      </c>
      <c r="AO32" s="610" t="s">
        <v>13</v>
      </c>
      <c r="AP32" s="610" t="s">
        <v>13</v>
      </c>
      <c r="AQ32" s="610" t="s">
        <v>13</v>
      </c>
      <c r="AR32" s="610" t="s">
        <v>13</v>
      </c>
      <c r="AS32" s="610" t="s">
        <v>13</v>
      </c>
      <c r="AT32" s="610" t="s">
        <v>13</v>
      </c>
      <c r="AU32" s="610" t="s">
        <v>13</v>
      </c>
      <c r="AV32" s="610" t="s">
        <v>13</v>
      </c>
      <c r="AW32" s="610" t="s">
        <v>13</v>
      </c>
      <c r="AX32" s="610" t="s">
        <v>13</v>
      </c>
      <c r="AY32" s="610" t="s">
        <v>13</v>
      </c>
      <c r="AZ32" s="610" t="s">
        <v>13</v>
      </c>
      <c r="BA32" s="610" t="s">
        <v>14</v>
      </c>
      <c r="BB32" s="610" t="s">
        <v>14</v>
      </c>
      <c r="BC32" s="610" t="s">
        <v>14</v>
      </c>
      <c r="BD32" s="610" t="s">
        <v>14</v>
      </c>
      <c r="BE32" s="610" t="s">
        <v>14</v>
      </c>
      <c r="BF32" s="610" t="s">
        <v>14</v>
      </c>
      <c r="BG32" s="610" t="s">
        <v>14</v>
      </c>
      <c r="BH32" s="610" t="s">
        <v>14</v>
      </c>
      <c r="BI32" s="610" t="s">
        <v>14</v>
      </c>
      <c r="BJ32" s="610" t="s">
        <v>14</v>
      </c>
      <c r="BK32" s="610" t="s">
        <v>14</v>
      </c>
      <c r="BL32" s="610" t="s">
        <v>14</v>
      </c>
      <c r="BM32" s="610">
        <v>1</v>
      </c>
      <c r="BN32" s="610">
        <v>1</v>
      </c>
      <c r="BO32" s="610">
        <v>1</v>
      </c>
      <c r="BP32" s="610">
        <v>1</v>
      </c>
      <c r="BQ32" s="610">
        <v>1</v>
      </c>
      <c r="BR32" s="610">
        <v>1</v>
      </c>
      <c r="BS32" s="610">
        <v>1</v>
      </c>
      <c r="BT32" s="610">
        <v>1</v>
      </c>
      <c r="BU32" s="610">
        <v>1</v>
      </c>
      <c r="BV32" s="610">
        <v>1</v>
      </c>
      <c r="BW32" s="610">
        <v>1</v>
      </c>
      <c r="BX32" s="610">
        <v>1</v>
      </c>
      <c r="BY32" s="610">
        <v>0</v>
      </c>
      <c r="BZ32" s="610">
        <v>0</v>
      </c>
      <c r="CA32" s="610">
        <v>0</v>
      </c>
      <c r="CB32" s="610">
        <v>0</v>
      </c>
      <c r="CC32" s="610">
        <v>0</v>
      </c>
      <c r="CD32" s="610">
        <v>0</v>
      </c>
      <c r="CE32" s="610">
        <v>0</v>
      </c>
      <c r="CF32" s="610">
        <v>0</v>
      </c>
      <c r="CG32" s="610">
        <v>0</v>
      </c>
      <c r="CH32" s="610">
        <v>0</v>
      </c>
      <c r="CI32" s="610">
        <v>0</v>
      </c>
      <c r="CJ32" s="610">
        <v>0</v>
      </c>
      <c r="CK32" s="610">
        <v>0</v>
      </c>
      <c r="CL32" s="610">
        <v>0</v>
      </c>
      <c r="CM32" s="610">
        <v>0</v>
      </c>
      <c r="CN32" s="610">
        <v>0</v>
      </c>
      <c r="CO32" s="610">
        <v>0</v>
      </c>
      <c r="CP32" s="610">
        <v>0</v>
      </c>
      <c r="CQ32" s="610">
        <v>0</v>
      </c>
      <c r="CR32" s="610">
        <v>0</v>
      </c>
      <c r="CS32" s="610">
        <v>0</v>
      </c>
      <c r="CT32" s="610">
        <v>0</v>
      </c>
      <c r="CU32" s="610">
        <v>0</v>
      </c>
      <c r="CV32" s="610">
        <v>0</v>
      </c>
      <c r="CW32" s="610" t="s">
        <v>14</v>
      </c>
      <c r="CX32" s="610">
        <v>0</v>
      </c>
      <c r="CY32" s="610" t="s">
        <v>1707</v>
      </c>
      <c r="CZ32" s="610" t="s">
        <v>1707</v>
      </c>
      <c r="DA32" s="610" t="s">
        <v>1707</v>
      </c>
      <c r="DB32" s="610" t="s">
        <v>1707</v>
      </c>
      <c r="DC32" s="610" t="s">
        <v>1707</v>
      </c>
      <c r="DD32" s="610" t="s">
        <v>1707</v>
      </c>
      <c r="DE32" s="610" t="s">
        <v>1707</v>
      </c>
      <c r="DF32" s="610" t="s">
        <v>1707</v>
      </c>
      <c r="DG32" s="610" t="s">
        <v>1707</v>
      </c>
      <c r="DH32" s="610" t="s">
        <v>1707</v>
      </c>
      <c r="DI32" s="610" t="s">
        <v>1707</v>
      </c>
      <c r="DJ32" s="610" t="s">
        <v>1707</v>
      </c>
      <c r="DK32" s="610" t="s">
        <v>18</v>
      </c>
      <c r="DL32" s="610" t="s">
        <v>18</v>
      </c>
      <c r="DM32" s="610" t="s">
        <v>18</v>
      </c>
      <c r="DN32" s="610" t="s">
        <v>18</v>
      </c>
      <c r="DO32" s="610" t="s">
        <v>18</v>
      </c>
      <c r="DP32" s="610" t="s">
        <v>18</v>
      </c>
      <c r="DQ32" s="610" t="s">
        <v>18</v>
      </c>
      <c r="DR32" s="610" t="s">
        <v>18</v>
      </c>
      <c r="DS32" s="610" t="s">
        <v>18</v>
      </c>
      <c r="DT32" s="610" t="s">
        <v>18</v>
      </c>
      <c r="DU32" s="610" t="s">
        <v>18</v>
      </c>
      <c r="DV32" s="610" t="s">
        <v>18</v>
      </c>
      <c r="DW32" s="609" t="s">
        <v>1368</v>
      </c>
      <c r="DX32" s="609" t="s">
        <v>1368</v>
      </c>
      <c r="DY32" s="609" t="s">
        <v>1368</v>
      </c>
      <c r="DZ32" s="609" t="s">
        <v>1368</v>
      </c>
      <c r="EA32" s="609" t="s">
        <v>1368</v>
      </c>
      <c r="EB32" s="609" t="s">
        <v>1368</v>
      </c>
      <c r="EC32" s="609" t="s">
        <v>1368</v>
      </c>
      <c r="ED32" s="609" t="s">
        <v>1368</v>
      </c>
      <c r="EE32" s="609" t="s">
        <v>1368</v>
      </c>
      <c r="EF32" s="609" t="s">
        <v>1368</v>
      </c>
      <c r="EG32" s="609" t="s">
        <v>1368</v>
      </c>
      <c r="EH32" s="609" t="s">
        <v>1368</v>
      </c>
      <c r="EI32" s="610" t="s">
        <v>1707</v>
      </c>
      <c r="EJ32" s="610" t="s">
        <v>1707</v>
      </c>
      <c r="EK32" s="610" t="s">
        <v>1707</v>
      </c>
      <c r="EL32" s="610" t="s">
        <v>1707</v>
      </c>
      <c r="EM32" s="610" t="s">
        <v>1707</v>
      </c>
      <c r="EN32" s="610" t="s">
        <v>1707</v>
      </c>
      <c r="EO32" s="610" t="s">
        <v>1707</v>
      </c>
      <c r="EP32" s="610" t="s">
        <v>1707</v>
      </c>
      <c r="EQ32" s="610" t="s">
        <v>1707</v>
      </c>
      <c r="ER32" s="610" t="s">
        <v>1707</v>
      </c>
      <c r="ES32" s="610" t="s">
        <v>1707</v>
      </c>
      <c r="ET32" s="610" t="s">
        <v>1707</v>
      </c>
      <c r="EU32" s="610">
        <v>4070</v>
      </c>
      <c r="EV32" s="610" t="s">
        <v>2449</v>
      </c>
      <c r="EW32" s="610" t="s">
        <v>2449</v>
      </c>
      <c r="EX32" s="610" t="s">
        <v>2449</v>
      </c>
      <c r="EY32" s="610" t="s">
        <v>2449</v>
      </c>
      <c r="EZ32" s="610" t="s">
        <v>2449</v>
      </c>
      <c r="FA32" s="610" t="s">
        <v>2449</v>
      </c>
      <c r="FB32" s="610" t="s">
        <v>2449</v>
      </c>
      <c r="FC32" s="610" t="s">
        <v>2449</v>
      </c>
      <c r="FD32" s="610" t="s">
        <v>2449</v>
      </c>
      <c r="FE32" s="610" t="s">
        <v>2449</v>
      </c>
      <c r="FF32" s="610" t="s">
        <v>2449</v>
      </c>
      <c r="FG32" s="610" t="s">
        <v>2449</v>
      </c>
      <c r="FH32" s="610">
        <v>51</v>
      </c>
      <c r="FI32" s="610">
        <v>51</v>
      </c>
      <c r="FJ32" s="610">
        <v>51</v>
      </c>
      <c r="FK32" s="610">
        <v>51</v>
      </c>
      <c r="FL32" s="610">
        <v>51</v>
      </c>
      <c r="FM32" s="610">
        <v>51</v>
      </c>
      <c r="FN32" s="610">
        <v>51</v>
      </c>
      <c r="FO32" s="610">
        <v>50</v>
      </c>
      <c r="FP32" s="610">
        <v>50</v>
      </c>
      <c r="FQ32" s="610">
        <v>50</v>
      </c>
      <c r="FR32" s="610" t="s">
        <v>2487</v>
      </c>
      <c r="FS32" s="610" t="s">
        <v>2487</v>
      </c>
      <c r="FT32" s="610" t="s">
        <v>2487</v>
      </c>
      <c r="FU32" s="610" t="s">
        <v>2487</v>
      </c>
      <c r="FV32" s="610" t="s">
        <v>2487</v>
      </c>
      <c r="FW32" s="610" t="s">
        <v>2487</v>
      </c>
      <c r="FX32" s="610" t="s">
        <v>2487</v>
      </c>
      <c r="FY32" s="610" t="s">
        <v>2487</v>
      </c>
      <c r="FZ32" s="610" t="s">
        <v>2487</v>
      </c>
      <c r="GA32" s="610" t="s">
        <v>2487</v>
      </c>
      <c r="GB32" s="610" t="s">
        <v>2487</v>
      </c>
      <c r="GC32" s="610" t="s">
        <v>2487</v>
      </c>
      <c r="GD32" s="564">
        <f t="shared" si="3"/>
        <v>79950</v>
      </c>
      <c r="GE32" s="564">
        <f t="shared" si="4"/>
        <v>79950</v>
      </c>
      <c r="GF32" s="564">
        <f t="shared" si="5"/>
        <v>79950</v>
      </c>
      <c r="GG32" s="564">
        <f t="shared" si="6"/>
        <v>79950</v>
      </c>
      <c r="GH32" s="564">
        <f t="shared" si="7"/>
        <v>79950</v>
      </c>
      <c r="GI32" s="564">
        <f t="shared" si="8"/>
        <v>79950</v>
      </c>
      <c r="GJ32" s="564">
        <f t="shared" si="9"/>
        <v>79950</v>
      </c>
      <c r="GK32" s="564">
        <f t="shared" si="10"/>
        <v>79950</v>
      </c>
      <c r="GL32" s="564">
        <f t="shared" si="11"/>
        <v>79950</v>
      </c>
      <c r="GM32" s="564">
        <f t="shared" si="12"/>
        <v>79950</v>
      </c>
      <c r="GN32" s="564">
        <f t="shared" si="13"/>
        <v>79950</v>
      </c>
      <c r="GO32" s="564">
        <f t="shared" si="14"/>
        <v>79950</v>
      </c>
      <c r="GP32" s="564"/>
      <c r="GS32" s="375" t="s">
        <v>1442</v>
      </c>
      <c r="GT32" s="374" t="str">
        <f t="shared" si="1"/>
        <v>〇</v>
      </c>
    </row>
    <row r="33" spans="2:202">
      <c r="B33" s="371">
        <v>29</v>
      </c>
      <c r="C33" s="378">
        <v>29</v>
      </c>
      <c r="D33" s="373" t="s">
        <v>1443</v>
      </c>
      <c r="E33" s="373" t="s">
        <v>14</v>
      </c>
      <c r="F33" s="603">
        <f t="shared" si="2"/>
        <v>39</v>
      </c>
      <c r="G33" s="603"/>
      <c r="H33" s="603">
        <v>21</v>
      </c>
      <c r="I33" s="603">
        <v>18</v>
      </c>
      <c r="J33" s="603"/>
      <c r="K33" s="603"/>
      <c r="L33" s="603"/>
      <c r="M33" s="603"/>
      <c r="N33" s="608"/>
      <c r="O33" s="603">
        <v>1577000</v>
      </c>
      <c r="P33" s="603">
        <v>2721000</v>
      </c>
      <c r="Q33" s="603">
        <v>2721000</v>
      </c>
      <c r="R33" s="603">
        <v>1188000</v>
      </c>
      <c r="S33" s="603">
        <v>0</v>
      </c>
      <c r="T33" s="603">
        <v>0</v>
      </c>
      <c r="U33" s="603">
        <v>0</v>
      </c>
      <c r="V33" s="603">
        <v>0</v>
      </c>
      <c r="W33" s="603">
        <v>0</v>
      </c>
      <c r="X33" s="603">
        <v>0</v>
      </c>
      <c r="Y33" s="603">
        <v>0</v>
      </c>
      <c r="Z33" s="603">
        <v>0</v>
      </c>
      <c r="AA33" s="603">
        <v>0</v>
      </c>
      <c r="AB33" s="603">
        <v>0</v>
      </c>
      <c r="AC33" s="603">
        <v>0</v>
      </c>
      <c r="AD33" s="603">
        <v>0</v>
      </c>
      <c r="AE33" s="603">
        <v>0</v>
      </c>
      <c r="AF33" s="603">
        <v>0</v>
      </c>
      <c r="AG33" s="603">
        <v>0</v>
      </c>
      <c r="AH33" s="603">
        <v>0</v>
      </c>
      <c r="AI33" s="603">
        <v>0</v>
      </c>
      <c r="AJ33" s="604" t="s">
        <v>2377</v>
      </c>
      <c r="AK33" s="605" t="s">
        <v>1545</v>
      </c>
      <c r="AL33" s="605" t="s">
        <v>1545</v>
      </c>
      <c r="AM33" s="606" t="s">
        <v>2031</v>
      </c>
      <c r="AN33" s="609" t="s">
        <v>12</v>
      </c>
      <c r="AO33" s="610" t="s">
        <v>1368</v>
      </c>
      <c r="AP33" s="610" t="s">
        <v>1368</v>
      </c>
      <c r="AQ33" s="610" t="s">
        <v>1368</v>
      </c>
      <c r="AR33" s="610" t="s">
        <v>1368</v>
      </c>
      <c r="AS33" s="610" t="s">
        <v>1368</v>
      </c>
      <c r="AT33" s="610" t="s">
        <v>1368</v>
      </c>
      <c r="AU33" s="610" t="s">
        <v>1368</v>
      </c>
      <c r="AV33" s="610" t="s">
        <v>1368</v>
      </c>
      <c r="AW33" s="610" t="s">
        <v>1368</v>
      </c>
      <c r="AX33" s="610" t="s">
        <v>1368</v>
      </c>
      <c r="AY33" s="610" t="s">
        <v>1368</v>
      </c>
      <c r="AZ33" s="610" t="s">
        <v>1368</v>
      </c>
      <c r="BA33" s="610" t="s">
        <v>1368</v>
      </c>
      <c r="BB33" s="610" t="s">
        <v>1368</v>
      </c>
      <c r="BC33" s="610" t="s">
        <v>1368</v>
      </c>
      <c r="BD33" s="610" t="s">
        <v>1368</v>
      </c>
      <c r="BE33" s="610" t="s">
        <v>1368</v>
      </c>
      <c r="BF33" s="610" t="s">
        <v>1368</v>
      </c>
      <c r="BG33" s="610" t="s">
        <v>1368</v>
      </c>
      <c r="BH33" s="610" t="s">
        <v>1368</v>
      </c>
      <c r="BI33" s="610" t="s">
        <v>1368</v>
      </c>
      <c r="BJ33" s="610" t="s">
        <v>1368</v>
      </c>
      <c r="BK33" s="610" t="s">
        <v>1368</v>
      </c>
      <c r="BL33" s="610" t="s">
        <v>1368</v>
      </c>
      <c r="BM33" s="610">
        <v>1</v>
      </c>
      <c r="BN33" s="610">
        <v>1</v>
      </c>
      <c r="BO33" s="610">
        <v>1</v>
      </c>
      <c r="BP33" s="610">
        <v>1</v>
      </c>
      <c r="BQ33" s="610">
        <v>1</v>
      </c>
      <c r="BR33" s="610">
        <v>1</v>
      </c>
      <c r="BS33" s="610">
        <v>1</v>
      </c>
      <c r="BT33" s="610">
        <v>1</v>
      </c>
      <c r="BU33" s="610">
        <v>1</v>
      </c>
      <c r="BV33" s="610">
        <v>1</v>
      </c>
      <c r="BW33" s="610">
        <v>1</v>
      </c>
      <c r="BX33" s="610">
        <v>1</v>
      </c>
      <c r="BY33" s="610">
        <v>0</v>
      </c>
      <c r="BZ33" s="610">
        <v>0</v>
      </c>
      <c r="CA33" s="610">
        <v>0</v>
      </c>
      <c r="CB33" s="610">
        <v>0</v>
      </c>
      <c r="CC33" s="610">
        <v>0</v>
      </c>
      <c r="CD33" s="610">
        <v>0</v>
      </c>
      <c r="CE33" s="610">
        <v>0</v>
      </c>
      <c r="CF33" s="610">
        <v>0</v>
      </c>
      <c r="CG33" s="610">
        <v>0</v>
      </c>
      <c r="CH33" s="610">
        <v>0</v>
      </c>
      <c r="CI33" s="610">
        <v>0</v>
      </c>
      <c r="CJ33" s="610">
        <v>0</v>
      </c>
      <c r="CK33" s="610">
        <v>0</v>
      </c>
      <c r="CL33" s="610">
        <v>0</v>
      </c>
      <c r="CM33" s="610">
        <v>0</v>
      </c>
      <c r="CN33" s="610">
        <v>0</v>
      </c>
      <c r="CO33" s="610">
        <v>0</v>
      </c>
      <c r="CP33" s="610">
        <v>0</v>
      </c>
      <c r="CQ33" s="610">
        <v>0</v>
      </c>
      <c r="CR33" s="610">
        <v>0</v>
      </c>
      <c r="CS33" s="610">
        <v>0</v>
      </c>
      <c r="CT33" s="610">
        <v>0</v>
      </c>
      <c r="CU33" s="610">
        <v>0</v>
      </c>
      <c r="CV33" s="610">
        <v>0</v>
      </c>
      <c r="CW33" s="610" t="s">
        <v>14</v>
      </c>
      <c r="CX33" s="610">
        <v>0</v>
      </c>
      <c r="CY33" s="610" t="s">
        <v>1707</v>
      </c>
      <c r="CZ33" s="610" t="s">
        <v>1707</v>
      </c>
      <c r="DA33" s="610" t="s">
        <v>1707</v>
      </c>
      <c r="DB33" s="610" t="s">
        <v>1707</v>
      </c>
      <c r="DC33" s="610" t="s">
        <v>1707</v>
      </c>
      <c r="DD33" s="610" t="s">
        <v>1707</v>
      </c>
      <c r="DE33" s="610" t="s">
        <v>1707</v>
      </c>
      <c r="DF33" s="610" t="s">
        <v>1707</v>
      </c>
      <c r="DG33" s="610" t="s">
        <v>1707</v>
      </c>
      <c r="DH33" s="610" t="s">
        <v>1707</v>
      </c>
      <c r="DI33" s="610" t="s">
        <v>1707</v>
      </c>
      <c r="DJ33" s="610" t="s">
        <v>1707</v>
      </c>
      <c r="DK33" s="610" t="s">
        <v>1368</v>
      </c>
      <c r="DL33" s="610" t="s">
        <v>1368</v>
      </c>
      <c r="DM33" s="610" t="s">
        <v>1368</v>
      </c>
      <c r="DN33" s="610" t="s">
        <v>1368</v>
      </c>
      <c r="DO33" s="610" t="s">
        <v>1368</v>
      </c>
      <c r="DP33" s="610" t="s">
        <v>1368</v>
      </c>
      <c r="DQ33" s="610" t="s">
        <v>1368</v>
      </c>
      <c r="DR33" s="610" t="s">
        <v>1368</v>
      </c>
      <c r="DS33" s="610" t="s">
        <v>1368</v>
      </c>
      <c r="DT33" s="610" t="s">
        <v>1368</v>
      </c>
      <c r="DU33" s="610" t="s">
        <v>1368</v>
      </c>
      <c r="DV33" s="610" t="s">
        <v>1368</v>
      </c>
      <c r="DW33" s="609" t="s">
        <v>1368</v>
      </c>
      <c r="DX33" s="609" t="s">
        <v>1368</v>
      </c>
      <c r="DY33" s="609" t="s">
        <v>1368</v>
      </c>
      <c r="DZ33" s="609" t="s">
        <v>1368</v>
      </c>
      <c r="EA33" s="609" t="s">
        <v>1368</v>
      </c>
      <c r="EB33" s="609" t="s">
        <v>1368</v>
      </c>
      <c r="EC33" s="609" t="s">
        <v>1368</v>
      </c>
      <c r="ED33" s="609" t="s">
        <v>1368</v>
      </c>
      <c r="EE33" s="609" t="s">
        <v>1368</v>
      </c>
      <c r="EF33" s="609" t="s">
        <v>1368</v>
      </c>
      <c r="EG33" s="609" t="s">
        <v>1368</v>
      </c>
      <c r="EH33" s="609" t="s">
        <v>1368</v>
      </c>
      <c r="EI33" s="610" t="s">
        <v>1707</v>
      </c>
      <c r="EJ33" s="610" t="s">
        <v>1707</v>
      </c>
      <c r="EK33" s="610" t="s">
        <v>1707</v>
      </c>
      <c r="EL33" s="610" t="s">
        <v>1707</v>
      </c>
      <c r="EM33" s="610" t="s">
        <v>1707</v>
      </c>
      <c r="EN33" s="610" t="s">
        <v>1707</v>
      </c>
      <c r="EO33" s="610" t="s">
        <v>1707</v>
      </c>
      <c r="EP33" s="610" t="s">
        <v>1707</v>
      </c>
      <c r="EQ33" s="610" t="s">
        <v>1707</v>
      </c>
      <c r="ER33" s="610" t="s">
        <v>1707</v>
      </c>
      <c r="ES33" s="610" t="s">
        <v>1707</v>
      </c>
      <c r="ET33" s="610" t="s">
        <v>1707</v>
      </c>
      <c r="EU33" s="610">
        <v>3950</v>
      </c>
      <c r="EV33" s="610" t="s">
        <v>1707</v>
      </c>
      <c r="EW33" s="610" t="s">
        <v>1707</v>
      </c>
      <c r="EX33" s="610" t="s">
        <v>1707</v>
      </c>
      <c r="EY33" s="610" t="s">
        <v>1707</v>
      </c>
      <c r="EZ33" s="610" t="s">
        <v>1707</v>
      </c>
      <c r="FA33" s="610" t="s">
        <v>1707</v>
      </c>
      <c r="FB33" s="610" t="s">
        <v>1707</v>
      </c>
      <c r="FC33" s="610" t="s">
        <v>1707</v>
      </c>
      <c r="FD33" s="610" t="s">
        <v>1707</v>
      </c>
      <c r="FE33" s="610" t="s">
        <v>1707</v>
      </c>
      <c r="FF33" s="610" t="s">
        <v>1707</v>
      </c>
      <c r="FG33" s="610" t="s">
        <v>1707</v>
      </c>
      <c r="FH33" s="610">
        <v>16</v>
      </c>
      <c r="FI33" s="610">
        <v>16</v>
      </c>
      <c r="FJ33" s="610">
        <v>16</v>
      </c>
      <c r="FK33" s="610">
        <v>16</v>
      </c>
      <c r="FL33" s="610">
        <v>16</v>
      </c>
      <c r="FM33" s="610">
        <v>16</v>
      </c>
      <c r="FN33" s="610">
        <v>16</v>
      </c>
      <c r="FO33" s="610">
        <v>16</v>
      </c>
      <c r="FP33" s="610">
        <v>16</v>
      </c>
      <c r="FQ33" s="610">
        <v>16</v>
      </c>
      <c r="FR33" s="610" t="s">
        <v>2487</v>
      </c>
      <c r="FS33" s="610" t="s">
        <v>2487</v>
      </c>
      <c r="FT33" s="610" t="s">
        <v>2487</v>
      </c>
      <c r="FU33" s="610" t="s">
        <v>2487</v>
      </c>
      <c r="FV33" s="610" t="s">
        <v>2487</v>
      </c>
      <c r="FW33" s="610" t="s">
        <v>2487</v>
      </c>
      <c r="FX33" s="610" t="s">
        <v>2487</v>
      </c>
      <c r="FY33" s="610" t="s">
        <v>2487</v>
      </c>
      <c r="FZ33" s="610" t="s">
        <v>2487</v>
      </c>
      <c r="GA33" s="610" t="s">
        <v>2487</v>
      </c>
      <c r="GB33" s="610" t="s">
        <v>2487</v>
      </c>
      <c r="GC33" s="610" t="s">
        <v>2487</v>
      </c>
      <c r="GD33" s="564">
        <f t="shared" si="3"/>
        <v>79950</v>
      </c>
      <c r="GE33" s="564">
        <f t="shared" si="4"/>
        <v>79950</v>
      </c>
      <c r="GF33" s="564">
        <f t="shared" si="5"/>
        <v>79950</v>
      </c>
      <c r="GG33" s="564">
        <f t="shared" si="6"/>
        <v>79950</v>
      </c>
      <c r="GH33" s="564">
        <f t="shared" si="7"/>
        <v>79950</v>
      </c>
      <c r="GI33" s="564">
        <f t="shared" si="8"/>
        <v>79950</v>
      </c>
      <c r="GJ33" s="564">
        <f t="shared" si="9"/>
        <v>79950</v>
      </c>
      <c r="GK33" s="564">
        <f t="shared" si="10"/>
        <v>79950</v>
      </c>
      <c r="GL33" s="564">
        <f t="shared" si="11"/>
        <v>79950</v>
      </c>
      <c r="GM33" s="564">
        <f t="shared" si="12"/>
        <v>79950</v>
      </c>
      <c r="GN33" s="564">
        <f t="shared" si="13"/>
        <v>79950</v>
      </c>
      <c r="GO33" s="564">
        <f t="shared" si="14"/>
        <v>79950</v>
      </c>
      <c r="GP33" s="564"/>
      <c r="GS33" s="375" t="s">
        <v>1443</v>
      </c>
      <c r="GT33" s="374" t="str">
        <f t="shared" si="1"/>
        <v>〇</v>
      </c>
    </row>
    <row r="34" spans="2:202">
      <c r="B34" s="371">
        <v>30</v>
      </c>
      <c r="C34" s="378">
        <v>30</v>
      </c>
      <c r="D34" s="373" t="s">
        <v>1444</v>
      </c>
      <c r="E34" s="373" t="s">
        <v>14</v>
      </c>
      <c r="F34" s="603">
        <f t="shared" si="2"/>
        <v>40</v>
      </c>
      <c r="G34" s="603"/>
      <c r="H34" s="603">
        <v>22</v>
      </c>
      <c r="I34" s="603">
        <v>18</v>
      </c>
      <c r="J34" s="603"/>
      <c r="K34" s="603"/>
      <c r="L34" s="603"/>
      <c r="M34" s="603"/>
      <c r="N34" s="608"/>
      <c r="O34" s="603">
        <v>1577000</v>
      </c>
      <c r="P34" s="603">
        <v>2721000</v>
      </c>
      <c r="Q34" s="603">
        <v>2721000</v>
      </c>
      <c r="R34" s="603">
        <v>1188000</v>
      </c>
      <c r="S34" s="603">
        <v>0</v>
      </c>
      <c r="T34" s="603">
        <v>2181000</v>
      </c>
      <c r="U34" s="603">
        <v>0</v>
      </c>
      <c r="V34" s="603">
        <v>1051000</v>
      </c>
      <c r="W34" s="603">
        <v>1814000</v>
      </c>
      <c r="X34" s="603">
        <v>1814000</v>
      </c>
      <c r="Y34" s="603">
        <v>792000</v>
      </c>
      <c r="Z34" s="603">
        <v>0</v>
      </c>
      <c r="AA34" s="603">
        <v>1454000</v>
      </c>
      <c r="AB34" s="603">
        <v>0</v>
      </c>
      <c r="AC34" s="603">
        <v>526000</v>
      </c>
      <c r="AD34" s="603">
        <v>907000</v>
      </c>
      <c r="AE34" s="603">
        <v>907000</v>
      </c>
      <c r="AF34" s="603">
        <v>396000</v>
      </c>
      <c r="AG34" s="603">
        <v>0</v>
      </c>
      <c r="AH34" s="603">
        <v>727000</v>
      </c>
      <c r="AI34" s="603">
        <v>0</v>
      </c>
      <c r="AJ34" s="604" t="s">
        <v>2377</v>
      </c>
      <c r="AK34" s="605" t="s">
        <v>2378</v>
      </c>
      <c r="AL34" s="605" t="s">
        <v>2490</v>
      </c>
      <c r="AM34" s="606" t="s">
        <v>2032</v>
      </c>
      <c r="AN34" s="609" t="s">
        <v>12</v>
      </c>
      <c r="AO34" s="610" t="s">
        <v>1368</v>
      </c>
      <c r="AP34" s="610" t="s">
        <v>1368</v>
      </c>
      <c r="AQ34" s="610" t="s">
        <v>1368</v>
      </c>
      <c r="AR34" s="610" t="s">
        <v>1368</v>
      </c>
      <c r="AS34" s="610" t="s">
        <v>1368</v>
      </c>
      <c r="AT34" s="610" t="s">
        <v>1368</v>
      </c>
      <c r="AU34" s="610" t="s">
        <v>1368</v>
      </c>
      <c r="AV34" s="610" t="s">
        <v>1368</v>
      </c>
      <c r="AW34" s="610" t="s">
        <v>1368</v>
      </c>
      <c r="AX34" s="610" t="s">
        <v>1368</v>
      </c>
      <c r="AY34" s="610" t="s">
        <v>1368</v>
      </c>
      <c r="AZ34" s="610" t="s">
        <v>1368</v>
      </c>
      <c r="BA34" s="610" t="s">
        <v>1368</v>
      </c>
      <c r="BB34" s="610" t="s">
        <v>1368</v>
      </c>
      <c r="BC34" s="610" t="s">
        <v>1368</v>
      </c>
      <c r="BD34" s="610" t="s">
        <v>1368</v>
      </c>
      <c r="BE34" s="610" t="s">
        <v>1368</v>
      </c>
      <c r="BF34" s="610" t="s">
        <v>1368</v>
      </c>
      <c r="BG34" s="610" t="s">
        <v>1368</v>
      </c>
      <c r="BH34" s="610" t="s">
        <v>1368</v>
      </c>
      <c r="BI34" s="610" t="s">
        <v>1368</v>
      </c>
      <c r="BJ34" s="610" t="s">
        <v>1368</v>
      </c>
      <c r="BK34" s="610" t="s">
        <v>1368</v>
      </c>
      <c r="BL34" s="610" t="s">
        <v>1368</v>
      </c>
      <c r="BM34" s="610">
        <v>1</v>
      </c>
      <c r="BN34" s="610">
        <v>1</v>
      </c>
      <c r="BO34" s="610">
        <v>1</v>
      </c>
      <c r="BP34" s="610">
        <v>1</v>
      </c>
      <c r="BQ34" s="610">
        <v>1</v>
      </c>
      <c r="BR34" s="610">
        <v>1</v>
      </c>
      <c r="BS34" s="610">
        <v>1</v>
      </c>
      <c r="BT34" s="610">
        <v>1</v>
      </c>
      <c r="BU34" s="610">
        <v>1</v>
      </c>
      <c r="BV34" s="610">
        <v>1</v>
      </c>
      <c r="BW34" s="610">
        <v>1</v>
      </c>
      <c r="BX34" s="610">
        <v>1</v>
      </c>
      <c r="BY34" s="610">
        <v>0</v>
      </c>
      <c r="BZ34" s="610">
        <v>0</v>
      </c>
      <c r="CA34" s="610">
        <v>0</v>
      </c>
      <c r="CB34" s="610">
        <v>0</v>
      </c>
      <c r="CC34" s="610">
        <v>0</v>
      </c>
      <c r="CD34" s="610">
        <v>0</v>
      </c>
      <c r="CE34" s="610">
        <v>0</v>
      </c>
      <c r="CF34" s="610">
        <v>0</v>
      </c>
      <c r="CG34" s="610">
        <v>0</v>
      </c>
      <c r="CH34" s="610">
        <v>0</v>
      </c>
      <c r="CI34" s="610">
        <v>0</v>
      </c>
      <c r="CJ34" s="610">
        <v>0</v>
      </c>
      <c r="CK34" s="610">
        <v>0</v>
      </c>
      <c r="CL34" s="610">
        <v>0</v>
      </c>
      <c r="CM34" s="610">
        <v>0</v>
      </c>
      <c r="CN34" s="610">
        <v>0</v>
      </c>
      <c r="CO34" s="610">
        <v>0</v>
      </c>
      <c r="CP34" s="610">
        <v>0</v>
      </c>
      <c r="CQ34" s="610">
        <v>0</v>
      </c>
      <c r="CR34" s="610">
        <v>0</v>
      </c>
      <c r="CS34" s="610">
        <v>0</v>
      </c>
      <c r="CT34" s="610">
        <v>0</v>
      </c>
      <c r="CU34" s="610">
        <v>0</v>
      </c>
      <c r="CV34" s="610">
        <v>0</v>
      </c>
      <c r="CW34" s="610" t="s">
        <v>14</v>
      </c>
      <c r="CX34" s="610">
        <v>0</v>
      </c>
      <c r="CY34" s="610" t="s">
        <v>1707</v>
      </c>
      <c r="CZ34" s="610" t="s">
        <v>1707</v>
      </c>
      <c r="DA34" s="610" t="s">
        <v>1707</v>
      </c>
      <c r="DB34" s="610" t="s">
        <v>1707</v>
      </c>
      <c r="DC34" s="610" t="s">
        <v>1707</v>
      </c>
      <c r="DD34" s="610" t="s">
        <v>1707</v>
      </c>
      <c r="DE34" s="610" t="s">
        <v>1707</v>
      </c>
      <c r="DF34" s="610" t="s">
        <v>1707</v>
      </c>
      <c r="DG34" s="610" t="s">
        <v>1707</v>
      </c>
      <c r="DH34" s="610" t="s">
        <v>1707</v>
      </c>
      <c r="DI34" s="610" t="s">
        <v>1707</v>
      </c>
      <c r="DJ34" s="610" t="s">
        <v>1707</v>
      </c>
      <c r="DK34" s="610" t="s">
        <v>1368</v>
      </c>
      <c r="DL34" s="610" t="s">
        <v>1368</v>
      </c>
      <c r="DM34" s="610" t="s">
        <v>1368</v>
      </c>
      <c r="DN34" s="610" t="s">
        <v>1368</v>
      </c>
      <c r="DO34" s="610" t="s">
        <v>1368</v>
      </c>
      <c r="DP34" s="610" t="s">
        <v>1368</v>
      </c>
      <c r="DQ34" s="610" t="s">
        <v>1368</v>
      </c>
      <c r="DR34" s="610" t="s">
        <v>1368</v>
      </c>
      <c r="DS34" s="610" t="s">
        <v>1368</v>
      </c>
      <c r="DT34" s="610" t="s">
        <v>1368</v>
      </c>
      <c r="DU34" s="610" t="s">
        <v>1368</v>
      </c>
      <c r="DV34" s="610" t="s">
        <v>1368</v>
      </c>
      <c r="DW34" s="609" t="s">
        <v>1368</v>
      </c>
      <c r="DX34" s="609" t="s">
        <v>1368</v>
      </c>
      <c r="DY34" s="609" t="s">
        <v>1368</v>
      </c>
      <c r="DZ34" s="609" t="s">
        <v>1368</v>
      </c>
      <c r="EA34" s="609" t="s">
        <v>1368</v>
      </c>
      <c r="EB34" s="609" t="s">
        <v>1368</v>
      </c>
      <c r="EC34" s="609" t="s">
        <v>1368</v>
      </c>
      <c r="ED34" s="609" t="s">
        <v>1368</v>
      </c>
      <c r="EE34" s="609" t="s">
        <v>1368</v>
      </c>
      <c r="EF34" s="609" t="s">
        <v>1368</v>
      </c>
      <c r="EG34" s="609" t="s">
        <v>1368</v>
      </c>
      <c r="EH34" s="609" t="s">
        <v>1368</v>
      </c>
      <c r="EI34" s="610" t="s">
        <v>1707</v>
      </c>
      <c r="EJ34" s="610" t="s">
        <v>1707</v>
      </c>
      <c r="EK34" s="610" t="s">
        <v>1707</v>
      </c>
      <c r="EL34" s="610" t="s">
        <v>1707</v>
      </c>
      <c r="EM34" s="610" t="s">
        <v>1707</v>
      </c>
      <c r="EN34" s="610" t="s">
        <v>1707</v>
      </c>
      <c r="EO34" s="610" t="s">
        <v>1707</v>
      </c>
      <c r="EP34" s="610" t="s">
        <v>1707</v>
      </c>
      <c r="EQ34" s="610" t="s">
        <v>1707</v>
      </c>
      <c r="ER34" s="610" t="s">
        <v>1707</v>
      </c>
      <c r="ES34" s="610" t="s">
        <v>1707</v>
      </c>
      <c r="ET34" s="610" t="s">
        <v>1707</v>
      </c>
      <c r="EU34" s="610">
        <v>4070</v>
      </c>
      <c r="EV34" s="610" t="s">
        <v>1707</v>
      </c>
      <c r="EW34" s="610" t="s">
        <v>1707</v>
      </c>
      <c r="EX34" s="610" t="s">
        <v>1707</v>
      </c>
      <c r="EY34" s="610" t="s">
        <v>1707</v>
      </c>
      <c r="EZ34" s="610" t="s">
        <v>1707</v>
      </c>
      <c r="FA34" s="610" t="s">
        <v>1707</v>
      </c>
      <c r="FB34" s="610" t="s">
        <v>1707</v>
      </c>
      <c r="FC34" s="610" t="s">
        <v>1707</v>
      </c>
      <c r="FD34" s="610" t="s">
        <v>1707</v>
      </c>
      <c r="FE34" s="610" t="s">
        <v>1707</v>
      </c>
      <c r="FF34" s="610" t="s">
        <v>1707</v>
      </c>
      <c r="FG34" s="610" t="s">
        <v>1707</v>
      </c>
      <c r="FH34" s="610">
        <v>12</v>
      </c>
      <c r="FI34" s="610">
        <v>12</v>
      </c>
      <c r="FJ34" s="610">
        <v>12</v>
      </c>
      <c r="FK34" s="610">
        <v>12</v>
      </c>
      <c r="FL34" s="610">
        <v>12</v>
      </c>
      <c r="FM34" s="610">
        <v>13</v>
      </c>
      <c r="FN34" s="610">
        <v>13</v>
      </c>
      <c r="FO34" s="610">
        <v>13</v>
      </c>
      <c r="FP34" s="610">
        <v>13</v>
      </c>
      <c r="FQ34" s="610">
        <v>13</v>
      </c>
      <c r="FR34" s="610" t="s">
        <v>2487</v>
      </c>
      <c r="FS34" s="610" t="s">
        <v>2487</v>
      </c>
      <c r="FT34" s="610" t="s">
        <v>2487</v>
      </c>
      <c r="FU34" s="610" t="s">
        <v>2487</v>
      </c>
      <c r="FV34" s="610" t="s">
        <v>2487</v>
      </c>
      <c r="FW34" s="610" t="s">
        <v>2487</v>
      </c>
      <c r="FX34" s="610" t="s">
        <v>2487</v>
      </c>
      <c r="FY34" s="610" t="s">
        <v>2487</v>
      </c>
      <c r="FZ34" s="610" t="s">
        <v>2487</v>
      </c>
      <c r="GA34" s="610" t="s">
        <v>2487</v>
      </c>
      <c r="GB34" s="610" t="s">
        <v>2487</v>
      </c>
      <c r="GC34" s="610" t="s">
        <v>2487</v>
      </c>
      <c r="GD34" s="564">
        <f t="shared" si="3"/>
        <v>79950</v>
      </c>
      <c r="GE34" s="564">
        <f t="shared" si="4"/>
        <v>79950</v>
      </c>
      <c r="GF34" s="564">
        <f t="shared" si="5"/>
        <v>79950</v>
      </c>
      <c r="GG34" s="564">
        <f t="shared" si="6"/>
        <v>79950</v>
      </c>
      <c r="GH34" s="564">
        <f t="shared" si="7"/>
        <v>79950</v>
      </c>
      <c r="GI34" s="564">
        <f t="shared" si="8"/>
        <v>79950</v>
      </c>
      <c r="GJ34" s="564">
        <f t="shared" si="9"/>
        <v>79950</v>
      </c>
      <c r="GK34" s="564">
        <f t="shared" si="10"/>
        <v>79950</v>
      </c>
      <c r="GL34" s="564">
        <f t="shared" si="11"/>
        <v>79950</v>
      </c>
      <c r="GM34" s="564">
        <f t="shared" si="12"/>
        <v>79950</v>
      </c>
      <c r="GN34" s="564">
        <f t="shared" si="13"/>
        <v>79950</v>
      </c>
      <c r="GO34" s="564">
        <f t="shared" si="14"/>
        <v>79950</v>
      </c>
      <c r="GP34" s="564"/>
      <c r="GS34" s="375" t="s">
        <v>1444</v>
      </c>
      <c r="GT34" s="374" t="str">
        <f t="shared" si="1"/>
        <v>〇</v>
      </c>
    </row>
    <row r="35" spans="2:202">
      <c r="B35" s="371">
        <v>31</v>
      </c>
      <c r="C35" s="378">
        <v>31</v>
      </c>
      <c r="D35" s="373" t="s">
        <v>2375</v>
      </c>
      <c r="E35" s="373" t="s">
        <v>14</v>
      </c>
      <c r="F35" s="603">
        <f t="shared" si="2"/>
        <v>50</v>
      </c>
      <c r="G35" s="603"/>
      <c r="H35" s="603">
        <v>27</v>
      </c>
      <c r="I35" s="603">
        <v>23</v>
      </c>
      <c r="J35" s="603"/>
      <c r="K35" s="603"/>
      <c r="L35" s="603"/>
      <c r="M35" s="603"/>
      <c r="N35" s="608"/>
      <c r="O35" s="603">
        <v>0</v>
      </c>
      <c r="P35" s="603">
        <v>0</v>
      </c>
      <c r="Q35" s="603">
        <v>0</v>
      </c>
      <c r="R35" s="603">
        <v>0</v>
      </c>
      <c r="S35" s="603">
        <v>0</v>
      </c>
      <c r="T35" s="603">
        <v>0</v>
      </c>
      <c r="U35" s="603">
        <v>0</v>
      </c>
      <c r="V35" s="603">
        <v>0</v>
      </c>
      <c r="W35" s="603">
        <v>0</v>
      </c>
      <c r="X35" s="603">
        <v>0</v>
      </c>
      <c r="Y35" s="603">
        <v>0</v>
      </c>
      <c r="Z35" s="603">
        <v>0</v>
      </c>
      <c r="AA35" s="603">
        <v>0</v>
      </c>
      <c r="AB35" s="603">
        <v>0</v>
      </c>
      <c r="AC35" s="603">
        <v>0</v>
      </c>
      <c r="AD35" s="603">
        <v>0</v>
      </c>
      <c r="AE35" s="603">
        <v>0</v>
      </c>
      <c r="AF35" s="603">
        <v>0</v>
      </c>
      <c r="AG35" s="603">
        <v>0</v>
      </c>
      <c r="AH35" s="603">
        <v>0</v>
      </c>
      <c r="AI35" s="603">
        <v>0</v>
      </c>
      <c r="AJ35" s="604"/>
      <c r="AK35" s="605" t="s">
        <v>1545</v>
      </c>
      <c r="AL35" s="605" t="s">
        <v>1545</v>
      </c>
      <c r="AM35" s="606"/>
      <c r="AN35" s="609" t="s">
        <v>12</v>
      </c>
      <c r="AO35" s="610" t="s">
        <v>1368</v>
      </c>
      <c r="AP35" s="610" t="s">
        <v>1368</v>
      </c>
      <c r="AQ35" s="610" t="s">
        <v>1368</v>
      </c>
      <c r="AR35" s="610" t="s">
        <v>1368</v>
      </c>
      <c r="AS35" s="610" t="s">
        <v>1368</v>
      </c>
      <c r="AT35" s="610" t="s">
        <v>1368</v>
      </c>
      <c r="AU35" s="610" t="s">
        <v>1368</v>
      </c>
      <c r="AV35" s="610" t="s">
        <v>1368</v>
      </c>
      <c r="AW35" s="610" t="s">
        <v>1368</v>
      </c>
      <c r="AX35" s="610" t="s">
        <v>1368</v>
      </c>
      <c r="AY35" s="610" t="s">
        <v>1368</v>
      </c>
      <c r="AZ35" s="610" t="s">
        <v>1368</v>
      </c>
      <c r="BA35" s="610" t="s">
        <v>1368</v>
      </c>
      <c r="BB35" s="610" t="s">
        <v>1368</v>
      </c>
      <c r="BC35" s="610" t="s">
        <v>1368</v>
      </c>
      <c r="BD35" s="610" t="s">
        <v>1368</v>
      </c>
      <c r="BE35" s="610" t="s">
        <v>1368</v>
      </c>
      <c r="BF35" s="610" t="s">
        <v>1368</v>
      </c>
      <c r="BG35" s="610" t="s">
        <v>1368</v>
      </c>
      <c r="BH35" s="610" t="s">
        <v>1368</v>
      </c>
      <c r="BI35" s="610" t="s">
        <v>1368</v>
      </c>
      <c r="BJ35" s="610" t="s">
        <v>1368</v>
      </c>
      <c r="BK35" s="610" t="s">
        <v>1368</v>
      </c>
      <c r="BL35" s="610" t="s">
        <v>1368</v>
      </c>
      <c r="BM35" s="610">
        <v>0</v>
      </c>
      <c r="BN35" s="610">
        <v>0</v>
      </c>
      <c r="BO35" s="610">
        <v>0</v>
      </c>
      <c r="BP35" s="610">
        <v>0</v>
      </c>
      <c r="BQ35" s="610">
        <v>0</v>
      </c>
      <c r="BR35" s="610">
        <v>0</v>
      </c>
      <c r="BS35" s="610">
        <v>0</v>
      </c>
      <c r="BT35" s="610">
        <v>0</v>
      </c>
      <c r="BU35" s="610">
        <v>0</v>
      </c>
      <c r="BV35" s="610">
        <v>0</v>
      </c>
      <c r="BW35" s="610">
        <v>0</v>
      </c>
      <c r="BX35" s="610">
        <v>0</v>
      </c>
      <c r="BY35" s="610">
        <v>0</v>
      </c>
      <c r="BZ35" s="610">
        <v>0</v>
      </c>
      <c r="CA35" s="610">
        <v>0</v>
      </c>
      <c r="CB35" s="610">
        <v>0</v>
      </c>
      <c r="CC35" s="610">
        <v>0</v>
      </c>
      <c r="CD35" s="610">
        <v>0</v>
      </c>
      <c r="CE35" s="610">
        <v>0</v>
      </c>
      <c r="CF35" s="610">
        <v>0</v>
      </c>
      <c r="CG35" s="610">
        <v>0</v>
      </c>
      <c r="CH35" s="610">
        <v>0</v>
      </c>
      <c r="CI35" s="610">
        <v>0</v>
      </c>
      <c r="CJ35" s="610">
        <v>0</v>
      </c>
      <c r="CK35" s="610">
        <v>0</v>
      </c>
      <c r="CL35" s="610">
        <v>0</v>
      </c>
      <c r="CM35" s="610">
        <v>0</v>
      </c>
      <c r="CN35" s="610">
        <v>0</v>
      </c>
      <c r="CO35" s="610">
        <v>0</v>
      </c>
      <c r="CP35" s="610">
        <v>0</v>
      </c>
      <c r="CQ35" s="610">
        <v>0</v>
      </c>
      <c r="CR35" s="610">
        <v>0</v>
      </c>
      <c r="CS35" s="610">
        <v>0</v>
      </c>
      <c r="CT35" s="610">
        <v>0</v>
      </c>
      <c r="CU35" s="610">
        <v>0</v>
      </c>
      <c r="CV35" s="610">
        <v>0</v>
      </c>
      <c r="CW35" s="610" t="s">
        <v>14</v>
      </c>
      <c r="CX35" s="610">
        <v>0</v>
      </c>
      <c r="CY35" s="610" t="s">
        <v>2449</v>
      </c>
      <c r="CZ35" s="610" t="s">
        <v>2449</v>
      </c>
      <c r="DA35" s="610" t="s">
        <v>2449</v>
      </c>
      <c r="DB35" s="610" t="s">
        <v>1707</v>
      </c>
      <c r="DC35" s="610" t="s">
        <v>1707</v>
      </c>
      <c r="DD35" s="610" t="s">
        <v>2449</v>
      </c>
      <c r="DE35" s="610" t="s">
        <v>2449</v>
      </c>
      <c r="DF35" s="610" t="s">
        <v>2449</v>
      </c>
      <c r="DG35" s="610" t="s">
        <v>2449</v>
      </c>
      <c r="DH35" s="610" t="s">
        <v>2449</v>
      </c>
      <c r="DI35" s="610" t="s">
        <v>2449</v>
      </c>
      <c r="DJ35" s="610" t="s">
        <v>2449</v>
      </c>
      <c r="DK35" s="610" t="s">
        <v>1368</v>
      </c>
      <c r="DL35" s="610" t="s">
        <v>1368</v>
      </c>
      <c r="DM35" s="610" t="s">
        <v>1368</v>
      </c>
      <c r="DN35" s="610" t="s">
        <v>1368</v>
      </c>
      <c r="DO35" s="610" t="s">
        <v>1368</v>
      </c>
      <c r="DP35" s="610" t="s">
        <v>1368</v>
      </c>
      <c r="DQ35" s="610" t="s">
        <v>1368</v>
      </c>
      <c r="DR35" s="610" t="s">
        <v>1368</v>
      </c>
      <c r="DS35" s="610" t="s">
        <v>1368</v>
      </c>
      <c r="DT35" s="610" t="s">
        <v>1368</v>
      </c>
      <c r="DU35" s="610" t="s">
        <v>1368</v>
      </c>
      <c r="DV35" s="610" t="s">
        <v>1368</v>
      </c>
      <c r="DW35" s="609" t="s">
        <v>1368</v>
      </c>
      <c r="DX35" s="609" t="s">
        <v>1368</v>
      </c>
      <c r="DY35" s="609" t="s">
        <v>1368</v>
      </c>
      <c r="DZ35" s="609" t="s">
        <v>1368</v>
      </c>
      <c r="EA35" s="609" t="s">
        <v>1368</v>
      </c>
      <c r="EB35" s="609" t="s">
        <v>1368</v>
      </c>
      <c r="EC35" s="609" t="s">
        <v>1368</v>
      </c>
      <c r="ED35" s="609" t="s">
        <v>1368</v>
      </c>
      <c r="EE35" s="609" t="s">
        <v>1368</v>
      </c>
      <c r="EF35" s="609" t="s">
        <v>1368</v>
      </c>
      <c r="EG35" s="609" t="s">
        <v>1368</v>
      </c>
      <c r="EH35" s="609" t="s">
        <v>1368</v>
      </c>
      <c r="EI35" s="610" t="s">
        <v>2449</v>
      </c>
      <c r="EJ35" s="610" t="s">
        <v>2449</v>
      </c>
      <c r="EK35" s="610" t="s">
        <v>2449</v>
      </c>
      <c r="EL35" s="610" t="s">
        <v>2449</v>
      </c>
      <c r="EM35" s="610" t="s">
        <v>2449</v>
      </c>
      <c r="EN35" s="610" t="s">
        <v>2449</v>
      </c>
      <c r="EO35" s="610" t="s">
        <v>2449</v>
      </c>
      <c r="EP35" s="610" t="s">
        <v>2449</v>
      </c>
      <c r="EQ35" s="610" t="s">
        <v>2449</v>
      </c>
      <c r="ER35" s="610" t="s">
        <v>2449</v>
      </c>
      <c r="ES35" s="610" t="s">
        <v>2449</v>
      </c>
      <c r="ET35" s="610" t="s">
        <v>2449</v>
      </c>
      <c r="EU35" s="610">
        <v>3890</v>
      </c>
      <c r="EV35" s="610" t="s">
        <v>2449</v>
      </c>
      <c r="EW35" s="610" t="s">
        <v>2449</v>
      </c>
      <c r="EX35" s="610" t="s">
        <v>2449</v>
      </c>
      <c r="EY35" s="610" t="s">
        <v>2449</v>
      </c>
      <c r="EZ35" s="610" t="s">
        <v>2449</v>
      </c>
      <c r="FA35" s="610" t="s">
        <v>2449</v>
      </c>
      <c r="FB35" s="610" t="s">
        <v>2449</v>
      </c>
      <c r="FC35" s="610" t="s">
        <v>2449</v>
      </c>
      <c r="FD35" s="610" t="s">
        <v>2449</v>
      </c>
      <c r="FE35" s="610" t="s">
        <v>2449</v>
      </c>
      <c r="FF35" s="610" t="s">
        <v>2449</v>
      </c>
      <c r="FG35" s="610" t="s">
        <v>2449</v>
      </c>
      <c r="FH35" s="610">
        <v>20</v>
      </c>
      <c r="FI35" s="610">
        <v>20</v>
      </c>
      <c r="FJ35" s="610">
        <v>20</v>
      </c>
      <c r="FK35" s="610">
        <v>20</v>
      </c>
      <c r="FL35" s="610">
        <v>20</v>
      </c>
      <c r="FM35" s="610">
        <v>20</v>
      </c>
      <c r="FN35" s="610">
        <v>20</v>
      </c>
      <c r="FO35" s="610">
        <v>20</v>
      </c>
      <c r="FP35" s="610">
        <v>20</v>
      </c>
      <c r="FQ35" s="610">
        <v>20</v>
      </c>
      <c r="FR35" s="610" t="s">
        <v>1368</v>
      </c>
      <c r="FS35" s="610" t="s">
        <v>1368</v>
      </c>
      <c r="FT35" s="610" t="s">
        <v>2489</v>
      </c>
      <c r="FU35" s="610" t="s">
        <v>1368</v>
      </c>
      <c r="FV35" s="610" t="s">
        <v>1368</v>
      </c>
      <c r="FW35" s="610" t="s">
        <v>1368</v>
      </c>
      <c r="FX35" s="610" t="s">
        <v>1368</v>
      </c>
      <c r="FY35" s="610" t="s">
        <v>1368</v>
      </c>
      <c r="FZ35" s="610" t="s">
        <v>1368</v>
      </c>
      <c r="GA35" s="610" t="s">
        <v>1368</v>
      </c>
      <c r="GB35" s="610" t="s">
        <v>1368</v>
      </c>
      <c r="GC35" s="610" t="s">
        <v>1368</v>
      </c>
      <c r="GD35" s="564" t="str">
        <f t="shared" si="3"/>
        <v/>
      </c>
      <c r="GE35" s="564" t="str">
        <f t="shared" si="4"/>
        <v/>
      </c>
      <c r="GF35" s="564" t="str">
        <f t="shared" si="5"/>
        <v/>
      </c>
      <c r="GG35" s="564" t="str">
        <f t="shared" si="6"/>
        <v/>
      </c>
      <c r="GH35" s="564" t="str">
        <f t="shared" si="7"/>
        <v/>
      </c>
      <c r="GI35" s="564" t="str">
        <f t="shared" si="8"/>
        <v/>
      </c>
      <c r="GJ35" s="564" t="str">
        <f t="shared" si="9"/>
        <v/>
      </c>
      <c r="GK35" s="564" t="str">
        <f t="shared" si="10"/>
        <v/>
      </c>
      <c r="GL35" s="564" t="str">
        <f t="shared" si="11"/>
        <v/>
      </c>
      <c r="GM35" s="564" t="str">
        <f t="shared" si="12"/>
        <v/>
      </c>
      <c r="GN35" s="564" t="str">
        <f t="shared" si="13"/>
        <v/>
      </c>
      <c r="GO35" s="564" t="str">
        <f t="shared" si="14"/>
        <v/>
      </c>
      <c r="GP35" s="564"/>
      <c r="GS35" s="375" t="s">
        <v>510</v>
      </c>
      <c r="GT35" s="374" t="str">
        <f t="shared" si="1"/>
        <v>✕</v>
      </c>
    </row>
    <row r="36" spans="2:202">
      <c r="B36" s="371">
        <v>32</v>
      </c>
      <c r="C36" s="378">
        <v>32</v>
      </c>
      <c r="D36" s="373" t="s">
        <v>1445</v>
      </c>
      <c r="E36" s="373" t="s">
        <v>14</v>
      </c>
      <c r="F36" s="603">
        <f t="shared" si="2"/>
        <v>58</v>
      </c>
      <c r="G36" s="603"/>
      <c r="H36" s="603">
        <v>33</v>
      </c>
      <c r="I36" s="603">
        <v>25</v>
      </c>
      <c r="J36" s="603"/>
      <c r="K36" s="603"/>
      <c r="L36" s="603"/>
      <c r="M36" s="603"/>
      <c r="N36" s="608"/>
      <c r="O36" s="603">
        <v>1577000</v>
      </c>
      <c r="P36" s="603">
        <v>2721000</v>
      </c>
      <c r="Q36" s="603">
        <v>2721000</v>
      </c>
      <c r="R36" s="603">
        <v>1791000</v>
      </c>
      <c r="S36" s="603">
        <v>0</v>
      </c>
      <c r="T36" s="603">
        <v>0</v>
      </c>
      <c r="U36" s="603">
        <v>0</v>
      </c>
      <c r="V36" s="603">
        <v>1051000</v>
      </c>
      <c r="W36" s="603">
        <v>1814000</v>
      </c>
      <c r="X36" s="603">
        <v>1814000</v>
      </c>
      <c r="Y36" s="603">
        <v>1194000</v>
      </c>
      <c r="Z36" s="603">
        <v>0</v>
      </c>
      <c r="AA36" s="603">
        <v>0</v>
      </c>
      <c r="AB36" s="603">
        <v>0</v>
      </c>
      <c r="AC36" s="603">
        <v>526000</v>
      </c>
      <c r="AD36" s="603">
        <v>907000</v>
      </c>
      <c r="AE36" s="603">
        <v>907000</v>
      </c>
      <c r="AF36" s="603">
        <v>597000</v>
      </c>
      <c r="AG36" s="603">
        <v>0</v>
      </c>
      <c r="AH36" s="603">
        <v>0</v>
      </c>
      <c r="AI36" s="603">
        <v>0</v>
      </c>
      <c r="AJ36" s="604" t="s">
        <v>2377</v>
      </c>
      <c r="AK36" s="605" t="s">
        <v>2379</v>
      </c>
      <c r="AL36" s="605" t="s">
        <v>2490</v>
      </c>
      <c r="AM36" s="606" t="s">
        <v>2033</v>
      </c>
      <c r="AN36" s="609" t="s">
        <v>12</v>
      </c>
      <c r="AO36" s="610" t="s">
        <v>1368</v>
      </c>
      <c r="AP36" s="610" t="s">
        <v>1368</v>
      </c>
      <c r="AQ36" s="610" t="s">
        <v>1368</v>
      </c>
      <c r="AR36" s="610" t="s">
        <v>1368</v>
      </c>
      <c r="AS36" s="610" t="s">
        <v>1368</v>
      </c>
      <c r="AT36" s="610" t="s">
        <v>1368</v>
      </c>
      <c r="AU36" s="610" t="s">
        <v>1368</v>
      </c>
      <c r="AV36" s="610" t="s">
        <v>1368</v>
      </c>
      <c r="AW36" s="610" t="s">
        <v>1368</v>
      </c>
      <c r="AX36" s="610" t="s">
        <v>1368</v>
      </c>
      <c r="AY36" s="610" t="s">
        <v>1368</v>
      </c>
      <c r="AZ36" s="610" t="s">
        <v>1368</v>
      </c>
      <c r="BA36" s="610" t="s">
        <v>1368</v>
      </c>
      <c r="BB36" s="610" t="s">
        <v>1368</v>
      </c>
      <c r="BC36" s="610" t="s">
        <v>1368</v>
      </c>
      <c r="BD36" s="610" t="s">
        <v>1368</v>
      </c>
      <c r="BE36" s="610" t="s">
        <v>1368</v>
      </c>
      <c r="BF36" s="610" t="s">
        <v>1368</v>
      </c>
      <c r="BG36" s="610" t="s">
        <v>1368</v>
      </c>
      <c r="BH36" s="610" t="s">
        <v>1368</v>
      </c>
      <c r="BI36" s="610" t="s">
        <v>1368</v>
      </c>
      <c r="BJ36" s="610" t="s">
        <v>1368</v>
      </c>
      <c r="BK36" s="610" t="s">
        <v>1368</v>
      </c>
      <c r="BL36" s="610" t="s">
        <v>1368</v>
      </c>
      <c r="BM36" s="610">
        <v>0</v>
      </c>
      <c r="BN36" s="610">
        <v>0</v>
      </c>
      <c r="BO36" s="610">
        <v>1</v>
      </c>
      <c r="BP36" s="610">
        <v>1</v>
      </c>
      <c r="BQ36" s="610">
        <v>1</v>
      </c>
      <c r="BR36" s="610">
        <v>1</v>
      </c>
      <c r="BS36" s="610">
        <v>1</v>
      </c>
      <c r="BT36" s="610">
        <v>1</v>
      </c>
      <c r="BU36" s="610">
        <v>1</v>
      </c>
      <c r="BV36" s="610">
        <v>1</v>
      </c>
      <c r="BW36" s="610">
        <v>1</v>
      </c>
      <c r="BX36" s="610">
        <v>1</v>
      </c>
      <c r="BY36" s="610">
        <v>0</v>
      </c>
      <c r="BZ36" s="610">
        <v>0</v>
      </c>
      <c r="CA36" s="610">
        <v>0</v>
      </c>
      <c r="CB36" s="610">
        <v>0</v>
      </c>
      <c r="CC36" s="610">
        <v>0</v>
      </c>
      <c r="CD36" s="610">
        <v>0</v>
      </c>
      <c r="CE36" s="610">
        <v>0</v>
      </c>
      <c r="CF36" s="610">
        <v>0</v>
      </c>
      <c r="CG36" s="610">
        <v>0</v>
      </c>
      <c r="CH36" s="610">
        <v>0</v>
      </c>
      <c r="CI36" s="610">
        <v>0</v>
      </c>
      <c r="CJ36" s="610">
        <v>0</v>
      </c>
      <c r="CK36" s="610">
        <v>0</v>
      </c>
      <c r="CL36" s="610">
        <v>0</v>
      </c>
      <c r="CM36" s="610">
        <v>0</v>
      </c>
      <c r="CN36" s="610">
        <v>0</v>
      </c>
      <c r="CO36" s="610">
        <v>0</v>
      </c>
      <c r="CP36" s="610">
        <v>0</v>
      </c>
      <c r="CQ36" s="610">
        <v>0</v>
      </c>
      <c r="CR36" s="610">
        <v>0</v>
      </c>
      <c r="CS36" s="610">
        <v>0</v>
      </c>
      <c r="CT36" s="610">
        <v>0</v>
      </c>
      <c r="CU36" s="610">
        <v>0</v>
      </c>
      <c r="CV36" s="610">
        <v>0</v>
      </c>
      <c r="CW36" s="610" t="s">
        <v>14</v>
      </c>
      <c r="CX36" s="610">
        <v>0</v>
      </c>
      <c r="CY36" s="610" t="s">
        <v>1707</v>
      </c>
      <c r="CZ36" s="610" t="s">
        <v>1707</v>
      </c>
      <c r="DA36" s="610" t="s">
        <v>1707</v>
      </c>
      <c r="DB36" s="610" t="s">
        <v>1707</v>
      </c>
      <c r="DC36" s="610" t="s">
        <v>1707</v>
      </c>
      <c r="DD36" s="610" t="s">
        <v>1707</v>
      </c>
      <c r="DE36" s="610" t="s">
        <v>1707</v>
      </c>
      <c r="DF36" s="610" t="s">
        <v>1707</v>
      </c>
      <c r="DG36" s="610" t="s">
        <v>1707</v>
      </c>
      <c r="DH36" s="610" t="s">
        <v>1707</v>
      </c>
      <c r="DI36" s="610" t="s">
        <v>1707</v>
      </c>
      <c r="DJ36" s="610" t="s">
        <v>1707</v>
      </c>
      <c r="DK36" s="610" t="s">
        <v>1368</v>
      </c>
      <c r="DL36" s="610" t="s">
        <v>1368</v>
      </c>
      <c r="DM36" s="610" t="s">
        <v>1368</v>
      </c>
      <c r="DN36" s="610" t="s">
        <v>1368</v>
      </c>
      <c r="DO36" s="610" t="s">
        <v>1368</v>
      </c>
      <c r="DP36" s="610" t="s">
        <v>1368</v>
      </c>
      <c r="DQ36" s="610" t="s">
        <v>1368</v>
      </c>
      <c r="DR36" s="610" t="s">
        <v>1368</v>
      </c>
      <c r="DS36" s="610" t="s">
        <v>1368</v>
      </c>
      <c r="DT36" s="610" t="s">
        <v>1368</v>
      </c>
      <c r="DU36" s="610" t="s">
        <v>1368</v>
      </c>
      <c r="DV36" s="610" t="s">
        <v>1368</v>
      </c>
      <c r="DW36" s="609" t="s">
        <v>1368</v>
      </c>
      <c r="DX36" s="609" t="s">
        <v>1368</v>
      </c>
      <c r="DY36" s="609" t="s">
        <v>1368</v>
      </c>
      <c r="DZ36" s="609" t="s">
        <v>1368</v>
      </c>
      <c r="EA36" s="609" t="s">
        <v>1368</v>
      </c>
      <c r="EB36" s="609" t="s">
        <v>1368</v>
      </c>
      <c r="EC36" s="609" t="s">
        <v>1368</v>
      </c>
      <c r="ED36" s="609" t="s">
        <v>1368</v>
      </c>
      <c r="EE36" s="609" t="s">
        <v>1368</v>
      </c>
      <c r="EF36" s="609" t="s">
        <v>1368</v>
      </c>
      <c r="EG36" s="609" t="s">
        <v>1368</v>
      </c>
      <c r="EH36" s="609" t="s">
        <v>1368</v>
      </c>
      <c r="EI36" s="610" t="s">
        <v>1707</v>
      </c>
      <c r="EJ36" s="610" t="s">
        <v>1707</v>
      </c>
      <c r="EK36" s="610" t="s">
        <v>1707</v>
      </c>
      <c r="EL36" s="610" t="s">
        <v>1707</v>
      </c>
      <c r="EM36" s="610" t="s">
        <v>1707</v>
      </c>
      <c r="EN36" s="610" t="s">
        <v>1707</v>
      </c>
      <c r="EO36" s="610" t="s">
        <v>1707</v>
      </c>
      <c r="EP36" s="610" t="s">
        <v>1707</v>
      </c>
      <c r="EQ36" s="610" t="s">
        <v>1707</v>
      </c>
      <c r="ER36" s="610" t="s">
        <v>1707</v>
      </c>
      <c r="ES36" s="610" t="s">
        <v>1707</v>
      </c>
      <c r="ET36" s="610" t="s">
        <v>1707</v>
      </c>
      <c r="EU36" s="610">
        <v>4040</v>
      </c>
      <c r="EV36" s="610" t="s">
        <v>1707</v>
      </c>
      <c r="EW36" s="610" t="s">
        <v>1707</v>
      </c>
      <c r="EX36" s="610" t="s">
        <v>1707</v>
      </c>
      <c r="EY36" s="610" t="s">
        <v>1707</v>
      </c>
      <c r="EZ36" s="610" t="s">
        <v>1707</v>
      </c>
      <c r="FA36" s="610" t="s">
        <v>1707</v>
      </c>
      <c r="FB36" s="610" t="s">
        <v>1707</v>
      </c>
      <c r="FC36" s="610" t="s">
        <v>1707</v>
      </c>
      <c r="FD36" s="610" t="s">
        <v>1707</v>
      </c>
      <c r="FE36" s="610" t="s">
        <v>1707</v>
      </c>
      <c r="FF36" s="610" t="s">
        <v>1707</v>
      </c>
      <c r="FG36" s="610" t="s">
        <v>1707</v>
      </c>
      <c r="FH36" s="610">
        <v>22</v>
      </c>
      <c r="FI36" s="610">
        <v>22</v>
      </c>
      <c r="FJ36" s="610">
        <v>22</v>
      </c>
      <c r="FK36" s="610">
        <v>22</v>
      </c>
      <c r="FL36" s="610">
        <v>21</v>
      </c>
      <c r="FM36" s="610">
        <v>21</v>
      </c>
      <c r="FN36" s="610">
        <v>21</v>
      </c>
      <c r="FO36" s="610">
        <v>21</v>
      </c>
      <c r="FP36" s="610">
        <v>21</v>
      </c>
      <c r="FQ36" s="610">
        <v>21</v>
      </c>
      <c r="FR36" s="610" t="s">
        <v>1368</v>
      </c>
      <c r="FS36" s="610" t="s">
        <v>1368</v>
      </c>
      <c r="FT36" s="610" t="s">
        <v>1368</v>
      </c>
      <c r="FU36" s="610" t="s">
        <v>1368</v>
      </c>
      <c r="FV36" s="610" t="s">
        <v>1368</v>
      </c>
      <c r="FW36" s="610" t="s">
        <v>1368</v>
      </c>
      <c r="FX36" s="610" t="s">
        <v>1368</v>
      </c>
      <c r="FY36" s="610" t="s">
        <v>1368</v>
      </c>
      <c r="FZ36" s="610" t="s">
        <v>1368</v>
      </c>
      <c r="GA36" s="610" t="s">
        <v>1368</v>
      </c>
      <c r="GB36" s="610" t="s">
        <v>1368</v>
      </c>
      <c r="GC36" s="610" t="s">
        <v>1368</v>
      </c>
      <c r="GD36" s="564" t="str">
        <f t="shared" si="3"/>
        <v/>
      </c>
      <c r="GE36" s="564" t="str">
        <f t="shared" si="4"/>
        <v/>
      </c>
      <c r="GF36" s="564" t="str">
        <f t="shared" si="5"/>
        <v/>
      </c>
      <c r="GG36" s="564" t="str">
        <f t="shared" si="6"/>
        <v/>
      </c>
      <c r="GH36" s="564" t="str">
        <f t="shared" si="7"/>
        <v/>
      </c>
      <c r="GI36" s="564" t="str">
        <f t="shared" si="8"/>
        <v/>
      </c>
      <c r="GJ36" s="564" t="str">
        <f t="shared" si="9"/>
        <v/>
      </c>
      <c r="GK36" s="564" t="str">
        <f t="shared" si="10"/>
        <v/>
      </c>
      <c r="GL36" s="564" t="str">
        <f t="shared" si="11"/>
        <v/>
      </c>
      <c r="GM36" s="564" t="str">
        <f t="shared" si="12"/>
        <v/>
      </c>
      <c r="GN36" s="564" t="str">
        <f t="shared" si="13"/>
        <v/>
      </c>
      <c r="GO36" s="564" t="str">
        <f t="shared" si="14"/>
        <v/>
      </c>
      <c r="GP36" s="564"/>
      <c r="GS36" s="375" t="s">
        <v>1445</v>
      </c>
      <c r="GT36" s="374" t="str">
        <f t="shared" si="1"/>
        <v>〇</v>
      </c>
    </row>
    <row r="37" spans="2:202">
      <c r="B37" s="371">
        <v>33</v>
      </c>
      <c r="C37" s="378">
        <v>33</v>
      </c>
      <c r="D37" s="373" t="s">
        <v>1446</v>
      </c>
      <c r="E37" s="373" t="s">
        <v>14</v>
      </c>
      <c r="F37" s="603">
        <f t="shared" si="2"/>
        <v>54</v>
      </c>
      <c r="G37" s="603"/>
      <c r="H37" s="603">
        <v>31</v>
      </c>
      <c r="I37" s="603">
        <v>23</v>
      </c>
      <c r="J37" s="603"/>
      <c r="K37" s="603"/>
      <c r="L37" s="603"/>
      <c r="M37" s="603"/>
      <c r="N37" s="608"/>
      <c r="O37" s="603">
        <v>1577000</v>
      </c>
      <c r="P37" s="603">
        <v>2721000</v>
      </c>
      <c r="Q37" s="603">
        <v>2721000</v>
      </c>
      <c r="R37" s="603">
        <v>1791000</v>
      </c>
      <c r="S37" s="603">
        <v>0</v>
      </c>
      <c r="T37" s="603">
        <v>8724000</v>
      </c>
      <c r="U37" s="603">
        <v>0</v>
      </c>
      <c r="V37" s="603">
        <v>0</v>
      </c>
      <c r="W37" s="603">
        <v>0</v>
      </c>
      <c r="X37" s="603">
        <v>0</v>
      </c>
      <c r="Y37" s="603">
        <v>0</v>
      </c>
      <c r="Z37" s="603">
        <v>0</v>
      </c>
      <c r="AA37" s="603">
        <v>0</v>
      </c>
      <c r="AB37" s="603">
        <v>0</v>
      </c>
      <c r="AC37" s="603">
        <v>0</v>
      </c>
      <c r="AD37" s="603">
        <v>0</v>
      </c>
      <c r="AE37" s="603">
        <v>0</v>
      </c>
      <c r="AF37" s="603">
        <v>0</v>
      </c>
      <c r="AG37" s="603">
        <v>0</v>
      </c>
      <c r="AH37" s="603">
        <v>0</v>
      </c>
      <c r="AI37" s="603">
        <v>0</v>
      </c>
      <c r="AJ37" s="604" t="s">
        <v>2377</v>
      </c>
      <c r="AK37" s="605" t="s">
        <v>1545</v>
      </c>
      <c r="AL37" s="605" t="s">
        <v>1545</v>
      </c>
      <c r="AM37" s="606" t="s">
        <v>2034</v>
      </c>
      <c r="AN37" s="609" t="s">
        <v>12</v>
      </c>
      <c r="AO37" s="610" t="s">
        <v>1368</v>
      </c>
      <c r="AP37" s="610" t="s">
        <v>1368</v>
      </c>
      <c r="AQ37" s="610" t="s">
        <v>1368</v>
      </c>
      <c r="AR37" s="610" t="s">
        <v>1368</v>
      </c>
      <c r="AS37" s="610" t="s">
        <v>1368</v>
      </c>
      <c r="AT37" s="610" t="s">
        <v>1368</v>
      </c>
      <c r="AU37" s="610" t="s">
        <v>1368</v>
      </c>
      <c r="AV37" s="610" t="s">
        <v>1368</v>
      </c>
      <c r="AW37" s="610" t="s">
        <v>1368</v>
      </c>
      <c r="AX37" s="610" t="s">
        <v>1368</v>
      </c>
      <c r="AY37" s="610" t="s">
        <v>1368</v>
      </c>
      <c r="AZ37" s="610" t="s">
        <v>1368</v>
      </c>
      <c r="BA37" s="610" t="s">
        <v>1368</v>
      </c>
      <c r="BB37" s="610" t="s">
        <v>1368</v>
      </c>
      <c r="BC37" s="610" t="s">
        <v>1368</v>
      </c>
      <c r="BD37" s="610" t="s">
        <v>1368</v>
      </c>
      <c r="BE37" s="610" t="s">
        <v>1368</v>
      </c>
      <c r="BF37" s="610" t="s">
        <v>1368</v>
      </c>
      <c r="BG37" s="610" t="s">
        <v>1368</v>
      </c>
      <c r="BH37" s="610" t="s">
        <v>1368</v>
      </c>
      <c r="BI37" s="610" t="s">
        <v>1368</v>
      </c>
      <c r="BJ37" s="610" t="s">
        <v>1368</v>
      </c>
      <c r="BK37" s="610" t="s">
        <v>1368</v>
      </c>
      <c r="BL37" s="610" t="s">
        <v>1368</v>
      </c>
      <c r="BM37" s="610">
        <v>3</v>
      </c>
      <c r="BN37" s="610">
        <v>3</v>
      </c>
      <c r="BO37" s="610">
        <v>3</v>
      </c>
      <c r="BP37" s="610">
        <v>3</v>
      </c>
      <c r="BQ37" s="610">
        <v>3</v>
      </c>
      <c r="BR37" s="610">
        <v>3</v>
      </c>
      <c r="BS37" s="610">
        <v>3</v>
      </c>
      <c r="BT37" s="610">
        <v>3</v>
      </c>
      <c r="BU37" s="610">
        <v>3</v>
      </c>
      <c r="BV37" s="610">
        <v>3</v>
      </c>
      <c r="BW37" s="610">
        <v>3</v>
      </c>
      <c r="BX37" s="610">
        <v>3</v>
      </c>
      <c r="BY37" s="610">
        <v>0</v>
      </c>
      <c r="BZ37" s="610">
        <v>0</v>
      </c>
      <c r="CA37" s="610">
        <v>0</v>
      </c>
      <c r="CB37" s="610">
        <v>0</v>
      </c>
      <c r="CC37" s="610">
        <v>0</v>
      </c>
      <c r="CD37" s="610">
        <v>0</v>
      </c>
      <c r="CE37" s="610">
        <v>0</v>
      </c>
      <c r="CF37" s="610">
        <v>0</v>
      </c>
      <c r="CG37" s="610">
        <v>0</v>
      </c>
      <c r="CH37" s="610">
        <v>0</v>
      </c>
      <c r="CI37" s="610">
        <v>0</v>
      </c>
      <c r="CJ37" s="610">
        <v>0</v>
      </c>
      <c r="CK37" s="610">
        <v>0</v>
      </c>
      <c r="CL37" s="610">
        <v>0</v>
      </c>
      <c r="CM37" s="610">
        <v>0</v>
      </c>
      <c r="CN37" s="610">
        <v>0</v>
      </c>
      <c r="CO37" s="610">
        <v>0</v>
      </c>
      <c r="CP37" s="610">
        <v>0</v>
      </c>
      <c r="CQ37" s="610">
        <v>0</v>
      </c>
      <c r="CR37" s="610">
        <v>0</v>
      </c>
      <c r="CS37" s="610">
        <v>0</v>
      </c>
      <c r="CT37" s="610">
        <v>0</v>
      </c>
      <c r="CU37" s="610">
        <v>0</v>
      </c>
      <c r="CV37" s="610">
        <v>0</v>
      </c>
      <c r="CW37" s="610" t="s">
        <v>14</v>
      </c>
      <c r="CX37" s="610">
        <v>0</v>
      </c>
      <c r="CY37" s="610" t="s">
        <v>1707</v>
      </c>
      <c r="CZ37" s="610" t="s">
        <v>1707</v>
      </c>
      <c r="DA37" s="610" t="s">
        <v>1707</v>
      </c>
      <c r="DB37" s="610" t="s">
        <v>1707</v>
      </c>
      <c r="DC37" s="610" t="s">
        <v>1707</v>
      </c>
      <c r="DD37" s="610" t="s">
        <v>1707</v>
      </c>
      <c r="DE37" s="610" t="s">
        <v>1707</v>
      </c>
      <c r="DF37" s="610" t="s">
        <v>1707</v>
      </c>
      <c r="DG37" s="610" t="s">
        <v>1707</v>
      </c>
      <c r="DH37" s="610" t="s">
        <v>1707</v>
      </c>
      <c r="DI37" s="610" t="s">
        <v>1707</v>
      </c>
      <c r="DJ37" s="610" t="s">
        <v>1707</v>
      </c>
      <c r="DK37" s="610" t="s">
        <v>1368</v>
      </c>
      <c r="DL37" s="610" t="s">
        <v>1368</v>
      </c>
      <c r="DM37" s="610" t="s">
        <v>1368</v>
      </c>
      <c r="DN37" s="610" t="s">
        <v>1368</v>
      </c>
      <c r="DO37" s="610" t="s">
        <v>1368</v>
      </c>
      <c r="DP37" s="610" t="s">
        <v>1368</v>
      </c>
      <c r="DQ37" s="610" t="s">
        <v>1368</v>
      </c>
      <c r="DR37" s="610" t="s">
        <v>1368</v>
      </c>
      <c r="DS37" s="610" t="s">
        <v>1368</v>
      </c>
      <c r="DT37" s="610" t="s">
        <v>1368</v>
      </c>
      <c r="DU37" s="610" t="s">
        <v>1368</v>
      </c>
      <c r="DV37" s="610" t="s">
        <v>1368</v>
      </c>
      <c r="DW37" s="609" t="s">
        <v>1368</v>
      </c>
      <c r="DX37" s="609" t="s">
        <v>1368</v>
      </c>
      <c r="DY37" s="609" t="s">
        <v>1368</v>
      </c>
      <c r="DZ37" s="609" t="s">
        <v>1368</v>
      </c>
      <c r="EA37" s="609" t="s">
        <v>1368</v>
      </c>
      <c r="EB37" s="609" t="s">
        <v>1368</v>
      </c>
      <c r="EC37" s="609" t="s">
        <v>1368</v>
      </c>
      <c r="ED37" s="609" t="s">
        <v>1368</v>
      </c>
      <c r="EE37" s="609" t="s">
        <v>1368</v>
      </c>
      <c r="EF37" s="609" t="s">
        <v>1368</v>
      </c>
      <c r="EG37" s="609" t="s">
        <v>1368</v>
      </c>
      <c r="EH37" s="609" t="s">
        <v>1368</v>
      </c>
      <c r="EI37" s="610" t="s">
        <v>1707</v>
      </c>
      <c r="EJ37" s="610" t="s">
        <v>1707</v>
      </c>
      <c r="EK37" s="610" t="s">
        <v>1707</v>
      </c>
      <c r="EL37" s="610" t="s">
        <v>1707</v>
      </c>
      <c r="EM37" s="610" t="s">
        <v>1707</v>
      </c>
      <c r="EN37" s="610" t="s">
        <v>1707</v>
      </c>
      <c r="EO37" s="610" t="s">
        <v>1707</v>
      </c>
      <c r="EP37" s="610" t="s">
        <v>1707</v>
      </c>
      <c r="EQ37" s="610" t="s">
        <v>1707</v>
      </c>
      <c r="ER37" s="610" t="s">
        <v>1707</v>
      </c>
      <c r="ES37" s="610" t="s">
        <v>1707</v>
      </c>
      <c r="ET37" s="610" t="s">
        <v>1707</v>
      </c>
      <c r="EU37" s="610">
        <v>4010</v>
      </c>
      <c r="EV37" s="610" t="s">
        <v>1707</v>
      </c>
      <c r="EW37" s="610" t="s">
        <v>1707</v>
      </c>
      <c r="EX37" s="610" t="s">
        <v>1707</v>
      </c>
      <c r="EY37" s="610" t="s">
        <v>1707</v>
      </c>
      <c r="EZ37" s="610" t="s">
        <v>1707</v>
      </c>
      <c r="FA37" s="610" t="s">
        <v>1707</v>
      </c>
      <c r="FB37" s="610" t="s">
        <v>1707</v>
      </c>
      <c r="FC37" s="610" t="s">
        <v>1707</v>
      </c>
      <c r="FD37" s="610" t="s">
        <v>1707</v>
      </c>
      <c r="FE37" s="610" t="s">
        <v>1707</v>
      </c>
      <c r="FF37" s="610" t="s">
        <v>1707</v>
      </c>
      <c r="FG37" s="610" t="s">
        <v>1707</v>
      </c>
      <c r="FH37" s="610">
        <v>20</v>
      </c>
      <c r="FI37" s="610">
        <v>20</v>
      </c>
      <c r="FJ37" s="610">
        <v>20</v>
      </c>
      <c r="FK37" s="610">
        <v>20</v>
      </c>
      <c r="FL37" s="610">
        <v>20</v>
      </c>
      <c r="FM37" s="610">
        <v>20</v>
      </c>
      <c r="FN37" s="610">
        <v>20</v>
      </c>
      <c r="FO37" s="610">
        <v>20</v>
      </c>
      <c r="FP37" s="610">
        <v>20</v>
      </c>
      <c r="FQ37" s="610">
        <v>20</v>
      </c>
      <c r="FR37" s="610" t="s">
        <v>2487</v>
      </c>
      <c r="FS37" s="610" t="s">
        <v>2487</v>
      </c>
      <c r="FT37" s="610" t="s">
        <v>2487</v>
      </c>
      <c r="FU37" s="610" t="s">
        <v>1368</v>
      </c>
      <c r="FV37" s="610" t="s">
        <v>2487</v>
      </c>
      <c r="FW37" s="610" t="s">
        <v>2487</v>
      </c>
      <c r="FX37" s="610" t="s">
        <v>2487</v>
      </c>
      <c r="FY37" s="610" t="s">
        <v>2487</v>
      </c>
      <c r="FZ37" s="610" t="s">
        <v>2487</v>
      </c>
      <c r="GA37" s="610" t="s">
        <v>2487</v>
      </c>
      <c r="GB37" s="610" t="s">
        <v>2487</v>
      </c>
      <c r="GC37" s="610" t="s">
        <v>2487</v>
      </c>
      <c r="GD37" s="564">
        <f t="shared" si="3"/>
        <v>79950</v>
      </c>
      <c r="GE37" s="564">
        <f t="shared" si="4"/>
        <v>79950</v>
      </c>
      <c r="GF37" s="564">
        <f t="shared" si="5"/>
        <v>79950</v>
      </c>
      <c r="GG37" s="564" t="str">
        <f t="shared" si="6"/>
        <v/>
      </c>
      <c r="GH37" s="564">
        <f t="shared" si="7"/>
        <v>79950</v>
      </c>
      <c r="GI37" s="564">
        <f t="shared" si="8"/>
        <v>79950</v>
      </c>
      <c r="GJ37" s="564">
        <f t="shared" si="9"/>
        <v>79950</v>
      </c>
      <c r="GK37" s="564">
        <f t="shared" si="10"/>
        <v>79950</v>
      </c>
      <c r="GL37" s="564">
        <f t="shared" si="11"/>
        <v>79950</v>
      </c>
      <c r="GM37" s="564">
        <f t="shared" si="12"/>
        <v>79950</v>
      </c>
      <c r="GN37" s="564">
        <f t="shared" si="13"/>
        <v>79950</v>
      </c>
      <c r="GO37" s="564">
        <f t="shared" si="14"/>
        <v>79950</v>
      </c>
      <c r="GP37" s="564"/>
      <c r="GS37" s="375" t="s">
        <v>1446</v>
      </c>
      <c r="GT37" s="374" t="str">
        <f t="shared" ref="GT37:GT68" si="15">IF(D37=GS37,"〇","✕")</f>
        <v>〇</v>
      </c>
    </row>
    <row r="38" spans="2:202">
      <c r="B38" s="371">
        <v>34</v>
      </c>
      <c r="C38" s="378">
        <v>34</v>
      </c>
      <c r="D38" s="373" t="s">
        <v>1447</v>
      </c>
      <c r="E38" s="373" t="s">
        <v>14</v>
      </c>
      <c r="F38" s="603">
        <f t="shared" si="2"/>
        <v>36</v>
      </c>
      <c r="G38" s="603"/>
      <c r="H38" s="603">
        <v>18</v>
      </c>
      <c r="I38" s="603">
        <v>18</v>
      </c>
      <c r="J38" s="603"/>
      <c r="K38" s="603"/>
      <c r="L38" s="603"/>
      <c r="M38" s="603"/>
      <c r="N38" s="608"/>
      <c r="O38" s="603">
        <v>1577000</v>
      </c>
      <c r="P38" s="603">
        <v>2721000</v>
      </c>
      <c r="Q38" s="603">
        <v>0</v>
      </c>
      <c r="R38" s="603">
        <v>1188000</v>
      </c>
      <c r="S38" s="603">
        <v>1791000</v>
      </c>
      <c r="T38" s="603">
        <v>0</v>
      </c>
      <c r="U38" s="603">
        <v>0</v>
      </c>
      <c r="V38" s="603">
        <v>1051000</v>
      </c>
      <c r="W38" s="603">
        <v>1814000</v>
      </c>
      <c r="X38" s="603">
        <v>0</v>
      </c>
      <c r="Y38" s="603">
        <v>792000</v>
      </c>
      <c r="Z38" s="603">
        <v>1194000</v>
      </c>
      <c r="AA38" s="603">
        <v>0</v>
      </c>
      <c r="AB38" s="603">
        <v>0</v>
      </c>
      <c r="AC38" s="603">
        <v>526000</v>
      </c>
      <c r="AD38" s="603">
        <v>907000</v>
      </c>
      <c r="AE38" s="603">
        <v>0</v>
      </c>
      <c r="AF38" s="603">
        <v>396000</v>
      </c>
      <c r="AG38" s="603">
        <v>597000</v>
      </c>
      <c r="AH38" s="603">
        <v>0</v>
      </c>
      <c r="AI38" s="603">
        <v>0</v>
      </c>
      <c r="AJ38" s="604" t="s">
        <v>2377</v>
      </c>
      <c r="AK38" s="605" t="s">
        <v>2378</v>
      </c>
      <c r="AL38" s="605" t="s">
        <v>2490</v>
      </c>
      <c r="AM38" s="606" t="s">
        <v>2035</v>
      </c>
      <c r="AN38" s="609" t="s">
        <v>12</v>
      </c>
      <c r="AO38" s="610" t="s">
        <v>1368</v>
      </c>
      <c r="AP38" s="610" t="s">
        <v>1368</v>
      </c>
      <c r="AQ38" s="610" t="s">
        <v>1368</v>
      </c>
      <c r="AR38" s="610" t="s">
        <v>1368</v>
      </c>
      <c r="AS38" s="610" t="s">
        <v>1368</v>
      </c>
      <c r="AT38" s="610" t="s">
        <v>1368</v>
      </c>
      <c r="AU38" s="610" t="s">
        <v>1368</v>
      </c>
      <c r="AV38" s="610" t="s">
        <v>1368</v>
      </c>
      <c r="AW38" s="610" t="s">
        <v>1368</v>
      </c>
      <c r="AX38" s="610" t="s">
        <v>1368</v>
      </c>
      <c r="AY38" s="610" t="s">
        <v>1368</v>
      </c>
      <c r="AZ38" s="610" t="s">
        <v>1368</v>
      </c>
      <c r="BA38" s="610" t="s">
        <v>1368</v>
      </c>
      <c r="BB38" s="610" t="s">
        <v>1368</v>
      </c>
      <c r="BC38" s="610" t="s">
        <v>1368</v>
      </c>
      <c r="BD38" s="610" t="s">
        <v>1368</v>
      </c>
      <c r="BE38" s="610" t="s">
        <v>1368</v>
      </c>
      <c r="BF38" s="610" t="s">
        <v>1368</v>
      </c>
      <c r="BG38" s="610" t="s">
        <v>1368</v>
      </c>
      <c r="BH38" s="610" t="s">
        <v>1368</v>
      </c>
      <c r="BI38" s="610" t="s">
        <v>1368</v>
      </c>
      <c r="BJ38" s="610" t="s">
        <v>1368</v>
      </c>
      <c r="BK38" s="610" t="s">
        <v>1368</v>
      </c>
      <c r="BL38" s="610" t="s">
        <v>1368</v>
      </c>
      <c r="BM38" s="610">
        <v>0</v>
      </c>
      <c r="BN38" s="610">
        <v>0</v>
      </c>
      <c r="BO38" s="610">
        <v>0</v>
      </c>
      <c r="BP38" s="610">
        <v>0</v>
      </c>
      <c r="BQ38" s="610">
        <v>0</v>
      </c>
      <c r="BR38" s="610">
        <v>0</v>
      </c>
      <c r="BS38" s="610">
        <v>0</v>
      </c>
      <c r="BT38" s="610">
        <v>0</v>
      </c>
      <c r="BU38" s="610">
        <v>0</v>
      </c>
      <c r="BV38" s="610">
        <v>0</v>
      </c>
      <c r="BW38" s="610">
        <v>0</v>
      </c>
      <c r="BX38" s="610">
        <v>0</v>
      </c>
      <c r="BY38" s="610">
        <v>0</v>
      </c>
      <c r="BZ38" s="610">
        <v>0</v>
      </c>
      <c r="CA38" s="610">
        <v>0</v>
      </c>
      <c r="CB38" s="610">
        <v>0</v>
      </c>
      <c r="CC38" s="610">
        <v>0</v>
      </c>
      <c r="CD38" s="610">
        <v>0</v>
      </c>
      <c r="CE38" s="610">
        <v>0</v>
      </c>
      <c r="CF38" s="610">
        <v>0</v>
      </c>
      <c r="CG38" s="610">
        <v>0</v>
      </c>
      <c r="CH38" s="610">
        <v>0</v>
      </c>
      <c r="CI38" s="610">
        <v>0</v>
      </c>
      <c r="CJ38" s="610">
        <v>0</v>
      </c>
      <c r="CK38" s="610">
        <v>0</v>
      </c>
      <c r="CL38" s="610">
        <v>0</v>
      </c>
      <c r="CM38" s="610">
        <v>0</v>
      </c>
      <c r="CN38" s="610">
        <v>0</v>
      </c>
      <c r="CO38" s="610">
        <v>0</v>
      </c>
      <c r="CP38" s="610">
        <v>0</v>
      </c>
      <c r="CQ38" s="610">
        <v>0</v>
      </c>
      <c r="CR38" s="610">
        <v>0</v>
      </c>
      <c r="CS38" s="610">
        <v>0</v>
      </c>
      <c r="CT38" s="610">
        <v>0</v>
      </c>
      <c r="CU38" s="610">
        <v>0</v>
      </c>
      <c r="CV38" s="610">
        <v>0</v>
      </c>
      <c r="CW38" s="610" t="s">
        <v>14</v>
      </c>
      <c r="CX38" s="610">
        <v>0</v>
      </c>
      <c r="CY38" s="610" t="s">
        <v>1707</v>
      </c>
      <c r="CZ38" s="610" t="s">
        <v>1707</v>
      </c>
      <c r="DA38" s="610" t="s">
        <v>1707</v>
      </c>
      <c r="DB38" s="610" t="s">
        <v>1707</v>
      </c>
      <c r="DC38" s="610" t="s">
        <v>1707</v>
      </c>
      <c r="DD38" s="610" t="s">
        <v>1707</v>
      </c>
      <c r="DE38" s="610" t="s">
        <v>1707</v>
      </c>
      <c r="DF38" s="610" t="s">
        <v>1707</v>
      </c>
      <c r="DG38" s="610" t="s">
        <v>1707</v>
      </c>
      <c r="DH38" s="610" t="s">
        <v>1707</v>
      </c>
      <c r="DI38" s="610" t="s">
        <v>1707</v>
      </c>
      <c r="DJ38" s="610" t="s">
        <v>1707</v>
      </c>
      <c r="DK38" s="610" t="s">
        <v>20</v>
      </c>
      <c r="DL38" s="610" t="s">
        <v>20</v>
      </c>
      <c r="DM38" s="610" t="s">
        <v>20</v>
      </c>
      <c r="DN38" s="610" t="s">
        <v>20</v>
      </c>
      <c r="DO38" s="610" t="s">
        <v>20</v>
      </c>
      <c r="DP38" s="610" t="s">
        <v>20</v>
      </c>
      <c r="DQ38" s="610" t="s">
        <v>20</v>
      </c>
      <c r="DR38" s="610" t="s">
        <v>20</v>
      </c>
      <c r="DS38" s="610" t="s">
        <v>20</v>
      </c>
      <c r="DT38" s="610" t="s">
        <v>20</v>
      </c>
      <c r="DU38" s="610" t="s">
        <v>20</v>
      </c>
      <c r="DV38" s="610" t="s">
        <v>20</v>
      </c>
      <c r="DW38" s="609" t="s">
        <v>1368</v>
      </c>
      <c r="DX38" s="609" t="s">
        <v>1368</v>
      </c>
      <c r="DY38" s="609" t="s">
        <v>1368</v>
      </c>
      <c r="DZ38" s="609" t="s">
        <v>1368</v>
      </c>
      <c r="EA38" s="609" t="s">
        <v>1368</v>
      </c>
      <c r="EB38" s="609" t="s">
        <v>1368</v>
      </c>
      <c r="EC38" s="609" t="s">
        <v>1368</v>
      </c>
      <c r="ED38" s="609" t="s">
        <v>1368</v>
      </c>
      <c r="EE38" s="609" t="s">
        <v>1368</v>
      </c>
      <c r="EF38" s="609" t="s">
        <v>1368</v>
      </c>
      <c r="EG38" s="609" t="s">
        <v>1368</v>
      </c>
      <c r="EH38" s="609" t="s">
        <v>1368</v>
      </c>
      <c r="EI38" s="610" t="s">
        <v>1707</v>
      </c>
      <c r="EJ38" s="610" t="s">
        <v>1707</v>
      </c>
      <c r="EK38" s="610" t="s">
        <v>1707</v>
      </c>
      <c r="EL38" s="610" t="s">
        <v>1707</v>
      </c>
      <c r="EM38" s="610" t="s">
        <v>1707</v>
      </c>
      <c r="EN38" s="610" t="s">
        <v>1707</v>
      </c>
      <c r="EO38" s="610" t="s">
        <v>1707</v>
      </c>
      <c r="EP38" s="610" t="s">
        <v>1707</v>
      </c>
      <c r="EQ38" s="610" t="s">
        <v>1707</v>
      </c>
      <c r="ER38" s="610" t="s">
        <v>1707</v>
      </c>
      <c r="ES38" s="610" t="s">
        <v>1707</v>
      </c>
      <c r="ET38" s="610" t="s">
        <v>1707</v>
      </c>
      <c r="EU38" s="610">
        <v>4070</v>
      </c>
      <c r="EV38" s="610" t="s">
        <v>2449</v>
      </c>
      <c r="EW38" s="610" t="s">
        <v>2449</v>
      </c>
      <c r="EX38" s="610" t="s">
        <v>2449</v>
      </c>
      <c r="EY38" s="610" t="s">
        <v>2449</v>
      </c>
      <c r="EZ38" s="610" t="s">
        <v>2449</v>
      </c>
      <c r="FA38" s="610" t="s">
        <v>2449</v>
      </c>
      <c r="FB38" s="610" t="s">
        <v>2449</v>
      </c>
      <c r="FC38" s="610" t="s">
        <v>2449</v>
      </c>
      <c r="FD38" s="610" t="s">
        <v>2449</v>
      </c>
      <c r="FE38" s="610" t="s">
        <v>2449</v>
      </c>
      <c r="FF38" s="610" t="s">
        <v>2449</v>
      </c>
      <c r="FG38" s="610" t="s">
        <v>2449</v>
      </c>
      <c r="FH38" s="610">
        <v>12</v>
      </c>
      <c r="FI38" s="610">
        <v>12</v>
      </c>
      <c r="FJ38" s="610">
        <v>12</v>
      </c>
      <c r="FK38" s="610">
        <v>12</v>
      </c>
      <c r="FL38" s="610">
        <v>12</v>
      </c>
      <c r="FM38" s="610">
        <v>12</v>
      </c>
      <c r="FN38" s="610">
        <v>12</v>
      </c>
      <c r="FO38" s="610">
        <v>12</v>
      </c>
      <c r="FP38" s="610">
        <v>12</v>
      </c>
      <c r="FQ38" s="610">
        <v>12</v>
      </c>
      <c r="FR38" s="610" t="s">
        <v>2487</v>
      </c>
      <c r="FS38" s="610" t="s">
        <v>2487</v>
      </c>
      <c r="FT38" s="610" t="s">
        <v>2487</v>
      </c>
      <c r="FU38" s="610" t="s">
        <v>2487</v>
      </c>
      <c r="FV38" s="610" t="s">
        <v>2487</v>
      </c>
      <c r="FW38" s="610" t="s">
        <v>2487</v>
      </c>
      <c r="FX38" s="610" t="s">
        <v>2487</v>
      </c>
      <c r="FY38" s="610" t="s">
        <v>2487</v>
      </c>
      <c r="FZ38" s="610" t="s">
        <v>2487</v>
      </c>
      <c r="GA38" s="610" t="s">
        <v>2487</v>
      </c>
      <c r="GB38" s="610" t="s">
        <v>2487</v>
      </c>
      <c r="GC38" s="610" t="s">
        <v>2487</v>
      </c>
      <c r="GD38" s="564">
        <f t="shared" si="3"/>
        <v>79950</v>
      </c>
      <c r="GE38" s="564">
        <f t="shared" si="4"/>
        <v>79950</v>
      </c>
      <c r="GF38" s="564">
        <f t="shared" si="5"/>
        <v>79950</v>
      </c>
      <c r="GG38" s="564">
        <f t="shared" si="6"/>
        <v>79950</v>
      </c>
      <c r="GH38" s="564">
        <f t="shared" si="7"/>
        <v>79950</v>
      </c>
      <c r="GI38" s="564">
        <f t="shared" si="8"/>
        <v>79950</v>
      </c>
      <c r="GJ38" s="564">
        <f t="shared" si="9"/>
        <v>79950</v>
      </c>
      <c r="GK38" s="564">
        <f t="shared" si="10"/>
        <v>79950</v>
      </c>
      <c r="GL38" s="564">
        <f t="shared" si="11"/>
        <v>79950</v>
      </c>
      <c r="GM38" s="564">
        <f t="shared" si="12"/>
        <v>79950</v>
      </c>
      <c r="GN38" s="564">
        <f t="shared" si="13"/>
        <v>79950</v>
      </c>
      <c r="GO38" s="564">
        <f t="shared" si="14"/>
        <v>79950</v>
      </c>
      <c r="GP38" s="564"/>
      <c r="GS38" s="375" t="s">
        <v>1447</v>
      </c>
      <c r="GT38" s="374" t="str">
        <f t="shared" si="15"/>
        <v>〇</v>
      </c>
    </row>
    <row r="39" spans="2:202">
      <c r="B39" s="371">
        <v>35</v>
      </c>
      <c r="C39" s="378">
        <v>35</v>
      </c>
      <c r="D39" s="373" t="s">
        <v>1448</v>
      </c>
      <c r="E39" s="373" t="s">
        <v>1707</v>
      </c>
      <c r="F39" s="603">
        <f t="shared" si="2"/>
        <v>63</v>
      </c>
      <c r="G39" s="603"/>
      <c r="H39" s="603">
        <v>0</v>
      </c>
      <c r="I39" s="603">
        <v>63</v>
      </c>
      <c r="J39" s="603">
        <v>72</v>
      </c>
      <c r="K39" s="603"/>
      <c r="L39" s="603">
        <v>72</v>
      </c>
      <c r="M39" s="603">
        <v>0</v>
      </c>
      <c r="N39" s="608"/>
      <c r="O39" s="603">
        <v>1577000</v>
      </c>
      <c r="P39" s="603">
        <v>2721000</v>
      </c>
      <c r="Q39" s="603">
        <v>2721000</v>
      </c>
      <c r="R39" s="603">
        <v>1791000</v>
      </c>
      <c r="S39" s="603">
        <v>0</v>
      </c>
      <c r="T39" s="603">
        <v>4362000</v>
      </c>
      <c r="U39" s="603">
        <v>2181000</v>
      </c>
      <c r="V39" s="603">
        <v>1051000</v>
      </c>
      <c r="W39" s="603">
        <v>1814000</v>
      </c>
      <c r="X39" s="603">
        <v>1814000</v>
      </c>
      <c r="Y39" s="603">
        <v>1194000</v>
      </c>
      <c r="Z39" s="603">
        <v>0</v>
      </c>
      <c r="AA39" s="603">
        <v>2908000</v>
      </c>
      <c r="AB39" s="603">
        <v>1454000</v>
      </c>
      <c r="AC39" s="603">
        <v>526000</v>
      </c>
      <c r="AD39" s="603">
        <v>907000</v>
      </c>
      <c r="AE39" s="603">
        <v>907000</v>
      </c>
      <c r="AF39" s="603">
        <v>597000</v>
      </c>
      <c r="AG39" s="603">
        <v>0</v>
      </c>
      <c r="AH39" s="603">
        <v>1454000</v>
      </c>
      <c r="AI39" s="603">
        <v>727000</v>
      </c>
      <c r="AJ39" s="604" t="s">
        <v>2377</v>
      </c>
      <c r="AK39" s="605" t="s">
        <v>2378</v>
      </c>
      <c r="AL39" s="605" t="s">
        <v>2490</v>
      </c>
      <c r="AM39" s="606" t="s">
        <v>2036</v>
      </c>
      <c r="AN39" s="609" t="s">
        <v>12</v>
      </c>
      <c r="AO39" s="610" t="s">
        <v>1368</v>
      </c>
      <c r="AP39" s="610" t="s">
        <v>1368</v>
      </c>
      <c r="AQ39" s="610" t="s">
        <v>1368</v>
      </c>
      <c r="AR39" s="610" t="s">
        <v>1368</v>
      </c>
      <c r="AS39" s="610" t="s">
        <v>1368</v>
      </c>
      <c r="AT39" s="610" t="s">
        <v>1368</v>
      </c>
      <c r="AU39" s="610" t="s">
        <v>1368</v>
      </c>
      <c r="AV39" s="610" t="s">
        <v>1368</v>
      </c>
      <c r="AW39" s="610" t="s">
        <v>1368</v>
      </c>
      <c r="AX39" s="610" t="s">
        <v>1368</v>
      </c>
      <c r="AY39" s="610" t="s">
        <v>1368</v>
      </c>
      <c r="AZ39" s="610" t="s">
        <v>1368</v>
      </c>
      <c r="BA39" s="610" t="s">
        <v>1368</v>
      </c>
      <c r="BB39" s="610" t="s">
        <v>1368</v>
      </c>
      <c r="BC39" s="610" t="s">
        <v>1368</v>
      </c>
      <c r="BD39" s="610" t="s">
        <v>1368</v>
      </c>
      <c r="BE39" s="610" t="s">
        <v>1368</v>
      </c>
      <c r="BF39" s="610" t="s">
        <v>1368</v>
      </c>
      <c r="BG39" s="610" t="s">
        <v>1368</v>
      </c>
      <c r="BH39" s="610" t="s">
        <v>1368</v>
      </c>
      <c r="BI39" s="610" t="s">
        <v>1368</v>
      </c>
      <c r="BJ39" s="610" t="s">
        <v>1368</v>
      </c>
      <c r="BK39" s="610" t="s">
        <v>1368</v>
      </c>
      <c r="BL39" s="610" t="s">
        <v>1368</v>
      </c>
      <c r="BM39" s="610">
        <v>2</v>
      </c>
      <c r="BN39" s="610">
        <v>2</v>
      </c>
      <c r="BO39" s="610">
        <v>2</v>
      </c>
      <c r="BP39" s="610">
        <v>2</v>
      </c>
      <c r="BQ39" s="610">
        <v>2</v>
      </c>
      <c r="BR39" s="610">
        <v>2</v>
      </c>
      <c r="BS39" s="610">
        <v>2</v>
      </c>
      <c r="BT39" s="610">
        <v>2</v>
      </c>
      <c r="BU39" s="610">
        <v>2</v>
      </c>
      <c r="BV39" s="610">
        <v>2</v>
      </c>
      <c r="BW39" s="610">
        <v>2</v>
      </c>
      <c r="BX39" s="610">
        <v>2</v>
      </c>
      <c r="BY39" s="610">
        <v>0</v>
      </c>
      <c r="BZ39" s="610">
        <v>0</v>
      </c>
      <c r="CA39" s="610">
        <v>0</v>
      </c>
      <c r="CB39" s="610">
        <v>0</v>
      </c>
      <c r="CC39" s="610">
        <v>0</v>
      </c>
      <c r="CD39" s="610">
        <v>0</v>
      </c>
      <c r="CE39" s="610">
        <v>0</v>
      </c>
      <c r="CF39" s="610">
        <v>0</v>
      </c>
      <c r="CG39" s="610">
        <v>0</v>
      </c>
      <c r="CH39" s="610">
        <v>0</v>
      </c>
      <c r="CI39" s="610">
        <v>0</v>
      </c>
      <c r="CJ39" s="610">
        <v>0</v>
      </c>
      <c r="CK39" s="610">
        <v>0</v>
      </c>
      <c r="CL39" s="610">
        <v>0</v>
      </c>
      <c r="CM39" s="610">
        <v>0</v>
      </c>
      <c r="CN39" s="610">
        <v>0</v>
      </c>
      <c r="CO39" s="610">
        <v>0</v>
      </c>
      <c r="CP39" s="610">
        <v>0</v>
      </c>
      <c r="CQ39" s="610">
        <v>0</v>
      </c>
      <c r="CR39" s="610">
        <v>0</v>
      </c>
      <c r="CS39" s="610">
        <v>0</v>
      </c>
      <c r="CT39" s="610">
        <v>0</v>
      </c>
      <c r="CU39" s="610">
        <v>0</v>
      </c>
      <c r="CV39" s="610">
        <v>0</v>
      </c>
      <c r="CW39" s="610" t="s">
        <v>14</v>
      </c>
      <c r="CX39" s="610">
        <v>0</v>
      </c>
      <c r="CY39" s="610" t="s">
        <v>1707</v>
      </c>
      <c r="CZ39" s="610" t="s">
        <v>1707</v>
      </c>
      <c r="DA39" s="610" t="s">
        <v>1707</v>
      </c>
      <c r="DB39" s="610" t="s">
        <v>1707</v>
      </c>
      <c r="DC39" s="610" t="s">
        <v>1707</v>
      </c>
      <c r="DD39" s="610" t="s">
        <v>1707</v>
      </c>
      <c r="DE39" s="610" t="s">
        <v>1707</v>
      </c>
      <c r="DF39" s="610" t="s">
        <v>1707</v>
      </c>
      <c r="DG39" s="610" t="s">
        <v>1707</v>
      </c>
      <c r="DH39" s="610" t="s">
        <v>1707</v>
      </c>
      <c r="DI39" s="610" t="s">
        <v>1707</v>
      </c>
      <c r="DJ39" s="610" t="s">
        <v>1707</v>
      </c>
      <c r="DK39" s="610" t="s">
        <v>1368</v>
      </c>
      <c r="DL39" s="610" t="s">
        <v>1368</v>
      </c>
      <c r="DM39" s="610" t="s">
        <v>1368</v>
      </c>
      <c r="DN39" s="610" t="s">
        <v>1368</v>
      </c>
      <c r="DO39" s="610" t="s">
        <v>1368</v>
      </c>
      <c r="DP39" s="610" t="s">
        <v>1368</v>
      </c>
      <c r="DQ39" s="610" t="s">
        <v>1368</v>
      </c>
      <c r="DR39" s="610" t="s">
        <v>1368</v>
      </c>
      <c r="DS39" s="610" t="s">
        <v>1368</v>
      </c>
      <c r="DT39" s="610" t="s">
        <v>1368</v>
      </c>
      <c r="DU39" s="610" t="s">
        <v>1368</v>
      </c>
      <c r="DV39" s="610" t="s">
        <v>1368</v>
      </c>
      <c r="DW39" s="609" t="s">
        <v>1368</v>
      </c>
      <c r="DX39" s="609" t="s">
        <v>1368</v>
      </c>
      <c r="DY39" s="609" t="s">
        <v>1368</v>
      </c>
      <c r="DZ39" s="609" t="s">
        <v>1368</v>
      </c>
      <c r="EA39" s="609" t="s">
        <v>1368</v>
      </c>
      <c r="EB39" s="609" t="s">
        <v>1368</v>
      </c>
      <c r="EC39" s="609" t="s">
        <v>1368</v>
      </c>
      <c r="ED39" s="609" t="s">
        <v>1368</v>
      </c>
      <c r="EE39" s="609" t="s">
        <v>1368</v>
      </c>
      <c r="EF39" s="609" t="s">
        <v>1368</v>
      </c>
      <c r="EG39" s="609" t="s">
        <v>1368</v>
      </c>
      <c r="EH39" s="609" t="s">
        <v>1368</v>
      </c>
      <c r="EI39" s="610" t="s">
        <v>1707</v>
      </c>
      <c r="EJ39" s="610" t="s">
        <v>1707</v>
      </c>
      <c r="EK39" s="610" t="s">
        <v>1707</v>
      </c>
      <c r="EL39" s="610" t="s">
        <v>1707</v>
      </c>
      <c r="EM39" s="610" t="s">
        <v>1707</v>
      </c>
      <c r="EN39" s="610" t="s">
        <v>1707</v>
      </c>
      <c r="EO39" s="610" t="s">
        <v>1707</v>
      </c>
      <c r="EP39" s="610" t="s">
        <v>1707</v>
      </c>
      <c r="EQ39" s="610" t="s">
        <v>1707</v>
      </c>
      <c r="ER39" s="610" t="s">
        <v>1707</v>
      </c>
      <c r="ES39" s="610" t="s">
        <v>1707</v>
      </c>
      <c r="ET39" s="610" t="s">
        <v>1707</v>
      </c>
      <c r="EU39" s="610">
        <v>4070</v>
      </c>
      <c r="EV39" s="610" t="s">
        <v>1707</v>
      </c>
      <c r="EW39" s="610" t="s">
        <v>1707</v>
      </c>
      <c r="EX39" s="610" t="s">
        <v>1707</v>
      </c>
      <c r="EY39" s="610" t="s">
        <v>1707</v>
      </c>
      <c r="EZ39" s="610" t="s">
        <v>1707</v>
      </c>
      <c r="FA39" s="610" t="s">
        <v>1707</v>
      </c>
      <c r="FB39" s="610" t="s">
        <v>1707</v>
      </c>
      <c r="FC39" s="610" t="s">
        <v>1707</v>
      </c>
      <c r="FD39" s="610" t="s">
        <v>1707</v>
      </c>
      <c r="FE39" s="610" t="s">
        <v>1707</v>
      </c>
      <c r="FF39" s="610" t="s">
        <v>1707</v>
      </c>
      <c r="FG39" s="610" t="s">
        <v>1707</v>
      </c>
      <c r="FH39" s="610">
        <v>51</v>
      </c>
      <c r="FI39" s="610">
        <v>51</v>
      </c>
      <c r="FJ39" s="610">
        <v>51</v>
      </c>
      <c r="FK39" s="610">
        <v>51</v>
      </c>
      <c r="FL39" s="610">
        <v>51</v>
      </c>
      <c r="FM39" s="610">
        <v>51</v>
      </c>
      <c r="FN39" s="610">
        <v>51</v>
      </c>
      <c r="FO39" s="610">
        <v>51</v>
      </c>
      <c r="FP39" s="610">
        <v>51</v>
      </c>
      <c r="FQ39" s="610">
        <v>51</v>
      </c>
      <c r="FR39" s="610" t="s">
        <v>2487</v>
      </c>
      <c r="FS39" s="610" t="s">
        <v>2487</v>
      </c>
      <c r="FT39" s="610" t="s">
        <v>2487</v>
      </c>
      <c r="FU39" s="610" t="s">
        <v>2487</v>
      </c>
      <c r="FV39" s="610" t="s">
        <v>2487</v>
      </c>
      <c r="FW39" s="610" t="s">
        <v>2487</v>
      </c>
      <c r="FX39" s="610" t="s">
        <v>2487</v>
      </c>
      <c r="FY39" s="610" t="s">
        <v>2487</v>
      </c>
      <c r="FZ39" s="610" t="s">
        <v>2487</v>
      </c>
      <c r="GA39" s="610" t="s">
        <v>2487</v>
      </c>
      <c r="GB39" s="610" t="s">
        <v>2487</v>
      </c>
      <c r="GC39" s="610" t="s">
        <v>2487</v>
      </c>
      <c r="GD39" s="564">
        <f t="shared" si="3"/>
        <v>79950</v>
      </c>
      <c r="GE39" s="564">
        <f t="shared" si="4"/>
        <v>79950</v>
      </c>
      <c r="GF39" s="564">
        <f t="shared" si="5"/>
        <v>79950</v>
      </c>
      <c r="GG39" s="564">
        <f t="shared" si="6"/>
        <v>79950</v>
      </c>
      <c r="GH39" s="564">
        <f t="shared" si="7"/>
        <v>79950</v>
      </c>
      <c r="GI39" s="564">
        <f t="shared" si="8"/>
        <v>79950</v>
      </c>
      <c r="GJ39" s="564">
        <f t="shared" si="9"/>
        <v>79950</v>
      </c>
      <c r="GK39" s="564">
        <f t="shared" si="10"/>
        <v>79950</v>
      </c>
      <c r="GL39" s="564">
        <f t="shared" si="11"/>
        <v>79950</v>
      </c>
      <c r="GM39" s="564">
        <f t="shared" si="12"/>
        <v>79950</v>
      </c>
      <c r="GN39" s="564">
        <f t="shared" si="13"/>
        <v>79950</v>
      </c>
      <c r="GO39" s="564">
        <f t="shared" si="14"/>
        <v>79950</v>
      </c>
      <c r="GP39" s="564"/>
      <c r="GS39" s="375" t="s">
        <v>1448</v>
      </c>
      <c r="GT39" s="374" t="str">
        <f t="shared" si="15"/>
        <v>〇</v>
      </c>
    </row>
    <row r="40" spans="2:202">
      <c r="B40" s="371">
        <v>36</v>
      </c>
      <c r="C40" s="378">
        <v>36</v>
      </c>
      <c r="D40" s="373" t="s">
        <v>1449</v>
      </c>
      <c r="E40" s="373" t="s">
        <v>14</v>
      </c>
      <c r="F40" s="603">
        <f t="shared" si="2"/>
        <v>48</v>
      </c>
      <c r="G40" s="603"/>
      <c r="H40" s="603">
        <v>24</v>
      </c>
      <c r="I40" s="603">
        <v>24</v>
      </c>
      <c r="J40" s="603"/>
      <c r="K40" s="603"/>
      <c r="L40" s="603"/>
      <c r="M40" s="603"/>
      <c r="N40" s="608"/>
      <c r="O40" s="603">
        <v>1577000</v>
      </c>
      <c r="P40" s="603">
        <v>2721000</v>
      </c>
      <c r="Q40" s="603">
        <v>2721000</v>
      </c>
      <c r="R40" s="603">
        <v>1791000</v>
      </c>
      <c r="S40" s="603">
        <v>0</v>
      </c>
      <c r="T40" s="603">
        <v>0</v>
      </c>
      <c r="U40" s="603">
        <v>0</v>
      </c>
      <c r="V40" s="603">
        <v>1051000</v>
      </c>
      <c r="W40" s="603">
        <v>1814000</v>
      </c>
      <c r="X40" s="603">
        <v>1814000</v>
      </c>
      <c r="Y40" s="603">
        <v>1194000</v>
      </c>
      <c r="Z40" s="603">
        <v>0</v>
      </c>
      <c r="AA40" s="603">
        <v>0</v>
      </c>
      <c r="AB40" s="603">
        <v>0</v>
      </c>
      <c r="AC40" s="603">
        <v>526000</v>
      </c>
      <c r="AD40" s="603">
        <v>907000</v>
      </c>
      <c r="AE40" s="603">
        <v>907000</v>
      </c>
      <c r="AF40" s="603">
        <v>597000</v>
      </c>
      <c r="AG40" s="603">
        <v>0</v>
      </c>
      <c r="AH40" s="603">
        <v>0</v>
      </c>
      <c r="AI40" s="603">
        <v>0</v>
      </c>
      <c r="AJ40" s="604" t="s">
        <v>2377</v>
      </c>
      <c r="AK40" s="605" t="s">
        <v>2378</v>
      </c>
      <c r="AL40" s="605" t="s">
        <v>2490</v>
      </c>
      <c r="AM40" s="606" t="s">
        <v>2037</v>
      </c>
      <c r="AN40" s="609" t="s">
        <v>12</v>
      </c>
      <c r="AO40" s="610" t="s">
        <v>1368</v>
      </c>
      <c r="AP40" s="610" t="s">
        <v>1368</v>
      </c>
      <c r="AQ40" s="610" t="s">
        <v>1368</v>
      </c>
      <c r="AR40" s="610" t="s">
        <v>1368</v>
      </c>
      <c r="AS40" s="610" t="s">
        <v>1368</v>
      </c>
      <c r="AT40" s="610" t="s">
        <v>1368</v>
      </c>
      <c r="AU40" s="610" t="s">
        <v>1368</v>
      </c>
      <c r="AV40" s="610" t="s">
        <v>1368</v>
      </c>
      <c r="AW40" s="610" t="s">
        <v>1368</v>
      </c>
      <c r="AX40" s="610" t="s">
        <v>1368</v>
      </c>
      <c r="AY40" s="610" t="s">
        <v>1368</v>
      </c>
      <c r="AZ40" s="610" t="s">
        <v>1368</v>
      </c>
      <c r="BA40" s="610" t="s">
        <v>1368</v>
      </c>
      <c r="BB40" s="610" t="s">
        <v>1368</v>
      </c>
      <c r="BC40" s="610" t="s">
        <v>1368</v>
      </c>
      <c r="BD40" s="610" t="s">
        <v>1368</v>
      </c>
      <c r="BE40" s="610" t="s">
        <v>1368</v>
      </c>
      <c r="BF40" s="610" t="s">
        <v>1368</v>
      </c>
      <c r="BG40" s="610" t="s">
        <v>1368</v>
      </c>
      <c r="BH40" s="610" t="s">
        <v>1368</v>
      </c>
      <c r="BI40" s="610" t="s">
        <v>1368</v>
      </c>
      <c r="BJ40" s="610" t="s">
        <v>1368</v>
      </c>
      <c r="BK40" s="610" t="s">
        <v>1368</v>
      </c>
      <c r="BL40" s="610" t="s">
        <v>1368</v>
      </c>
      <c r="BM40" s="610">
        <v>1</v>
      </c>
      <c r="BN40" s="610">
        <v>1</v>
      </c>
      <c r="BO40" s="610">
        <v>1</v>
      </c>
      <c r="BP40" s="610">
        <v>1</v>
      </c>
      <c r="BQ40" s="610">
        <v>1</v>
      </c>
      <c r="BR40" s="610">
        <v>1</v>
      </c>
      <c r="BS40" s="610">
        <v>1</v>
      </c>
      <c r="BT40" s="610">
        <v>1</v>
      </c>
      <c r="BU40" s="610">
        <v>1</v>
      </c>
      <c r="BV40" s="610">
        <v>1</v>
      </c>
      <c r="BW40" s="610">
        <v>1</v>
      </c>
      <c r="BX40" s="610">
        <v>1</v>
      </c>
      <c r="BY40" s="610">
        <v>0</v>
      </c>
      <c r="BZ40" s="610">
        <v>0</v>
      </c>
      <c r="CA40" s="610">
        <v>0</v>
      </c>
      <c r="CB40" s="610">
        <v>0</v>
      </c>
      <c r="CC40" s="610">
        <v>0</v>
      </c>
      <c r="CD40" s="610">
        <v>0</v>
      </c>
      <c r="CE40" s="610">
        <v>0</v>
      </c>
      <c r="CF40" s="610">
        <v>0</v>
      </c>
      <c r="CG40" s="610">
        <v>0</v>
      </c>
      <c r="CH40" s="610">
        <v>0</v>
      </c>
      <c r="CI40" s="610">
        <v>0</v>
      </c>
      <c r="CJ40" s="610">
        <v>0</v>
      </c>
      <c r="CK40" s="610">
        <v>0</v>
      </c>
      <c r="CL40" s="610">
        <v>0</v>
      </c>
      <c r="CM40" s="610">
        <v>0</v>
      </c>
      <c r="CN40" s="610">
        <v>0</v>
      </c>
      <c r="CO40" s="610">
        <v>0</v>
      </c>
      <c r="CP40" s="610">
        <v>0</v>
      </c>
      <c r="CQ40" s="610">
        <v>0</v>
      </c>
      <c r="CR40" s="610">
        <v>0</v>
      </c>
      <c r="CS40" s="610">
        <v>0</v>
      </c>
      <c r="CT40" s="610">
        <v>0</v>
      </c>
      <c r="CU40" s="610">
        <v>0</v>
      </c>
      <c r="CV40" s="610">
        <v>0</v>
      </c>
      <c r="CW40" s="610" t="s">
        <v>14</v>
      </c>
      <c r="CX40" s="610">
        <v>0</v>
      </c>
      <c r="CY40" s="610" t="s">
        <v>1707</v>
      </c>
      <c r="CZ40" s="610" t="s">
        <v>1707</v>
      </c>
      <c r="DA40" s="610" t="s">
        <v>1707</v>
      </c>
      <c r="DB40" s="610" t="s">
        <v>1707</v>
      </c>
      <c r="DC40" s="610" t="s">
        <v>1707</v>
      </c>
      <c r="DD40" s="610" t="s">
        <v>1707</v>
      </c>
      <c r="DE40" s="610" t="s">
        <v>1707</v>
      </c>
      <c r="DF40" s="610" t="s">
        <v>1707</v>
      </c>
      <c r="DG40" s="610" t="s">
        <v>1707</v>
      </c>
      <c r="DH40" s="610" t="s">
        <v>1707</v>
      </c>
      <c r="DI40" s="610" t="s">
        <v>1707</v>
      </c>
      <c r="DJ40" s="610" t="s">
        <v>1707</v>
      </c>
      <c r="DK40" s="610" t="s">
        <v>18</v>
      </c>
      <c r="DL40" s="610" t="s">
        <v>18</v>
      </c>
      <c r="DM40" s="610" t="s">
        <v>18</v>
      </c>
      <c r="DN40" s="610" t="s">
        <v>18</v>
      </c>
      <c r="DO40" s="610" t="s">
        <v>18</v>
      </c>
      <c r="DP40" s="610" t="s">
        <v>18</v>
      </c>
      <c r="DQ40" s="610" t="s">
        <v>18</v>
      </c>
      <c r="DR40" s="610" t="s">
        <v>18</v>
      </c>
      <c r="DS40" s="610" t="s">
        <v>18</v>
      </c>
      <c r="DT40" s="610" t="s">
        <v>18</v>
      </c>
      <c r="DU40" s="610" t="s">
        <v>18</v>
      </c>
      <c r="DV40" s="610" t="s">
        <v>18</v>
      </c>
      <c r="DW40" s="609" t="s">
        <v>1368</v>
      </c>
      <c r="DX40" s="609" t="s">
        <v>1368</v>
      </c>
      <c r="DY40" s="609" t="s">
        <v>1368</v>
      </c>
      <c r="DZ40" s="609" t="s">
        <v>1368</v>
      </c>
      <c r="EA40" s="609" t="s">
        <v>1368</v>
      </c>
      <c r="EB40" s="609" t="s">
        <v>1368</v>
      </c>
      <c r="EC40" s="609" t="s">
        <v>1368</v>
      </c>
      <c r="ED40" s="609" t="s">
        <v>1368</v>
      </c>
      <c r="EE40" s="609" t="s">
        <v>1368</v>
      </c>
      <c r="EF40" s="609" t="s">
        <v>1368</v>
      </c>
      <c r="EG40" s="609" t="s">
        <v>1368</v>
      </c>
      <c r="EH40" s="609" t="s">
        <v>1368</v>
      </c>
      <c r="EI40" s="610" t="s">
        <v>1707</v>
      </c>
      <c r="EJ40" s="610" t="s">
        <v>1707</v>
      </c>
      <c r="EK40" s="610" t="s">
        <v>1707</v>
      </c>
      <c r="EL40" s="610" t="s">
        <v>1707</v>
      </c>
      <c r="EM40" s="610" t="s">
        <v>1707</v>
      </c>
      <c r="EN40" s="610" t="s">
        <v>1707</v>
      </c>
      <c r="EO40" s="610" t="s">
        <v>1707</v>
      </c>
      <c r="EP40" s="610" t="s">
        <v>1707</v>
      </c>
      <c r="EQ40" s="610" t="s">
        <v>1707</v>
      </c>
      <c r="ER40" s="610" t="s">
        <v>1707</v>
      </c>
      <c r="ES40" s="610" t="s">
        <v>1707</v>
      </c>
      <c r="ET40" s="610" t="s">
        <v>1707</v>
      </c>
      <c r="EU40" s="610">
        <v>4070</v>
      </c>
      <c r="EV40" s="610" t="s">
        <v>2449</v>
      </c>
      <c r="EW40" s="610" t="s">
        <v>2449</v>
      </c>
      <c r="EX40" s="610" t="s">
        <v>2449</v>
      </c>
      <c r="EY40" s="610" t="s">
        <v>2449</v>
      </c>
      <c r="EZ40" s="610" t="s">
        <v>2449</v>
      </c>
      <c r="FA40" s="610" t="s">
        <v>2449</v>
      </c>
      <c r="FB40" s="610" t="s">
        <v>2449</v>
      </c>
      <c r="FC40" s="610" t="s">
        <v>2449</v>
      </c>
      <c r="FD40" s="610" t="s">
        <v>2449</v>
      </c>
      <c r="FE40" s="610" t="s">
        <v>2449</v>
      </c>
      <c r="FF40" s="610" t="s">
        <v>2449</v>
      </c>
      <c r="FG40" s="610" t="s">
        <v>2449</v>
      </c>
      <c r="FH40" s="610">
        <v>14</v>
      </c>
      <c r="FI40" s="610">
        <v>14</v>
      </c>
      <c r="FJ40" s="610">
        <v>14</v>
      </c>
      <c r="FK40" s="610">
        <v>15</v>
      </c>
      <c r="FL40" s="610">
        <v>16</v>
      </c>
      <c r="FM40" s="610">
        <v>16</v>
      </c>
      <c r="FN40" s="610">
        <v>16</v>
      </c>
      <c r="FO40" s="610">
        <v>16</v>
      </c>
      <c r="FP40" s="610">
        <v>16</v>
      </c>
      <c r="FQ40" s="610">
        <v>16</v>
      </c>
      <c r="FR40" s="610" t="s">
        <v>2488</v>
      </c>
      <c r="FS40" s="610" t="s">
        <v>2488</v>
      </c>
      <c r="FT40" s="610" t="s">
        <v>2488</v>
      </c>
      <c r="FU40" s="610" t="s">
        <v>2488</v>
      </c>
      <c r="FV40" s="610" t="s">
        <v>2488</v>
      </c>
      <c r="FW40" s="610" t="s">
        <v>2488</v>
      </c>
      <c r="FX40" s="610" t="s">
        <v>2488</v>
      </c>
      <c r="FY40" s="610" t="s">
        <v>2488</v>
      </c>
      <c r="FZ40" s="610" t="s">
        <v>2488</v>
      </c>
      <c r="GA40" s="610" t="s">
        <v>2488</v>
      </c>
      <c r="GB40" s="610" t="s">
        <v>2488</v>
      </c>
      <c r="GC40" s="610" t="s">
        <v>2488</v>
      </c>
      <c r="GD40" s="564" t="str">
        <f t="shared" si="3"/>
        <v/>
      </c>
      <c r="GE40" s="564" t="str">
        <f t="shared" si="4"/>
        <v/>
      </c>
      <c r="GF40" s="564" t="str">
        <f t="shared" si="5"/>
        <v/>
      </c>
      <c r="GG40" s="564" t="str">
        <f t="shared" si="6"/>
        <v/>
      </c>
      <c r="GH40" s="564" t="str">
        <f t="shared" si="7"/>
        <v/>
      </c>
      <c r="GI40" s="564" t="str">
        <f t="shared" si="8"/>
        <v/>
      </c>
      <c r="GJ40" s="564" t="str">
        <f t="shared" si="9"/>
        <v/>
      </c>
      <c r="GK40" s="564" t="str">
        <f t="shared" si="10"/>
        <v/>
      </c>
      <c r="GL40" s="564" t="str">
        <f t="shared" si="11"/>
        <v/>
      </c>
      <c r="GM40" s="564" t="str">
        <f t="shared" si="12"/>
        <v/>
      </c>
      <c r="GN40" s="564" t="str">
        <f t="shared" si="13"/>
        <v/>
      </c>
      <c r="GO40" s="564" t="str">
        <f t="shared" si="14"/>
        <v/>
      </c>
      <c r="GP40" s="564"/>
      <c r="GS40" s="375" t="s">
        <v>1449</v>
      </c>
      <c r="GT40" s="374" t="str">
        <f t="shared" si="15"/>
        <v>〇</v>
      </c>
    </row>
    <row r="41" spans="2:202">
      <c r="B41" s="371">
        <v>37</v>
      </c>
      <c r="C41" s="378">
        <v>37</v>
      </c>
      <c r="D41" s="373" t="s">
        <v>1450</v>
      </c>
      <c r="E41" s="373" t="s">
        <v>14</v>
      </c>
      <c r="F41" s="603">
        <f t="shared" si="2"/>
        <v>75</v>
      </c>
      <c r="G41" s="603"/>
      <c r="H41" s="603">
        <v>45</v>
      </c>
      <c r="I41" s="603">
        <v>30</v>
      </c>
      <c r="J41" s="603"/>
      <c r="K41" s="603"/>
      <c r="L41" s="603"/>
      <c r="M41" s="603"/>
      <c r="N41" s="608"/>
      <c r="O41" s="603">
        <v>1577000</v>
      </c>
      <c r="P41" s="603">
        <v>2721000</v>
      </c>
      <c r="Q41" s="603">
        <v>0</v>
      </c>
      <c r="R41" s="603">
        <v>1791000</v>
      </c>
      <c r="S41" s="603">
        <v>1791000</v>
      </c>
      <c r="T41" s="603">
        <v>0</v>
      </c>
      <c r="U41" s="603">
        <v>0</v>
      </c>
      <c r="V41" s="603">
        <v>1051000</v>
      </c>
      <c r="W41" s="603">
        <v>1814000</v>
      </c>
      <c r="X41" s="603">
        <v>0</v>
      </c>
      <c r="Y41" s="603">
        <v>1194000</v>
      </c>
      <c r="Z41" s="603">
        <v>1194000</v>
      </c>
      <c r="AA41" s="603">
        <v>0</v>
      </c>
      <c r="AB41" s="603">
        <v>0</v>
      </c>
      <c r="AC41" s="603">
        <v>0</v>
      </c>
      <c r="AD41" s="603">
        <v>0</v>
      </c>
      <c r="AE41" s="603">
        <v>0</v>
      </c>
      <c r="AF41" s="603">
        <v>0</v>
      </c>
      <c r="AG41" s="603">
        <v>0</v>
      </c>
      <c r="AH41" s="603">
        <v>0</v>
      </c>
      <c r="AI41" s="603">
        <v>0</v>
      </c>
      <c r="AJ41" s="604" t="s">
        <v>2377</v>
      </c>
      <c r="AK41" s="605" t="s">
        <v>2378</v>
      </c>
      <c r="AL41" s="605" t="s">
        <v>1545</v>
      </c>
      <c r="AM41" s="606" t="s">
        <v>2038</v>
      </c>
      <c r="AN41" s="609" t="s">
        <v>12</v>
      </c>
      <c r="AO41" s="610" t="s">
        <v>1368</v>
      </c>
      <c r="AP41" s="610" t="s">
        <v>1368</v>
      </c>
      <c r="AQ41" s="610" t="s">
        <v>1368</v>
      </c>
      <c r="AR41" s="610" t="s">
        <v>1368</v>
      </c>
      <c r="AS41" s="610" t="s">
        <v>1368</v>
      </c>
      <c r="AT41" s="610" t="s">
        <v>1368</v>
      </c>
      <c r="AU41" s="610" t="s">
        <v>1368</v>
      </c>
      <c r="AV41" s="610" t="s">
        <v>1368</v>
      </c>
      <c r="AW41" s="610" t="s">
        <v>1368</v>
      </c>
      <c r="AX41" s="610" t="s">
        <v>1368</v>
      </c>
      <c r="AY41" s="610" t="s">
        <v>1368</v>
      </c>
      <c r="AZ41" s="610" t="s">
        <v>1368</v>
      </c>
      <c r="BA41" s="610" t="s">
        <v>1368</v>
      </c>
      <c r="BB41" s="610" t="s">
        <v>1368</v>
      </c>
      <c r="BC41" s="610" t="s">
        <v>1368</v>
      </c>
      <c r="BD41" s="610" t="s">
        <v>1368</v>
      </c>
      <c r="BE41" s="610" t="s">
        <v>1368</v>
      </c>
      <c r="BF41" s="610" t="s">
        <v>1368</v>
      </c>
      <c r="BG41" s="610" t="s">
        <v>1368</v>
      </c>
      <c r="BH41" s="610" t="s">
        <v>1368</v>
      </c>
      <c r="BI41" s="610" t="s">
        <v>1368</v>
      </c>
      <c r="BJ41" s="610" t="s">
        <v>1368</v>
      </c>
      <c r="BK41" s="610" t="s">
        <v>1368</v>
      </c>
      <c r="BL41" s="610" t="s">
        <v>1368</v>
      </c>
      <c r="BM41" s="610">
        <v>0</v>
      </c>
      <c r="BN41" s="610">
        <v>0</v>
      </c>
      <c r="BO41" s="610">
        <v>0</v>
      </c>
      <c r="BP41" s="610">
        <v>0</v>
      </c>
      <c r="BQ41" s="610">
        <v>0</v>
      </c>
      <c r="BR41" s="610">
        <v>0</v>
      </c>
      <c r="BS41" s="610">
        <v>0</v>
      </c>
      <c r="BT41" s="610">
        <v>0</v>
      </c>
      <c r="BU41" s="610">
        <v>0</v>
      </c>
      <c r="BV41" s="610">
        <v>0</v>
      </c>
      <c r="BW41" s="610">
        <v>0</v>
      </c>
      <c r="BX41" s="610">
        <v>0</v>
      </c>
      <c r="BY41" s="610">
        <v>0</v>
      </c>
      <c r="BZ41" s="610">
        <v>0</v>
      </c>
      <c r="CA41" s="610">
        <v>0</v>
      </c>
      <c r="CB41" s="610">
        <v>0</v>
      </c>
      <c r="CC41" s="610">
        <v>0</v>
      </c>
      <c r="CD41" s="610">
        <v>0</v>
      </c>
      <c r="CE41" s="610">
        <v>0</v>
      </c>
      <c r="CF41" s="610">
        <v>0</v>
      </c>
      <c r="CG41" s="610">
        <v>0</v>
      </c>
      <c r="CH41" s="610">
        <v>0</v>
      </c>
      <c r="CI41" s="610">
        <v>0</v>
      </c>
      <c r="CJ41" s="610">
        <v>0</v>
      </c>
      <c r="CK41" s="610">
        <v>0</v>
      </c>
      <c r="CL41" s="610">
        <v>0</v>
      </c>
      <c r="CM41" s="610">
        <v>0</v>
      </c>
      <c r="CN41" s="610">
        <v>0</v>
      </c>
      <c r="CO41" s="610">
        <v>0</v>
      </c>
      <c r="CP41" s="610">
        <v>0</v>
      </c>
      <c r="CQ41" s="610">
        <v>0</v>
      </c>
      <c r="CR41" s="610">
        <v>0</v>
      </c>
      <c r="CS41" s="610">
        <v>0</v>
      </c>
      <c r="CT41" s="610">
        <v>0</v>
      </c>
      <c r="CU41" s="610">
        <v>0</v>
      </c>
      <c r="CV41" s="610">
        <v>0</v>
      </c>
      <c r="CW41" s="610" t="s">
        <v>14</v>
      </c>
      <c r="CX41" s="610">
        <v>0</v>
      </c>
      <c r="CY41" s="610" t="s">
        <v>2449</v>
      </c>
      <c r="CZ41" s="610" t="s">
        <v>2449</v>
      </c>
      <c r="DA41" s="610" t="s">
        <v>2449</v>
      </c>
      <c r="DB41" s="610" t="s">
        <v>2449</v>
      </c>
      <c r="DC41" s="610" t="s">
        <v>2449</v>
      </c>
      <c r="DD41" s="610" t="s">
        <v>2449</v>
      </c>
      <c r="DE41" s="610" t="s">
        <v>2449</v>
      </c>
      <c r="DF41" s="610" t="s">
        <v>2449</v>
      </c>
      <c r="DG41" s="610" t="s">
        <v>2449</v>
      </c>
      <c r="DH41" s="610" t="s">
        <v>2449</v>
      </c>
      <c r="DI41" s="610" t="s">
        <v>2449</v>
      </c>
      <c r="DJ41" s="610" t="s">
        <v>2449</v>
      </c>
      <c r="DK41" s="610" t="s">
        <v>1368</v>
      </c>
      <c r="DL41" s="610" t="s">
        <v>1368</v>
      </c>
      <c r="DM41" s="610" t="s">
        <v>1368</v>
      </c>
      <c r="DN41" s="610" t="s">
        <v>1368</v>
      </c>
      <c r="DO41" s="610" t="s">
        <v>1368</v>
      </c>
      <c r="DP41" s="610" t="s">
        <v>1368</v>
      </c>
      <c r="DQ41" s="610" t="s">
        <v>1368</v>
      </c>
      <c r="DR41" s="610" t="s">
        <v>1368</v>
      </c>
      <c r="DS41" s="610" t="s">
        <v>1368</v>
      </c>
      <c r="DT41" s="610" t="s">
        <v>1368</v>
      </c>
      <c r="DU41" s="610" t="s">
        <v>1368</v>
      </c>
      <c r="DV41" s="610" t="s">
        <v>1368</v>
      </c>
      <c r="DW41" s="609" t="s">
        <v>1368</v>
      </c>
      <c r="DX41" s="609" t="s">
        <v>1368</v>
      </c>
      <c r="DY41" s="609" t="s">
        <v>1368</v>
      </c>
      <c r="DZ41" s="609" t="s">
        <v>1368</v>
      </c>
      <c r="EA41" s="609" t="s">
        <v>1368</v>
      </c>
      <c r="EB41" s="609" t="s">
        <v>1368</v>
      </c>
      <c r="EC41" s="609" t="s">
        <v>1368</v>
      </c>
      <c r="ED41" s="609" t="s">
        <v>1368</v>
      </c>
      <c r="EE41" s="609" t="s">
        <v>1368</v>
      </c>
      <c r="EF41" s="609" t="s">
        <v>1368</v>
      </c>
      <c r="EG41" s="609" t="s">
        <v>1368</v>
      </c>
      <c r="EH41" s="609" t="s">
        <v>1368</v>
      </c>
      <c r="EI41" s="610" t="s">
        <v>1707</v>
      </c>
      <c r="EJ41" s="610" t="s">
        <v>1707</v>
      </c>
      <c r="EK41" s="610" t="s">
        <v>1707</v>
      </c>
      <c r="EL41" s="610" t="s">
        <v>1707</v>
      </c>
      <c r="EM41" s="610" t="s">
        <v>1707</v>
      </c>
      <c r="EN41" s="610" t="s">
        <v>1707</v>
      </c>
      <c r="EO41" s="610" t="s">
        <v>1707</v>
      </c>
      <c r="EP41" s="610" t="s">
        <v>1707</v>
      </c>
      <c r="EQ41" s="610" t="s">
        <v>1707</v>
      </c>
      <c r="ER41" s="610" t="s">
        <v>1707</v>
      </c>
      <c r="ES41" s="610" t="s">
        <v>1707</v>
      </c>
      <c r="ET41" s="610" t="s">
        <v>1707</v>
      </c>
      <c r="EU41" s="610">
        <v>4070</v>
      </c>
      <c r="EV41" s="610" t="s">
        <v>1707</v>
      </c>
      <c r="EW41" s="610" t="s">
        <v>1707</v>
      </c>
      <c r="EX41" s="610" t="s">
        <v>1707</v>
      </c>
      <c r="EY41" s="610" t="s">
        <v>1707</v>
      </c>
      <c r="EZ41" s="610" t="s">
        <v>1707</v>
      </c>
      <c r="FA41" s="610" t="s">
        <v>1707</v>
      </c>
      <c r="FB41" s="610" t="s">
        <v>1707</v>
      </c>
      <c r="FC41" s="610" t="s">
        <v>1707</v>
      </c>
      <c r="FD41" s="610" t="s">
        <v>1707</v>
      </c>
      <c r="FE41" s="610" t="s">
        <v>1707</v>
      </c>
      <c r="FF41" s="610" t="s">
        <v>1707</v>
      </c>
      <c r="FG41" s="610" t="s">
        <v>1707</v>
      </c>
      <c r="FH41" s="610">
        <v>20</v>
      </c>
      <c r="FI41" s="610">
        <v>21</v>
      </c>
      <c r="FJ41" s="610">
        <v>21</v>
      </c>
      <c r="FK41" s="610">
        <v>21</v>
      </c>
      <c r="FL41" s="610">
        <v>21</v>
      </c>
      <c r="FM41" s="610">
        <v>21</v>
      </c>
      <c r="FN41" s="610">
        <v>21</v>
      </c>
      <c r="FO41" s="610">
        <v>21</v>
      </c>
      <c r="FP41" s="610">
        <v>21</v>
      </c>
      <c r="FQ41" s="610">
        <v>21</v>
      </c>
      <c r="FR41" s="610" t="s">
        <v>2488</v>
      </c>
      <c r="FS41" s="610" t="s">
        <v>2488</v>
      </c>
      <c r="FT41" s="610" t="s">
        <v>2488</v>
      </c>
      <c r="FU41" s="610" t="s">
        <v>2488</v>
      </c>
      <c r="FV41" s="610" t="s">
        <v>2488</v>
      </c>
      <c r="FW41" s="610" t="s">
        <v>2488</v>
      </c>
      <c r="FX41" s="610" t="s">
        <v>2488</v>
      </c>
      <c r="FY41" s="610" t="s">
        <v>2488</v>
      </c>
      <c r="FZ41" s="610" t="s">
        <v>2488</v>
      </c>
      <c r="GA41" s="610" t="s">
        <v>2488</v>
      </c>
      <c r="GB41" s="610" t="s">
        <v>2488</v>
      </c>
      <c r="GC41" s="610" t="s">
        <v>2488</v>
      </c>
      <c r="GD41" s="564" t="str">
        <f t="shared" si="3"/>
        <v/>
      </c>
      <c r="GE41" s="564" t="str">
        <f t="shared" si="4"/>
        <v/>
      </c>
      <c r="GF41" s="564" t="str">
        <f t="shared" si="5"/>
        <v/>
      </c>
      <c r="GG41" s="564" t="str">
        <f t="shared" si="6"/>
        <v/>
      </c>
      <c r="GH41" s="564" t="str">
        <f t="shared" si="7"/>
        <v/>
      </c>
      <c r="GI41" s="564" t="str">
        <f t="shared" si="8"/>
        <v/>
      </c>
      <c r="GJ41" s="564" t="str">
        <f t="shared" si="9"/>
        <v/>
      </c>
      <c r="GK41" s="564" t="str">
        <f t="shared" si="10"/>
        <v/>
      </c>
      <c r="GL41" s="564" t="str">
        <f t="shared" si="11"/>
        <v/>
      </c>
      <c r="GM41" s="564" t="str">
        <f t="shared" si="12"/>
        <v/>
      </c>
      <c r="GN41" s="564" t="str">
        <f t="shared" si="13"/>
        <v/>
      </c>
      <c r="GO41" s="564" t="str">
        <f t="shared" si="14"/>
        <v/>
      </c>
      <c r="GP41" s="564"/>
      <c r="GS41" s="375" t="s">
        <v>1450</v>
      </c>
      <c r="GT41" s="374" t="str">
        <f t="shared" si="15"/>
        <v>〇</v>
      </c>
    </row>
    <row r="42" spans="2:202">
      <c r="B42" s="371">
        <v>38</v>
      </c>
      <c r="C42" s="378">
        <v>38</v>
      </c>
      <c r="D42" s="373" t="s">
        <v>1451</v>
      </c>
      <c r="E42" s="373" t="s">
        <v>14</v>
      </c>
      <c r="F42" s="603">
        <f t="shared" si="2"/>
        <v>90</v>
      </c>
      <c r="G42" s="603"/>
      <c r="H42" s="603">
        <v>50</v>
      </c>
      <c r="I42" s="603">
        <v>40</v>
      </c>
      <c r="J42" s="603"/>
      <c r="K42" s="603"/>
      <c r="L42" s="603"/>
      <c r="M42" s="603"/>
      <c r="N42" s="608"/>
      <c r="O42" s="603">
        <v>1577000</v>
      </c>
      <c r="P42" s="603">
        <v>2721000</v>
      </c>
      <c r="Q42" s="603">
        <v>2721000</v>
      </c>
      <c r="R42" s="603">
        <v>1791000</v>
      </c>
      <c r="S42" s="603">
        <v>0</v>
      </c>
      <c r="T42" s="603">
        <v>4362000</v>
      </c>
      <c r="U42" s="603">
        <v>0</v>
      </c>
      <c r="V42" s="603">
        <v>0</v>
      </c>
      <c r="W42" s="603">
        <v>0</v>
      </c>
      <c r="X42" s="603">
        <v>0</v>
      </c>
      <c r="Y42" s="603">
        <v>0</v>
      </c>
      <c r="Z42" s="603">
        <v>0</v>
      </c>
      <c r="AA42" s="603">
        <v>0</v>
      </c>
      <c r="AB42" s="603">
        <v>0</v>
      </c>
      <c r="AC42" s="603">
        <v>0</v>
      </c>
      <c r="AD42" s="603">
        <v>0</v>
      </c>
      <c r="AE42" s="603">
        <v>0</v>
      </c>
      <c r="AF42" s="603">
        <v>0</v>
      </c>
      <c r="AG42" s="603">
        <v>0</v>
      </c>
      <c r="AH42" s="603">
        <v>0</v>
      </c>
      <c r="AI42" s="603">
        <v>0</v>
      </c>
      <c r="AJ42" s="604" t="s">
        <v>2377</v>
      </c>
      <c r="AK42" s="605" t="s">
        <v>1545</v>
      </c>
      <c r="AL42" s="605" t="s">
        <v>1545</v>
      </c>
      <c r="AM42" s="606" t="s">
        <v>2039</v>
      </c>
      <c r="AN42" s="609" t="s">
        <v>12</v>
      </c>
      <c r="AO42" s="610" t="s">
        <v>1368</v>
      </c>
      <c r="AP42" s="610" t="s">
        <v>1368</v>
      </c>
      <c r="AQ42" s="610" t="s">
        <v>1368</v>
      </c>
      <c r="AR42" s="610" t="s">
        <v>1368</v>
      </c>
      <c r="AS42" s="610" t="s">
        <v>1368</v>
      </c>
      <c r="AT42" s="610" t="s">
        <v>1368</v>
      </c>
      <c r="AU42" s="610" t="s">
        <v>1368</v>
      </c>
      <c r="AV42" s="610" t="s">
        <v>1368</v>
      </c>
      <c r="AW42" s="610" t="s">
        <v>1368</v>
      </c>
      <c r="AX42" s="610" t="s">
        <v>1368</v>
      </c>
      <c r="AY42" s="610" t="s">
        <v>1368</v>
      </c>
      <c r="AZ42" s="610" t="s">
        <v>1368</v>
      </c>
      <c r="BA42" s="610" t="s">
        <v>1368</v>
      </c>
      <c r="BB42" s="610" t="s">
        <v>1368</v>
      </c>
      <c r="BC42" s="610" t="s">
        <v>1368</v>
      </c>
      <c r="BD42" s="610" t="s">
        <v>1368</v>
      </c>
      <c r="BE42" s="610" t="s">
        <v>1368</v>
      </c>
      <c r="BF42" s="610" t="s">
        <v>1368</v>
      </c>
      <c r="BG42" s="610" t="s">
        <v>1368</v>
      </c>
      <c r="BH42" s="610" t="s">
        <v>1368</v>
      </c>
      <c r="BI42" s="610" t="s">
        <v>1368</v>
      </c>
      <c r="BJ42" s="610" t="s">
        <v>1368</v>
      </c>
      <c r="BK42" s="610" t="s">
        <v>1368</v>
      </c>
      <c r="BL42" s="610" t="s">
        <v>1368</v>
      </c>
      <c r="BM42" s="610">
        <v>2</v>
      </c>
      <c r="BN42" s="610">
        <v>2</v>
      </c>
      <c r="BO42" s="610">
        <v>2</v>
      </c>
      <c r="BP42" s="610">
        <v>2</v>
      </c>
      <c r="BQ42" s="610">
        <v>2</v>
      </c>
      <c r="BR42" s="610">
        <v>2</v>
      </c>
      <c r="BS42" s="610">
        <v>2</v>
      </c>
      <c r="BT42" s="610">
        <v>2</v>
      </c>
      <c r="BU42" s="610">
        <v>2</v>
      </c>
      <c r="BV42" s="610">
        <v>2</v>
      </c>
      <c r="BW42" s="610">
        <v>2</v>
      </c>
      <c r="BX42" s="610">
        <v>2</v>
      </c>
      <c r="BY42" s="610">
        <v>0</v>
      </c>
      <c r="BZ42" s="610">
        <v>0</v>
      </c>
      <c r="CA42" s="610">
        <v>0</v>
      </c>
      <c r="CB42" s="610">
        <v>0</v>
      </c>
      <c r="CC42" s="610">
        <v>0</v>
      </c>
      <c r="CD42" s="610">
        <v>0</v>
      </c>
      <c r="CE42" s="610">
        <v>0</v>
      </c>
      <c r="CF42" s="610">
        <v>0</v>
      </c>
      <c r="CG42" s="610">
        <v>0</v>
      </c>
      <c r="CH42" s="610">
        <v>0</v>
      </c>
      <c r="CI42" s="610">
        <v>0</v>
      </c>
      <c r="CJ42" s="610">
        <v>0</v>
      </c>
      <c r="CK42" s="610">
        <v>0</v>
      </c>
      <c r="CL42" s="610">
        <v>0</v>
      </c>
      <c r="CM42" s="610">
        <v>0</v>
      </c>
      <c r="CN42" s="610">
        <v>0</v>
      </c>
      <c r="CO42" s="610">
        <v>0</v>
      </c>
      <c r="CP42" s="610">
        <v>0</v>
      </c>
      <c r="CQ42" s="610">
        <v>0</v>
      </c>
      <c r="CR42" s="610">
        <v>0</v>
      </c>
      <c r="CS42" s="610">
        <v>0</v>
      </c>
      <c r="CT42" s="610">
        <v>0</v>
      </c>
      <c r="CU42" s="610">
        <v>0</v>
      </c>
      <c r="CV42" s="610">
        <v>0</v>
      </c>
      <c r="CW42" s="610" t="s">
        <v>14</v>
      </c>
      <c r="CX42" s="610">
        <v>0</v>
      </c>
      <c r="CY42" s="610" t="s">
        <v>1707</v>
      </c>
      <c r="CZ42" s="610" t="s">
        <v>1707</v>
      </c>
      <c r="DA42" s="610" t="s">
        <v>1707</v>
      </c>
      <c r="DB42" s="610" t="s">
        <v>1707</v>
      </c>
      <c r="DC42" s="610" t="s">
        <v>1707</v>
      </c>
      <c r="DD42" s="610" t="s">
        <v>1707</v>
      </c>
      <c r="DE42" s="610" t="s">
        <v>1707</v>
      </c>
      <c r="DF42" s="610" t="s">
        <v>1707</v>
      </c>
      <c r="DG42" s="610" t="s">
        <v>1707</v>
      </c>
      <c r="DH42" s="610" t="s">
        <v>1707</v>
      </c>
      <c r="DI42" s="610" t="s">
        <v>1707</v>
      </c>
      <c r="DJ42" s="610" t="s">
        <v>1707</v>
      </c>
      <c r="DK42" s="610" t="s">
        <v>1368</v>
      </c>
      <c r="DL42" s="610" t="s">
        <v>1368</v>
      </c>
      <c r="DM42" s="610" t="s">
        <v>1368</v>
      </c>
      <c r="DN42" s="610" t="s">
        <v>1368</v>
      </c>
      <c r="DO42" s="610" t="s">
        <v>1368</v>
      </c>
      <c r="DP42" s="610" t="s">
        <v>1368</v>
      </c>
      <c r="DQ42" s="610" t="s">
        <v>1368</v>
      </c>
      <c r="DR42" s="610" t="s">
        <v>1368</v>
      </c>
      <c r="DS42" s="610" t="s">
        <v>1368</v>
      </c>
      <c r="DT42" s="610" t="s">
        <v>1368</v>
      </c>
      <c r="DU42" s="610" t="s">
        <v>1368</v>
      </c>
      <c r="DV42" s="610" t="s">
        <v>1368</v>
      </c>
      <c r="DW42" s="609" t="s">
        <v>1368</v>
      </c>
      <c r="DX42" s="609" t="s">
        <v>1368</v>
      </c>
      <c r="DY42" s="609" t="s">
        <v>1368</v>
      </c>
      <c r="DZ42" s="609" t="s">
        <v>1368</v>
      </c>
      <c r="EA42" s="609" t="s">
        <v>1368</v>
      </c>
      <c r="EB42" s="609" t="s">
        <v>1368</v>
      </c>
      <c r="EC42" s="609" t="s">
        <v>1368</v>
      </c>
      <c r="ED42" s="609" t="s">
        <v>1368</v>
      </c>
      <c r="EE42" s="609" t="s">
        <v>1368</v>
      </c>
      <c r="EF42" s="609" t="s">
        <v>1368</v>
      </c>
      <c r="EG42" s="609" t="s">
        <v>1368</v>
      </c>
      <c r="EH42" s="609" t="s">
        <v>1368</v>
      </c>
      <c r="EI42" s="610" t="s">
        <v>1707</v>
      </c>
      <c r="EJ42" s="610" t="s">
        <v>1707</v>
      </c>
      <c r="EK42" s="610" t="s">
        <v>1707</v>
      </c>
      <c r="EL42" s="610" t="s">
        <v>1707</v>
      </c>
      <c r="EM42" s="610" t="s">
        <v>1707</v>
      </c>
      <c r="EN42" s="610" t="s">
        <v>1707</v>
      </c>
      <c r="EO42" s="610" t="s">
        <v>1707</v>
      </c>
      <c r="EP42" s="610" t="s">
        <v>1707</v>
      </c>
      <c r="EQ42" s="610" t="s">
        <v>1707</v>
      </c>
      <c r="ER42" s="610" t="s">
        <v>1707</v>
      </c>
      <c r="ES42" s="610" t="s">
        <v>1707</v>
      </c>
      <c r="ET42" s="610" t="s">
        <v>1707</v>
      </c>
      <c r="EU42" s="610">
        <v>3980</v>
      </c>
      <c r="EV42" s="610" t="s">
        <v>1707</v>
      </c>
      <c r="EW42" s="610" t="s">
        <v>1707</v>
      </c>
      <c r="EX42" s="610" t="s">
        <v>1707</v>
      </c>
      <c r="EY42" s="610" t="s">
        <v>1707</v>
      </c>
      <c r="EZ42" s="610" t="s">
        <v>1707</v>
      </c>
      <c r="FA42" s="610" t="s">
        <v>1707</v>
      </c>
      <c r="FB42" s="610" t="s">
        <v>1707</v>
      </c>
      <c r="FC42" s="610" t="s">
        <v>1707</v>
      </c>
      <c r="FD42" s="610" t="s">
        <v>1707</v>
      </c>
      <c r="FE42" s="610" t="s">
        <v>1707</v>
      </c>
      <c r="FF42" s="610" t="s">
        <v>1707</v>
      </c>
      <c r="FG42" s="610" t="s">
        <v>1707</v>
      </c>
      <c r="FH42" s="610">
        <v>37</v>
      </c>
      <c r="FI42" s="610">
        <v>37</v>
      </c>
      <c r="FJ42" s="610">
        <v>37</v>
      </c>
      <c r="FK42" s="610">
        <v>37</v>
      </c>
      <c r="FL42" s="610">
        <v>37</v>
      </c>
      <c r="FM42" s="610">
        <v>37</v>
      </c>
      <c r="FN42" s="610">
        <v>37</v>
      </c>
      <c r="FO42" s="610">
        <v>37</v>
      </c>
      <c r="FP42" s="610">
        <v>37</v>
      </c>
      <c r="FQ42" s="610">
        <v>37</v>
      </c>
      <c r="FR42" s="610" t="s">
        <v>2487</v>
      </c>
      <c r="FS42" s="610" t="s">
        <v>2487</v>
      </c>
      <c r="FT42" s="610" t="s">
        <v>2487</v>
      </c>
      <c r="FU42" s="610" t="s">
        <v>2487</v>
      </c>
      <c r="FV42" s="610" t="s">
        <v>2487</v>
      </c>
      <c r="FW42" s="610" t="s">
        <v>2487</v>
      </c>
      <c r="FX42" s="610" t="s">
        <v>2487</v>
      </c>
      <c r="FY42" s="610" t="s">
        <v>2487</v>
      </c>
      <c r="FZ42" s="610" t="s">
        <v>2487</v>
      </c>
      <c r="GA42" s="610" t="s">
        <v>2487</v>
      </c>
      <c r="GB42" s="610" t="s">
        <v>2487</v>
      </c>
      <c r="GC42" s="610" t="s">
        <v>2487</v>
      </c>
      <c r="GD42" s="564">
        <f t="shared" si="3"/>
        <v>79950</v>
      </c>
      <c r="GE42" s="564">
        <f t="shared" si="4"/>
        <v>79950</v>
      </c>
      <c r="GF42" s="564">
        <f t="shared" si="5"/>
        <v>79950</v>
      </c>
      <c r="GG42" s="564">
        <f t="shared" si="6"/>
        <v>79950</v>
      </c>
      <c r="GH42" s="564">
        <f t="shared" si="7"/>
        <v>79950</v>
      </c>
      <c r="GI42" s="564">
        <f t="shared" si="8"/>
        <v>79950</v>
      </c>
      <c r="GJ42" s="564">
        <f t="shared" si="9"/>
        <v>79950</v>
      </c>
      <c r="GK42" s="564">
        <f t="shared" si="10"/>
        <v>79950</v>
      </c>
      <c r="GL42" s="564">
        <f t="shared" si="11"/>
        <v>79950</v>
      </c>
      <c r="GM42" s="564">
        <f t="shared" si="12"/>
        <v>79950</v>
      </c>
      <c r="GN42" s="564">
        <f t="shared" si="13"/>
        <v>79950</v>
      </c>
      <c r="GO42" s="564">
        <f t="shared" si="14"/>
        <v>79950</v>
      </c>
      <c r="GP42" s="564"/>
      <c r="GS42" s="375" t="s">
        <v>1451</v>
      </c>
      <c r="GT42" s="374" t="str">
        <f t="shared" si="15"/>
        <v>〇</v>
      </c>
    </row>
    <row r="43" spans="2:202">
      <c r="B43" s="371">
        <v>39</v>
      </c>
      <c r="C43" s="378">
        <v>39</v>
      </c>
      <c r="D43" s="373" t="s">
        <v>1452</v>
      </c>
      <c r="E43" s="373" t="s">
        <v>14</v>
      </c>
      <c r="F43" s="603">
        <f t="shared" si="2"/>
        <v>30</v>
      </c>
      <c r="G43" s="603"/>
      <c r="H43" s="603">
        <v>15</v>
      </c>
      <c r="I43" s="603">
        <v>15</v>
      </c>
      <c r="J43" s="603"/>
      <c r="K43" s="603"/>
      <c r="L43" s="603"/>
      <c r="M43" s="603"/>
      <c r="N43" s="608"/>
      <c r="O43" s="603">
        <v>1577000</v>
      </c>
      <c r="P43" s="603">
        <v>0</v>
      </c>
      <c r="Q43" s="603">
        <v>0</v>
      </c>
      <c r="R43" s="603">
        <v>1188000</v>
      </c>
      <c r="S43" s="603">
        <v>1791000</v>
      </c>
      <c r="T43" s="603">
        <v>0</v>
      </c>
      <c r="U43" s="603">
        <v>0</v>
      </c>
      <c r="V43" s="603">
        <v>0</v>
      </c>
      <c r="W43" s="603">
        <v>0</v>
      </c>
      <c r="X43" s="603">
        <v>0</v>
      </c>
      <c r="Y43" s="603">
        <v>0</v>
      </c>
      <c r="Z43" s="603">
        <v>0</v>
      </c>
      <c r="AA43" s="603">
        <v>0</v>
      </c>
      <c r="AB43" s="603">
        <v>0</v>
      </c>
      <c r="AC43" s="603">
        <v>0</v>
      </c>
      <c r="AD43" s="603">
        <v>0</v>
      </c>
      <c r="AE43" s="603">
        <v>0</v>
      </c>
      <c r="AF43" s="603">
        <v>0</v>
      </c>
      <c r="AG43" s="603">
        <v>0</v>
      </c>
      <c r="AH43" s="603">
        <v>0</v>
      </c>
      <c r="AI43" s="603">
        <v>0</v>
      </c>
      <c r="AJ43" s="604" t="s">
        <v>2377</v>
      </c>
      <c r="AK43" s="605" t="s">
        <v>1545</v>
      </c>
      <c r="AL43" s="605" t="s">
        <v>1545</v>
      </c>
      <c r="AM43" s="606" t="s">
        <v>2040</v>
      </c>
      <c r="AN43" s="609" t="s">
        <v>12</v>
      </c>
      <c r="AO43" s="610" t="s">
        <v>1368</v>
      </c>
      <c r="AP43" s="610" t="s">
        <v>1368</v>
      </c>
      <c r="AQ43" s="610" t="s">
        <v>1368</v>
      </c>
      <c r="AR43" s="610" t="s">
        <v>1368</v>
      </c>
      <c r="AS43" s="610" t="s">
        <v>1368</v>
      </c>
      <c r="AT43" s="610" t="s">
        <v>1368</v>
      </c>
      <c r="AU43" s="610" t="s">
        <v>1368</v>
      </c>
      <c r="AV43" s="610" t="s">
        <v>1368</v>
      </c>
      <c r="AW43" s="610" t="s">
        <v>1368</v>
      </c>
      <c r="AX43" s="610" t="s">
        <v>1368</v>
      </c>
      <c r="AY43" s="610" t="s">
        <v>1368</v>
      </c>
      <c r="AZ43" s="610" t="s">
        <v>1368</v>
      </c>
      <c r="BA43" s="610" t="s">
        <v>1368</v>
      </c>
      <c r="BB43" s="610" t="s">
        <v>1368</v>
      </c>
      <c r="BC43" s="610" t="s">
        <v>1368</v>
      </c>
      <c r="BD43" s="610" t="s">
        <v>1368</v>
      </c>
      <c r="BE43" s="610" t="s">
        <v>1368</v>
      </c>
      <c r="BF43" s="610" t="s">
        <v>1368</v>
      </c>
      <c r="BG43" s="610" t="s">
        <v>1368</v>
      </c>
      <c r="BH43" s="610" t="s">
        <v>1368</v>
      </c>
      <c r="BI43" s="610" t="s">
        <v>1368</v>
      </c>
      <c r="BJ43" s="610" t="s">
        <v>1368</v>
      </c>
      <c r="BK43" s="610" t="s">
        <v>1368</v>
      </c>
      <c r="BL43" s="610" t="s">
        <v>1368</v>
      </c>
      <c r="BM43" s="610">
        <v>0</v>
      </c>
      <c r="BN43" s="610">
        <v>0</v>
      </c>
      <c r="BO43" s="610">
        <v>0</v>
      </c>
      <c r="BP43" s="610">
        <v>0</v>
      </c>
      <c r="BQ43" s="610">
        <v>0</v>
      </c>
      <c r="BR43" s="610">
        <v>0</v>
      </c>
      <c r="BS43" s="610">
        <v>0</v>
      </c>
      <c r="BT43" s="610">
        <v>0</v>
      </c>
      <c r="BU43" s="610">
        <v>0</v>
      </c>
      <c r="BV43" s="610">
        <v>0</v>
      </c>
      <c r="BW43" s="610">
        <v>0</v>
      </c>
      <c r="BX43" s="610">
        <v>0</v>
      </c>
      <c r="BY43" s="610">
        <v>0</v>
      </c>
      <c r="BZ43" s="610">
        <v>0</v>
      </c>
      <c r="CA43" s="610">
        <v>0</v>
      </c>
      <c r="CB43" s="610">
        <v>0</v>
      </c>
      <c r="CC43" s="610">
        <v>0</v>
      </c>
      <c r="CD43" s="610">
        <v>0</v>
      </c>
      <c r="CE43" s="610">
        <v>0</v>
      </c>
      <c r="CF43" s="610">
        <v>0</v>
      </c>
      <c r="CG43" s="610">
        <v>0</v>
      </c>
      <c r="CH43" s="610">
        <v>0</v>
      </c>
      <c r="CI43" s="610">
        <v>0</v>
      </c>
      <c r="CJ43" s="610">
        <v>0</v>
      </c>
      <c r="CK43" s="610">
        <v>0</v>
      </c>
      <c r="CL43" s="610">
        <v>0</v>
      </c>
      <c r="CM43" s="610">
        <v>0</v>
      </c>
      <c r="CN43" s="610">
        <v>0</v>
      </c>
      <c r="CO43" s="610">
        <v>0</v>
      </c>
      <c r="CP43" s="610">
        <v>0</v>
      </c>
      <c r="CQ43" s="610">
        <v>0</v>
      </c>
      <c r="CR43" s="610">
        <v>0</v>
      </c>
      <c r="CS43" s="610">
        <v>0</v>
      </c>
      <c r="CT43" s="610">
        <v>0</v>
      </c>
      <c r="CU43" s="610">
        <v>0</v>
      </c>
      <c r="CV43" s="610">
        <v>0</v>
      </c>
      <c r="CW43" s="610" t="s">
        <v>14</v>
      </c>
      <c r="CX43" s="610">
        <v>0</v>
      </c>
      <c r="CY43" s="610" t="s">
        <v>1707</v>
      </c>
      <c r="CZ43" s="610" t="s">
        <v>1707</v>
      </c>
      <c r="DA43" s="610" t="s">
        <v>1707</v>
      </c>
      <c r="DB43" s="610" t="s">
        <v>1707</v>
      </c>
      <c r="DC43" s="610" t="s">
        <v>1707</v>
      </c>
      <c r="DD43" s="610" t="s">
        <v>1707</v>
      </c>
      <c r="DE43" s="610" t="s">
        <v>1707</v>
      </c>
      <c r="DF43" s="610" t="s">
        <v>1707</v>
      </c>
      <c r="DG43" s="610" t="s">
        <v>1707</v>
      </c>
      <c r="DH43" s="610" t="s">
        <v>1707</v>
      </c>
      <c r="DI43" s="610" t="s">
        <v>1707</v>
      </c>
      <c r="DJ43" s="610" t="s">
        <v>1707</v>
      </c>
      <c r="DK43" s="610" t="s">
        <v>1368</v>
      </c>
      <c r="DL43" s="610" t="s">
        <v>1368</v>
      </c>
      <c r="DM43" s="610" t="s">
        <v>1368</v>
      </c>
      <c r="DN43" s="610" t="s">
        <v>1368</v>
      </c>
      <c r="DO43" s="610" t="s">
        <v>1368</v>
      </c>
      <c r="DP43" s="610" t="s">
        <v>1368</v>
      </c>
      <c r="DQ43" s="610" t="s">
        <v>1368</v>
      </c>
      <c r="DR43" s="610" t="s">
        <v>1368</v>
      </c>
      <c r="DS43" s="610" t="s">
        <v>1368</v>
      </c>
      <c r="DT43" s="610" t="s">
        <v>1368</v>
      </c>
      <c r="DU43" s="610" t="s">
        <v>1368</v>
      </c>
      <c r="DV43" s="610" t="s">
        <v>1368</v>
      </c>
      <c r="DW43" s="609" t="s">
        <v>1368</v>
      </c>
      <c r="DX43" s="609" t="s">
        <v>1368</v>
      </c>
      <c r="DY43" s="609" t="s">
        <v>1368</v>
      </c>
      <c r="DZ43" s="609" t="s">
        <v>1368</v>
      </c>
      <c r="EA43" s="609" t="s">
        <v>1368</v>
      </c>
      <c r="EB43" s="609" t="s">
        <v>1368</v>
      </c>
      <c r="EC43" s="609" t="s">
        <v>1368</v>
      </c>
      <c r="ED43" s="609" t="s">
        <v>1368</v>
      </c>
      <c r="EE43" s="609" t="s">
        <v>1368</v>
      </c>
      <c r="EF43" s="609" t="s">
        <v>1368</v>
      </c>
      <c r="EG43" s="609" t="s">
        <v>1368</v>
      </c>
      <c r="EH43" s="609" t="s">
        <v>1368</v>
      </c>
      <c r="EI43" s="610" t="s">
        <v>1707</v>
      </c>
      <c r="EJ43" s="610" t="s">
        <v>1707</v>
      </c>
      <c r="EK43" s="610" t="s">
        <v>1707</v>
      </c>
      <c r="EL43" s="610" t="s">
        <v>1707</v>
      </c>
      <c r="EM43" s="610" t="s">
        <v>1707</v>
      </c>
      <c r="EN43" s="610" t="s">
        <v>1707</v>
      </c>
      <c r="EO43" s="610" t="s">
        <v>1707</v>
      </c>
      <c r="EP43" s="610" t="s">
        <v>1707</v>
      </c>
      <c r="EQ43" s="610" t="s">
        <v>1707</v>
      </c>
      <c r="ER43" s="610" t="s">
        <v>1707</v>
      </c>
      <c r="ES43" s="610" t="s">
        <v>1707</v>
      </c>
      <c r="ET43" s="610" t="s">
        <v>1707</v>
      </c>
      <c r="EU43" s="610">
        <v>4070</v>
      </c>
      <c r="EV43" s="610" t="s">
        <v>1707</v>
      </c>
      <c r="EW43" s="610" t="s">
        <v>1707</v>
      </c>
      <c r="EX43" s="610" t="s">
        <v>1707</v>
      </c>
      <c r="EY43" s="610" t="s">
        <v>1707</v>
      </c>
      <c r="EZ43" s="610" t="s">
        <v>1707</v>
      </c>
      <c r="FA43" s="610" t="s">
        <v>1707</v>
      </c>
      <c r="FB43" s="610" t="s">
        <v>1707</v>
      </c>
      <c r="FC43" s="610" t="s">
        <v>1707</v>
      </c>
      <c r="FD43" s="610" t="s">
        <v>1707</v>
      </c>
      <c r="FE43" s="610" t="s">
        <v>1707</v>
      </c>
      <c r="FF43" s="610" t="s">
        <v>1707</v>
      </c>
      <c r="FG43" s="610" t="s">
        <v>1707</v>
      </c>
      <c r="FH43" s="610">
        <v>9</v>
      </c>
      <c r="FI43" s="610">
        <v>9</v>
      </c>
      <c r="FJ43" s="610">
        <v>9</v>
      </c>
      <c r="FK43" s="610">
        <v>9</v>
      </c>
      <c r="FL43" s="610">
        <v>9</v>
      </c>
      <c r="FM43" s="610">
        <v>9</v>
      </c>
      <c r="FN43" s="610">
        <v>9</v>
      </c>
      <c r="FO43" s="610">
        <v>9</v>
      </c>
      <c r="FP43" s="610">
        <v>9</v>
      </c>
      <c r="FQ43" s="610">
        <v>9</v>
      </c>
      <c r="FR43" s="610" t="s">
        <v>2487</v>
      </c>
      <c r="FS43" s="610" t="s">
        <v>2487</v>
      </c>
      <c r="FT43" s="610" t="s">
        <v>2487</v>
      </c>
      <c r="FU43" s="610" t="s">
        <v>2487</v>
      </c>
      <c r="FV43" s="610" t="s">
        <v>2487</v>
      </c>
      <c r="FW43" s="610" t="s">
        <v>2487</v>
      </c>
      <c r="FX43" s="610" t="s">
        <v>2487</v>
      </c>
      <c r="FY43" s="610" t="s">
        <v>2487</v>
      </c>
      <c r="FZ43" s="610" t="s">
        <v>2487</v>
      </c>
      <c r="GA43" s="610" t="s">
        <v>2487</v>
      </c>
      <c r="GB43" s="610" t="s">
        <v>2487</v>
      </c>
      <c r="GC43" s="610" t="s">
        <v>2487</v>
      </c>
      <c r="GD43" s="564">
        <f t="shared" si="3"/>
        <v>79950</v>
      </c>
      <c r="GE43" s="564">
        <f t="shared" si="4"/>
        <v>79950</v>
      </c>
      <c r="GF43" s="564">
        <f t="shared" si="5"/>
        <v>79950</v>
      </c>
      <c r="GG43" s="564">
        <f t="shared" si="6"/>
        <v>79950</v>
      </c>
      <c r="GH43" s="564">
        <f t="shared" si="7"/>
        <v>79950</v>
      </c>
      <c r="GI43" s="564">
        <f t="shared" si="8"/>
        <v>79950</v>
      </c>
      <c r="GJ43" s="564">
        <f t="shared" si="9"/>
        <v>79950</v>
      </c>
      <c r="GK43" s="564">
        <f t="shared" si="10"/>
        <v>79950</v>
      </c>
      <c r="GL43" s="564">
        <f t="shared" si="11"/>
        <v>79950</v>
      </c>
      <c r="GM43" s="564">
        <f t="shared" si="12"/>
        <v>79950</v>
      </c>
      <c r="GN43" s="564">
        <f t="shared" si="13"/>
        <v>79950</v>
      </c>
      <c r="GO43" s="564">
        <f t="shared" si="14"/>
        <v>79950</v>
      </c>
      <c r="GP43" s="564"/>
      <c r="GS43" s="375" t="s">
        <v>1452</v>
      </c>
      <c r="GT43" s="374" t="str">
        <f t="shared" si="15"/>
        <v>〇</v>
      </c>
    </row>
    <row r="44" spans="2:202">
      <c r="B44" s="371">
        <v>40</v>
      </c>
      <c r="C44" s="378">
        <v>40</v>
      </c>
      <c r="D44" s="373" t="s">
        <v>1622</v>
      </c>
      <c r="E44" s="373" t="s">
        <v>14</v>
      </c>
      <c r="F44" s="603">
        <f t="shared" si="2"/>
        <v>30</v>
      </c>
      <c r="G44" s="603"/>
      <c r="H44" s="603">
        <v>15</v>
      </c>
      <c r="I44" s="603">
        <v>15</v>
      </c>
      <c r="J44" s="603"/>
      <c r="K44" s="603"/>
      <c r="L44" s="603"/>
      <c r="M44" s="603"/>
      <c r="N44" s="608"/>
      <c r="O44" s="603">
        <v>1577000</v>
      </c>
      <c r="P44" s="603">
        <v>0</v>
      </c>
      <c r="Q44" s="603">
        <v>0</v>
      </c>
      <c r="R44" s="603">
        <v>1188000</v>
      </c>
      <c r="S44" s="603">
        <v>0</v>
      </c>
      <c r="T44" s="603">
        <v>0</v>
      </c>
      <c r="U44" s="603">
        <v>0</v>
      </c>
      <c r="V44" s="603">
        <v>0</v>
      </c>
      <c r="W44" s="603">
        <v>0</v>
      </c>
      <c r="X44" s="603">
        <v>0</v>
      </c>
      <c r="Y44" s="603">
        <v>0</v>
      </c>
      <c r="Z44" s="603">
        <v>0</v>
      </c>
      <c r="AA44" s="603">
        <v>0</v>
      </c>
      <c r="AB44" s="603">
        <v>0</v>
      </c>
      <c r="AC44" s="603">
        <v>0</v>
      </c>
      <c r="AD44" s="603">
        <v>0</v>
      </c>
      <c r="AE44" s="603">
        <v>0</v>
      </c>
      <c r="AF44" s="603">
        <v>0</v>
      </c>
      <c r="AG44" s="603">
        <v>0</v>
      </c>
      <c r="AH44" s="603">
        <v>0</v>
      </c>
      <c r="AI44" s="603">
        <v>0</v>
      </c>
      <c r="AJ44" s="604" t="s">
        <v>2377</v>
      </c>
      <c r="AK44" s="605" t="s">
        <v>1545</v>
      </c>
      <c r="AL44" s="605" t="s">
        <v>1545</v>
      </c>
      <c r="AM44" s="606" t="s">
        <v>2041</v>
      </c>
      <c r="AN44" s="609" t="s">
        <v>12</v>
      </c>
      <c r="AO44" s="610" t="s">
        <v>1368</v>
      </c>
      <c r="AP44" s="610" t="s">
        <v>1368</v>
      </c>
      <c r="AQ44" s="610" t="s">
        <v>1368</v>
      </c>
      <c r="AR44" s="610" t="s">
        <v>1368</v>
      </c>
      <c r="AS44" s="610" t="s">
        <v>1368</v>
      </c>
      <c r="AT44" s="610" t="s">
        <v>1368</v>
      </c>
      <c r="AU44" s="610" t="s">
        <v>1368</v>
      </c>
      <c r="AV44" s="610" t="s">
        <v>1368</v>
      </c>
      <c r="AW44" s="610" t="s">
        <v>1368</v>
      </c>
      <c r="AX44" s="610" t="s">
        <v>1368</v>
      </c>
      <c r="AY44" s="610" t="s">
        <v>1368</v>
      </c>
      <c r="AZ44" s="610" t="s">
        <v>1368</v>
      </c>
      <c r="BA44" s="610" t="s">
        <v>1368</v>
      </c>
      <c r="BB44" s="610" t="s">
        <v>1368</v>
      </c>
      <c r="BC44" s="610" t="s">
        <v>1368</v>
      </c>
      <c r="BD44" s="610" t="s">
        <v>1368</v>
      </c>
      <c r="BE44" s="610" t="s">
        <v>1368</v>
      </c>
      <c r="BF44" s="610" t="s">
        <v>1368</v>
      </c>
      <c r="BG44" s="610" t="s">
        <v>1368</v>
      </c>
      <c r="BH44" s="610" t="s">
        <v>1368</v>
      </c>
      <c r="BI44" s="610" t="s">
        <v>1368</v>
      </c>
      <c r="BJ44" s="610" t="s">
        <v>1368</v>
      </c>
      <c r="BK44" s="610" t="s">
        <v>1368</v>
      </c>
      <c r="BL44" s="610" t="s">
        <v>1368</v>
      </c>
      <c r="BM44" s="610">
        <v>1</v>
      </c>
      <c r="BN44" s="610">
        <v>1</v>
      </c>
      <c r="BO44" s="610">
        <v>1</v>
      </c>
      <c r="BP44" s="610">
        <v>1</v>
      </c>
      <c r="BQ44" s="610">
        <v>1</v>
      </c>
      <c r="BR44" s="610">
        <v>1</v>
      </c>
      <c r="BS44" s="610">
        <v>1</v>
      </c>
      <c r="BT44" s="610">
        <v>1</v>
      </c>
      <c r="BU44" s="610">
        <v>1</v>
      </c>
      <c r="BV44" s="610">
        <v>1</v>
      </c>
      <c r="BW44" s="610">
        <v>1</v>
      </c>
      <c r="BX44" s="610">
        <v>1</v>
      </c>
      <c r="BY44" s="610">
        <v>0</v>
      </c>
      <c r="BZ44" s="610">
        <v>0</v>
      </c>
      <c r="CA44" s="610">
        <v>0</v>
      </c>
      <c r="CB44" s="610">
        <v>0</v>
      </c>
      <c r="CC44" s="610">
        <v>0</v>
      </c>
      <c r="CD44" s="610">
        <v>0</v>
      </c>
      <c r="CE44" s="610">
        <v>0</v>
      </c>
      <c r="CF44" s="610">
        <v>0</v>
      </c>
      <c r="CG44" s="610">
        <v>0</v>
      </c>
      <c r="CH44" s="610">
        <v>0</v>
      </c>
      <c r="CI44" s="610">
        <v>0</v>
      </c>
      <c r="CJ44" s="610">
        <v>0</v>
      </c>
      <c r="CK44" s="610">
        <v>0</v>
      </c>
      <c r="CL44" s="610">
        <v>0</v>
      </c>
      <c r="CM44" s="610">
        <v>0</v>
      </c>
      <c r="CN44" s="610">
        <v>0</v>
      </c>
      <c r="CO44" s="610">
        <v>0</v>
      </c>
      <c r="CP44" s="610">
        <v>0</v>
      </c>
      <c r="CQ44" s="610">
        <v>0</v>
      </c>
      <c r="CR44" s="610">
        <v>0</v>
      </c>
      <c r="CS44" s="610">
        <v>0</v>
      </c>
      <c r="CT44" s="610">
        <v>0</v>
      </c>
      <c r="CU44" s="610">
        <v>0</v>
      </c>
      <c r="CV44" s="610">
        <v>0</v>
      </c>
      <c r="CW44" s="610" t="s">
        <v>14</v>
      </c>
      <c r="CX44" s="610">
        <v>0</v>
      </c>
      <c r="CY44" s="610" t="s">
        <v>1707</v>
      </c>
      <c r="CZ44" s="610" t="s">
        <v>1707</v>
      </c>
      <c r="DA44" s="610" t="s">
        <v>1707</v>
      </c>
      <c r="DB44" s="610" t="s">
        <v>1707</v>
      </c>
      <c r="DC44" s="610" t="s">
        <v>1707</v>
      </c>
      <c r="DD44" s="610" t="s">
        <v>1707</v>
      </c>
      <c r="DE44" s="610" t="s">
        <v>1707</v>
      </c>
      <c r="DF44" s="610" t="s">
        <v>1707</v>
      </c>
      <c r="DG44" s="610" t="s">
        <v>1707</v>
      </c>
      <c r="DH44" s="610" t="s">
        <v>1707</v>
      </c>
      <c r="DI44" s="610" t="s">
        <v>1707</v>
      </c>
      <c r="DJ44" s="610" t="s">
        <v>1707</v>
      </c>
      <c r="DK44" s="610" t="s">
        <v>1368</v>
      </c>
      <c r="DL44" s="610" t="s">
        <v>1368</v>
      </c>
      <c r="DM44" s="610" t="s">
        <v>1368</v>
      </c>
      <c r="DN44" s="610" t="s">
        <v>1368</v>
      </c>
      <c r="DO44" s="610" t="s">
        <v>1368</v>
      </c>
      <c r="DP44" s="610" t="s">
        <v>1368</v>
      </c>
      <c r="DQ44" s="610" t="s">
        <v>1368</v>
      </c>
      <c r="DR44" s="610" t="s">
        <v>1368</v>
      </c>
      <c r="DS44" s="610" t="s">
        <v>1368</v>
      </c>
      <c r="DT44" s="610" t="s">
        <v>1368</v>
      </c>
      <c r="DU44" s="610" t="s">
        <v>1368</v>
      </c>
      <c r="DV44" s="610" t="s">
        <v>1368</v>
      </c>
      <c r="DW44" s="609" t="s">
        <v>1368</v>
      </c>
      <c r="DX44" s="609" t="s">
        <v>1368</v>
      </c>
      <c r="DY44" s="609" t="s">
        <v>1368</v>
      </c>
      <c r="DZ44" s="609" t="s">
        <v>1368</v>
      </c>
      <c r="EA44" s="609" t="s">
        <v>1368</v>
      </c>
      <c r="EB44" s="609" t="s">
        <v>1368</v>
      </c>
      <c r="EC44" s="609" t="s">
        <v>1368</v>
      </c>
      <c r="ED44" s="609" t="s">
        <v>1368</v>
      </c>
      <c r="EE44" s="609" t="s">
        <v>1368</v>
      </c>
      <c r="EF44" s="609" t="s">
        <v>1368</v>
      </c>
      <c r="EG44" s="609" t="s">
        <v>1368</v>
      </c>
      <c r="EH44" s="609" t="s">
        <v>1368</v>
      </c>
      <c r="EI44" s="610" t="s">
        <v>1707</v>
      </c>
      <c r="EJ44" s="610" t="s">
        <v>1707</v>
      </c>
      <c r="EK44" s="610" t="s">
        <v>1707</v>
      </c>
      <c r="EL44" s="610" t="s">
        <v>1707</v>
      </c>
      <c r="EM44" s="610" t="s">
        <v>1707</v>
      </c>
      <c r="EN44" s="610" t="s">
        <v>1707</v>
      </c>
      <c r="EO44" s="610" t="s">
        <v>1707</v>
      </c>
      <c r="EP44" s="610" t="s">
        <v>1707</v>
      </c>
      <c r="EQ44" s="610" t="s">
        <v>1707</v>
      </c>
      <c r="ER44" s="610" t="s">
        <v>1707</v>
      </c>
      <c r="ES44" s="610" t="s">
        <v>1707</v>
      </c>
      <c r="ET44" s="610" t="s">
        <v>1707</v>
      </c>
      <c r="EU44" s="610">
        <v>3980</v>
      </c>
      <c r="EV44" s="610" t="s">
        <v>1707</v>
      </c>
      <c r="EW44" s="610" t="s">
        <v>1707</v>
      </c>
      <c r="EX44" s="610" t="s">
        <v>1707</v>
      </c>
      <c r="EY44" s="610" t="s">
        <v>1707</v>
      </c>
      <c r="EZ44" s="610" t="s">
        <v>1707</v>
      </c>
      <c r="FA44" s="610" t="s">
        <v>1707</v>
      </c>
      <c r="FB44" s="610" t="s">
        <v>1707</v>
      </c>
      <c r="FC44" s="610" t="s">
        <v>1707</v>
      </c>
      <c r="FD44" s="610" t="s">
        <v>1707</v>
      </c>
      <c r="FE44" s="610" t="s">
        <v>1707</v>
      </c>
      <c r="FF44" s="610" t="s">
        <v>1707</v>
      </c>
      <c r="FG44" s="610" t="s">
        <v>1707</v>
      </c>
      <c r="FH44" s="610">
        <v>10</v>
      </c>
      <c r="FI44" s="610">
        <v>10</v>
      </c>
      <c r="FJ44" s="610">
        <v>10</v>
      </c>
      <c r="FK44" s="610">
        <v>10</v>
      </c>
      <c r="FL44" s="610">
        <v>10</v>
      </c>
      <c r="FM44" s="610">
        <v>10</v>
      </c>
      <c r="FN44" s="610">
        <v>10</v>
      </c>
      <c r="FO44" s="610">
        <v>10</v>
      </c>
      <c r="FP44" s="610">
        <v>10</v>
      </c>
      <c r="FQ44" s="610">
        <v>10</v>
      </c>
      <c r="FR44" s="610" t="s">
        <v>2487</v>
      </c>
      <c r="FS44" s="610" t="s">
        <v>2487</v>
      </c>
      <c r="FT44" s="610" t="s">
        <v>2487</v>
      </c>
      <c r="FU44" s="610" t="s">
        <v>2487</v>
      </c>
      <c r="FV44" s="610" t="s">
        <v>2487</v>
      </c>
      <c r="FW44" s="610" t="s">
        <v>2487</v>
      </c>
      <c r="FX44" s="610" t="s">
        <v>2487</v>
      </c>
      <c r="FY44" s="610" t="s">
        <v>2487</v>
      </c>
      <c r="FZ44" s="610" t="s">
        <v>2487</v>
      </c>
      <c r="GA44" s="610" t="s">
        <v>2487</v>
      </c>
      <c r="GB44" s="610" t="s">
        <v>2487</v>
      </c>
      <c r="GC44" s="610" t="s">
        <v>2487</v>
      </c>
      <c r="GD44" s="564">
        <f t="shared" si="3"/>
        <v>79950</v>
      </c>
      <c r="GE44" s="564">
        <f t="shared" si="4"/>
        <v>79950</v>
      </c>
      <c r="GF44" s="564">
        <f t="shared" si="5"/>
        <v>79950</v>
      </c>
      <c r="GG44" s="564">
        <f t="shared" si="6"/>
        <v>79950</v>
      </c>
      <c r="GH44" s="564">
        <f t="shared" si="7"/>
        <v>79950</v>
      </c>
      <c r="GI44" s="564">
        <f t="shared" si="8"/>
        <v>79950</v>
      </c>
      <c r="GJ44" s="564">
        <f t="shared" si="9"/>
        <v>79950</v>
      </c>
      <c r="GK44" s="564">
        <f t="shared" si="10"/>
        <v>79950</v>
      </c>
      <c r="GL44" s="564">
        <f t="shared" si="11"/>
        <v>79950</v>
      </c>
      <c r="GM44" s="564">
        <f t="shared" si="12"/>
        <v>79950</v>
      </c>
      <c r="GN44" s="564">
        <f t="shared" si="13"/>
        <v>79950</v>
      </c>
      <c r="GO44" s="564">
        <f t="shared" si="14"/>
        <v>79950</v>
      </c>
      <c r="GP44" s="564"/>
      <c r="GS44" s="375" t="s">
        <v>1622</v>
      </c>
      <c r="GT44" s="374" t="str">
        <f t="shared" si="15"/>
        <v>〇</v>
      </c>
    </row>
    <row r="45" spans="2:202">
      <c r="B45" s="371">
        <v>41</v>
      </c>
      <c r="C45" s="378">
        <v>41</v>
      </c>
      <c r="D45" s="373" t="s">
        <v>1453</v>
      </c>
      <c r="E45" s="373" t="s">
        <v>14</v>
      </c>
      <c r="F45" s="603">
        <f t="shared" si="2"/>
        <v>40</v>
      </c>
      <c r="G45" s="603"/>
      <c r="H45" s="603">
        <v>24</v>
      </c>
      <c r="I45" s="603">
        <v>16</v>
      </c>
      <c r="J45" s="603"/>
      <c r="K45" s="603"/>
      <c r="L45" s="603"/>
      <c r="M45" s="603"/>
      <c r="N45" s="608"/>
      <c r="O45" s="603">
        <v>1577000</v>
      </c>
      <c r="P45" s="603">
        <v>2721000</v>
      </c>
      <c r="Q45" s="603">
        <v>0</v>
      </c>
      <c r="R45" s="603">
        <v>0</v>
      </c>
      <c r="S45" s="603">
        <v>0</v>
      </c>
      <c r="T45" s="603">
        <v>0</v>
      </c>
      <c r="U45" s="603">
        <v>0</v>
      </c>
      <c r="V45" s="603">
        <v>1051000</v>
      </c>
      <c r="W45" s="603">
        <v>1814000</v>
      </c>
      <c r="X45" s="603">
        <v>0</v>
      </c>
      <c r="Y45" s="603">
        <v>0</v>
      </c>
      <c r="Z45" s="603">
        <v>0</v>
      </c>
      <c r="AA45" s="603">
        <v>0</v>
      </c>
      <c r="AB45" s="603">
        <v>0</v>
      </c>
      <c r="AC45" s="603">
        <v>526000</v>
      </c>
      <c r="AD45" s="603">
        <v>907000</v>
      </c>
      <c r="AE45" s="603">
        <v>0</v>
      </c>
      <c r="AF45" s="603">
        <v>0</v>
      </c>
      <c r="AG45" s="603">
        <v>0</v>
      </c>
      <c r="AH45" s="603">
        <v>0</v>
      </c>
      <c r="AI45" s="603">
        <v>0</v>
      </c>
      <c r="AJ45" s="604" t="s">
        <v>2377</v>
      </c>
      <c r="AK45" s="605" t="s">
        <v>2378</v>
      </c>
      <c r="AL45" s="605" t="s">
        <v>2490</v>
      </c>
      <c r="AM45" s="606" t="s">
        <v>2042</v>
      </c>
      <c r="AN45" s="609" t="s">
        <v>12</v>
      </c>
      <c r="AO45" s="610" t="s">
        <v>1368</v>
      </c>
      <c r="AP45" s="610" t="s">
        <v>1368</v>
      </c>
      <c r="AQ45" s="610" t="s">
        <v>1368</v>
      </c>
      <c r="AR45" s="610" t="s">
        <v>1368</v>
      </c>
      <c r="AS45" s="610" t="s">
        <v>1368</v>
      </c>
      <c r="AT45" s="610" t="s">
        <v>1368</v>
      </c>
      <c r="AU45" s="610" t="s">
        <v>1368</v>
      </c>
      <c r="AV45" s="610" t="s">
        <v>1368</v>
      </c>
      <c r="AW45" s="610" t="s">
        <v>1368</v>
      </c>
      <c r="AX45" s="610" t="s">
        <v>1368</v>
      </c>
      <c r="AY45" s="610" t="s">
        <v>1368</v>
      </c>
      <c r="AZ45" s="610" t="s">
        <v>1368</v>
      </c>
      <c r="BA45" s="610" t="s">
        <v>1368</v>
      </c>
      <c r="BB45" s="610" t="s">
        <v>1368</v>
      </c>
      <c r="BC45" s="610" t="s">
        <v>1368</v>
      </c>
      <c r="BD45" s="610" t="s">
        <v>1368</v>
      </c>
      <c r="BE45" s="610" t="s">
        <v>1368</v>
      </c>
      <c r="BF45" s="610" t="s">
        <v>1368</v>
      </c>
      <c r="BG45" s="610" t="s">
        <v>1368</v>
      </c>
      <c r="BH45" s="610" t="s">
        <v>1368</v>
      </c>
      <c r="BI45" s="610" t="s">
        <v>1368</v>
      </c>
      <c r="BJ45" s="610" t="s">
        <v>1368</v>
      </c>
      <c r="BK45" s="610" t="s">
        <v>1368</v>
      </c>
      <c r="BL45" s="610" t="s">
        <v>1368</v>
      </c>
      <c r="BM45" s="610">
        <v>1</v>
      </c>
      <c r="BN45" s="610">
        <v>1</v>
      </c>
      <c r="BO45" s="610">
        <v>1</v>
      </c>
      <c r="BP45" s="610">
        <v>1</v>
      </c>
      <c r="BQ45" s="610">
        <v>1</v>
      </c>
      <c r="BR45" s="610">
        <v>1</v>
      </c>
      <c r="BS45" s="610">
        <v>1</v>
      </c>
      <c r="BT45" s="610">
        <v>1</v>
      </c>
      <c r="BU45" s="610">
        <v>1</v>
      </c>
      <c r="BV45" s="610">
        <v>1</v>
      </c>
      <c r="BW45" s="610">
        <v>1</v>
      </c>
      <c r="BX45" s="610">
        <v>1</v>
      </c>
      <c r="BY45" s="610">
        <v>0</v>
      </c>
      <c r="BZ45" s="610">
        <v>0</v>
      </c>
      <c r="CA45" s="610">
        <v>0</v>
      </c>
      <c r="CB45" s="610">
        <v>0</v>
      </c>
      <c r="CC45" s="610">
        <v>0</v>
      </c>
      <c r="CD45" s="610">
        <v>0</v>
      </c>
      <c r="CE45" s="610">
        <v>0</v>
      </c>
      <c r="CF45" s="610">
        <v>0</v>
      </c>
      <c r="CG45" s="610">
        <v>0</v>
      </c>
      <c r="CH45" s="610">
        <v>0</v>
      </c>
      <c r="CI45" s="610">
        <v>0</v>
      </c>
      <c r="CJ45" s="610">
        <v>0</v>
      </c>
      <c r="CK45" s="610">
        <v>0</v>
      </c>
      <c r="CL45" s="610">
        <v>0</v>
      </c>
      <c r="CM45" s="610">
        <v>0</v>
      </c>
      <c r="CN45" s="610">
        <v>0</v>
      </c>
      <c r="CO45" s="610">
        <v>0</v>
      </c>
      <c r="CP45" s="610">
        <v>0</v>
      </c>
      <c r="CQ45" s="610">
        <v>0</v>
      </c>
      <c r="CR45" s="610">
        <v>0</v>
      </c>
      <c r="CS45" s="610">
        <v>0</v>
      </c>
      <c r="CT45" s="610">
        <v>0</v>
      </c>
      <c r="CU45" s="610">
        <v>0</v>
      </c>
      <c r="CV45" s="610">
        <v>0</v>
      </c>
      <c r="CW45" s="610" t="s">
        <v>14</v>
      </c>
      <c r="CX45" s="610">
        <v>0</v>
      </c>
      <c r="CY45" s="610" t="s">
        <v>1707</v>
      </c>
      <c r="CZ45" s="610" t="s">
        <v>1707</v>
      </c>
      <c r="DA45" s="610" t="s">
        <v>1707</v>
      </c>
      <c r="DB45" s="610" t="s">
        <v>1707</v>
      </c>
      <c r="DC45" s="610" t="s">
        <v>1707</v>
      </c>
      <c r="DD45" s="610" t="s">
        <v>1707</v>
      </c>
      <c r="DE45" s="610" t="s">
        <v>1707</v>
      </c>
      <c r="DF45" s="610" t="s">
        <v>1707</v>
      </c>
      <c r="DG45" s="610" t="s">
        <v>1707</v>
      </c>
      <c r="DH45" s="610" t="s">
        <v>1707</v>
      </c>
      <c r="DI45" s="610" t="s">
        <v>1707</v>
      </c>
      <c r="DJ45" s="610" t="s">
        <v>1707</v>
      </c>
      <c r="DK45" s="610" t="s">
        <v>1368</v>
      </c>
      <c r="DL45" s="610" t="s">
        <v>1368</v>
      </c>
      <c r="DM45" s="610" t="s">
        <v>1368</v>
      </c>
      <c r="DN45" s="610" t="s">
        <v>1368</v>
      </c>
      <c r="DO45" s="610" t="s">
        <v>1368</v>
      </c>
      <c r="DP45" s="610" t="s">
        <v>1368</v>
      </c>
      <c r="DQ45" s="610" t="s">
        <v>1368</v>
      </c>
      <c r="DR45" s="610" t="s">
        <v>1368</v>
      </c>
      <c r="DS45" s="610" t="s">
        <v>1368</v>
      </c>
      <c r="DT45" s="610" t="s">
        <v>1368</v>
      </c>
      <c r="DU45" s="610" t="s">
        <v>1368</v>
      </c>
      <c r="DV45" s="610" t="s">
        <v>1368</v>
      </c>
      <c r="DW45" s="609" t="s">
        <v>1368</v>
      </c>
      <c r="DX45" s="609" t="s">
        <v>1368</v>
      </c>
      <c r="DY45" s="609" t="s">
        <v>1368</v>
      </c>
      <c r="DZ45" s="609" t="s">
        <v>1368</v>
      </c>
      <c r="EA45" s="609" t="s">
        <v>1368</v>
      </c>
      <c r="EB45" s="609" t="s">
        <v>1368</v>
      </c>
      <c r="EC45" s="609" t="s">
        <v>1368</v>
      </c>
      <c r="ED45" s="609" t="s">
        <v>1368</v>
      </c>
      <c r="EE45" s="609" t="s">
        <v>1368</v>
      </c>
      <c r="EF45" s="609" t="s">
        <v>1368</v>
      </c>
      <c r="EG45" s="609" t="s">
        <v>1368</v>
      </c>
      <c r="EH45" s="609" t="s">
        <v>1368</v>
      </c>
      <c r="EI45" s="610" t="s">
        <v>1707</v>
      </c>
      <c r="EJ45" s="610" t="s">
        <v>1707</v>
      </c>
      <c r="EK45" s="610" t="s">
        <v>1707</v>
      </c>
      <c r="EL45" s="610" t="s">
        <v>1707</v>
      </c>
      <c r="EM45" s="610" t="s">
        <v>1707</v>
      </c>
      <c r="EN45" s="610" t="s">
        <v>1707</v>
      </c>
      <c r="EO45" s="610" t="s">
        <v>1707</v>
      </c>
      <c r="EP45" s="610" t="s">
        <v>1707</v>
      </c>
      <c r="EQ45" s="610" t="s">
        <v>1707</v>
      </c>
      <c r="ER45" s="610" t="s">
        <v>1707</v>
      </c>
      <c r="ES45" s="610" t="s">
        <v>1707</v>
      </c>
      <c r="ET45" s="610" t="s">
        <v>1707</v>
      </c>
      <c r="EU45" s="610">
        <v>3980</v>
      </c>
      <c r="EV45" s="610" t="s">
        <v>1707</v>
      </c>
      <c r="EW45" s="610" t="s">
        <v>1707</v>
      </c>
      <c r="EX45" s="610" t="s">
        <v>1707</v>
      </c>
      <c r="EY45" s="610" t="s">
        <v>1707</v>
      </c>
      <c r="EZ45" s="610" t="s">
        <v>1707</v>
      </c>
      <c r="FA45" s="610" t="s">
        <v>1707</v>
      </c>
      <c r="FB45" s="610" t="s">
        <v>1707</v>
      </c>
      <c r="FC45" s="610" t="s">
        <v>1707</v>
      </c>
      <c r="FD45" s="610" t="s">
        <v>1707</v>
      </c>
      <c r="FE45" s="610" t="s">
        <v>1707</v>
      </c>
      <c r="FF45" s="610" t="s">
        <v>1707</v>
      </c>
      <c r="FG45" s="610" t="s">
        <v>1707</v>
      </c>
      <c r="FH45" s="610">
        <v>17</v>
      </c>
      <c r="FI45" s="610">
        <v>17</v>
      </c>
      <c r="FJ45" s="610">
        <v>17</v>
      </c>
      <c r="FK45" s="610">
        <v>17</v>
      </c>
      <c r="FL45" s="610">
        <v>17</v>
      </c>
      <c r="FM45" s="610">
        <v>17</v>
      </c>
      <c r="FN45" s="610">
        <v>17</v>
      </c>
      <c r="FO45" s="610">
        <v>17</v>
      </c>
      <c r="FP45" s="610">
        <v>17</v>
      </c>
      <c r="FQ45" s="610">
        <v>17</v>
      </c>
      <c r="FR45" s="610" t="s">
        <v>2487</v>
      </c>
      <c r="FS45" s="610" t="s">
        <v>2487</v>
      </c>
      <c r="FT45" s="610" t="s">
        <v>2487</v>
      </c>
      <c r="FU45" s="610" t="s">
        <v>2487</v>
      </c>
      <c r="FV45" s="610" t="s">
        <v>2487</v>
      </c>
      <c r="FW45" s="610" t="s">
        <v>2487</v>
      </c>
      <c r="FX45" s="610" t="s">
        <v>2487</v>
      </c>
      <c r="FY45" s="610" t="s">
        <v>2487</v>
      </c>
      <c r="FZ45" s="610" t="s">
        <v>2487</v>
      </c>
      <c r="GA45" s="610" t="s">
        <v>2487</v>
      </c>
      <c r="GB45" s="610" t="s">
        <v>2487</v>
      </c>
      <c r="GC45" s="610" t="s">
        <v>2487</v>
      </c>
      <c r="GD45" s="564">
        <f t="shared" si="3"/>
        <v>79950</v>
      </c>
      <c r="GE45" s="564">
        <f t="shared" si="4"/>
        <v>79950</v>
      </c>
      <c r="GF45" s="564">
        <f t="shared" si="5"/>
        <v>79950</v>
      </c>
      <c r="GG45" s="564">
        <f t="shared" si="6"/>
        <v>79950</v>
      </c>
      <c r="GH45" s="564">
        <f t="shared" si="7"/>
        <v>79950</v>
      </c>
      <c r="GI45" s="564">
        <f t="shared" si="8"/>
        <v>79950</v>
      </c>
      <c r="GJ45" s="564">
        <f t="shared" si="9"/>
        <v>79950</v>
      </c>
      <c r="GK45" s="564">
        <f t="shared" si="10"/>
        <v>79950</v>
      </c>
      <c r="GL45" s="564">
        <f t="shared" si="11"/>
        <v>79950</v>
      </c>
      <c r="GM45" s="564">
        <f t="shared" si="12"/>
        <v>79950</v>
      </c>
      <c r="GN45" s="564">
        <f t="shared" si="13"/>
        <v>79950</v>
      </c>
      <c r="GO45" s="564">
        <f t="shared" si="14"/>
        <v>79950</v>
      </c>
      <c r="GP45" s="564"/>
      <c r="GS45" s="375" t="s">
        <v>1453</v>
      </c>
      <c r="GT45" s="374" t="str">
        <f t="shared" si="15"/>
        <v>〇</v>
      </c>
    </row>
    <row r="46" spans="2:202">
      <c r="B46" s="371">
        <v>42</v>
      </c>
      <c r="C46" s="378">
        <v>42</v>
      </c>
      <c r="D46" s="373" t="s">
        <v>1454</v>
      </c>
      <c r="E46" s="373" t="s">
        <v>14</v>
      </c>
      <c r="F46" s="603">
        <f t="shared" si="2"/>
        <v>59</v>
      </c>
      <c r="G46" s="603"/>
      <c r="H46" s="603">
        <v>33</v>
      </c>
      <c r="I46" s="603">
        <v>26</v>
      </c>
      <c r="J46" s="603"/>
      <c r="K46" s="603"/>
      <c r="L46" s="603"/>
      <c r="M46" s="603"/>
      <c r="N46" s="608"/>
      <c r="O46" s="603">
        <v>1577000</v>
      </c>
      <c r="P46" s="603">
        <v>2721000</v>
      </c>
      <c r="Q46" s="603">
        <v>0</v>
      </c>
      <c r="R46" s="603">
        <v>1188000</v>
      </c>
      <c r="S46" s="603">
        <v>0</v>
      </c>
      <c r="T46" s="603">
        <v>0</v>
      </c>
      <c r="U46" s="603">
        <v>0</v>
      </c>
      <c r="V46" s="603">
        <v>0</v>
      </c>
      <c r="W46" s="603">
        <v>0</v>
      </c>
      <c r="X46" s="603">
        <v>0</v>
      </c>
      <c r="Y46" s="603">
        <v>0</v>
      </c>
      <c r="Z46" s="603">
        <v>0</v>
      </c>
      <c r="AA46" s="603">
        <v>0</v>
      </c>
      <c r="AB46" s="603">
        <v>0</v>
      </c>
      <c r="AC46" s="603">
        <v>0</v>
      </c>
      <c r="AD46" s="603">
        <v>0</v>
      </c>
      <c r="AE46" s="603">
        <v>0</v>
      </c>
      <c r="AF46" s="603">
        <v>0</v>
      </c>
      <c r="AG46" s="603">
        <v>0</v>
      </c>
      <c r="AH46" s="603">
        <v>0</v>
      </c>
      <c r="AI46" s="603">
        <v>0</v>
      </c>
      <c r="AJ46" s="604" t="s">
        <v>2377</v>
      </c>
      <c r="AK46" s="605" t="s">
        <v>1545</v>
      </c>
      <c r="AL46" s="605" t="s">
        <v>1545</v>
      </c>
      <c r="AM46" s="606" t="s">
        <v>2043</v>
      </c>
      <c r="AN46" s="609" t="s">
        <v>12</v>
      </c>
      <c r="AO46" s="610" t="s">
        <v>1368</v>
      </c>
      <c r="AP46" s="610" t="s">
        <v>1368</v>
      </c>
      <c r="AQ46" s="610" t="s">
        <v>1368</v>
      </c>
      <c r="AR46" s="610" t="s">
        <v>1368</v>
      </c>
      <c r="AS46" s="610" t="s">
        <v>1368</v>
      </c>
      <c r="AT46" s="610" t="s">
        <v>1368</v>
      </c>
      <c r="AU46" s="610" t="s">
        <v>1368</v>
      </c>
      <c r="AV46" s="610" t="s">
        <v>1368</v>
      </c>
      <c r="AW46" s="610" t="s">
        <v>1368</v>
      </c>
      <c r="AX46" s="610" t="s">
        <v>1368</v>
      </c>
      <c r="AY46" s="610" t="s">
        <v>1368</v>
      </c>
      <c r="AZ46" s="610" t="s">
        <v>1368</v>
      </c>
      <c r="BA46" s="610" t="s">
        <v>1368</v>
      </c>
      <c r="BB46" s="610" t="s">
        <v>1368</v>
      </c>
      <c r="BC46" s="610" t="s">
        <v>1368</v>
      </c>
      <c r="BD46" s="610" t="s">
        <v>1368</v>
      </c>
      <c r="BE46" s="610" t="s">
        <v>1368</v>
      </c>
      <c r="BF46" s="610" t="s">
        <v>1368</v>
      </c>
      <c r="BG46" s="610" t="s">
        <v>1368</v>
      </c>
      <c r="BH46" s="610" t="s">
        <v>1368</v>
      </c>
      <c r="BI46" s="610" t="s">
        <v>1368</v>
      </c>
      <c r="BJ46" s="610" t="s">
        <v>1368</v>
      </c>
      <c r="BK46" s="610" t="s">
        <v>1368</v>
      </c>
      <c r="BL46" s="610" t="s">
        <v>1368</v>
      </c>
      <c r="BM46" s="610">
        <v>0</v>
      </c>
      <c r="BN46" s="610">
        <v>0</v>
      </c>
      <c r="BO46" s="610">
        <v>0</v>
      </c>
      <c r="BP46" s="610">
        <v>0</v>
      </c>
      <c r="BQ46" s="610">
        <v>0</v>
      </c>
      <c r="BR46" s="610">
        <v>0</v>
      </c>
      <c r="BS46" s="610">
        <v>0</v>
      </c>
      <c r="BT46" s="610">
        <v>0</v>
      </c>
      <c r="BU46" s="610">
        <v>0</v>
      </c>
      <c r="BV46" s="610">
        <v>0</v>
      </c>
      <c r="BW46" s="610">
        <v>0</v>
      </c>
      <c r="BX46" s="610">
        <v>0</v>
      </c>
      <c r="BY46" s="610">
        <v>0</v>
      </c>
      <c r="BZ46" s="610">
        <v>0</v>
      </c>
      <c r="CA46" s="610">
        <v>0</v>
      </c>
      <c r="CB46" s="610">
        <v>0</v>
      </c>
      <c r="CC46" s="610">
        <v>0</v>
      </c>
      <c r="CD46" s="610">
        <v>0</v>
      </c>
      <c r="CE46" s="610">
        <v>0</v>
      </c>
      <c r="CF46" s="610">
        <v>0</v>
      </c>
      <c r="CG46" s="610">
        <v>0</v>
      </c>
      <c r="CH46" s="610">
        <v>0</v>
      </c>
      <c r="CI46" s="610">
        <v>0</v>
      </c>
      <c r="CJ46" s="610">
        <v>0</v>
      </c>
      <c r="CK46" s="610">
        <v>0</v>
      </c>
      <c r="CL46" s="610">
        <v>0</v>
      </c>
      <c r="CM46" s="610">
        <v>0</v>
      </c>
      <c r="CN46" s="610">
        <v>0</v>
      </c>
      <c r="CO46" s="610">
        <v>0</v>
      </c>
      <c r="CP46" s="610">
        <v>0</v>
      </c>
      <c r="CQ46" s="610">
        <v>0</v>
      </c>
      <c r="CR46" s="610">
        <v>0</v>
      </c>
      <c r="CS46" s="610">
        <v>0</v>
      </c>
      <c r="CT46" s="610">
        <v>0</v>
      </c>
      <c r="CU46" s="610">
        <v>0</v>
      </c>
      <c r="CV46" s="610">
        <v>0</v>
      </c>
      <c r="CW46" s="610" t="s">
        <v>14</v>
      </c>
      <c r="CX46" s="610">
        <v>0</v>
      </c>
      <c r="CY46" s="610" t="s">
        <v>1707</v>
      </c>
      <c r="CZ46" s="610" t="s">
        <v>1707</v>
      </c>
      <c r="DA46" s="610" t="s">
        <v>1707</v>
      </c>
      <c r="DB46" s="610" t="s">
        <v>1707</v>
      </c>
      <c r="DC46" s="610" t="s">
        <v>1707</v>
      </c>
      <c r="DD46" s="610" t="s">
        <v>1707</v>
      </c>
      <c r="DE46" s="610" t="s">
        <v>1707</v>
      </c>
      <c r="DF46" s="610" t="s">
        <v>1707</v>
      </c>
      <c r="DG46" s="610" t="s">
        <v>1707</v>
      </c>
      <c r="DH46" s="610" t="s">
        <v>1707</v>
      </c>
      <c r="DI46" s="610" t="s">
        <v>1707</v>
      </c>
      <c r="DJ46" s="610" t="s">
        <v>1707</v>
      </c>
      <c r="DK46" s="610" t="s">
        <v>20</v>
      </c>
      <c r="DL46" s="610" t="s">
        <v>20</v>
      </c>
      <c r="DM46" s="610" t="s">
        <v>20</v>
      </c>
      <c r="DN46" s="610" t="s">
        <v>20</v>
      </c>
      <c r="DO46" s="610" t="s">
        <v>20</v>
      </c>
      <c r="DP46" s="610" t="s">
        <v>20</v>
      </c>
      <c r="DQ46" s="610" t="s">
        <v>20</v>
      </c>
      <c r="DR46" s="610" t="s">
        <v>20</v>
      </c>
      <c r="DS46" s="610" t="s">
        <v>20</v>
      </c>
      <c r="DT46" s="610" t="s">
        <v>20</v>
      </c>
      <c r="DU46" s="610" t="s">
        <v>20</v>
      </c>
      <c r="DV46" s="610" t="s">
        <v>20</v>
      </c>
      <c r="DW46" s="609" t="s">
        <v>1368</v>
      </c>
      <c r="DX46" s="609" t="s">
        <v>1368</v>
      </c>
      <c r="DY46" s="609" t="s">
        <v>1368</v>
      </c>
      <c r="DZ46" s="609" t="s">
        <v>1368</v>
      </c>
      <c r="EA46" s="609" t="s">
        <v>1368</v>
      </c>
      <c r="EB46" s="609" t="s">
        <v>1368</v>
      </c>
      <c r="EC46" s="609" t="s">
        <v>1368</v>
      </c>
      <c r="ED46" s="609" t="s">
        <v>1368</v>
      </c>
      <c r="EE46" s="609" t="s">
        <v>1368</v>
      </c>
      <c r="EF46" s="609" t="s">
        <v>1368</v>
      </c>
      <c r="EG46" s="609" t="s">
        <v>1368</v>
      </c>
      <c r="EH46" s="609" t="s">
        <v>1368</v>
      </c>
      <c r="EI46" s="610" t="s">
        <v>1707</v>
      </c>
      <c r="EJ46" s="610" t="s">
        <v>1707</v>
      </c>
      <c r="EK46" s="610" t="s">
        <v>1707</v>
      </c>
      <c r="EL46" s="610" t="s">
        <v>1707</v>
      </c>
      <c r="EM46" s="610" t="s">
        <v>1707</v>
      </c>
      <c r="EN46" s="610" t="s">
        <v>1707</v>
      </c>
      <c r="EO46" s="610" t="s">
        <v>1707</v>
      </c>
      <c r="EP46" s="610" t="s">
        <v>1707</v>
      </c>
      <c r="EQ46" s="610" t="s">
        <v>1707</v>
      </c>
      <c r="ER46" s="610" t="s">
        <v>1707</v>
      </c>
      <c r="ES46" s="610" t="s">
        <v>1707</v>
      </c>
      <c r="ET46" s="610" t="s">
        <v>1707</v>
      </c>
      <c r="EU46" s="610">
        <v>4070</v>
      </c>
      <c r="EV46" s="610" t="s">
        <v>2449</v>
      </c>
      <c r="EW46" s="610" t="s">
        <v>2449</v>
      </c>
      <c r="EX46" s="610" t="s">
        <v>2449</v>
      </c>
      <c r="EY46" s="610" t="s">
        <v>2449</v>
      </c>
      <c r="EZ46" s="610" t="s">
        <v>2449</v>
      </c>
      <c r="FA46" s="610" t="s">
        <v>2449</v>
      </c>
      <c r="FB46" s="610" t="s">
        <v>2449</v>
      </c>
      <c r="FC46" s="610" t="s">
        <v>2449</v>
      </c>
      <c r="FD46" s="610" t="s">
        <v>2449</v>
      </c>
      <c r="FE46" s="610" t="s">
        <v>2449</v>
      </c>
      <c r="FF46" s="610" t="s">
        <v>2449</v>
      </c>
      <c r="FG46" s="610" t="s">
        <v>2449</v>
      </c>
      <c r="FH46" s="610">
        <v>22</v>
      </c>
      <c r="FI46" s="610">
        <v>22</v>
      </c>
      <c r="FJ46" s="610">
        <v>22</v>
      </c>
      <c r="FK46" s="610">
        <v>22</v>
      </c>
      <c r="FL46" s="610">
        <v>22</v>
      </c>
      <c r="FM46" s="610">
        <v>22</v>
      </c>
      <c r="FN46" s="610">
        <v>22</v>
      </c>
      <c r="FO46" s="610">
        <v>22</v>
      </c>
      <c r="FP46" s="610">
        <v>22</v>
      </c>
      <c r="FQ46" s="610">
        <v>22</v>
      </c>
      <c r="FR46" s="610" t="s">
        <v>2487</v>
      </c>
      <c r="FS46" s="610" t="s">
        <v>2487</v>
      </c>
      <c r="FT46" s="610" t="s">
        <v>2487</v>
      </c>
      <c r="FU46" s="610" t="s">
        <v>2487</v>
      </c>
      <c r="FV46" s="610" t="s">
        <v>2487</v>
      </c>
      <c r="FW46" s="610" t="s">
        <v>2487</v>
      </c>
      <c r="FX46" s="610" t="s">
        <v>2487</v>
      </c>
      <c r="FY46" s="610" t="s">
        <v>2487</v>
      </c>
      <c r="FZ46" s="610" t="s">
        <v>2487</v>
      </c>
      <c r="GA46" s="610" t="s">
        <v>2487</v>
      </c>
      <c r="GB46" s="610" t="s">
        <v>2487</v>
      </c>
      <c r="GC46" s="610" t="s">
        <v>2487</v>
      </c>
      <c r="GD46" s="564">
        <f t="shared" si="3"/>
        <v>79950</v>
      </c>
      <c r="GE46" s="564">
        <f t="shared" si="4"/>
        <v>79950</v>
      </c>
      <c r="GF46" s="564">
        <f t="shared" si="5"/>
        <v>79950</v>
      </c>
      <c r="GG46" s="564">
        <f t="shared" si="6"/>
        <v>79950</v>
      </c>
      <c r="GH46" s="564">
        <f t="shared" si="7"/>
        <v>79950</v>
      </c>
      <c r="GI46" s="564">
        <f t="shared" si="8"/>
        <v>79950</v>
      </c>
      <c r="GJ46" s="564">
        <f t="shared" si="9"/>
        <v>79950</v>
      </c>
      <c r="GK46" s="564">
        <f t="shared" si="10"/>
        <v>79950</v>
      </c>
      <c r="GL46" s="564">
        <f t="shared" si="11"/>
        <v>79950</v>
      </c>
      <c r="GM46" s="564">
        <f t="shared" si="12"/>
        <v>79950</v>
      </c>
      <c r="GN46" s="564">
        <f t="shared" si="13"/>
        <v>79950</v>
      </c>
      <c r="GO46" s="564">
        <f t="shared" si="14"/>
        <v>79950</v>
      </c>
      <c r="GP46" s="564"/>
      <c r="GS46" s="375" t="s">
        <v>1454</v>
      </c>
      <c r="GT46" s="374" t="str">
        <f t="shared" si="15"/>
        <v>〇</v>
      </c>
    </row>
    <row r="47" spans="2:202">
      <c r="B47" s="371">
        <v>43</v>
      </c>
      <c r="C47" s="378">
        <v>43</v>
      </c>
      <c r="D47" s="373" t="s">
        <v>1825</v>
      </c>
      <c r="E47" s="373" t="s">
        <v>14</v>
      </c>
      <c r="F47" s="603">
        <f t="shared" si="2"/>
        <v>110</v>
      </c>
      <c r="G47" s="603"/>
      <c r="H47" s="603">
        <v>66</v>
      </c>
      <c r="I47" s="603">
        <v>44</v>
      </c>
      <c r="J47" s="603"/>
      <c r="K47" s="603"/>
      <c r="L47" s="603"/>
      <c r="M47" s="603"/>
      <c r="N47" s="608"/>
      <c r="O47" s="603">
        <v>1577000</v>
      </c>
      <c r="P47" s="603">
        <v>2721000</v>
      </c>
      <c r="Q47" s="603">
        <v>2721000</v>
      </c>
      <c r="R47" s="603">
        <v>1791000</v>
      </c>
      <c r="S47" s="603">
        <v>0</v>
      </c>
      <c r="T47" s="603">
        <v>4362000</v>
      </c>
      <c r="U47" s="603">
        <v>0</v>
      </c>
      <c r="V47" s="603">
        <v>1051000</v>
      </c>
      <c r="W47" s="603">
        <v>1814000</v>
      </c>
      <c r="X47" s="603">
        <v>1814000</v>
      </c>
      <c r="Y47" s="603">
        <v>1194000</v>
      </c>
      <c r="Z47" s="603">
        <v>0</v>
      </c>
      <c r="AA47" s="603">
        <v>2908000</v>
      </c>
      <c r="AB47" s="603">
        <v>0</v>
      </c>
      <c r="AC47" s="603">
        <v>526000</v>
      </c>
      <c r="AD47" s="603">
        <v>907000</v>
      </c>
      <c r="AE47" s="603">
        <v>907000</v>
      </c>
      <c r="AF47" s="603">
        <v>597000</v>
      </c>
      <c r="AG47" s="603">
        <v>0</v>
      </c>
      <c r="AH47" s="603">
        <v>1454000</v>
      </c>
      <c r="AI47" s="603">
        <v>0</v>
      </c>
      <c r="AJ47" s="604" t="s">
        <v>2377</v>
      </c>
      <c r="AK47" s="605" t="s">
        <v>2378</v>
      </c>
      <c r="AL47" s="605" t="s">
        <v>2490</v>
      </c>
      <c r="AM47" s="606" t="s">
        <v>2044</v>
      </c>
      <c r="AN47" s="609" t="s">
        <v>12</v>
      </c>
      <c r="AO47" s="610" t="s">
        <v>13</v>
      </c>
      <c r="AP47" s="610" t="s">
        <v>13</v>
      </c>
      <c r="AQ47" s="610" t="s">
        <v>13</v>
      </c>
      <c r="AR47" s="610" t="s">
        <v>13</v>
      </c>
      <c r="AS47" s="610" t="s">
        <v>13</v>
      </c>
      <c r="AT47" s="610" t="s">
        <v>13</v>
      </c>
      <c r="AU47" s="610" t="s">
        <v>13</v>
      </c>
      <c r="AV47" s="610" t="s">
        <v>13</v>
      </c>
      <c r="AW47" s="610" t="s">
        <v>13</v>
      </c>
      <c r="AX47" s="610" t="s">
        <v>13</v>
      </c>
      <c r="AY47" s="610" t="s">
        <v>13</v>
      </c>
      <c r="AZ47" s="610" t="s">
        <v>13</v>
      </c>
      <c r="BA47" s="610" t="s">
        <v>14</v>
      </c>
      <c r="BB47" s="610" t="s">
        <v>14</v>
      </c>
      <c r="BC47" s="610" t="s">
        <v>14</v>
      </c>
      <c r="BD47" s="610" t="s">
        <v>14</v>
      </c>
      <c r="BE47" s="610" t="s">
        <v>14</v>
      </c>
      <c r="BF47" s="610" t="s">
        <v>14</v>
      </c>
      <c r="BG47" s="610" t="s">
        <v>14</v>
      </c>
      <c r="BH47" s="610" t="s">
        <v>14</v>
      </c>
      <c r="BI47" s="610" t="s">
        <v>14</v>
      </c>
      <c r="BJ47" s="610" t="s">
        <v>14</v>
      </c>
      <c r="BK47" s="610" t="s">
        <v>14</v>
      </c>
      <c r="BL47" s="610" t="s">
        <v>14</v>
      </c>
      <c r="BM47" s="610">
        <v>1</v>
      </c>
      <c r="BN47" s="610">
        <v>2</v>
      </c>
      <c r="BO47" s="610">
        <v>2</v>
      </c>
      <c r="BP47" s="610">
        <v>2</v>
      </c>
      <c r="BQ47" s="610">
        <v>2</v>
      </c>
      <c r="BR47" s="610">
        <v>2</v>
      </c>
      <c r="BS47" s="610">
        <v>2</v>
      </c>
      <c r="BT47" s="610">
        <v>2</v>
      </c>
      <c r="BU47" s="610">
        <v>2</v>
      </c>
      <c r="BV47" s="610">
        <v>2</v>
      </c>
      <c r="BW47" s="610">
        <v>2</v>
      </c>
      <c r="BX47" s="610">
        <v>2</v>
      </c>
      <c r="BY47" s="610">
        <v>0</v>
      </c>
      <c r="BZ47" s="610">
        <v>0</v>
      </c>
      <c r="CA47" s="610">
        <v>0</v>
      </c>
      <c r="CB47" s="610">
        <v>0</v>
      </c>
      <c r="CC47" s="610">
        <v>0</v>
      </c>
      <c r="CD47" s="610">
        <v>0</v>
      </c>
      <c r="CE47" s="610">
        <v>0</v>
      </c>
      <c r="CF47" s="610">
        <v>0</v>
      </c>
      <c r="CG47" s="610">
        <v>0</v>
      </c>
      <c r="CH47" s="610">
        <v>0</v>
      </c>
      <c r="CI47" s="610">
        <v>0</v>
      </c>
      <c r="CJ47" s="610">
        <v>0</v>
      </c>
      <c r="CK47" s="610">
        <v>0</v>
      </c>
      <c r="CL47" s="610">
        <v>0</v>
      </c>
      <c r="CM47" s="610">
        <v>0</v>
      </c>
      <c r="CN47" s="610">
        <v>0</v>
      </c>
      <c r="CO47" s="610">
        <v>0</v>
      </c>
      <c r="CP47" s="610">
        <v>0</v>
      </c>
      <c r="CQ47" s="610">
        <v>0</v>
      </c>
      <c r="CR47" s="610">
        <v>0</v>
      </c>
      <c r="CS47" s="610">
        <v>0</v>
      </c>
      <c r="CT47" s="610">
        <v>0</v>
      </c>
      <c r="CU47" s="610">
        <v>0</v>
      </c>
      <c r="CV47" s="610">
        <v>0</v>
      </c>
      <c r="CW47" s="610" t="s">
        <v>14</v>
      </c>
      <c r="CX47" s="610">
        <v>0</v>
      </c>
      <c r="CY47" s="610" t="s">
        <v>1707</v>
      </c>
      <c r="CZ47" s="610" t="s">
        <v>1707</v>
      </c>
      <c r="DA47" s="610" t="s">
        <v>1707</v>
      </c>
      <c r="DB47" s="610" t="s">
        <v>1707</v>
      </c>
      <c r="DC47" s="610" t="s">
        <v>1707</v>
      </c>
      <c r="DD47" s="610" t="s">
        <v>1707</v>
      </c>
      <c r="DE47" s="610" t="s">
        <v>1707</v>
      </c>
      <c r="DF47" s="610" t="s">
        <v>1707</v>
      </c>
      <c r="DG47" s="610" t="s">
        <v>1707</v>
      </c>
      <c r="DH47" s="610" t="s">
        <v>1707</v>
      </c>
      <c r="DI47" s="610" t="s">
        <v>1707</v>
      </c>
      <c r="DJ47" s="610" t="s">
        <v>1707</v>
      </c>
      <c r="DK47" s="610" t="s">
        <v>1368</v>
      </c>
      <c r="DL47" s="610" t="s">
        <v>1368</v>
      </c>
      <c r="DM47" s="610" t="s">
        <v>1368</v>
      </c>
      <c r="DN47" s="610" t="s">
        <v>1368</v>
      </c>
      <c r="DO47" s="610" t="s">
        <v>1368</v>
      </c>
      <c r="DP47" s="610" t="s">
        <v>1368</v>
      </c>
      <c r="DQ47" s="610" t="s">
        <v>1368</v>
      </c>
      <c r="DR47" s="610" t="s">
        <v>1368</v>
      </c>
      <c r="DS47" s="610" t="s">
        <v>1368</v>
      </c>
      <c r="DT47" s="610" t="s">
        <v>1368</v>
      </c>
      <c r="DU47" s="610" t="s">
        <v>1368</v>
      </c>
      <c r="DV47" s="610" t="s">
        <v>1368</v>
      </c>
      <c r="DW47" s="609" t="s">
        <v>1368</v>
      </c>
      <c r="DX47" s="609" t="s">
        <v>1368</v>
      </c>
      <c r="DY47" s="609" t="s">
        <v>1368</v>
      </c>
      <c r="DZ47" s="609" t="s">
        <v>1368</v>
      </c>
      <c r="EA47" s="609" t="s">
        <v>1368</v>
      </c>
      <c r="EB47" s="609" t="s">
        <v>1368</v>
      </c>
      <c r="EC47" s="609" t="s">
        <v>1368</v>
      </c>
      <c r="ED47" s="609" t="s">
        <v>1368</v>
      </c>
      <c r="EE47" s="609" t="s">
        <v>1368</v>
      </c>
      <c r="EF47" s="609" t="s">
        <v>1368</v>
      </c>
      <c r="EG47" s="609" t="s">
        <v>1368</v>
      </c>
      <c r="EH47" s="609" t="s">
        <v>1368</v>
      </c>
      <c r="EI47" s="610" t="s">
        <v>1707</v>
      </c>
      <c r="EJ47" s="610" t="s">
        <v>1707</v>
      </c>
      <c r="EK47" s="610" t="s">
        <v>1707</v>
      </c>
      <c r="EL47" s="610" t="s">
        <v>1707</v>
      </c>
      <c r="EM47" s="610" t="s">
        <v>1707</v>
      </c>
      <c r="EN47" s="610" t="s">
        <v>1707</v>
      </c>
      <c r="EO47" s="610" t="s">
        <v>1707</v>
      </c>
      <c r="EP47" s="610" t="s">
        <v>1707</v>
      </c>
      <c r="EQ47" s="610" t="s">
        <v>1707</v>
      </c>
      <c r="ER47" s="610" t="s">
        <v>1707</v>
      </c>
      <c r="ES47" s="610" t="s">
        <v>1707</v>
      </c>
      <c r="ET47" s="610" t="s">
        <v>1707</v>
      </c>
      <c r="EU47" s="610">
        <v>3920</v>
      </c>
      <c r="EV47" s="610" t="s">
        <v>1707</v>
      </c>
      <c r="EW47" s="610" t="s">
        <v>1707</v>
      </c>
      <c r="EX47" s="610" t="s">
        <v>1707</v>
      </c>
      <c r="EY47" s="610" t="s">
        <v>1707</v>
      </c>
      <c r="EZ47" s="610" t="s">
        <v>1707</v>
      </c>
      <c r="FA47" s="610" t="s">
        <v>1707</v>
      </c>
      <c r="FB47" s="610" t="s">
        <v>1707</v>
      </c>
      <c r="FC47" s="610" t="s">
        <v>1707</v>
      </c>
      <c r="FD47" s="610" t="s">
        <v>1707</v>
      </c>
      <c r="FE47" s="610" t="s">
        <v>1707</v>
      </c>
      <c r="FF47" s="610" t="s">
        <v>1707</v>
      </c>
      <c r="FG47" s="610" t="s">
        <v>1707</v>
      </c>
      <c r="FH47" s="610">
        <v>51</v>
      </c>
      <c r="FI47" s="610">
        <v>51</v>
      </c>
      <c r="FJ47" s="610">
        <v>51</v>
      </c>
      <c r="FK47" s="610">
        <v>51</v>
      </c>
      <c r="FL47" s="610">
        <v>51</v>
      </c>
      <c r="FM47" s="610">
        <v>51</v>
      </c>
      <c r="FN47" s="610">
        <v>51</v>
      </c>
      <c r="FO47" s="610">
        <v>51</v>
      </c>
      <c r="FP47" s="610">
        <v>51</v>
      </c>
      <c r="FQ47" s="610">
        <v>50</v>
      </c>
      <c r="FR47" s="610" t="s">
        <v>2487</v>
      </c>
      <c r="FS47" s="610" t="s">
        <v>2487</v>
      </c>
      <c r="FT47" s="610" t="s">
        <v>2487</v>
      </c>
      <c r="FU47" s="610" t="s">
        <v>2487</v>
      </c>
      <c r="FV47" s="610" t="s">
        <v>2487</v>
      </c>
      <c r="FW47" s="610" t="s">
        <v>2487</v>
      </c>
      <c r="FX47" s="610" t="s">
        <v>2487</v>
      </c>
      <c r="FY47" s="610" t="s">
        <v>2487</v>
      </c>
      <c r="FZ47" s="610" t="s">
        <v>2487</v>
      </c>
      <c r="GA47" s="610" t="s">
        <v>2487</v>
      </c>
      <c r="GB47" s="610" t="s">
        <v>2487</v>
      </c>
      <c r="GC47" s="610" t="s">
        <v>2487</v>
      </c>
      <c r="GD47" s="564">
        <f t="shared" si="3"/>
        <v>79950</v>
      </c>
      <c r="GE47" s="564">
        <f t="shared" si="4"/>
        <v>79950</v>
      </c>
      <c r="GF47" s="564">
        <f t="shared" si="5"/>
        <v>79950</v>
      </c>
      <c r="GG47" s="564">
        <f t="shared" si="6"/>
        <v>79950</v>
      </c>
      <c r="GH47" s="564">
        <f t="shared" si="7"/>
        <v>79950</v>
      </c>
      <c r="GI47" s="564">
        <f t="shared" si="8"/>
        <v>79950</v>
      </c>
      <c r="GJ47" s="564">
        <f t="shared" si="9"/>
        <v>79950</v>
      </c>
      <c r="GK47" s="564">
        <f t="shared" si="10"/>
        <v>79950</v>
      </c>
      <c r="GL47" s="564">
        <f t="shared" si="11"/>
        <v>79950</v>
      </c>
      <c r="GM47" s="564">
        <f t="shared" si="12"/>
        <v>79950</v>
      </c>
      <c r="GN47" s="564">
        <f t="shared" si="13"/>
        <v>79950</v>
      </c>
      <c r="GO47" s="564">
        <f t="shared" si="14"/>
        <v>79950</v>
      </c>
      <c r="GP47" s="564"/>
      <c r="GS47" s="375" t="s">
        <v>1825</v>
      </c>
      <c r="GT47" s="374" t="str">
        <f t="shared" si="15"/>
        <v>〇</v>
      </c>
    </row>
    <row r="48" spans="2:202">
      <c r="B48" s="371">
        <v>44</v>
      </c>
      <c r="C48" s="378">
        <v>44</v>
      </c>
      <c r="D48" s="373" t="s">
        <v>1455</v>
      </c>
      <c r="E48" s="373" t="s">
        <v>14</v>
      </c>
      <c r="F48" s="603">
        <f t="shared" si="2"/>
        <v>90</v>
      </c>
      <c r="G48" s="603"/>
      <c r="H48" s="603">
        <v>54</v>
      </c>
      <c r="I48" s="603">
        <v>36</v>
      </c>
      <c r="J48" s="603"/>
      <c r="K48" s="603"/>
      <c r="L48" s="603"/>
      <c r="M48" s="603"/>
      <c r="N48" s="608"/>
      <c r="O48" s="603">
        <v>1577000</v>
      </c>
      <c r="P48" s="603">
        <v>2721000</v>
      </c>
      <c r="Q48" s="603">
        <v>2721000</v>
      </c>
      <c r="R48" s="603">
        <v>1791000</v>
      </c>
      <c r="S48" s="603">
        <v>0</v>
      </c>
      <c r="T48" s="603">
        <v>2181000</v>
      </c>
      <c r="U48" s="603">
        <v>0</v>
      </c>
      <c r="V48" s="603">
        <v>1051000</v>
      </c>
      <c r="W48" s="603">
        <v>1814000</v>
      </c>
      <c r="X48" s="603">
        <v>1814000</v>
      </c>
      <c r="Y48" s="603">
        <v>1194000</v>
      </c>
      <c r="Z48" s="603">
        <v>0</v>
      </c>
      <c r="AA48" s="603">
        <v>1454000</v>
      </c>
      <c r="AB48" s="603">
        <v>0</v>
      </c>
      <c r="AC48" s="603">
        <v>0</v>
      </c>
      <c r="AD48" s="603">
        <v>0</v>
      </c>
      <c r="AE48" s="603">
        <v>0</v>
      </c>
      <c r="AF48" s="603">
        <v>0</v>
      </c>
      <c r="AG48" s="603">
        <v>0</v>
      </c>
      <c r="AH48" s="603">
        <v>0</v>
      </c>
      <c r="AI48" s="603">
        <v>0</v>
      </c>
      <c r="AJ48" s="604" t="s">
        <v>2377</v>
      </c>
      <c r="AK48" s="605" t="s">
        <v>2378</v>
      </c>
      <c r="AL48" s="605" t="s">
        <v>1545</v>
      </c>
      <c r="AM48" s="606" t="s">
        <v>2380</v>
      </c>
      <c r="AN48" s="609" t="s">
        <v>12</v>
      </c>
      <c r="AO48" s="610" t="s">
        <v>13</v>
      </c>
      <c r="AP48" s="610" t="s">
        <v>13</v>
      </c>
      <c r="AQ48" s="610" t="s">
        <v>13</v>
      </c>
      <c r="AR48" s="610" t="s">
        <v>13</v>
      </c>
      <c r="AS48" s="610" t="s">
        <v>13</v>
      </c>
      <c r="AT48" s="610" t="s">
        <v>13</v>
      </c>
      <c r="AU48" s="610" t="s">
        <v>13</v>
      </c>
      <c r="AV48" s="610" t="s">
        <v>13</v>
      </c>
      <c r="AW48" s="610" t="s">
        <v>13</v>
      </c>
      <c r="AX48" s="610" t="s">
        <v>13</v>
      </c>
      <c r="AY48" s="610" t="s">
        <v>13</v>
      </c>
      <c r="AZ48" s="610" t="s">
        <v>13</v>
      </c>
      <c r="BA48" s="610" t="s">
        <v>14</v>
      </c>
      <c r="BB48" s="610" t="s">
        <v>14</v>
      </c>
      <c r="BC48" s="610" t="s">
        <v>14</v>
      </c>
      <c r="BD48" s="610" t="s">
        <v>14</v>
      </c>
      <c r="BE48" s="610" t="s">
        <v>14</v>
      </c>
      <c r="BF48" s="610" t="s">
        <v>14</v>
      </c>
      <c r="BG48" s="610" t="s">
        <v>14</v>
      </c>
      <c r="BH48" s="610" t="s">
        <v>14</v>
      </c>
      <c r="BI48" s="610" t="s">
        <v>14</v>
      </c>
      <c r="BJ48" s="610" t="s">
        <v>14</v>
      </c>
      <c r="BK48" s="610" t="s">
        <v>14</v>
      </c>
      <c r="BL48" s="610" t="s">
        <v>14</v>
      </c>
      <c r="BM48" s="610">
        <v>1</v>
      </c>
      <c r="BN48" s="610">
        <v>2</v>
      </c>
      <c r="BO48" s="610">
        <v>2</v>
      </c>
      <c r="BP48" s="610">
        <v>2</v>
      </c>
      <c r="BQ48" s="610">
        <v>2</v>
      </c>
      <c r="BR48" s="610">
        <v>2</v>
      </c>
      <c r="BS48" s="610">
        <v>2</v>
      </c>
      <c r="BT48" s="610">
        <v>2</v>
      </c>
      <c r="BU48" s="610">
        <v>2</v>
      </c>
      <c r="BV48" s="610">
        <v>2</v>
      </c>
      <c r="BW48" s="610">
        <v>2</v>
      </c>
      <c r="BX48" s="610">
        <v>2</v>
      </c>
      <c r="BY48" s="610">
        <v>0</v>
      </c>
      <c r="BZ48" s="610">
        <v>0</v>
      </c>
      <c r="CA48" s="610">
        <v>0</v>
      </c>
      <c r="CB48" s="610">
        <v>0</v>
      </c>
      <c r="CC48" s="610">
        <v>0</v>
      </c>
      <c r="CD48" s="610">
        <v>0</v>
      </c>
      <c r="CE48" s="610">
        <v>0</v>
      </c>
      <c r="CF48" s="610">
        <v>0</v>
      </c>
      <c r="CG48" s="610">
        <v>0</v>
      </c>
      <c r="CH48" s="610">
        <v>0</v>
      </c>
      <c r="CI48" s="610">
        <v>0</v>
      </c>
      <c r="CJ48" s="610">
        <v>0</v>
      </c>
      <c r="CK48" s="610">
        <v>0</v>
      </c>
      <c r="CL48" s="610">
        <v>0</v>
      </c>
      <c r="CM48" s="610">
        <v>0</v>
      </c>
      <c r="CN48" s="610">
        <v>0</v>
      </c>
      <c r="CO48" s="610">
        <v>0</v>
      </c>
      <c r="CP48" s="610">
        <v>0</v>
      </c>
      <c r="CQ48" s="610">
        <v>0</v>
      </c>
      <c r="CR48" s="610">
        <v>0</v>
      </c>
      <c r="CS48" s="610">
        <v>0</v>
      </c>
      <c r="CT48" s="610">
        <v>0</v>
      </c>
      <c r="CU48" s="610">
        <v>0</v>
      </c>
      <c r="CV48" s="610">
        <v>0</v>
      </c>
      <c r="CW48" s="610" t="s">
        <v>14</v>
      </c>
      <c r="CX48" s="610">
        <v>0</v>
      </c>
      <c r="CY48" s="610" t="s">
        <v>1707</v>
      </c>
      <c r="CZ48" s="610" t="s">
        <v>1707</v>
      </c>
      <c r="DA48" s="610" t="s">
        <v>1707</v>
      </c>
      <c r="DB48" s="610" t="s">
        <v>1707</v>
      </c>
      <c r="DC48" s="610" t="s">
        <v>1707</v>
      </c>
      <c r="DD48" s="610" t="s">
        <v>1707</v>
      </c>
      <c r="DE48" s="610" t="s">
        <v>1707</v>
      </c>
      <c r="DF48" s="610" t="s">
        <v>1707</v>
      </c>
      <c r="DG48" s="610" t="s">
        <v>1707</v>
      </c>
      <c r="DH48" s="610" t="s">
        <v>1707</v>
      </c>
      <c r="DI48" s="610" t="s">
        <v>1707</v>
      </c>
      <c r="DJ48" s="610" t="s">
        <v>1707</v>
      </c>
      <c r="DK48" s="610" t="s">
        <v>1368</v>
      </c>
      <c r="DL48" s="610" t="s">
        <v>1368</v>
      </c>
      <c r="DM48" s="610" t="s">
        <v>1368</v>
      </c>
      <c r="DN48" s="610" t="s">
        <v>1368</v>
      </c>
      <c r="DO48" s="610" t="s">
        <v>1368</v>
      </c>
      <c r="DP48" s="610" t="s">
        <v>1368</v>
      </c>
      <c r="DQ48" s="610" t="s">
        <v>1368</v>
      </c>
      <c r="DR48" s="610" t="s">
        <v>1368</v>
      </c>
      <c r="DS48" s="610" t="s">
        <v>1368</v>
      </c>
      <c r="DT48" s="610" t="s">
        <v>1368</v>
      </c>
      <c r="DU48" s="610" t="s">
        <v>1368</v>
      </c>
      <c r="DV48" s="610" t="s">
        <v>1368</v>
      </c>
      <c r="DW48" s="609" t="s">
        <v>1368</v>
      </c>
      <c r="DX48" s="609" t="s">
        <v>1368</v>
      </c>
      <c r="DY48" s="609" t="s">
        <v>1368</v>
      </c>
      <c r="DZ48" s="609" t="s">
        <v>1368</v>
      </c>
      <c r="EA48" s="609" t="s">
        <v>1368</v>
      </c>
      <c r="EB48" s="609" t="s">
        <v>1368</v>
      </c>
      <c r="EC48" s="609" t="s">
        <v>1368</v>
      </c>
      <c r="ED48" s="609" t="s">
        <v>1368</v>
      </c>
      <c r="EE48" s="609" t="s">
        <v>1368</v>
      </c>
      <c r="EF48" s="609" t="s">
        <v>1368</v>
      </c>
      <c r="EG48" s="609" t="s">
        <v>1368</v>
      </c>
      <c r="EH48" s="609" t="s">
        <v>1368</v>
      </c>
      <c r="EI48" s="610" t="s">
        <v>1707</v>
      </c>
      <c r="EJ48" s="610" t="s">
        <v>1707</v>
      </c>
      <c r="EK48" s="610" t="s">
        <v>1707</v>
      </c>
      <c r="EL48" s="610" t="s">
        <v>1707</v>
      </c>
      <c r="EM48" s="610" t="s">
        <v>1707</v>
      </c>
      <c r="EN48" s="610" t="s">
        <v>1707</v>
      </c>
      <c r="EO48" s="610" t="s">
        <v>1707</v>
      </c>
      <c r="EP48" s="610" t="s">
        <v>1707</v>
      </c>
      <c r="EQ48" s="610" t="s">
        <v>1707</v>
      </c>
      <c r="ER48" s="610" t="s">
        <v>1707</v>
      </c>
      <c r="ES48" s="610" t="s">
        <v>1707</v>
      </c>
      <c r="ET48" s="610" t="s">
        <v>1707</v>
      </c>
      <c r="EU48" s="610">
        <v>3980</v>
      </c>
      <c r="EV48" s="610" t="s">
        <v>1707</v>
      </c>
      <c r="EW48" s="610" t="s">
        <v>1707</v>
      </c>
      <c r="EX48" s="610" t="s">
        <v>1707</v>
      </c>
      <c r="EY48" s="610" t="s">
        <v>1707</v>
      </c>
      <c r="EZ48" s="610" t="s">
        <v>1707</v>
      </c>
      <c r="FA48" s="610" t="s">
        <v>1707</v>
      </c>
      <c r="FB48" s="610" t="s">
        <v>1707</v>
      </c>
      <c r="FC48" s="610" t="s">
        <v>1707</v>
      </c>
      <c r="FD48" s="610" t="s">
        <v>1707</v>
      </c>
      <c r="FE48" s="610" t="s">
        <v>1707</v>
      </c>
      <c r="FF48" s="610" t="s">
        <v>1707</v>
      </c>
      <c r="FG48" s="610" t="s">
        <v>1707</v>
      </c>
      <c r="FH48" s="610">
        <v>39</v>
      </c>
      <c r="FI48" s="610">
        <v>39</v>
      </c>
      <c r="FJ48" s="610">
        <v>39</v>
      </c>
      <c r="FK48" s="610">
        <v>39</v>
      </c>
      <c r="FL48" s="610">
        <v>39</v>
      </c>
      <c r="FM48" s="610">
        <v>39</v>
      </c>
      <c r="FN48" s="610">
        <v>39</v>
      </c>
      <c r="FO48" s="610">
        <v>39</v>
      </c>
      <c r="FP48" s="610">
        <v>39</v>
      </c>
      <c r="FQ48" s="610">
        <v>39</v>
      </c>
      <c r="FR48" s="610" t="s">
        <v>2487</v>
      </c>
      <c r="FS48" s="610" t="s">
        <v>2487</v>
      </c>
      <c r="FT48" s="610" t="s">
        <v>2487</v>
      </c>
      <c r="FU48" s="610" t="s">
        <v>2487</v>
      </c>
      <c r="FV48" s="610" t="s">
        <v>2487</v>
      </c>
      <c r="FW48" s="610" t="s">
        <v>2487</v>
      </c>
      <c r="FX48" s="610" t="s">
        <v>2487</v>
      </c>
      <c r="FY48" s="610" t="s">
        <v>2487</v>
      </c>
      <c r="FZ48" s="610" t="s">
        <v>2487</v>
      </c>
      <c r="GA48" s="610" t="s">
        <v>2487</v>
      </c>
      <c r="GB48" s="610" t="s">
        <v>2487</v>
      </c>
      <c r="GC48" s="610" t="s">
        <v>2487</v>
      </c>
      <c r="GD48" s="564">
        <f t="shared" si="3"/>
        <v>79950</v>
      </c>
      <c r="GE48" s="564">
        <f t="shared" si="4"/>
        <v>79950</v>
      </c>
      <c r="GF48" s="564">
        <f t="shared" si="5"/>
        <v>79950</v>
      </c>
      <c r="GG48" s="564">
        <f t="shared" si="6"/>
        <v>79950</v>
      </c>
      <c r="GH48" s="564">
        <f t="shared" si="7"/>
        <v>79950</v>
      </c>
      <c r="GI48" s="564">
        <f t="shared" si="8"/>
        <v>79950</v>
      </c>
      <c r="GJ48" s="564">
        <f t="shared" si="9"/>
        <v>79950</v>
      </c>
      <c r="GK48" s="564">
        <f t="shared" si="10"/>
        <v>79950</v>
      </c>
      <c r="GL48" s="564">
        <f t="shared" si="11"/>
        <v>79950</v>
      </c>
      <c r="GM48" s="564">
        <f t="shared" si="12"/>
        <v>79950</v>
      </c>
      <c r="GN48" s="564">
        <f t="shared" si="13"/>
        <v>79950</v>
      </c>
      <c r="GO48" s="564">
        <f t="shared" si="14"/>
        <v>79950</v>
      </c>
      <c r="GP48" s="564"/>
      <c r="GS48" s="375" t="s">
        <v>1455</v>
      </c>
      <c r="GT48" s="374" t="str">
        <f t="shared" si="15"/>
        <v>〇</v>
      </c>
    </row>
    <row r="49" spans="2:202">
      <c r="B49" s="371">
        <v>45</v>
      </c>
      <c r="C49" s="378">
        <v>45</v>
      </c>
      <c r="D49" s="373" t="s">
        <v>1623</v>
      </c>
      <c r="E49" s="373" t="s">
        <v>14</v>
      </c>
      <c r="F49" s="603">
        <f t="shared" si="2"/>
        <v>90</v>
      </c>
      <c r="G49" s="603"/>
      <c r="H49" s="603">
        <v>51</v>
      </c>
      <c r="I49" s="603">
        <v>39</v>
      </c>
      <c r="J49" s="603"/>
      <c r="K49" s="603"/>
      <c r="L49" s="603"/>
      <c r="M49" s="603"/>
      <c r="N49" s="608"/>
      <c r="O49" s="603">
        <v>1577000</v>
      </c>
      <c r="P49" s="603">
        <v>2721000</v>
      </c>
      <c r="Q49" s="603">
        <v>0</v>
      </c>
      <c r="R49" s="603">
        <v>1791000</v>
      </c>
      <c r="S49" s="603">
        <v>1188000</v>
      </c>
      <c r="T49" s="603">
        <v>0</v>
      </c>
      <c r="U49" s="603">
        <v>0</v>
      </c>
      <c r="V49" s="603">
        <v>0</v>
      </c>
      <c r="W49" s="603">
        <v>0</v>
      </c>
      <c r="X49" s="603">
        <v>0</v>
      </c>
      <c r="Y49" s="603">
        <v>0</v>
      </c>
      <c r="Z49" s="603">
        <v>0</v>
      </c>
      <c r="AA49" s="603">
        <v>0</v>
      </c>
      <c r="AB49" s="603">
        <v>0</v>
      </c>
      <c r="AC49" s="603">
        <v>0</v>
      </c>
      <c r="AD49" s="603">
        <v>0</v>
      </c>
      <c r="AE49" s="603">
        <v>0</v>
      </c>
      <c r="AF49" s="603">
        <v>0</v>
      </c>
      <c r="AG49" s="603">
        <v>0</v>
      </c>
      <c r="AH49" s="603">
        <v>0</v>
      </c>
      <c r="AI49" s="603">
        <v>0</v>
      </c>
      <c r="AJ49" s="604" t="s">
        <v>2377</v>
      </c>
      <c r="AK49" s="605" t="s">
        <v>1545</v>
      </c>
      <c r="AL49" s="605" t="s">
        <v>1545</v>
      </c>
      <c r="AM49" s="606" t="s">
        <v>2045</v>
      </c>
      <c r="AN49" s="609" t="s">
        <v>12</v>
      </c>
      <c r="AO49" s="610" t="s">
        <v>13</v>
      </c>
      <c r="AP49" s="610" t="s">
        <v>13</v>
      </c>
      <c r="AQ49" s="610" t="s">
        <v>13</v>
      </c>
      <c r="AR49" s="610" t="s">
        <v>13</v>
      </c>
      <c r="AS49" s="610" t="s">
        <v>13</v>
      </c>
      <c r="AT49" s="610" t="s">
        <v>13</v>
      </c>
      <c r="AU49" s="610" t="s">
        <v>13</v>
      </c>
      <c r="AV49" s="610" t="s">
        <v>13</v>
      </c>
      <c r="AW49" s="610" t="s">
        <v>13</v>
      </c>
      <c r="AX49" s="610" t="s">
        <v>13</v>
      </c>
      <c r="AY49" s="610" t="s">
        <v>13</v>
      </c>
      <c r="AZ49" s="610" t="s">
        <v>13</v>
      </c>
      <c r="BA49" s="610" t="s">
        <v>14</v>
      </c>
      <c r="BB49" s="610" t="s">
        <v>14</v>
      </c>
      <c r="BC49" s="610" t="s">
        <v>14</v>
      </c>
      <c r="BD49" s="610" t="s">
        <v>14</v>
      </c>
      <c r="BE49" s="610" t="s">
        <v>14</v>
      </c>
      <c r="BF49" s="610" t="s">
        <v>14</v>
      </c>
      <c r="BG49" s="610" t="s">
        <v>14</v>
      </c>
      <c r="BH49" s="610" t="s">
        <v>14</v>
      </c>
      <c r="BI49" s="610" t="s">
        <v>14</v>
      </c>
      <c r="BJ49" s="610" t="s">
        <v>14</v>
      </c>
      <c r="BK49" s="610" t="s">
        <v>14</v>
      </c>
      <c r="BL49" s="610" t="s">
        <v>14</v>
      </c>
      <c r="BM49" s="610">
        <v>1</v>
      </c>
      <c r="BN49" s="610">
        <v>1</v>
      </c>
      <c r="BO49" s="610">
        <v>1</v>
      </c>
      <c r="BP49" s="610">
        <v>1</v>
      </c>
      <c r="BQ49" s="610">
        <v>1</v>
      </c>
      <c r="BR49" s="610">
        <v>1</v>
      </c>
      <c r="BS49" s="610">
        <v>1</v>
      </c>
      <c r="BT49" s="610">
        <v>1</v>
      </c>
      <c r="BU49" s="610">
        <v>1</v>
      </c>
      <c r="BV49" s="610">
        <v>1</v>
      </c>
      <c r="BW49" s="610">
        <v>1</v>
      </c>
      <c r="BX49" s="610">
        <v>1</v>
      </c>
      <c r="BY49" s="610">
        <v>0</v>
      </c>
      <c r="BZ49" s="610">
        <v>0</v>
      </c>
      <c r="CA49" s="610">
        <v>0</v>
      </c>
      <c r="CB49" s="610">
        <v>0</v>
      </c>
      <c r="CC49" s="610">
        <v>0</v>
      </c>
      <c r="CD49" s="610">
        <v>0</v>
      </c>
      <c r="CE49" s="610">
        <v>0</v>
      </c>
      <c r="CF49" s="610">
        <v>0</v>
      </c>
      <c r="CG49" s="610">
        <v>0</v>
      </c>
      <c r="CH49" s="610">
        <v>0</v>
      </c>
      <c r="CI49" s="610">
        <v>0</v>
      </c>
      <c r="CJ49" s="610">
        <v>0</v>
      </c>
      <c r="CK49" s="610">
        <v>0</v>
      </c>
      <c r="CL49" s="610">
        <v>0</v>
      </c>
      <c r="CM49" s="610">
        <v>0</v>
      </c>
      <c r="CN49" s="610">
        <v>0</v>
      </c>
      <c r="CO49" s="610">
        <v>0</v>
      </c>
      <c r="CP49" s="610">
        <v>0</v>
      </c>
      <c r="CQ49" s="610">
        <v>0</v>
      </c>
      <c r="CR49" s="610">
        <v>0</v>
      </c>
      <c r="CS49" s="610">
        <v>0</v>
      </c>
      <c r="CT49" s="610">
        <v>0</v>
      </c>
      <c r="CU49" s="610">
        <v>0</v>
      </c>
      <c r="CV49" s="610">
        <v>0</v>
      </c>
      <c r="CW49" s="610" t="s">
        <v>14</v>
      </c>
      <c r="CX49" s="610">
        <v>0</v>
      </c>
      <c r="CY49" s="610" t="s">
        <v>1707</v>
      </c>
      <c r="CZ49" s="610" t="s">
        <v>1707</v>
      </c>
      <c r="DA49" s="610" t="s">
        <v>1707</v>
      </c>
      <c r="DB49" s="610" t="s">
        <v>1707</v>
      </c>
      <c r="DC49" s="610" t="s">
        <v>1707</v>
      </c>
      <c r="DD49" s="610" t="s">
        <v>1707</v>
      </c>
      <c r="DE49" s="610" t="s">
        <v>1707</v>
      </c>
      <c r="DF49" s="610" t="s">
        <v>1707</v>
      </c>
      <c r="DG49" s="610" t="s">
        <v>1707</v>
      </c>
      <c r="DH49" s="610" t="s">
        <v>1707</v>
      </c>
      <c r="DI49" s="610" t="s">
        <v>1707</v>
      </c>
      <c r="DJ49" s="610" t="s">
        <v>1707</v>
      </c>
      <c r="DK49" s="610" t="s">
        <v>1368</v>
      </c>
      <c r="DL49" s="610" t="s">
        <v>1368</v>
      </c>
      <c r="DM49" s="610" t="s">
        <v>1368</v>
      </c>
      <c r="DN49" s="610" t="s">
        <v>1368</v>
      </c>
      <c r="DO49" s="610" t="s">
        <v>1368</v>
      </c>
      <c r="DP49" s="610" t="s">
        <v>1368</v>
      </c>
      <c r="DQ49" s="610" t="s">
        <v>1368</v>
      </c>
      <c r="DR49" s="610" t="s">
        <v>1368</v>
      </c>
      <c r="DS49" s="610" t="s">
        <v>1368</v>
      </c>
      <c r="DT49" s="610" t="s">
        <v>1368</v>
      </c>
      <c r="DU49" s="610" t="s">
        <v>1368</v>
      </c>
      <c r="DV49" s="610" t="s">
        <v>1368</v>
      </c>
      <c r="DW49" s="609" t="s">
        <v>1368</v>
      </c>
      <c r="DX49" s="609" t="s">
        <v>1368</v>
      </c>
      <c r="DY49" s="609" t="s">
        <v>1368</v>
      </c>
      <c r="DZ49" s="609" t="s">
        <v>1368</v>
      </c>
      <c r="EA49" s="609" t="s">
        <v>1368</v>
      </c>
      <c r="EB49" s="609" t="s">
        <v>1368</v>
      </c>
      <c r="EC49" s="609" t="s">
        <v>1368</v>
      </c>
      <c r="ED49" s="609" t="s">
        <v>1368</v>
      </c>
      <c r="EE49" s="609" t="s">
        <v>1368</v>
      </c>
      <c r="EF49" s="609" t="s">
        <v>1368</v>
      </c>
      <c r="EG49" s="609" t="s">
        <v>1368</v>
      </c>
      <c r="EH49" s="609" t="s">
        <v>1368</v>
      </c>
      <c r="EI49" s="610" t="s">
        <v>1707</v>
      </c>
      <c r="EJ49" s="610" t="s">
        <v>1707</v>
      </c>
      <c r="EK49" s="610" t="s">
        <v>1707</v>
      </c>
      <c r="EL49" s="610" t="s">
        <v>1707</v>
      </c>
      <c r="EM49" s="610" t="s">
        <v>1707</v>
      </c>
      <c r="EN49" s="610" t="s">
        <v>1707</v>
      </c>
      <c r="EO49" s="610" t="s">
        <v>1707</v>
      </c>
      <c r="EP49" s="610" t="s">
        <v>1707</v>
      </c>
      <c r="EQ49" s="610" t="s">
        <v>1707</v>
      </c>
      <c r="ER49" s="610" t="s">
        <v>1707</v>
      </c>
      <c r="ES49" s="610" t="s">
        <v>1707</v>
      </c>
      <c r="ET49" s="610" t="s">
        <v>1707</v>
      </c>
      <c r="EU49" s="610">
        <v>4040</v>
      </c>
      <c r="EV49" s="610" t="s">
        <v>1707</v>
      </c>
      <c r="EW49" s="610" t="s">
        <v>1707</v>
      </c>
      <c r="EX49" s="610" t="s">
        <v>1707</v>
      </c>
      <c r="EY49" s="610" t="s">
        <v>1707</v>
      </c>
      <c r="EZ49" s="610" t="s">
        <v>1707</v>
      </c>
      <c r="FA49" s="610" t="s">
        <v>1707</v>
      </c>
      <c r="FB49" s="610" t="s">
        <v>1707</v>
      </c>
      <c r="FC49" s="610" t="s">
        <v>1707</v>
      </c>
      <c r="FD49" s="610" t="s">
        <v>1707</v>
      </c>
      <c r="FE49" s="610" t="s">
        <v>1707</v>
      </c>
      <c r="FF49" s="610" t="s">
        <v>1707</v>
      </c>
      <c r="FG49" s="610" t="s">
        <v>1707</v>
      </c>
      <c r="FH49" s="610">
        <v>33</v>
      </c>
      <c r="FI49" s="610">
        <v>33</v>
      </c>
      <c r="FJ49" s="610">
        <v>33</v>
      </c>
      <c r="FK49" s="610">
        <v>33</v>
      </c>
      <c r="FL49" s="610">
        <v>33</v>
      </c>
      <c r="FM49" s="610">
        <v>32</v>
      </c>
      <c r="FN49" s="610">
        <v>32</v>
      </c>
      <c r="FO49" s="610">
        <v>32</v>
      </c>
      <c r="FP49" s="610">
        <v>32</v>
      </c>
      <c r="FQ49" s="610">
        <v>32</v>
      </c>
      <c r="FR49" s="610" t="s">
        <v>2487</v>
      </c>
      <c r="FS49" s="610" t="s">
        <v>2487</v>
      </c>
      <c r="FT49" s="610" t="s">
        <v>2487</v>
      </c>
      <c r="FU49" s="610" t="s">
        <v>2487</v>
      </c>
      <c r="FV49" s="610" t="s">
        <v>2487</v>
      </c>
      <c r="FW49" s="610" t="s">
        <v>2487</v>
      </c>
      <c r="FX49" s="610" t="s">
        <v>2487</v>
      </c>
      <c r="FY49" s="610" t="s">
        <v>2487</v>
      </c>
      <c r="FZ49" s="610" t="s">
        <v>2487</v>
      </c>
      <c r="GA49" s="610" t="s">
        <v>2487</v>
      </c>
      <c r="GB49" s="610" t="s">
        <v>2487</v>
      </c>
      <c r="GC49" s="610" t="s">
        <v>2487</v>
      </c>
      <c r="GD49" s="564">
        <f t="shared" si="3"/>
        <v>79950</v>
      </c>
      <c r="GE49" s="564">
        <f t="shared" si="4"/>
        <v>79950</v>
      </c>
      <c r="GF49" s="564">
        <f t="shared" si="5"/>
        <v>79950</v>
      </c>
      <c r="GG49" s="564">
        <f t="shared" si="6"/>
        <v>79950</v>
      </c>
      <c r="GH49" s="564">
        <f t="shared" si="7"/>
        <v>79950</v>
      </c>
      <c r="GI49" s="564">
        <f t="shared" si="8"/>
        <v>79950</v>
      </c>
      <c r="GJ49" s="564">
        <f t="shared" si="9"/>
        <v>79950</v>
      </c>
      <c r="GK49" s="564">
        <f t="shared" si="10"/>
        <v>79950</v>
      </c>
      <c r="GL49" s="564">
        <f t="shared" si="11"/>
        <v>79950</v>
      </c>
      <c r="GM49" s="564">
        <f t="shared" si="12"/>
        <v>79950</v>
      </c>
      <c r="GN49" s="564">
        <f t="shared" si="13"/>
        <v>79950</v>
      </c>
      <c r="GO49" s="564">
        <f t="shared" si="14"/>
        <v>79950</v>
      </c>
      <c r="GP49" s="564"/>
      <c r="GS49" s="375" t="s">
        <v>1623</v>
      </c>
      <c r="GT49" s="374" t="str">
        <f t="shared" si="15"/>
        <v>〇</v>
      </c>
    </row>
    <row r="50" spans="2:202">
      <c r="B50" s="371">
        <v>46</v>
      </c>
      <c r="C50" s="378">
        <v>46</v>
      </c>
      <c r="D50" s="373" t="s">
        <v>1781</v>
      </c>
      <c r="E50" s="373" t="s">
        <v>14</v>
      </c>
      <c r="F50" s="603">
        <f t="shared" si="2"/>
        <v>90</v>
      </c>
      <c r="G50" s="603"/>
      <c r="H50" s="603">
        <v>54</v>
      </c>
      <c r="I50" s="603">
        <v>36</v>
      </c>
      <c r="J50" s="603"/>
      <c r="K50" s="603"/>
      <c r="L50" s="603"/>
      <c r="M50" s="603"/>
      <c r="N50" s="608"/>
      <c r="O50" s="603">
        <v>1577000</v>
      </c>
      <c r="P50" s="603">
        <v>2721000</v>
      </c>
      <c r="Q50" s="603">
        <v>2721000</v>
      </c>
      <c r="R50" s="603">
        <v>1791000</v>
      </c>
      <c r="S50" s="603">
        <v>0</v>
      </c>
      <c r="T50" s="603">
        <v>6543000</v>
      </c>
      <c r="U50" s="603">
        <v>0</v>
      </c>
      <c r="V50" s="603">
        <v>0</v>
      </c>
      <c r="W50" s="603">
        <v>0</v>
      </c>
      <c r="X50" s="603">
        <v>0</v>
      </c>
      <c r="Y50" s="603">
        <v>0</v>
      </c>
      <c r="Z50" s="603">
        <v>0</v>
      </c>
      <c r="AA50" s="603">
        <v>0</v>
      </c>
      <c r="AB50" s="603">
        <v>0</v>
      </c>
      <c r="AC50" s="603">
        <v>1577000</v>
      </c>
      <c r="AD50" s="603">
        <v>2721000</v>
      </c>
      <c r="AE50" s="603">
        <v>2721000</v>
      </c>
      <c r="AF50" s="603">
        <v>1791000</v>
      </c>
      <c r="AG50" s="603">
        <v>0</v>
      </c>
      <c r="AH50" s="603">
        <v>6543000</v>
      </c>
      <c r="AI50" s="603">
        <v>0</v>
      </c>
      <c r="AJ50" s="604" t="s">
        <v>2377</v>
      </c>
      <c r="AK50" s="605" t="s">
        <v>1545</v>
      </c>
      <c r="AL50" s="605" t="s">
        <v>2490</v>
      </c>
      <c r="AM50" s="606" t="s">
        <v>2046</v>
      </c>
      <c r="AN50" s="609" t="s">
        <v>12</v>
      </c>
      <c r="AO50" s="610" t="s">
        <v>1368</v>
      </c>
      <c r="AP50" s="610" t="s">
        <v>1368</v>
      </c>
      <c r="AQ50" s="610" t="s">
        <v>1368</v>
      </c>
      <c r="AR50" s="610" t="s">
        <v>1368</v>
      </c>
      <c r="AS50" s="610" t="s">
        <v>1368</v>
      </c>
      <c r="AT50" s="610" t="s">
        <v>1368</v>
      </c>
      <c r="AU50" s="610" t="s">
        <v>1368</v>
      </c>
      <c r="AV50" s="610" t="s">
        <v>1368</v>
      </c>
      <c r="AW50" s="610" t="s">
        <v>1368</v>
      </c>
      <c r="AX50" s="610" t="s">
        <v>1368</v>
      </c>
      <c r="AY50" s="610" t="s">
        <v>1368</v>
      </c>
      <c r="AZ50" s="610" t="s">
        <v>1368</v>
      </c>
      <c r="BA50" s="610" t="s">
        <v>1368</v>
      </c>
      <c r="BB50" s="610" t="s">
        <v>1368</v>
      </c>
      <c r="BC50" s="610" t="s">
        <v>1368</v>
      </c>
      <c r="BD50" s="610" t="s">
        <v>1368</v>
      </c>
      <c r="BE50" s="610" t="s">
        <v>1368</v>
      </c>
      <c r="BF50" s="610" t="s">
        <v>1368</v>
      </c>
      <c r="BG50" s="610" t="s">
        <v>1368</v>
      </c>
      <c r="BH50" s="610" t="s">
        <v>1368</v>
      </c>
      <c r="BI50" s="610" t="s">
        <v>1368</v>
      </c>
      <c r="BJ50" s="610" t="s">
        <v>1368</v>
      </c>
      <c r="BK50" s="610" t="s">
        <v>1368</v>
      </c>
      <c r="BL50" s="610" t="s">
        <v>1368</v>
      </c>
      <c r="BM50" s="610">
        <v>3</v>
      </c>
      <c r="BN50" s="610">
        <v>3</v>
      </c>
      <c r="BO50" s="610">
        <v>3</v>
      </c>
      <c r="BP50" s="610">
        <v>3</v>
      </c>
      <c r="BQ50" s="610">
        <v>3</v>
      </c>
      <c r="BR50" s="610">
        <v>3</v>
      </c>
      <c r="BS50" s="610">
        <v>3</v>
      </c>
      <c r="BT50" s="610">
        <v>3</v>
      </c>
      <c r="BU50" s="610">
        <v>3</v>
      </c>
      <c r="BV50" s="610">
        <v>3</v>
      </c>
      <c r="BW50" s="610">
        <v>3</v>
      </c>
      <c r="BX50" s="610">
        <v>3</v>
      </c>
      <c r="BY50" s="610">
        <v>0</v>
      </c>
      <c r="BZ50" s="610">
        <v>0</v>
      </c>
      <c r="CA50" s="610">
        <v>0</v>
      </c>
      <c r="CB50" s="610">
        <v>0</v>
      </c>
      <c r="CC50" s="610">
        <v>0</v>
      </c>
      <c r="CD50" s="610">
        <v>0</v>
      </c>
      <c r="CE50" s="610">
        <v>0</v>
      </c>
      <c r="CF50" s="610">
        <v>0</v>
      </c>
      <c r="CG50" s="610">
        <v>0</v>
      </c>
      <c r="CH50" s="610">
        <v>0</v>
      </c>
      <c r="CI50" s="610">
        <v>0</v>
      </c>
      <c r="CJ50" s="610">
        <v>0</v>
      </c>
      <c r="CK50" s="610">
        <v>0</v>
      </c>
      <c r="CL50" s="610">
        <v>0</v>
      </c>
      <c r="CM50" s="610">
        <v>0</v>
      </c>
      <c r="CN50" s="610">
        <v>0</v>
      </c>
      <c r="CO50" s="610">
        <v>0</v>
      </c>
      <c r="CP50" s="610">
        <v>0</v>
      </c>
      <c r="CQ50" s="610">
        <v>0</v>
      </c>
      <c r="CR50" s="610">
        <v>0</v>
      </c>
      <c r="CS50" s="610">
        <v>0</v>
      </c>
      <c r="CT50" s="610">
        <v>0</v>
      </c>
      <c r="CU50" s="610">
        <v>0</v>
      </c>
      <c r="CV50" s="610">
        <v>0</v>
      </c>
      <c r="CW50" s="610" t="s">
        <v>14</v>
      </c>
      <c r="CX50" s="610">
        <v>0</v>
      </c>
      <c r="CY50" s="610" t="s">
        <v>1707</v>
      </c>
      <c r="CZ50" s="610" t="s">
        <v>1707</v>
      </c>
      <c r="DA50" s="610" t="s">
        <v>1707</v>
      </c>
      <c r="DB50" s="610" t="s">
        <v>1707</v>
      </c>
      <c r="DC50" s="610" t="s">
        <v>1707</v>
      </c>
      <c r="DD50" s="610" t="s">
        <v>1707</v>
      </c>
      <c r="DE50" s="610" t="s">
        <v>1707</v>
      </c>
      <c r="DF50" s="610" t="s">
        <v>1707</v>
      </c>
      <c r="DG50" s="610" t="s">
        <v>1707</v>
      </c>
      <c r="DH50" s="610" t="s">
        <v>1707</v>
      </c>
      <c r="DI50" s="610" t="s">
        <v>1707</v>
      </c>
      <c r="DJ50" s="610" t="s">
        <v>1707</v>
      </c>
      <c r="DK50" s="610" t="s">
        <v>1368</v>
      </c>
      <c r="DL50" s="610" t="s">
        <v>1368</v>
      </c>
      <c r="DM50" s="610" t="s">
        <v>1368</v>
      </c>
      <c r="DN50" s="610" t="s">
        <v>1368</v>
      </c>
      <c r="DO50" s="610" t="s">
        <v>1368</v>
      </c>
      <c r="DP50" s="610" t="s">
        <v>1368</v>
      </c>
      <c r="DQ50" s="610" t="s">
        <v>1368</v>
      </c>
      <c r="DR50" s="610" t="s">
        <v>1368</v>
      </c>
      <c r="DS50" s="610" t="s">
        <v>1368</v>
      </c>
      <c r="DT50" s="610" t="s">
        <v>1368</v>
      </c>
      <c r="DU50" s="610" t="s">
        <v>1368</v>
      </c>
      <c r="DV50" s="610" t="s">
        <v>1368</v>
      </c>
      <c r="DW50" s="609" t="s">
        <v>1368</v>
      </c>
      <c r="DX50" s="609" t="s">
        <v>1368</v>
      </c>
      <c r="DY50" s="609" t="s">
        <v>1368</v>
      </c>
      <c r="DZ50" s="609" t="s">
        <v>1368</v>
      </c>
      <c r="EA50" s="609" t="s">
        <v>1368</v>
      </c>
      <c r="EB50" s="609" t="s">
        <v>1368</v>
      </c>
      <c r="EC50" s="609" t="s">
        <v>1368</v>
      </c>
      <c r="ED50" s="609" t="s">
        <v>1368</v>
      </c>
      <c r="EE50" s="609" t="s">
        <v>1368</v>
      </c>
      <c r="EF50" s="609" t="s">
        <v>1368</v>
      </c>
      <c r="EG50" s="609" t="s">
        <v>1368</v>
      </c>
      <c r="EH50" s="609" t="s">
        <v>1368</v>
      </c>
      <c r="EI50" s="610" t="s">
        <v>1707</v>
      </c>
      <c r="EJ50" s="610" t="s">
        <v>1707</v>
      </c>
      <c r="EK50" s="610" t="s">
        <v>1707</v>
      </c>
      <c r="EL50" s="610" t="s">
        <v>1707</v>
      </c>
      <c r="EM50" s="610" t="s">
        <v>1707</v>
      </c>
      <c r="EN50" s="610" t="s">
        <v>1707</v>
      </c>
      <c r="EO50" s="610" t="s">
        <v>1707</v>
      </c>
      <c r="EP50" s="610" t="s">
        <v>1707</v>
      </c>
      <c r="EQ50" s="610" t="s">
        <v>1707</v>
      </c>
      <c r="ER50" s="610" t="s">
        <v>1707</v>
      </c>
      <c r="ES50" s="610" t="s">
        <v>1707</v>
      </c>
      <c r="ET50" s="610" t="s">
        <v>1707</v>
      </c>
      <c r="EU50" s="610">
        <v>3950</v>
      </c>
      <c r="EV50" s="610" t="s">
        <v>1707</v>
      </c>
      <c r="EW50" s="610" t="s">
        <v>1707</v>
      </c>
      <c r="EX50" s="610" t="s">
        <v>1707</v>
      </c>
      <c r="EY50" s="610" t="s">
        <v>1707</v>
      </c>
      <c r="EZ50" s="610" t="s">
        <v>1707</v>
      </c>
      <c r="FA50" s="610" t="s">
        <v>1707</v>
      </c>
      <c r="FB50" s="610" t="s">
        <v>1707</v>
      </c>
      <c r="FC50" s="610" t="s">
        <v>1707</v>
      </c>
      <c r="FD50" s="610" t="s">
        <v>1707</v>
      </c>
      <c r="FE50" s="610" t="s">
        <v>1707</v>
      </c>
      <c r="FF50" s="610" t="s">
        <v>1707</v>
      </c>
      <c r="FG50" s="610" t="s">
        <v>1707</v>
      </c>
      <c r="FH50" s="610">
        <v>36</v>
      </c>
      <c r="FI50" s="610">
        <v>36</v>
      </c>
      <c r="FJ50" s="610">
        <v>36</v>
      </c>
      <c r="FK50" s="610">
        <v>36</v>
      </c>
      <c r="FL50" s="610">
        <v>36</v>
      </c>
      <c r="FM50" s="610">
        <v>36</v>
      </c>
      <c r="FN50" s="610">
        <v>36</v>
      </c>
      <c r="FO50" s="610">
        <v>36</v>
      </c>
      <c r="FP50" s="610">
        <v>36</v>
      </c>
      <c r="FQ50" s="610">
        <v>36</v>
      </c>
      <c r="FR50" s="610" t="s">
        <v>2487</v>
      </c>
      <c r="FS50" s="610" t="s">
        <v>2487</v>
      </c>
      <c r="FT50" s="610" t="s">
        <v>2487</v>
      </c>
      <c r="FU50" s="610" t="s">
        <v>2487</v>
      </c>
      <c r="FV50" s="610" t="s">
        <v>2487</v>
      </c>
      <c r="FW50" s="610" t="s">
        <v>2487</v>
      </c>
      <c r="FX50" s="610" t="s">
        <v>2487</v>
      </c>
      <c r="FY50" s="610" t="s">
        <v>2487</v>
      </c>
      <c r="FZ50" s="610" t="s">
        <v>2487</v>
      </c>
      <c r="GA50" s="610" t="s">
        <v>2487</v>
      </c>
      <c r="GB50" s="610" t="s">
        <v>2487</v>
      </c>
      <c r="GC50" s="610" t="s">
        <v>2487</v>
      </c>
      <c r="GD50" s="564">
        <f t="shared" si="3"/>
        <v>79950</v>
      </c>
      <c r="GE50" s="564">
        <f t="shared" si="4"/>
        <v>79950</v>
      </c>
      <c r="GF50" s="564">
        <f t="shared" si="5"/>
        <v>79950</v>
      </c>
      <c r="GG50" s="564">
        <f t="shared" si="6"/>
        <v>79950</v>
      </c>
      <c r="GH50" s="564">
        <f t="shared" si="7"/>
        <v>79950</v>
      </c>
      <c r="GI50" s="564">
        <f t="shared" si="8"/>
        <v>79950</v>
      </c>
      <c r="GJ50" s="564">
        <f t="shared" si="9"/>
        <v>79950</v>
      </c>
      <c r="GK50" s="564">
        <f t="shared" si="10"/>
        <v>79950</v>
      </c>
      <c r="GL50" s="564">
        <f t="shared" si="11"/>
        <v>79950</v>
      </c>
      <c r="GM50" s="564">
        <f t="shared" si="12"/>
        <v>79950</v>
      </c>
      <c r="GN50" s="564">
        <f t="shared" si="13"/>
        <v>79950</v>
      </c>
      <c r="GO50" s="564">
        <f t="shared" si="14"/>
        <v>79950</v>
      </c>
      <c r="GP50" s="564"/>
      <c r="GS50" s="375" t="s">
        <v>1918</v>
      </c>
      <c r="GT50" s="374" t="str">
        <f t="shared" si="15"/>
        <v>〇</v>
      </c>
    </row>
    <row r="51" spans="2:202">
      <c r="B51" s="371">
        <v>47</v>
      </c>
      <c r="C51" s="378">
        <v>47</v>
      </c>
      <c r="D51" s="373" t="s">
        <v>1456</v>
      </c>
      <c r="E51" s="373" t="s">
        <v>14</v>
      </c>
      <c r="F51" s="603">
        <f t="shared" si="2"/>
        <v>36</v>
      </c>
      <c r="G51" s="603"/>
      <c r="H51" s="603">
        <v>18</v>
      </c>
      <c r="I51" s="603">
        <v>18</v>
      </c>
      <c r="J51" s="603"/>
      <c r="K51" s="603"/>
      <c r="L51" s="603"/>
      <c r="M51" s="603"/>
      <c r="N51" s="608"/>
      <c r="O51" s="603">
        <v>1577000</v>
      </c>
      <c r="P51" s="603">
        <v>2721000</v>
      </c>
      <c r="Q51" s="603">
        <v>2721000</v>
      </c>
      <c r="R51" s="603">
        <v>1791000</v>
      </c>
      <c r="S51" s="603">
        <v>0</v>
      </c>
      <c r="T51" s="603">
        <v>2181000</v>
      </c>
      <c r="U51" s="603">
        <v>0</v>
      </c>
      <c r="V51" s="603">
        <v>1051000</v>
      </c>
      <c r="W51" s="603">
        <v>1814000</v>
      </c>
      <c r="X51" s="603">
        <v>1814000</v>
      </c>
      <c r="Y51" s="603">
        <v>1194000</v>
      </c>
      <c r="Z51" s="603">
        <v>0</v>
      </c>
      <c r="AA51" s="603">
        <v>1454000</v>
      </c>
      <c r="AB51" s="603">
        <v>0</v>
      </c>
      <c r="AC51" s="603">
        <v>526000</v>
      </c>
      <c r="AD51" s="603">
        <v>907000</v>
      </c>
      <c r="AE51" s="603">
        <v>907000</v>
      </c>
      <c r="AF51" s="603">
        <v>597000</v>
      </c>
      <c r="AG51" s="603">
        <v>0</v>
      </c>
      <c r="AH51" s="603">
        <v>727000</v>
      </c>
      <c r="AI51" s="603">
        <v>0</v>
      </c>
      <c r="AJ51" s="604" t="s">
        <v>2377</v>
      </c>
      <c r="AK51" s="605" t="s">
        <v>2378</v>
      </c>
      <c r="AL51" s="605" t="s">
        <v>2490</v>
      </c>
      <c r="AM51" s="606" t="s">
        <v>2047</v>
      </c>
      <c r="AN51" s="609" t="s">
        <v>12</v>
      </c>
      <c r="AO51" s="610" t="s">
        <v>1368</v>
      </c>
      <c r="AP51" s="610" t="s">
        <v>1368</v>
      </c>
      <c r="AQ51" s="610" t="s">
        <v>1368</v>
      </c>
      <c r="AR51" s="610" t="s">
        <v>1368</v>
      </c>
      <c r="AS51" s="610" t="s">
        <v>1368</v>
      </c>
      <c r="AT51" s="610" t="s">
        <v>1368</v>
      </c>
      <c r="AU51" s="610" t="s">
        <v>1368</v>
      </c>
      <c r="AV51" s="610" t="s">
        <v>1368</v>
      </c>
      <c r="AW51" s="610" t="s">
        <v>1368</v>
      </c>
      <c r="AX51" s="610" t="s">
        <v>1368</v>
      </c>
      <c r="AY51" s="610" t="s">
        <v>1368</v>
      </c>
      <c r="AZ51" s="610" t="s">
        <v>1368</v>
      </c>
      <c r="BA51" s="610" t="s">
        <v>1368</v>
      </c>
      <c r="BB51" s="610" t="s">
        <v>1368</v>
      </c>
      <c r="BC51" s="610" t="s">
        <v>1368</v>
      </c>
      <c r="BD51" s="610" t="s">
        <v>1368</v>
      </c>
      <c r="BE51" s="610" t="s">
        <v>1368</v>
      </c>
      <c r="BF51" s="610" t="s">
        <v>1368</v>
      </c>
      <c r="BG51" s="610" t="s">
        <v>1368</v>
      </c>
      <c r="BH51" s="610" t="s">
        <v>1368</v>
      </c>
      <c r="BI51" s="610" t="s">
        <v>1368</v>
      </c>
      <c r="BJ51" s="610" t="s">
        <v>1368</v>
      </c>
      <c r="BK51" s="610" t="s">
        <v>1368</v>
      </c>
      <c r="BL51" s="610" t="s">
        <v>1368</v>
      </c>
      <c r="BM51" s="610">
        <v>1</v>
      </c>
      <c r="BN51" s="610">
        <v>1</v>
      </c>
      <c r="BO51" s="610">
        <v>1</v>
      </c>
      <c r="BP51" s="610">
        <v>1</v>
      </c>
      <c r="BQ51" s="610">
        <v>1</v>
      </c>
      <c r="BR51" s="610">
        <v>1</v>
      </c>
      <c r="BS51" s="610">
        <v>1</v>
      </c>
      <c r="BT51" s="610">
        <v>1</v>
      </c>
      <c r="BU51" s="610">
        <v>1</v>
      </c>
      <c r="BV51" s="610">
        <v>1</v>
      </c>
      <c r="BW51" s="610">
        <v>1</v>
      </c>
      <c r="BX51" s="610">
        <v>1</v>
      </c>
      <c r="BY51" s="610">
        <v>0</v>
      </c>
      <c r="BZ51" s="610">
        <v>0</v>
      </c>
      <c r="CA51" s="610">
        <v>0</v>
      </c>
      <c r="CB51" s="610">
        <v>0</v>
      </c>
      <c r="CC51" s="610">
        <v>0</v>
      </c>
      <c r="CD51" s="610">
        <v>0</v>
      </c>
      <c r="CE51" s="610">
        <v>0</v>
      </c>
      <c r="CF51" s="610">
        <v>0</v>
      </c>
      <c r="CG51" s="610">
        <v>0</v>
      </c>
      <c r="CH51" s="610">
        <v>0</v>
      </c>
      <c r="CI51" s="610">
        <v>0</v>
      </c>
      <c r="CJ51" s="610">
        <v>0</v>
      </c>
      <c r="CK51" s="610">
        <v>0</v>
      </c>
      <c r="CL51" s="610">
        <v>0</v>
      </c>
      <c r="CM51" s="610">
        <v>0</v>
      </c>
      <c r="CN51" s="610">
        <v>0</v>
      </c>
      <c r="CO51" s="610">
        <v>0</v>
      </c>
      <c r="CP51" s="610">
        <v>0</v>
      </c>
      <c r="CQ51" s="610">
        <v>0</v>
      </c>
      <c r="CR51" s="610">
        <v>0</v>
      </c>
      <c r="CS51" s="610">
        <v>0</v>
      </c>
      <c r="CT51" s="610">
        <v>0</v>
      </c>
      <c r="CU51" s="610">
        <v>0</v>
      </c>
      <c r="CV51" s="610">
        <v>0</v>
      </c>
      <c r="CW51" s="610" t="s">
        <v>14</v>
      </c>
      <c r="CX51" s="610">
        <v>0</v>
      </c>
      <c r="CY51" s="610" t="s">
        <v>1707</v>
      </c>
      <c r="CZ51" s="610" t="s">
        <v>1707</v>
      </c>
      <c r="DA51" s="610" t="s">
        <v>1707</v>
      </c>
      <c r="DB51" s="610" t="s">
        <v>1707</v>
      </c>
      <c r="DC51" s="610" t="s">
        <v>1707</v>
      </c>
      <c r="DD51" s="610" t="s">
        <v>1707</v>
      </c>
      <c r="DE51" s="610" t="s">
        <v>1707</v>
      </c>
      <c r="DF51" s="610" t="s">
        <v>1707</v>
      </c>
      <c r="DG51" s="610" t="s">
        <v>1707</v>
      </c>
      <c r="DH51" s="610" t="s">
        <v>1707</v>
      </c>
      <c r="DI51" s="610" t="s">
        <v>1707</v>
      </c>
      <c r="DJ51" s="610" t="s">
        <v>1707</v>
      </c>
      <c r="DK51" s="610" t="s">
        <v>1368</v>
      </c>
      <c r="DL51" s="610" t="s">
        <v>1368</v>
      </c>
      <c r="DM51" s="610" t="s">
        <v>1368</v>
      </c>
      <c r="DN51" s="610" t="s">
        <v>1368</v>
      </c>
      <c r="DO51" s="610" t="s">
        <v>1368</v>
      </c>
      <c r="DP51" s="610" t="s">
        <v>1368</v>
      </c>
      <c r="DQ51" s="610" t="s">
        <v>1368</v>
      </c>
      <c r="DR51" s="610" t="s">
        <v>1368</v>
      </c>
      <c r="DS51" s="610" t="s">
        <v>1368</v>
      </c>
      <c r="DT51" s="610" t="s">
        <v>1368</v>
      </c>
      <c r="DU51" s="610" t="s">
        <v>1368</v>
      </c>
      <c r="DV51" s="610" t="s">
        <v>1368</v>
      </c>
      <c r="DW51" s="609" t="s">
        <v>1368</v>
      </c>
      <c r="DX51" s="609" t="s">
        <v>1368</v>
      </c>
      <c r="DY51" s="609" t="s">
        <v>1368</v>
      </c>
      <c r="DZ51" s="609" t="s">
        <v>1368</v>
      </c>
      <c r="EA51" s="609" t="s">
        <v>1368</v>
      </c>
      <c r="EB51" s="609" t="s">
        <v>1368</v>
      </c>
      <c r="EC51" s="609" t="s">
        <v>1368</v>
      </c>
      <c r="ED51" s="609" t="s">
        <v>1368</v>
      </c>
      <c r="EE51" s="609" t="s">
        <v>1368</v>
      </c>
      <c r="EF51" s="609" t="s">
        <v>1368</v>
      </c>
      <c r="EG51" s="609" t="s">
        <v>1368</v>
      </c>
      <c r="EH51" s="609" t="s">
        <v>1368</v>
      </c>
      <c r="EI51" s="610" t="s">
        <v>1707</v>
      </c>
      <c r="EJ51" s="610" t="s">
        <v>1707</v>
      </c>
      <c r="EK51" s="610" t="s">
        <v>1707</v>
      </c>
      <c r="EL51" s="610" t="s">
        <v>1707</v>
      </c>
      <c r="EM51" s="610" t="s">
        <v>1707</v>
      </c>
      <c r="EN51" s="610" t="s">
        <v>1707</v>
      </c>
      <c r="EO51" s="610" t="s">
        <v>1707</v>
      </c>
      <c r="EP51" s="610" t="s">
        <v>1707</v>
      </c>
      <c r="EQ51" s="610" t="s">
        <v>1707</v>
      </c>
      <c r="ER51" s="610" t="s">
        <v>1707</v>
      </c>
      <c r="ES51" s="610" t="s">
        <v>1707</v>
      </c>
      <c r="ET51" s="610" t="s">
        <v>1707</v>
      </c>
      <c r="EU51" s="610">
        <v>4040</v>
      </c>
      <c r="EV51" s="610" t="s">
        <v>1707</v>
      </c>
      <c r="EW51" s="610" t="s">
        <v>1707</v>
      </c>
      <c r="EX51" s="610" t="s">
        <v>1707</v>
      </c>
      <c r="EY51" s="610" t="s">
        <v>1707</v>
      </c>
      <c r="EZ51" s="610" t="s">
        <v>1707</v>
      </c>
      <c r="FA51" s="610" t="s">
        <v>1707</v>
      </c>
      <c r="FB51" s="610" t="s">
        <v>1707</v>
      </c>
      <c r="FC51" s="610" t="s">
        <v>1707</v>
      </c>
      <c r="FD51" s="610" t="s">
        <v>1707</v>
      </c>
      <c r="FE51" s="610" t="s">
        <v>1707</v>
      </c>
      <c r="FF51" s="610" t="s">
        <v>1707</v>
      </c>
      <c r="FG51" s="610" t="s">
        <v>1707</v>
      </c>
      <c r="FH51" s="610">
        <v>14</v>
      </c>
      <c r="FI51" s="610">
        <v>14</v>
      </c>
      <c r="FJ51" s="610">
        <v>14</v>
      </c>
      <c r="FK51" s="610">
        <v>14</v>
      </c>
      <c r="FL51" s="610">
        <v>14</v>
      </c>
      <c r="FM51" s="610">
        <v>14</v>
      </c>
      <c r="FN51" s="610">
        <v>14</v>
      </c>
      <c r="FO51" s="610">
        <v>13</v>
      </c>
      <c r="FP51" s="610">
        <v>13</v>
      </c>
      <c r="FQ51" s="610">
        <v>13</v>
      </c>
      <c r="FR51" s="610" t="s">
        <v>2488</v>
      </c>
      <c r="FS51" s="610" t="s">
        <v>2488</v>
      </c>
      <c r="FT51" s="610" t="s">
        <v>2488</v>
      </c>
      <c r="FU51" s="610" t="s">
        <v>2488</v>
      </c>
      <c r="FV51" s="610" t="s">
        <v>2488</v>
      </c>
      <c r="FW51" s="610" t="s">
        <v>2488</v>
      </c>
      <c r="FX51" s="610" t="s">
        <v>2488</v>
      </c>
      <c r="FY51" s="610" t="s">
        <v>2488</v>
      </c>
      <c r="FZ51" s="610" t="s">
        <v>2488</v>
      </c>
      <c r="GA51" s="610" t="s">
        <v>2488</v>
      </c>
      <c r="GB51" s="610" t="s">
        <v>2488</v>
      </c>
      <c r="GC51" s="610" t="s">
        <v>2488</v>
      </c>
      <c r="GD51" s="564" t="str">
        <f t="shared" si="3"/>
        <v/>
      </c>
      <c r="GE51" s="564" t="str">
        <f t="shared" si="4"/>
        <v/>
      </c>
      <c r="GF51" s="564" t="str">
        <f t="shared" si="5"/>
        <v/>
      </c>
      <c r="GG51" s="564" t="str">
        <f t="shared" si="6"/>
        <v/>
      </c>
      <c r="GH51" s="564" t="str">
        <f t="shared" si="7"/>
        <v/>
      </c>
      <c r="GI51" s="564" t="str">
        <f t="shared" si="8"/>
        <v/>
      </c>
      <c r="GJ51" s="564" t="str">
        <f t="shared" si="9"/>
        <v/>
      </c>
      <c r="GK51" s="564" t="str">
        <f t="shared" si="10"/>
        <v/>
      </c>
      <c r="GL51" s="564" t="str">
        <f t="shared" si="11"/>
        <v/>
      </c>
      <c r="GM51" s="564" t="str">
        <f t="shared" si="12"/>
        <v/>
      </c>
      <c r="GN51" s="564" t="str">
        <f t="shared" si="13"/>
        <v/>
      </c>
      <c r="GO51" s="564" t="str">
        <f t="shared" si="14"/>
        <v/>
      </c>
      <c r="GP51" s="564"/>
      <c r="GS51" s="375" t="s">
        <v>1456</v>
      </c>
      <c r="GT51" s="374" t="str">
        <f t="shared" si="15"/>
        <v>〇</v>
      </c>
    </row>
    <row r="52" spans="2:202">
      <c r="B52" s="371">
        <v>48</v>
      </c>
      <c r="C52" s="378">
        <v>48</v>
      </c>
      <c r="D52" s="373" t="s">
        <v>1457</v>
      </c>
      <c r="E52" s="373" t="s">
        <v>14</v>
      </c>
      <c r="F52" s="603">
        <f t="shared" si="2"/>
        <v>30</v>
      </c>
      <c r="G52" s="603"/>
      <c r="H52" s="603">
        <v>18</v>
      </c>
      <c r="I52" s="603">
        <v>12</v>
      </c>
      <c r="J52" s="603"/>
      <c r="K52" s="603"/>
      <c r="L52" s="603"/>
      <c r="M52" s="603"/>
      <c r="N52" s="608"/>
      <c r="O52" s="603">
        <v>1577000</v>
      </c>
      <c r="P52" s="603">
        <v>2721000</v>
      </c>
      <c r="Q52" s="603">
        <v>0</v>
      </c>
      <c r="R52" s="603">
        <v>1188000</v>
      </c>
      <c r="S52" s="603">
        <v>0</v>
      </c>
      <c r="T52" s="603">
        <v>0</v>
      </c>
      <c r="U52" s="603">
        <v>0</v>
      </c>
      <c r="V52" s="603">
        <v>1051000</v>
      </c>
      <c r="W52" s="603">
        <v>1814000</v>
      </c>
      <c r="X52" s="603">
        <v>0</v>
      </c>
      <c r="Y52" s="603">
        <v>792000</v>
      </c>
      <c r="Z52" s="603">
        <v>0</v>
      </c>
      <c r="AA52" s="603">
        <v>0</v>
      </c>
      <c r="AB52" s="603">
        <v>0</v>
      </c>
      <c r="AC52" s="603">
        <v>0</v>
      </c>
      <c r="AD52" s="603">
        <v>0</v>
      </c>
      <c r="AE52" s="603">
        <v>0</v>
      </c>
      <c r="AF52" s="603">
        <v>0</v>
      </c>
      <c r="AG52" s="603">
        <v>0</v>
      </c>
      <c r="AH52" s="603">
        <v>0</v>
      </c>
      <c r="AI52" s="603">
        <v>0</v>
      </c>
      <c r="AJ52" s="604" t="s">
        <v>2377</v>
      </c>
      <c r="AK52" s="605" t="s">
        <v>2378</v>
      </c>
      <c r="AL52" s="605" t="s">
        <v>1545</v>
      </c>
      <c r="AM52" s="606" t="s">
        <v>2048</v>
      </c>
      <c r="AN52" s="609" t="s">
        <v>12</v>
      </c>
      <c r="AO52" s="610" t="s">
        <v>1368</v>
      </c>
      <c r="AP52" s="610" t="s">
        <v>1368</v>
      </c>
      <c r="AQ52" s="610" t="s">
        <v>1368</v>
      </c>
      <c r="AR52" s="610" t="s">
        <v>1368</v>
      </c>
      <c r="AS52" s="610" t="s">
        <v>1368</v>
      </c>
      <c r="AT52" s="610" t="s">
        <v>1368</v>
      </c>
      <c r="AU52" s="610" t="s">
        <v>1368</v>
      </c>
      <c r="AV52" s="610" t="s">
        <v>1368</v>
      </c>
      <c r="AW52" s="610" t="s">
        <v>1368</v>
      </c>
      <c r="AX52" s="610" t="s">
        <v>1368</v>
      </c>
      <c r="AY52" s="610" t="s">
        <v>1368</v>
      </c>
      <c r="AZ52" s="610" t="s">
        <v>1368</v>
      </c>
      <c r="BA52" s="610" t="s">
        <v>1368</v>
      </c>
      <c r="BB52" s="610" t="s">
        <v>1368</v>
      </c>
      <c r="BC52" s="610" t="s">
        <v>1368</v>
      </c>
      <c r="BD52" s="610" t="s">
        <v>1368</v>
      </c>
      <c r="BE52" s="610" t="s">
        <v>1368</v>
      </c>
      <c r="BF52" s="610" t="s">
        <v>1368</v>
      </c>
      <c r="BG52" s="610" t="s">
        <v>1368</v>
      </c>
      <c r="BH52" s="610" t="s">
        <v>1368</v>
      </c>
      <c r="BI52" s="610" t="s">
        <v>1368</v>
      </c>
      <c r="BJ52" s="610" t="s">
        <v>1368</v>
      </c>
      <c r="BK52" s="610" t="s">
        <v>1368</v>
      </c>
      <c r="BL52" s="610" t="s">
        <v>1368</v>
      </c>
      <c r="BM52" s="610">
        <v>0</v>
      </c>
      <c r="BN52" s="610">
        <v>0</v>
      </c>
      <c r="BO52" s="610">
        <v>0</v>
      </c>
      <c r="BP52" s="610">
        <v>0</v>
      </c>
      <c r="BQ52" s="610">
        <v>0</v>
      </c>
      <c r="BR52" s="610">
        <v>0</v>
      </c>
      <c r="BS52" s="610">
        <v>0</v>
      </c>
      <c r="BT52" s="610">
        <v>0</v>
      </c>
      <c r="BU52" s="610">
        <v>0</v>
      </c>
      <c r="BV52" s="610">
        <v>0</v>
      </c>
      <c r="BW52" s="610">
        <v>0</v>
      </c>
      <c r="BX52" s="610">
        <v>0</v>
      </c>
      <c r="BY52" s="610">
        <v>0</v>
      </c>
      <c r="BZ52" s="610">
        <v>0</v>
      </c>
      <c r="CA52" s="610">
        <v>0</v>
      </c>
      <c r="CB52" s="610">
        <v>0</v>
      </c>
      <c r="CC52" s="610">
        <v>0</v>
      </c>
      <c r="CD52" s="610">
        <v>0</v>
      </c>
      <c r="CE52" s="610">
        <v>0</v>
      </c>
      <c r="CF52" s="610">
        <v>0</v>
      </c>
      <c r="CG52" s="610">
        <v>0</v>
      </c>
      <c r="CH52" s="610">
        <v>0</v>
      </c>
      <c r="CI52" s="610">
        <v>0</v>
      </c>
      <c r="CJ52" s="610">
        <v>0</v>
      </c>
      <c r="CK52" s="610">
        <v>0</v>
      </c>
      <c r="CL52" s="610">
        <v>0</v>
      </c>
      <c r="CM52" s="610">
        <v>0</v>
      </c>
      <c r="CN52" s="610">
        <v>0</v>
      </c>
      <c r="CO52" s="610">
        <v>0</v>
      </c>
      <c r="CP52" s="610">
        <v>0</v>
      </c>
      <c r="CQ52" s="610">
        <v>0</v>
      </c>
      <c r="CR52" s="610">
        <v>0</v>
      </c>
      <c r="CS52" s="610">
        <v>0</v>
      </c>
      <c r="CT52" s="610">
        <v>0</v>
      </c>
      <c r="CU52" s="610">
        <v>0</v>
      </c>
      <c r="CV52" s="610">
        <v>0</v>
      </c>
      <c r="CW52" s="610" t="s">
        <v>14</v>
      </c>
      <c r="CX52" s="610">
        <v>0</v>
      </c>
      <c r="CY52" s="610" t="s">
        <v>1707</v>
      </c>
      <c r="CZ52" s="610" t="s">
        <v>1707</v>
      </c>
      <c r="DA52" s="610" t="s">
        <v>1707</v>
      </c>
      <c r="DB52" s="610" t="s">
        <v>1707</v>
      </c>
      <c r="DC52" s="610" t="s">
        <v>1707</v>
      </c>
      <c r="DD52" s="610" t="s">
        <v>1707</v>
      </c>
      <c r="DE52" s="610" t="s">
        <v>1707</v>
      </c>
      <c r="DF52" s="610" t="s">
        <v>1707</v>
      </c>
      <c r="DG52" s="610" t="s">
        <v>1707</v>
      </c>
      <c r="DH52" s="610" t="s">
        <v>1707</v>
      </c>
      <c r="DI52" s="610" t="s">
        <v>1707</v>
      </c>
      <c r="DJ52" s="610" t="s">
        <v>1707</v>
      </c>
      <c r="DK52" s="610" t="s">
        <v>1368</v>
      </c>
      <c r="DL52" s="610" t="s">
        <v>1368</v>
      </c>
      <c r="DM52" s="610" t="s">
        <v>1368</v>
      </c>
      <c r="DN52" s="610" t="s">
        <v>1368</v>
      </c>
      <c r="DO52" s="610" t="s">
        <v>1368</v>
      </c>
      <c r="DP52" s="610" t="s">
        <v>1368</v>
      </c>
      <c r="DQ52" s="610" t="s">
        <v>1368</v>
      </c>
      <c r="DR52" s="610" t="s">
        <v>1368</v>
      </c>
      <c r="DS52" s="610" t="s">
        <v>1368</v>
      </c>
      <c r="DT52" s="610" t="s">
        <v>1368</v>
      </c>
      <c r="DU52" s="610" t="s">
        <v>1368</v>
      </c>
      <c r="DV52" s="610" t="s">
        <v>1368</v>
      </c>
      <c r="DW52" s="609" t="s">
        <v>1368</v>
      </c>
      <c r="DX52" s="609" t="s">
        <v>1368</v>
      </c>
      <c r="DY52" s="609" t="s">
        <v>1368</v>
      </c>
      <c r="DZ52" s="609" t="s">
        <v>1368</v>
      </c>
      <c r="EA52" s="609" t="s">
        <v>1368</v>
      </c>
      <c r="EB52" s="609" t="s">
        <v>1368</v>
      </c>
      <c r="EC52" s="609" t="s">
        <v>1368</v>
      </c>
      <c r="ED52" s="609" t="s">
        <v>1368</v>
      </c>
      <c r="EE52" s="609" t="s">
        <v>1368</v>
      </c>
      <c r="EF52" s="609" t="s">
        <v>1368</v>
      </c>
      <c r="EG52" s="609" t="s">
        <v>1368</v>
      </c>
      <c r="EH52" s="609" t="s">
        <v>1368</v>
      </c>
      <c r="EI52" s="610" t="s">
        <v>1707</v>
      </c>
      <c r="EJ52" s="610" t="s">
        <v>1707</v>
      </c>
      <c r="EK52" s="610" t="s">
        <v>1707</v>
      </c>
      <c r="EL52" s="610" t="s">
        <v>1707</v>
      </c>
      <c r="EM52" s="610" t="s">
        <v>1707</v>
      </c>
      <c r="EN52" s="610" t="s">
        <v>1707</v>
      </c>
      <c r="EO52" s="610" t="s">
        <v>1707</v>
      </c>
      <c r="EP52" s="610" t="s">
        <v>1707</v>
      </c>
      <c r="EQ52" s="610" t="s">
        <v>1707</v>
      </c>
      <c r="ER52" s="610" t="s">
        <v>1707</v>
      </c>
      <c r="ES52" s="610" t="s">
        <v>1707</v>
      </c>
      <c r="ET52" s="610" t="s">
        <v>1707</v>
      </c>
      <c r="EU52" s="610">
        <v>4010</v>
      </c>
      <c r="EV52" s="610" t="s">
        <v>1707</v>
      </c>
      <c r="EW52" s="610" t="s">
        <v>1707</v>
      </c>
      <c r="EX52" s="610" t="s">
        <v>1707</v>
      </c>
      <c r="EY52" s="610" t="s">
        <v>1707</v>
      </c>
      <c r="EZ52" s="610" t="s">
        <v>1707</v>
      </c>
      <c r="FA52" s="610" t="s">
        <v>1707</v>
      </c>
      <c r="FB52" s="610" t="s">
        <v>1707</v>
      </c>
      <c r="FC52" s="610" t="s">
        <v>1707</v>
      </c>
      <c r="FD52" s="610" t="s">
        <v>1707</v>
      </c>
      <c r="FE52" s="610" t="s">
        <v>1707</v>
      </c>
      <c r="FF52" s="610" t="s">
        <v>1707</v>
      </c>
      <c r="FG52" s="610" t="s">
        <v>1707</v>
      </c>
      <c r="FH52" s="610">
        <v>12</v>
      </c>
      <c r="FI52" s="610">
        <v>12</v>
      </c>
      <c r="FJ52" s="610">
        <v>12</v>
      </c>
      <c r="FK52" s="610">
        <v>12</v>
      </c>
      <c r="FL52" s="610">
        <v>12</v>
      </c>
      <c r="FM52" s="610">
        <v>12</v>
      </c>
      <c r="FN52" s="610">
        <v>12</v>
      </c>
      <c r="FO52" s="610">
        <v>12</v>
      </c>
      <c r="FP52" s="610">
        <v>12</v>
      </c>
      <c r="FQ52" s="610">
        <v>12</v>
      </c>
      <c r="FR52" s="610" t="s">
        <v>2487</v>
      </c>
      <c r="FS52" s="610" t="s">
        <v>2487</v>
      </c>
      <c r="FT52" s="610" t="s">
        <v>2487</v>
      </c>
      <c r="FU52" s="610" t="s">
        <v>2487</v>
      </c>
      <c r="FV52" s="610" t="s">
        <v>2487</v>
      </c>
      <c r="FW52" s="610" t="s">
        <v>2487</v>
      </c>
      <c r="FX52" s="610" t="s">
        <v>2487</v>
      </c>
      <c r="FY52" s="610" t="s">
        <v>2487</v>
      </c>
      <c r="FZ52" s="610" t="s">
        <v>2487</v>
      </c>
      <c r="GA52" s="610" t="s">
        <v>2487</v>
      </c>
      <c r="GB52" s="610" t="s">
        <v>2487</v>
      </c>
      <c r="GC52" s="610" t="s">
        <v>2487</v>
      </c>
      <c r="GD52" s="564">
        <f t="shared" si="3"/>
        <v>79950</v>
      </c>
      <c r="GE52" s="564">
        <f t="shared" si="4"/>
        <v>79950</v>
      </c>
      <c r="GF52" s="564">
        <f t="shared" si="5"/>
        <v>79950</v>
      </c>
      <c r="GG52" s="564">
        <f t="shared" si="6"/>
        <v>79950</v>
      </c>
      <c r="GH52" s="564">
        <f t="shared" si="7"/>
        <v>79950</v>
      </c>
      <c r="GI52" s="564">
        <f t="shared" si="8"/>
        <v>79950</v>
      </c>
      <c r="GJ52" s="564">
        <f t="shared" si="9"/>
        <v>79950</v>
      </c>
      <c r="GK52" s="564">
        <f t="shared" si="10"/>
        <v>79950</v>
      </c>
      <c r="GL52" s="564">
        <f t="shared" si="11"/>
        <v>79950</v>
      </c>
      <c r="GM52" s="564">
        <f t="shared" si="12"/>
        <v>79950</v>
      </c>
      <c r="GN52" s="564">
        <f t="shared" si="13"/>
        <v>79950</v>
      </c>
      <c r="GO52" s="564">
        <f t="shared" si="14"/>
        <v>79950</v>
      </c>
      <c r="GP52" s="564"/>
      <c r="GS52" s="375" t="s">
        <v>1457</v>
      </c>
      <c r="GT52" s="374" t="str">
        <f t="shared" si="15"/>
        <v>〇</v>
      </c>
    </row>
    <row r="53" spans="2:202">
      <c r="B53" s="371">
        <v>49</v>
      </c>
      <c r="C53" s="378">
        <v>49</v>
      </c>
      <c r="D53" s="373" t="s">
        <v>1458</v>
      </c>
      <c r="E53" s="373" t="s">
        <v>14</v>
      </c>
      <c r="F53" s="603">
        <f t="shared" si="2"/>
        <v>59</v>
      </c>
      <c r="G53" s="603"/>
      <c r="H53" s="603">
        <v>30</v>
      </c>
      <c r="I53" s="603">
        <v>29</v>
      </c>
      <c r="J53" s="603"/>
      <c r="K53" s="603"/>
      <c r="L53" s="603"/>
      <c r="M53" s="603"/>
      <c r="N53" s="608"/>
      <c r="O53" s="603">
        <v>1577000</v>
      </c>
      <c r="P53" s="603">
        <v>2721000</v>
      </c>
      <c r="Q53" s="603">
        <v>2721000</v>
      </c>
      <c r="R53" s="603">
        <v>1791000</v>
      </c>
      <c r="S53" s="603">
        <v>0</v>
      </c>
      <c r="T53" s="603">
        <v>0</v>
      </c>
      <c r="U53" s="603">
        <v>0</v>
      </c>
      <c r="V53" s="603">
        <v>0</v>
      </c>
      <c r="W53" s="603">
        <v>0</v>
      </c>
      <c r="X53" s="603">
        <v>0</v>
      </c>
      <c r="Y53" s="603">
        <v>0</v>
      </c>
      <c r="Z53" s="603">
        <v>0</v>
      </c>
      <c r="AA53" s="603">
        <v>0</v>
      </c>
      <c r="AB53" s="603">
        <v>0</v>
      </c>
      <c r="AC53" s="603">
        <v>0</v>
      </c>
      <c r="AD53" s="603">
        <v>0</v>
      </c>
      <c r="AE53" s="603">
        <v>0</v>
      </c>
      <c r="AF53" s="603">
        <v>0</v>
      </c>
      <c r="AG53" s="603">
        <v>0</v>
      </c>
      <c r="AH53" s="603">
        <v>0</v>
      </c>
      <c r="AI53" s="603">
        <v>0</v>
      </c>
      <c r="AJ53" s="604" t="s">
        <v>2377</v>
      </c>
      <c r="AK53" s="605" t="s">
        <v>1545</v>
      </c>
      <c r="AL53" s="605" t="s">
        <v>1545</v>
      </c>
      <c r="AM53" s="606" t="s">
        <v>2049</v>
      </c>
      <c r="AN53" s="609" t="s">
        <v>12</v>
      </c>
      <c r="AO53" s="610" t="s">
        <v>1368</v>
      </c>
      <c r="AP53" s="610" t="s">
        <v>1368</v>
      </c>
      <c r="AQ53" s="610" t="s">
        <v>1368</v>
      </c>
      <c r="AR53" s="610" t="s">
        <v>1368</v>
      </c>
      <c r="AS53" s="610" t="s">
        <v>1368</v>
      </c>
      <c r="AT53" s="610" t="s">
        <v>1368</v>
      </c>
      <c r="AU53" s="610" t="s">
        <v>1368</v>
      </c>
      <c r="AV53" s="610" t="s">
        <v>1368</v>
      </c>
      <c r="AW53" s="610" t="s">
        <v>1368</v>
      </c>
      <c r="AX53" s="610" t="s">
        <v>1368</v>
      </c>
      <c r="AY53" s="610" t="s">
        <v>1368</v>
      </c>
      <c r="AZ53" s="610" t="s">
        <v>1368</v>
      </c>
      <c r="BA53" s="610" t="s">
        <v>1368</v>
      </c>
      <c r="BB53" s="610" t="s">
        <v>1368</v>
      </c>
      <c r="BC53" s="610" t="s">
        <v>1368</v>
      </c>
      <c r="BD53" s="610" t="s">
        <v>1368</v>
      </c>
      <c r="BE53" s="610" t="s">
        <v>1368</v>
      </c>
      <c r="BF53" s="610" t="s">
        <v>1368</v>
      </c>
      <c r="BG53" s="610" t="s">
        <v>1368</v>
      </c>
      <c r="BH53" s="610" t="s">
        <v>1368</v>
      </c>
      <c r="BI53" s="610" t="s">
        <v>1368</v>
      </c>
      <c r="BJ53" s="610" t="s">
        <v>1368</v>
      </c>
      <c r="BK53" s="610" t="s">
        <v>1368</v>
      </c>
      <c r="BL53" s="610" t="s">
        <v>1368</v>
      </c>
      <c r="BM53" s="610">
        <v>0</v>
      </c>
      <c r="BN53" s="610">
        <v>0</v>
      </c>
      <c r="BO53" s="610">
        <v>0</v>
      </c>
      <c r="BP53" s="610">
        <v>0</v>
      </c>
      <c r="BQ53" s="610">
        <v>0</v>
      </c>
      <c r="BR53" s="610">
        <v>0</v>
      </c>
      <c r="BS53" s="610">
        <v>0</v>
      </c>
      <c r="BT53" s="610">
        <v>0</v>
      </c>
      <c r="BU53" s="610">
        <v>0</v>
      </c>
      <c r="BV53" s="610">
        <v>0</v>
      </c>
      <c r="BW53" s="610">
        <v>0</v>
      </c>
      <c r="BX53" s="610">
        <v>0</v>
      </c>
      <c r="BY53" s="610">
        <v>0</v>
      </c>
      <c r="BZ53" s="610">
        <v>0</v>
      </c>
      <c r="CA53" s="610">
        <v>0</v>
      </c>
      <c r="CB53" s="610">
        <v>0</v>
      </c>
      <c r="CC53" s="610">
        <v>0</v>
      </c>
      <c r="CD53" s="610">
        <v>0</v>
      </c>
      <c r="CE53" s="610">
        <v>0</v>
      </c>
      <c r="CF53" s="610">
        <v>0</v>
      </c>
      <c r="CG53" s="610">
        <v>0</v>
      </c>
      <c r="CH53" s="610">
        <v>0</v>
      </c>
      <c r="CI53" s="610">
        <v>0</v>
      </c>
      <c r="CJ53" s="610">
        <v>0</v>
      </c>
      <c r="CK53" s="610">
        <v>0</v>
      </c>
      <c r="CL53" s="610">
        <v>0</v>
      </c>
      <c r="CM53" s="610">
        <v>0</v>
      </c>
      <c r="CN53" s="610">
        <v>0</v>
      </c>
      <c r="CO53" s="610">
        <v>0</v>
      </c>
      <c r="CP53" s="610">
        <v>0</v>
      </c>
      <c r="CQ53" s="610">
        <v>0</v>
      </c>
      <c r="CR53" s="610">
        <v>0</v>
      </c>
      <c r="CS53" s="610">
        <v>0</v>
      </c>
      <c r="CT53" s="610">
        <v>0</v>
      </c>
      <c r="CU53" s="610">
        <v>0</v>
      </c>
      <c r="CV53" s="610">
        <v>0</v>
      </c>
      <c r="CW53" s="610" t="s">
        <v>14</v>
      </c>
      <c r="CX53" s="610">
        <v>0</v>
      </c>
      <c r="CY53" s="610" t="s">
        <v>1707</v>
      </c>
      <c r="CZ53" s="610" t="s">
        <v>1707</v>
      </c>
      <c r="DA53" s="610" t="s">
        <v>1707</v>
      </c>
      <c r="DB53" s="610" t="s">
        <v>1707</v>
      </c>
      <c r="DC53" s="610" t="s">
        <v>1707</v>
      </c>
      <c r="DD53" s="610" t="s">
        <v>1707</v>
      </c>
      <c r="DE53" s="610" t="s">
        <v>1707</v>
      </c>
      <c r="DF53" s="610" t="s">
        <v>1707</v>
      </c>
      <c r="DG53" s="610" t="s">
        <v>1707</v>
      </c>
      <c r="DH53" s="610" t="s">
        <v>1707</v>
      </c>
      <c r="DI53" s="610" t="s">
        <v>1707</v>
      </c>
      <c r="DJ53" s="610" t="s">
        <v>1707</v>
      </c>
      <c r="DK53" s="610" t="s">
        <v>1368</v>
      </c>
      <c r="DL53" s="610" t="s">
        <v>1368</v>
      </c>
      <c r="DM53" s="610" t="s">
        <v>1368</v>
      </c>
      <c r="DN53" s="610" t="s">
        <v>1368</v>
      </c>
      <c r="DO53" s="610" t="s">
        <v>1368</v>
      </c>
      <c r="DP53" s="610" t="s">
        <v>1368</v>
      </c>
      <c r="DQ53" s="610" t="s">
        <v>1368</v>
      </c>
      <c r="DR53" s="610" t="s">
        <v>1368</v>
      </c>
      <c r="DS53" s="610" t="s">
        <v>1368</v>
      </c>
      <c r="DT53" s="610" t="s">
        <v>1368</v>
      </c>
      <c r="DU53" s="610" t="s">
        <v>1368</v>
      </c>
      <c r="DV53" s="610" t="s">
        <v>1368</v>
      </c>
      <c r="DW53" s="609" t="s">
        <v>1368</v>
      </c>
      <c r="DX53" s="609" t="s">
        <v>1368</v>
      </c>
      <c r="DY53" s="609" t="s">
        <v>1368</v>
      </c>
      <c r="DZ53" s="609" t="s">
        <v>1368</v>
      </c>
      <c r="EA53" s="609" t="s">
        <v>1368</v>
      </c>
      <c r="EB53" s="609" t="s">
        <v>1368</v>
      </c>
      <c r="EC53" s="609" t="s">
        <v>1368</v>
      </c>
      <c r="ED53" s="609" t="s">
        <v>1368</v>
      </c>
      <c r="EE53" s="609" t="s">
        <v>1368</v>
      </c>
      <c r="EF53" s="609" t="s">
        <v>1368</v>
      </c>
      <c r="EG53" s="609" t="s">
        <v>1368</v>
      </c>
      <c r="EH53" s="609" t="s">
        <v>1368</v>
      </c>
      <c r="EI53" s="610" t="s">
        <v>1707</v>
      </c>
      <c r="EJ53" s="610" t="s">
        <v>1707</v>
      </c>
      <c r="EK53" s="610" t="s">
        <v>1707</v>
      </c>
      <c r="EL53" s="610" t="s">
        <v>1707</v>
      </c>
      <c r="EM53" s="610" t="s">
        <v>1707</v>
      </c>
      <c r="EN53" s="610" t="s">
        <v>1707</v>
      </c>
      <c r="EO53" s="610" t="s">
        <v>1707</v>
      </c>
      <c r="EP53" s="610" t="s">
        <v>1707</v>
      </c>
      <c r="EQ53" s="610" t="s">
        <v>1707</v>
      </c>
      <c r="ER53" s="610" t="s">
        <v>1707</v>
      </c>
      <c r="ES53" s="610" t="s">
        <v>1707</v>
      </c>
      <c r="ET53" s="610" t="s">
        <v>1707</v>
      </c>
      <c r="EU53" s="610">
        <v>4070</v>
      </c>
      <c r="EV53" s="610" t="s">
        <v>1707</v>
      </c>
      <c r="EW53" s="610" t="s">
        <v>1707</v>
      </c>
      <c r="EX53" s="610" t="s">
        <v>1707</v>
      </c>
      <c r="EY53" s="610" t="s">
        <v>1707</v>
      </c>
      <c r="EZ53" s="610" t="s">
        <v>1707</v>
      </c>
      <c r="FA53" s="610" t="s">
        <v>1707</v>
      </c>
      <c r="FB53" s="610" t="s">
        <v>1707</v>
      </c>
      <c r="FC53" s="610" t="s">
        <v>1707</v>
      </c>
      <c r="FD53" s="610" t="s">
        <v>1707</v>
      </c>
      <c r="FE53" s="610" t="s">
        <v>1707</v>
      </c>
      <c r="FF53" s="610" t="s">
        <v>1707</v>
      </c>
      <c r="FG53" s="610" t="s">
        <v>1707</v>
      </c>
      <c r="FH53" s="610">
        <v>23</v>
      </c>
      <c r="FI53" s="610">
        <v>23</v>
      </c>
      <c r="FJ53" s="610">
        <v>23</v>
      </c>
      <c r="FK53" s="610">
        <v>23</v>
      </c>
      <c r="FL53" s="610">
        <v>23</v>
      </c>
      <c r="FM53" s="610">
        <v>23</v>
      </c>
      <c r="FN53" s="610">
        <v>23</v>
      </c>
      <c r="FO53" s="610">
        <v>23</v>
      </c>
      <c r="FP53" s="610">
        <v>23</v>
      </c>
      <c r="FQ53" s="610">
        <v>23</v>
      </c>
      <c r="FR53" s="610" t="s">
        <v>2488</v>
      </c>
      <c r="FS53" s="610" t="s">
        <v>2488</v>
      </c>
      <c r="FT53" s="610" t="s">
        <v>2488</v>
      </c>
      <c r="FU53" s="610" t="s">
        <v>2488</v>
      </c>
      <c r="FV53" s="610" t="s">
        <v>2488</v>
      </c>
      <c r="FW53" s="610" t="s">
        <v>2488</v>
      </c>
      <c r="FX53" s="610" t="s">
        <v>2488</v>
      </c>
      <c r="FY53" s="610" t="s">
        <v>2488</v>
      </c>
      <c r="FZ53" s="610" t="s">
        <v>2488</v>
      </c>
      <c r="GA53" s="610" t="s">
        <v>2488</v>
      </c>
      <c r="GB53" s="610" t="s">
        <v>2488</v>
      </c>
      <c r="GC53" s="610" t="s">
        <v>2488</v>
      </c>
      <c r="GD53" s="564" t="str">
        <f t="shared" si="3"/>
        <v/>
      </c>
      <c r="GE53" s="564" t="str">
        <f t="shared" si="4"/>
        <v/>
      </c>
      <c r="GF53" s="564" t="str">
        <f t="shared" si="5"/>
        <v/>
      </c>
      <c r="GG53" s="564" t="str">
        <f t="shared" si="6"/>
        <v/>
      </c>
      <c r="GH53" s="564" t="str">
        <f t="shared" si="7"/>
        <v/>
      </c>
      <c r="GI53" s="564" t="str">
        <f t="shared" si="8"/>
        <v/>
      </c>
      <c r="GJ53" s="564" t="str">
        <f t="shared" si="9"/>
        <v/>
      </c>
      <c r="GK53" s="564" t="str">
        <f t="shared" si="10"/>
        <v/>
      </c>
      <c r="GL53" s="564" t="str">
        <f t="shared" si="11"/>
        <v/>
      </c>
      <c r="GM53" s="564" t="str">
        <f t="shared" si="12"/>
        <v/>
      </c>
      <c r="GN53" s="564" t="str">
        <f t="shared" si="13"/>
        <v/>
      </c>
      <c r="GO53" s="564" t="str">
        <f t="shared" si="14"/>
        <v/>
      </c>
      <c r="GP53" s="564"/>
      <c r="GS53" s="375" t="s">
        <v>1458</v>
      </c>
      <c r="GT53" s="374" t="str">
        <f t="shared" si="15"/>
        <v>〇</v>
      </c>
    </row>
    <row r="54" spans="2:202">
      <c r="B54" s="371">
        <v>50</v>
      </c>
      <c r="C54" s="378">
        <v>50</v>
      </c>
      <c r="D54" s="373" t="s">
        <v>501</v>
      </c>
      <c r="E54" s="373" t="s">
        <v>14</v>
      </c>
      <c r="F54" s="603">
        <f t="shared" si="2"/>
        <v>60</v>
      </c>
      <c r="G54" s="603"/>
      <c r="H54" s="603">
        <v>33</v>
      </c>
      <c r="I54" s="603">
        <v>27</v>
      </c>
      <c r="J54" s="603"/>
      <c r="K54" s="603"/>
      <c r="L54" s="603"/>
      <c r="M54" s="603"/>
      <c r="N54" s="608"/>
      <c r="O54" s="603">
        <v>1577000</v>
      </c>
      <c r="P54" s="603">
        <v>2721000</v>
      </c>
      <c r="Q54" s="603">
        <v>2721000</v>
      </c>
      <c r="R54" s="603">
        <v>1791000</v>
      </c>
      <c r="S54" s="603">
        <v>0</v>
      </c>
      <c r="T54" s="603">
        <v>0</v>
      </c>
      <c r="U54" s="603">
        <v>0</v>
      </c>
      <c r="V54" s="603">
        <v>1051000</v>
      </c>
      <c r="W54" s="603">
        <v>1814000</v>
      </c>
      <c r="X54" s="603">
        <v>1814000</v>
      </c>
      <c r="Y54" s="603">
        <v>1194000</v>
      </c>
      <c r="Z54" s="603">
        <v>0</v>
      </c>
      <c r="AA54" s="603">
        <v>0</v>
      </c>
      <c r="AB54" s="603">
        <v>0</v>
      </c>
      <c r="AC54" s="603">
        <v>0</v>
      </c>
      <c r="AD54" s="603">
        <v>0</v>
      </c>
      <c r="AE54" s="603">
        <v>0</v>
      </c>
      <c r="AF54" s="603">
        <v>0</v>
      </c>
      <c r="AG54" s="603">
        <v>0</v>
      </c>
      <c r="AH54" s="603">
        <v>0</v>
      </c>
      <c r="AI54" s="603">
        <v>0</v>
      </c>
      <c r="AJ54" s="604" t="s">
        <v>2377</v>
      </c>
      <c r="AK54" s="605" t="s">
        <v>2378</v>
      </c>
      <c r="AL54" s="605" t="s">
        <v>1545</v>
      </c>
      <c r="AM54" s="606" t="s">
        <v>2050</v>
      </c>
      <c r="AN54" s="609" t="s">
        <v>12</v>
      </c>
      <c r="AO54" s="610" t="s">
        <v>1368</v>
      </c>
      <c r="AP54" s="610" t="s">
        <v>1368</v>
      </c>
      <c r="AQ54" s="610" t="s">
        <v>1368</v>
      </c>
      <c r="AR54" s="610" t="s">
        <v>1368</v>
      </c>
      <c r="AS54" s="610" t="s">
        <v>1368</v>
      </c>
      <c r="AT54" s="610" t="s">
        <v>1368</v>
      </c>
      <c r="AU54" s="610" t="s">
        <v>1368</v>
      </c>
      <c r="AV54" s="610" t="s">
        <v>1368</v>
      </c>
      <c r="AW54" s="610" t="s">
        <v>1368</v>
      </c>
      <c r="AX54" s="610" t="s">
        <v>1368</v>
      </c>
      <c r="AY54" s="610" t="s">
        <v>1368</v>
      </c>
      <c r="AZ54" s="610" t="s">
        <v>1368</v>
      </c>
      <c r="BA54" s="610" t="s">
        <v>1368</v>
      </c>
      <c r="BB54" s="610" t="s">
        <v>1368</v>
      </c>
      <c r="BC54" s="610" t="s">
        <v>1368</v>
      </c>
      <c r="BD54" s="610" t="s">
        <v>1368</v>
      </c>
      <c r="BE54" s="610" t="s">
        <v>1368</v>
      </c>
      <c r="BF54" s="610" t="s">
        <v>1368</v>
      </c>
      <c r="BG54" s="610" t="s">
        <v>1368</v>
      </c>
      <c r="BH54" s="610" t="s">
        <v>1368</v>
      </c>
      <c r="BI54" s="610" t="s">
        <v>1368</v>
      </c>
      <c r="BJ54" s="610" t="s">
        <v>1368</v>
      </c>
      <c r="BK54" s="610" t="s">
        <v>1368</v>
      </c>
      <c r="BL54" s="610" t="s">
        <v>1368</v>
      </c>
      <c r="BM54" s="610">
        <v>0</v>
      </c>
      <c r="BN54" s="610">
        <v>0</v>
      </c>
      <c r="BO54" s="610">
        <v>0</v>
      </c>
      <c r="BP54" s="610">
        <v>0</v>
      </c>
      <c r="BQ54" s="610">
        <v>0</v>
      </c>
      <c r="BR54" s="610">
        <v>0</v>
      </c>
      <c r="BS54" s="610">
        <v>0</v>
      </c>
      <c r="BT54" s="610">
        <v>0</v>
      </c>
      <c r="BU54" s="610">
        <v>0</v>
      </c>
      <c r="BV54" s="610">
        <v>0</v>
      </c>
      <c r="BW54" s="610">
        <v>0</v>
      </c>
      <c r="BX54" s="610">
        <v>0</v>
      </c>
      <c r="BY54" s="610">
        <v>0</v>
      </c>
      <c r="BZ54" s="610">
        <v>0</v>
      </c>
      <c r="CA54" s="610">
        <v>0</v>
      </c>
      <c r="CB54" s="610">
        <v>0</v>
      </c>
      <c r="CC54" s="610">
        <v>0</v>
      </c>
      <c r="CD54" s="610">
        <v>0</v>
      </c>
      <c r="CE54" s="610">
        <v>0</v>
      </c>
      <c r="CF54" s="610">
        <v>0</v>
      </c>
      <c r="CG54" s="610">
        <v>0</v>
      </c>
      <c r="CH54" s="610">
        <v>0</v>
      </c>
      <c r="CI54" s="610">
        <v>0</v>
      </c>
      <c r="CJ54" s="610">
        <v>0</v>
      </c>
      <c r="CK54" s="610">
        <v>0</v>
      </c>
      <c r="CL54" s="610">
        <v>0</v>
      </c>
      <c r="CM54" s="610">
        <v>0</v>
      </c>
      <c r="CN54" s="610">
        <v>0</v>
      </c>
      <c r="CO54" s="610">
        <v>0</v>
      </c>
      <c r="CP54" s="610">
        <v>0</v>
      </c>
      <c r="CQ54" s="610">
        <v>0</v>
      </c>
      <c r="CR54" s="610">
        <v>0</v>
      </c>
      <c r="CS54" s="610">
        <v>0</v>
      </c>
      <c r="CT54" s="610">
        <v>0</v>
      </c>
      <c r="CU54" s="610">
        <v>0</v>
      </c>
      <c r="CV54" s="610">
        <v>0</v>
      </c>
      <c r="CW54" s="610" t="s">
        <v>14</v>
      </c>
      <c r="CX54" s="610">
        <v>0</v>
      </c>
      <c r="CY54" s="610" t="s">
        <v>1707</v>
      </c>
      <c r="CZ54" s="610" t="s">
        <v>1707</v>
      </c>
      <c r="DA54" s="610" t="s">
        <v>1707</v>
      </c>
      <c r="DB54" s="610" t="s">
        <v>1707</v>
      </c>
      <c r="DC54" s="610" t="s">
        <v>1707</v>
      </c>
      <c r="DD54" s="610" t="s">
        <v>1707</v>
      </c>
      <c r="DE54" s="610" t="s">
        <v>1707</v>
      </c>
      <c r="DF54" s="610" t="s">
        <v>1707</v>
      </c>
      <c r="DG54" s="610" t="s">
        <v>1707</v>
      </c>
      <c r="DH54" s="610" t="s">
        <v>1707</v>
      </c>
      <c r="DI54" s="610" t="s">
        <v>1707</v>
      </c>
      <c r="DJ54" s="610" t="s">
        <v>1707</v>
      </c>
      <c r="DK54" s="610" t="s">
        <v>1368</v>
      </c>
      <c r="DL54" s="610" t="s">
        <v>1368</v>
      </c>
      <c r="DM54" s="610" t="s">
        <v>1368</v>
      </c>
      <c r="DN54" s="610" t="s">
        <v>1368</v>
      </c>
      <c r="DO54" s="610" t="s">
        <v>1368</v>
      </c>
      <c r="DP54" s="610" t="s">
        <v>1368</v>
      </c>
      <c r="DQ54" s="610" t="s">
        <v>1368</v>
      </c>
      <c r="DR54" s="610" t="s">
        <v>1368</v>
      </c>
      <c r="DS54" s="610" t="s">
        <v>1368</v>
      </c>
      <c r="DT54" s="610" t="s">
        <v>1368</v>
      </c>
      <c r="DU54" s="610" t="s">
        <v>1368</v>
      </c>
      <c r="DV54" s="610" t="s">
        <v>1368</v>
      </c>
      <c r="DW54" s="609" t="s">
        <v>1368</v>
      </c>
      <c r="DX54" s="609" t="s">
        <v>1368</v>
      </c>
      <c r="DY54" s="609" t="s">
        <v>1368</v>
      </c>
      <c r="DZ54" s="609" t="s">
        <v>1368</v>
      </c>
      <c r="EA54" s="609" t="s">
        <v>1368</v>
      </c>
      <c r="EB54" s="609" t="s">
        <v>1368</v>
      </c>
      <c r="EC54" s="609" t="s">
        <v>1368</v>
      </c>
      <c r="ED54" s="609" t="s">
        <v>1368</v>
      </c>
      <c r="EE54" s="609" t="s">
        <v>1368</v>
      </c>
      <c r="EF54" s="609" t="s">
        <v>1368</v>
      </c>
      <c r="EG54" s="609" t="s">
        <v>1368</v>
      </c>
      <c r="EH54" s="609" t="s">
        <v>1368</v>
      </c>
      <c r="EI54" s="610" t="s">
        <v>1707</v>
      </c>
      <c r="EJ54" s="610" t="s">
        <v>1707</v>
      </c>
      <c r="EK54" s="610" t="s">
        <v>1707</v>
      </c>
      <c r="EL54" s="610" t="s">
        <v>1707</v>
      </c>
      <c r="EM54" s="610" t="s">
        <v>1707</v>
      </c>
      <c r="EN54" s="610" t="s">
        <v>1707</v>
      </c>
      <c r="EO54" s="610" t="s">
        <v>1707</v>
      </c>
      <c r="EP54" s="610" t="s">
        <v>1707</v>
      </c>
      <c r="EQ54" s="610" t="s">
        <v>1707</v>
      </c>
      <c r="ER54" s="610" t="s">
        <v>1707</v>
      </c>
      <c r="ES54" s="610" t="s">
        <v>1707</v>
      </c>
      <c r="ET54" s="610" t="s">
        <v>1707</v>
      </c>
      <c r="EU54" s="610">
        <v>4070</v>
      </c>
      <c r="EV54" s="610" t="s">
        <v>1707</v>
      </c>
      <c r="EW54" s="610" t="s">
        <v>1707</v>
      </c>
      <c r="EX54" s="610" t="s">
        <v>1707</v>
      </c>
      <c r="EY54" s="610" t="s">
        <v>1707</v>
      </c>
      <c r="EZ54" s="610" t="s">
        <v>1707</v>
      </c>
      <c r="FA54" s="610" t="s">
        <v>1707</v>
      </c>
      <c r="FB54" s="610" t="s">
        <v>1707</v>
      </c>
      <c r="FC54" s="610" t="s">
        <v>1707</v>
      </c>
      <c r="FD54" s="610" t="s">
        <v>1707</v>
      </c>
      <c r="FE54" s="610" t="s">
        <v>1707</v>
      </c>
      <c r="FF54" s="610" t="s">
        <v>1707</v>
      </c>
      <c r="FG54" s="610" t="s">
        <v>1707</v>
      </c>
      <c r="FH54" s="610">
        <v>23</v>
      </c>
      <c r="FI54" s="610">
        <v>23</v>
      </c>
      <c r="FJ54" s="610">
        <v>23</v>
      </c>
      <c r="FK54" s="610">
        <v>23</v>
      </c>
      <c r="FL54" s="610">
        <v>24</v>
      </c>
      <c r="FM54" s="610">
        <v>24</v>
      </c>
      <c r="FN54" s="610">
        <v>24</v>
      </c>
      <c r="FO54" s="610">
        <v>24</v>
      </c>
      <c r="FP54" s="610">
        <v>24</v>
      </c>
      <c r="FQ54" s="610">
        <v>24</v>
      </c>
      <c r="FR54" s="610" t="s">
        <v>2487</v>
      </c>
      <c r="FS54" s="610" t="s">
        <v>2487</v>
      </c>
      <c r="FT54" s="610" t="s">
        <v>2487</v>
      </c>
      <c r="FU54" s="610" t="s">
        <v>2487</v>
      </c>
      <c r="FV54" s="610" t="s">
        <v>2487</v>
      </c>
      <c r="FW54" s="610" t="s">
        <v>2487</v>
      </c>
      <c r="FX54" s="610" t="s">
        <v>2487</v>
      </c>
      <c r="FY54" s="610" t="s">
        <v>2487</v>
      </c>
      <c r="FZ54" s="610" t="s">
        <v>2487</v>
      </c>
      <c r="GA54" s="610" t="s">
        <v>2487</v>
      </c>
      <c r="GB54" s="610" t="s">
        <v>2487</v>
      </c>
      <c r="GC54" s="610" t="s">
        <v>2487</v>
      </c>
      <c r="GD54" s="564">
        <f t="shared" si="3"/>
        <v>79950</v>
      </c>
      <c r="GE54" s="564">
        <f t="shared" si="4"/>
        <v>79950</v>
      </c>
      <c r="GF54" s="564">
        <f t="shared" si="5"/>
        <v>79950</v>
      </c>
      <c r="GG54" s="564">
        <f t="shared" si="6"/>
        <v>79950</v>
      </c>
      <c r="GH54" s="564">
        <f t="shared" si="7"/>
        <v>79950</v>
      </c>
      <c r="GI54" s="564">
        <f t="shared" si="8"/>
        <v>79950</v>
      </c>
      <c r="GJ54" s="564">
        <f t="shared" si="9"/>
        <v>79950</v>
      </c>
      <c r="GK54" s="564">
        <f t="shared" si="10"/>
        <v>79950</v>
      </c>
      <c r="GL54" s="564">
        <f t="shared" si="11"/>
        <v>79950</v>
      </c>
      <c r="GM54" s="564">
        <f t="shared" si="12"/>
        <v>79950</v>
      </c>
      <c r="GN54" s="564">
        <f t="shared" si="13"/>
        <v>79950</v>
      </c>
      <c r="GO54" s="564">
        <f t="shared" si="14"/>
        <v>79950</v>
      </c>
      <c r="GP54" s="564"/>
      <c r="GS54" s="375" t="s">
        <v>501</v>
      </c>
      <c r="GT54" s="374" t="str">
        <f t="shared" si="15"/>
        <v>〇</v>
      </c>
    </row>
    <row r="55" spans="2:202">
      <c r="B55" s="371">
        <v>51</v>
      </c>
      <c r="C55" s="378">
        <v>51</v>
      </c>
      <c r="D55" s="373" t="s">
        <v>1826</v>
      </c>
      <c r="E55" s="373" t="s">
        <v>14</v>
      </c>
      <c r="F55" s="603">
        <f t="shared" si="2"/>
        <v>59</v>
      </c>
      <c r="G55" s="603"/>
      <c r="H55" s="603">
        <v>35</v>
      </c>
      <c r="I55" s="603">
        <v>24</v>
      </c>
      <c r="J55" s="603"/>
      <c r="K55" s="603"/>
      <c r="L55" s="603"/>
      <c r="M55" s="603"/>
      <c r="N55" s="608"/>
      <c r="O55" s="603">
        <v>1577000</v>
      </c>
      <c r="P55" s="603">
        <v>2721000</v>
      </c>
      <c r="Q55" s="603">
        <v>2721000</v>
      </c>
      <c r="R55" s="603">
        <v>1188000</v>
      </c>
      <c r="S55" s="603">
        <v>0</v>
      </c>
      <c r="T55" s="603">
        <v>2181000</v>
      </c>
      <c r="U55" s="603">
        <v>0</v>
      </c>
      <c r="V55" s="603">
        <v>0</v>
      </c>
      <c r="W55" s="603">
        <v>0</v>
      </c>
      <c r="X55" s="603">
        <v>0</v>
      </c>
      <c r="Y55" s="603">
        <v>0</v>
      </c>
      <c r="Z55" s="603">
        <v>0</v>
      </c>
      <c r="AA55" s="603">
        <v>0</v>
      </c>
      <c r="AB55" s="603">
        <v>0</v>
      </c>
      <c r="AC55" s="603">
        <v>1577000</v>
      </c>
      <c r="AD55" s="603">
        <v>2721000</v>
      </c>
      <c r="AE55" s="603">
        <v>2721000</v>
      </c>
      <c r="AF55" s="603">
        <v>1188000</v>
      </c>
      <c r="AG55" s="603">
        <v>0</v>
      </c>
      <c r="AH55" s="603">
        <v>2181000</v>
      </c>
      <c r="AI55" s="603">
        <v>0</v>
      </c>
      <c r="AJ55" s="604" t="s">
        <v>2377</v>
      </c>
      <c r="AK55" s="605" t="s">
        <v>1545</v>
      </c>
      <c r="AL55" s="605" t="s">
        <v>2490</v>
      </c>
      <c r="AM55" s="606" t="s">
        <v>2051</v>
      </c>
      <c r="AN55" s="609" t="s">
        <v>12</v>
      </c>
      <c r="AO55" s="610" t="s">
        <v>1368</v>
      </c>
      <c r="AP55" s="610" t="s">
        <v>1368</v>
      </c>
      <c r="AQ55" s="610" t="s">
        <v>1368</v>
      </c>
      <c r="AR55" s="610" t="s">
        <v>1368</v>
      </c>
      <c r="AS55" s="610" t="s">
        <v>1368</v>
      </c>
      <c r="AT55" s="610" t="s">
        <v>1368</v>
      </c>
      <c r="AU55" s="610" t="s">
        <v>1368</v>
      </c>
      <c r="AV55" s="610" t="s">
        <v>1368</v>
      </c>
      <c r="AW55" s="610" t="s">
        <v>1368</v>
      </c>
      <c r="AX55" s="610" t="s">
        <v>1368</v>
      </c>
      <c r="AY55" s="610" t="s">
        <v>1368</v>
      </c>
      <c r="AZ55" s="610" t="s">
        <v>1368</v>
      </c>
      <c r="BA55" s="610" t="s">
        <v>1368</v>
      </c>
      <c r="BB55" s="610" t="s">
        <v>1368</v>
      </c>
      <c r="BC55" s="610" t="s">
        <v>1368</v>
      </c>
      <c r="BD55" s="610" t="s">
        <v>1368</v>
      </c>
      <c r="BE55" s="610" t="s">
        <v>1368</v>
      </c>
      <c r="BF55" s="610" t="s">
        <v>1368</v>
      </c>
      <c r="BG55" s="610" t="s">
        <v>1368</v>
      </c>
      <c r="BH55" s="610" t="s">
        <v>1368</v>
      </c>
      <c r="BI55" s="610" t="s">
        <v>1368</v>
      </c>
      <c r="BJ55" s="610" t="s">
        <v>1368</v>
      </c>
      <c r="BK55" s="610" t="s">
        <v>1368</v>
      </c>
      <c r="BL55" s="610" t="s">
        <v>1368</v>
      </c>
      <c r="BM55" s="610">
        <v>1</v>
      </c>
      <c r="BN55" s="610">
        <v>1</v>
      </c>
      <c r="BO55" s="610">
        <v>1</v>
      </c>
      <c r="BP55" s="610">
        <v>1</v>
      </c>
      <c r="BQ55" s="610">
        <v>1</v>
      </c>
      <c r="BR55" s="610">
        <v>1</v>
      </c>
      <c r="BS55" s="610">
        <v>1</v>
      </c>
      <c r="BT55" s="610">
        <v>1</v>
      </c>
      <c r="BU55" s="610">
        <v>1</v>
      </c>
      <c r="BV55" s="610">
        <v>1</v>
      </c>
      <c r="BW55" s="610">
        <v>1</v>
      </c>
      <c r="BX55" s="610">
        <v>1</v>
      </c>
      <c r="BY55" s="610">
        <v>0</v>
      </c>
      <c r="BZ55" s="610">
        <v>0</v>
      </c>
      <c r="CA55" s="610">
        <v>0</v>
      </c>
      <c r="CB55" s="610">
        <v>0</v>
      </c>
      <c r="CC55" s="610">
        <v>0</v>
      </c>
      <c r="CD55" s="610">
        <v>0</v>
      </c>
      <c r="CE55" s="610">
        <v>0</v>
      </c>
      <c r="CF55" s="610">
        <v>0</v>
      </c>
      <c r="CG55" s="610">
        <v>0</v>
      </c>
      <c r="CH55" s="610">
        <v>0</v>
      </c>
      <c r="CI55" s="610">
        <v>0</v>
      </c>
      <c r="CJ55" s="610">
        <v>0</v>
      </c>
      <c r="CK55" s="610">
        <v>0</v>
      </c>
      <c r="CL55" s="610">
        <v>0</v>
      </c>
      <c r="CM55" s="610">
        <v>0</v>
      </c>
      <c r="CN55" s="610">
        <v>0</v>
      </c>
      <c r="CO55" s="610">
        <v>0</v>
      </c>
      <c r="CP55" s="610">
        <v>0</v>
      </c>
      <c r="CQ55" s="610">
        <v>0</v>
      </c>
      <c r="CR55" s="610">
        <v>0</v>
      </c>
      <c r="CS55" s="610">
        <v>0</v>
      </c>
      <c r="CT55" s="610">
        <v>0</v>
      </c>
      <c r="CU55" s="610">
        <v>0</v>
      </c>
      <c r="CV55" s="610">
        <v>0</v>
      </c>
      <c r="CW55" s="610" t="s">
        <v>14</v>
      </c>
      <c r="CX55" s="610">
        <v>0</v>
      </c>
      <c r="CY55" s="610" t="s">
        <v>1707</v>
      </c>
      <c r="CZ55" s="610" t="s">
        <v>1707</v>
      </c>
      <c r="DA55" s="610" t="s">
        <v>1707</v>
      </c>
      <c r="DB55" s="610" t="s">
        <v>1707</v>
      </c>
      <c r="DC55" s="610" t="s">
        <v>1707</v>
      </c>
      <c r="DD55" s="610" t="s">
        <v>1707</v>
      </c>
      <c r="DE55" s="610" t="s">
        <v>1707</v>
      </c>
      <c r="DF55" s="610" t="s">
        <v>1707</v>
      </c>
      <c r="DG55" s="610" t="s">
        <v>1707</v>
      </c>
      <c r="DH55" s="610" t="s">
        <v>1707</v>
      </c>
      <c r="DI55" s="610" t="s">
        <v>1707</v>
      </c>
      <c r="DJ55" s="610" t="s">
        <v>1707</v>
      </c>
      <c r="DK55" s="610" t="s">
        <v>1368</v>
      </c>
      <c r="DL55" s="610" t="s">
        <v>1368</v>
      </c>
      <c r="DM55" s="610" t="s">
        <v>1368</v>
      </c>
      <c r="DN55" s="610" t="s">
        <v>1368</v>
      </c>
      <c r="DO55" s="610" t="s">
        <v>1368</v>
      </c>
      <c r="DP55" s="610" t="s">
        <v>1368</v>
      </c>
      <c r="DQ55" s="610" t="s">
        <v>1368</v>
      </c>
      <c r="DR55" s="610" t="s">
        <v>1368</v>
      </c>
      <c r="DS55" s="610" t="s">
        <v>1368</v>
      </c>
      <c r="DT55" s="610" t="s">
        <v>1368</v>
      </c>
      <c r="DU55" s="610" t="s">
        <v>1368</v>
      </c>
      <c r="DV55" s="610" t="s">
        <v>1368</v>
      </c>
      <c r="DW55" s="609" t="s">
        <v>1368</v>
      </c>
      <c r="DX55" s="609" t="s">
        <v>1368</v>
      </c>
      <c r="DY55" s="609" t="s">
        <v>1368</v>
      </c>
      <c r="DZ55" s="609" t="s">
        <v>1368</v>
      </c>
      <c r="EA55" s="609" t="s">
        <v>1368</v>
      </c>
      <c r="EB55" s="609" t="s">
        <v>1368</v>
      </c>
      <c r="EC55" s="609" t="s">
        <v>1368</v>
      </c>
      <c r="ED55" s="609" t="s">
        <v>1368</v>
      </c>
      <c r="EE55" s="609" t="s">
        <v>1368</v>
      </c>
      <c r="EF55" s="609" t="s">
        <v>1368</v>
      </c>
      <c r="EG55" s="609" t="s">
        <v>1368</v>
      </c>
      <c r="EH55" s="609" t="s">
        <v>1368</v>
      </c>
      <c r="EI55" s="610" t="s">
        <v>1707</v>
      </c>
      <c r="EJ55" s="610" t="s">
        <v>1707</v>
      </c>
      <c r="EK55" s="610" t="s">
        <v>1707</v>
      </c>
      <c r="EL55" s="610" t="s">
        <v>1707</v>
      </c>
      <c r="EM55" s="610" t="s">
        <v>1707</v>
      </c>
      <c r="EN55" s="610" t="s">
        <v>1707</v>
      </c>
      <c r="EO55" s="610" t="s">
        <v>1707</v>
      </c>
      <c r="EP55" s="610" t="s">
        <v>1707</v>
      </c>
      <c r="EQ55" s="610" t="s">
        <v>1707</v>
      </c>
      <c r="ER55" s="610" t="s">
        <v>1707</v>
      </c>
      <c r="ES55" s="610" t="s">
        <v>1707</v>
      </c>
      <c r="ET55" s="610" t="s">
        <v>1707</v>
      </c>
      <c r="EU55" s="610">
        <v>3980</v>
      </c>
      <c r="EV55" s="610" t="s">
        <v>1707</v>
      </c>
      <c r="EW55" s="610" t="s">
        <v>1707</v>
      </c>
      <c r="EX55" s="610" t="s">
        <v>1707</v>
      </c>
      <c r="EY55" s="610" t="s">
        <v>1707</v>
      </c>
      <c r="EZ55" s="610" t="s">
        <v>1707</v>
      </c>
      <c r="FA55" s="610" t="s">
        <v>1707</v>
      </c>
      <c r="FB55" s="610" t="s">
        <v>1707</v>
      </c>
      <c r="FC55" s="610" t="s">
        <v>1707</v>
      </c>
      <c r="FD55" s="610" t="s">
        <v>1707</v>
      </c>
      <c r="FE55" s="610" t="s">
        <v>1707</v>
      </c>
      <c r="FF55" s="610" t="s">
        <v>1707</v>
      </c>
      <c r="FG55" s="610" t="s">
        <v>1707</v>
      </c>
      <c r="FH55" s="610">
        <v>25</v>
      </c>
      <c r="FI55" s="610">
        <v>24</v>
      </c>
      <c r="FJ55" s="610">
        <v>24</v>
      </c>
      <c r="FK55" s="610">
        <v>25</v>
      </c>
      <c r="FL55" s="610">
        <v>25</v>
      </c>
      <c r="FM55" s="610">
        <v>25</v>
      </c>
      <c r="FN55" s="610">
        <v>25</v>
      </c>
      <c r="FO55" s="610">
        <v>25</v>
      </c>
      <c r="FP55" s="610">
        <v>25</v>
      </c>
      <c r="FQ55" s="610">
        <v>25</v>
      </c>
      <c r="FR55" s="610" t="s">
        <v>2487</v>
      </c>
      <c r="FS55" s="610" t="s">
        <v>2487</v>
      </c>
      <c r="FT55" s="610" t="s">
        <v>2487</v>
      </c>
      <c r="FU55" s="610" t="s">
        <v>2487</v>
      </c>
      <c r="FV55" s="610" t="s">
        <v>2487</v>
      </c>
      <c r="FW55" s="610" t="s">
        <v>2487</v>
      </c>
      <c r="FX55" s="610" t="s">
        <v>2487</v>
      </c>
      <c r="FY55" s="610" t="s">
        <v>2487</v>
      </c>
      <c r="FZ55" s="610" t="s">
        <v>2487</v>
      </c>
      <c r="GA55" s="610" t="s">
        <v>2487</v>
      </c>
      <c r="GB55" s="610" t="s">
        <v>2487</v>
      </c>
      <c r="GC55" s="610" t="s">
        <v>2487</v>
      </c>
      <c r="GD55" s="564">
        <f t="shared" si="3"/>
        <v>79950</v>
      </c>
      <c r="GE55" s="564">
        <f t="shared" si="4"/>
        <v>79950</v>
      </c>
      <c r="GF55" s="564">
        <f t="shared" si="5"/>
        <v>79950</v>
      </c>
      <c r="GG55" s="564">
        <f t="shared" si="6"/>
        <v>79950</v>
      </c>
      <c r="GH55" s="564">
        <f t="shared" si="7"/>
        <v>79950</v>
      </c>
      <c r="GI55" s="564">
        <f t="shared" si="8"/>
        <v>79950</v>
      </c>
      <c r="GJ55" s="564">
        <f t="shared" si="9"/>
        <v>79950</v>
      </c>
      <c r="GK55" s="564">
        <f t="shared" si="10"/>
        <v>79950</v>
      </c>
      <c r="GL55" s="564">
        <f t="shared" si="11"/>
        <v>79950</v>
      </c>
      <c r="GM55" s="564">
        <f t="shared" si="12"/>
        <v>79950</v>
      </c>
      <c r="GN55" s="564">
        <f t="shared" si="13"/>
        <v>79950</v>
      </c>
      <c r="GO55" s="564">
        <f t="shared" si="14"/>
        <v>79950</v>
      </c>
      <c r="GP55" s="564"/>
      <c r="GS55" s="375" t="s">
        <v>2115</v>
      </c>
      <c r="GT55" s="374" t="str">
        <f t="shared" si="15"/>
        <v>〇</v>
      </c>
    </row>
    <row r="56" spans="2:202">
      <c r="B56" s="371">
        <v>52</v>
      </c>
      <c r="C56" s="378">
        <v>52</v>
      </c>
      <c r="D56" s="373" t="s">
        <v>1459</v>
      </c>
      <c r="E56" s="373" t="s">
        <v>14</v>
      </c>
      <c r="F56" s="603">
        <f t="shared" si="2"/>
        <v>90</v>
      </c>
      <c r="G56" s="603"/>
      <c r="H56" s="603">
        <v>51</v>
      </c>
      <c r="I56" s="603">
        <v>39</v>
      </c>
      <c r="J56" s="603"/>
      <c r="K56" s="603"/>
      <c r="L56" s="603"/>
      <c r="M56" s="603"/>
      <c r="N56" s="608"/>
      <c r="O56" s="603">
        <v>1577000</v>
      </c>
      <c r="P56" s="603">
        <v>2721000</v>
      </c>
      <c r="Q56" s="603">
        <v>2721000</v>
      </c>
      <c r="R56" s="603">
        <v>1791000</v>
      </c>
      <c r="S56" s="603">
        <v>0</v>
      </c>
      <c r="T56" s="603">
        <v>2181000</v>
      </c>
      <c r="U56" s="603">
        <v>2181000</v>
      </c>
      <c r="V56" s="603">
        <v>1051000</v>
      </c>
      <c r="W56" s="603">
        <v>1814000</v>
      </c>
      <c r="X56" s="603">
        <v>1814000</v>
      </c>
      <c r="Y56" s="603">
        <v>1194000</v>
      </c>
      <c r="Z56" s="603">
        <v>0</v>
      </c>
      <c r="AA56" s="603">
        <v>1454000</v>
      </c>
      <c r="AB56" s="603">
        <v>1454000</v>
      </c>
      <c r="AC56" s="603">
        <v>0</v>
      </c>
      <c r="AD56" s="603">
        <v>0</v>
      </c>
      <c r="AE56" s="603">
        <v>0</v>
      </c>
      <c r="AF56" s="603">
        <v>0</v>
      </c>
      <c r="AG56" s="603">
        <v>0</v>
      </c>
      <c r="AH56" s="603">
        <v>0</v>
      </c>
      <c r="AI56" s="603">
        <v>0</v>
      </c>
      <c r="AJ56" s="604" t="s">
        <v>2377</v>
      </c>
      <c r="AK56" s="605" t="s">
        <v>2378</v>
      </c>
      <c r="AL56" s="605" t="s">
        <v>1545</v>
      </c>
      <c r="AM56" s="606" t="s">
        <v>2052</v>
      </c>
      <c r="AN56" s="609" t="s">
        <v>12</v>
      </c>
      <c r="AO56" s="610" t="s">
        <v>1368</v>
      </c>
      <c r="AP56" s="610" t="s">
        <v>1368</v>
      </c>
      <c r="AQ56" s="610" t="s">
        <v>1368</v>
      </c>
      <c r="AR56" s="610" t="s">
        <v>1368</v>
      </c>
      <c r="AS56" s="610" t="s">
        <v>1368</v>
      </c>
      <c r="AT56" s="610" t="s">
        <v>1368</v>
      </c>
      <c r="AU56" s="610" t="s">
        <v>1368</v>
      </c>
      <c r="AV56" s="610" t="s">
        <v>1368</v>
      </c>
      <c r="AW56" s="610" t="s">
        <v>1368</v>
      </c>
      <c r="AX56" s="610" t="s">
        <v>1368</v>
      </c>
      <c r="AY56" s="610" t="s">
        <v>1368</v>
      </c>
      <c r="AZ56" s="610" t="s">
        <v>1368</v>
      </c>
      <c r="BA56" s="610" t="s">
        <v>1368</v>
      </c>
      <c r="BB56" s="610" t="s">
        <v>1368</v>
      </c>
      <c r="BC56" s="610" t="s">
        <v>1368</v>
      </c>
      <c r="BD56" s="610" t="s">
        <v>1368</v>
      </c>
      <c r="BE56" s="610" t="s">
        <v>1368</v>
      </c>
      <c r="BF56" s="610" t="s">
        <v>1368</v>
      </c>
      <c r="BG56" s="610" t="s">
        <v>1368</v>
      </c>
      <c r="BH56" s="610" t="s">
        <v>1368</v>
      </c>
      <c r="BI56" s="610" t="s">
        <v>1368</v>
      </c>
      <c r="BJ56" s="610" t="s">
        <v>1368</v>
      </c>
      <c r="BK56" s="610" t="s">
        <v>1368</v>
      </c>
      <c r="BL56" s="610" t="s">
        <v>1368</v>
      </c>
      <c r="BM56" s="610">
        <v>1</v>
      </c>
      <c r="BN56" s="610">
        <v>1</v>
      </c>
      <c r="BO56" s="610">
        <v>1</v>
      </c>
      <c r="BP56" s="610">
        <v>1</v>
      </c>
      <c r="BQ56" s="610">
        <v>1</v>
      </c>
      <c r="BR56" s="610">
        <v>1</v>
      </c>
      <c r="BS56" s="610">
        <v>1</v>
      </c>
      <c r="BT56" s="610">
        <v>1</v>
      </c>
      <c r="BU56" s="610">
        <v>1</v>
      </c>
      <c r="BV56" s="610">
        <v>1</v>
      </c>
      <c r="BW56" s="610">
        <v>1</v>
      </c>
      <c r="BX56" s="610">
        <v>1</v>
      </c>
      <c r="BY56" s="610">
        <v>0</v>
      </c>
      <c r="BZ56" s="610">
        <v>0</v>
      </c>
      <c r="CA56" s="610">
        <v>0</v>
      </c>
      <c r="CB56" s="610">
        <v>0</v>
      </c>
      <c r="CC56" s="610">
        <v>0</v>
      </c>
      <c r="CD56" s="610">
        <v>0</v>
      </c>
      <c r="CE56" s="610">
        <v>0</v>
      </c>
      <c r="CF56" s="610">
        <v>0</v>
      </c>
      <c r="CG56" s="610">
        <v>0</v>
      </c>
      <c r="CH56" s="610">
        <v>0</v>
      </c>
      <c r="CI56" s="610">
        <v>0</v>
      </c>
      <c r="CJ56" s="610">
        <v>0</v>
      </c>
      <c r="CK56" s="610">
        <v>0</v>
      </c>
      <c r="CL56" s="610">
        <v>0</v>
      </c>
      <c r="CM56" s="610">
        <v>0</v>
      </c>
      <c r="CN56" s="610">
        <v>0</v>
      </c>
      <c r="CO56" s="610">
        <v>0</v>
      </c>
      <c r="CP56" s="610">
        <v>0</v>
      </c>
      <c r="CQ56" s="610">
        <v>0</v>
      </c>
      <c r="CR56" s="610">
        <v>0</v>
      </c>
      <c r="CS56" s="610">
        <v>0</v>
      </c>
      <c r="CT56" s="610">
        <v>0</v>
      </c>
      <c r="CU56" s="610">
        <v>0</v>
      </c>
      <c r="CV56" s="610">
        <v>0</v>
      </c>
      <c r="CW56" s="610" t="s">
        <v>14</v>
      </c>
      <c r="CX56" s="610">
        <v>0</v>
      </c>
      <c r="CY56" s="610" t="s">
        <v>1707</v>
      </c>
      <c r="CZ56" s="610" t="s">
        <v>1707</v>
      </c>
      <c r="DA56" s="610" t="s">
        <v>1707</v>
      </c>
      <c r="DB56" s="610" t="s">
        <v>1707</v>
      </c>
      <c r="DC56" s="610" t="s">
        <v>1707</v>
      </c>
      <c r="DD56" s="610" t="s">
        <v>1707</v>
      </c>
      <c r="DE56" s="610" t="s">
        <v>1707</v>
      </c>
      <c r="DF56" s="610" t="s">
        <v>1707</v>
      </c>
      <c r="DG56" s="610" t="s">
        <v>1707</v>
      </c>
      <c r="DH56" s="610" t="s">
        <v>1707</v>
      </c>
      <c r="DI56" s="610" t="s">
        <v>1707</v>
      </c>
      <c r="DJ56" s="610" t="s">
        <v>1707</v>
      </c>
      <c r="DK56" s="610" t="s">
        <v>1368</v>
      </c>
      <c r="DL56" s="610" t="s">
        <v>1368</v>
      </c>
      <c r="DM56" s="610" t="s">
        <v>1368</v>
      </c>
      <c r="DN56" s="610" t="s">
        <v>1368</v>
      </c>
      <c r="DO56" s="610" t="s">
        <v>1368</v>
      </c>
      <c r="DP56" s="610" t="s">
        <v>1368</v>
      </c>
      <c r="DQ56" s="610" t="s">
        <v>1368</v>
      </c>
      <c r="DR56" s="610" t="s">
        <v>1368</v>
      </c>
      <c r="DS56" s="610" t="s">
        <v>1368</v>
      </c>
      <c r="DT56" s="610" t="s">
        <v>1368</v>
      </c>
      <c r="DU56" s="610" t="s">
        <v>1368</v>
      </c>
      <c r="DV56" s="610" t="s">
        <v>1368</v>
      </c>
      <c r="DW56" s="609" t="s">
        <v>1368</v>
      </c>
      <c r="DX56" s="609" t="s">
        <v>1368</v>
      </c>
      <c r="DY56" s="609" t="s">
        <v>1368</v>
      </c>
      <c r="DZ56" s="609" t="s">
        <v>1368</v>
      </c>
      <c r="EA56" s="609" t="s">
        <v>1368</v>
      </c>
      <c r="EB56" s="609" t="s">
        <v>1368</v>
      </c>
      <c r="EC56" s="609" t="s">
        <v>1368</v>
      </c>
      <c r="ED56" s="609" t="s">
        <v>1368</v>
      </c>
      <c r="EE56" s="609" t="s">
        <v>1368</v>
      </c>
      <c r="EF56" s="609" t="s">
        <v>1368</v>
      </c>
      <c r="EG56" s="609" t="s">
        <v>1368</v>
      </c>
      <c r="EH56" s="609" t="s">
        <v>1368</v>
      </c>
      <c r="EI56" s="610" t="s">
        <v>1707</v>
      </c>
      <c r="EJ56" s="610" t="s">
        <v>1707</v>
      </c>
      <c r="EK56" s="610" t="s">
        <v>1707</v>
      </c>
      <c r="EL56" s="610" t="s">
        <v>1707</v>
      </c>
      <c r="EM56" s="610" t="s">
        <v>1707</v>
      </c>
      <c r="EN56" s="610" t="s">
        <v>1707</v>
      </c>
      <c r="EO56" s="610" t="s">
        <v>1707</v>
      </c>
      <c r="EP56" s="610" t="s">
        <v>1707</v>
      </c>
      <c r="EQ56" s="610" t="s">
        <v>1707</v>
      </c>
      <c r="ER56" s="610" t="s">
        <v>1707</v>
      </c>
      <c r="ES56" s="610" t="s">
        <v>1707</v>
      </c>
      <c r="ET56" s="610" t="s">
        <v>1707</v>
      </c>
      <c r="EU56" s="610">
        <v>4070</v>
      </c>
      <c r="EV56" s="610" t="s">
        <v>1707</v>
      </c>
      <c r="EW56" s="610" t="s">
        <v>1707</v>
      </c>
      <c r="EX56" s="610" t="s">
        <v>1707</v>
      </c>
      <c r="EY56" s="610" t="s">
        <v>1707</v>
      </c>
      <c r="EZ56" s="610" t="s">
        <v>1707</v>
      </c>
      <c r="FA56" s="610" t="s">
        <v>1707</v>
      </c>
      <c r="FB56" s="610" t="s">
        <v>1707</v>
      </c>
      <c r="FC56" s="610" t="s">
        <v>1707</v>
      </c>
      <c r="FD56" s="610" t="s">
        <v>1707</v>
      </c>
      <c r="FE56" s="610" t="s">
        <v>1707</v>
      </c>
      <c r="FF56" s="610" t="s">
        <v>1707</v>
      </c>
      <c r="FG56" s="610" t="s">
        <v>1707</v>
      </c>
      <c r="FH56" s="610">
        <v>42</v>
      </c>
      <c r="FI56" s="610">
        <v>42</v>
      </c>
      <c r="FJ56" s="610">
        <v>42</v>
      </c>
      <c r="FK56" s="610">
        <v>42</v>
      </c>
      <c r="FL56" s="610">
        <v>42</v>
      </c>
      <c r="FM56" s="610">
        <v>42</v>
      </c>
      <c r="FN56" s="610">
        <v>42</v>
      </c>
      <c r="FO56" s="610">
        <v>42</v>
      </c>
      <c r="FP56" s="610">
        <v>42</v>
      </c>
      <c r="FQ56" s="610">
        <v>42</v>
      </c>
      <c r="FR56" s="610" t="s">
        <v>2487</v>
      </c>
      <c r="FS56" s="610" t="s">
        <v>2487</v>
      </c>
      <c r="FT56" s="610" t="s">
        <v>2487</v>
      </c>
      <c r="FU56" s="610" t="s">
        <v>2487</v>
      </c>
      <c r="FV56" s="610" t="s">
        <v>2487</v>
      </c>
      <c r="FW56" s="610" t="s">
        <v>2487</v>
      </c>
      <c r="FX56" s="610" t="s">
        <v>2487</v>
      </c>
      <c r="FY56" s="610" t="s">
        <v>2487</v>
      </c>
      <c r="FZ56" s="610" t="s">
        <v>2487</v>
      </c>
      <c r="GA56" s="610" t="s">
        <v>2487</v>
      </c>
      <c r="GB56" s="610" t="s">
        <v>2487</v>
      </c>
      <c r="GC56" s="610" t="s">
        <v>2487</v>
      </c>
      <c r="GD56" s="564">
        <f t="shared" si="3"/>
        <v>79950</v>
      </c>
      <c r="GE56" s="564">
        <f t="shared" si="4"/>
        <v>79950</v>
      </c>
      <c r="GF56" s="564">
        <f t="shared" si="5"/>
        <v>79950</v>
      </c>
      <c r="GG56" s="564">
        <f t="shared" si="6"/>
        <v>79950</v>
      </c>
      <c r="GH56" s="564">
        <f t="shared" si="7"/>
        <v>79950</v>
      </c>
      <c r="GI56" s="564">
        <f t="shared" si="8"/>
        <v>79950</v>
      </c>
      <c r="GJ56" s="564">
        <f t="shared" si="9"/>
        <v>79950</v>
      </c>
      <c r="GK56" s="564">
        <f t="shared" si="10"/>
        <v>79950</v>
      </c>
      <c r="GL56" s="564">
        <f t="shared" si="11"/>
        <v>79950</v>
      </c>
      <c r="GM56" s="564">
        <f t="shared" si="12"/>
        <v>79950</v>
      </c>
      <c r="GN56" s="564">
        <f t="shared" si="13"/>
        <v>79950</v>
      </c>
      <c r="GO56" s="564">
        <f t="shared" si="14"/>
        <v>79950</v>
      </c>
      <c r="GP56" s="564"/>
      <c r="GS56" s="375" t="s">
        <v>1459</v>
      </c>
      <c r="GT56" s="374" t="str">
        <f t="shared" si="15"/>
        <v>〇</v>
      </c>
    </row>
    <row r="57" spans="2:202">
      <c r="B57" s="371">
        <v>53</v>
      </c>
      <c r="C57" s="378">
        <v>53</v>
      </c>
      <c r="D57" s="373" t="s">
        <v>1919</v>
      </c>
      <c r="E57" s="373" t="s">
        <v>14</v>
      </c>
      <c r="F57" s="603">
        <f t="shared" si="2"/>
        <v>59</v>
      </c>
      <c r="G57" s="603"/>
      <c r="H57" s="603">
        <v>32</v>
      </c>
      <c r="I57" s="603">
        <v>27</v>
      </c>
      <c r="J57" s="603"/>
      <c r="K57" s="603"/>
      <c r="L57" s="603"/>
      <c r="M57" s="603"/>
      <c r="N57" s="608"/>
      <c r="O57" s="603">
        <v>1577000</v>
      </c>
      <c r="P57" s="603">
        <v>2721000</v>
      </c>
      <c r="Q57" s="603">
        <v>2721000</v>
      </c>
      <c r="R57" s="603">
        <v>1791000</v>
      </c>
      <c r="S57" s="603">
        <v>0</v>
      </c>
      <c r="T57" s="603">
        <v>0</v>
      </c>
      <c r="U57" s="603">
        <v>0</v>
      </c>
      <c r="V57" s="603">
        <v>0</v>
      </c>
      <c r="W57" s="603">
        <v>0</v>
      </c>
      <c r="X57" s="603">
        <v>0</v>
      </c>
      <c r="Y57" s="603">
        <v>0</v>
      </c>
      <c r="Z57" s="603">
        <v>0</v>
      </c>
      <c r="AA57" s="603">
        <v>0</v>
      </c>
      <c r="AB57" s="603">
        <v>0</v>
      </c>
      <c r="AC57" s="603">
        <v>0</v>
      </c>
      <c r="AD57" s="603">
        <v>0</v>
      </c>
      <c r="AE57" s="603">
        <v>0</v>
      </c>
      <c r="AF57" s="603">
        <v>0</v>
      </c>
      <c r="AG57" s="603">
        <v>0</v>
      </c>
      <c r="AH57" s="603">
        <v>0</v>
      </c>
      <c r="AI57" s="603">
        <v>0</v>
      </c>
      <c r="AJ57" s="604" t="s">
        <v>2377</v>
      </c>
      <c r="AK57" s="605" t="s">
        <v>1545</v>
      </c>
      <c r="AL57" s="605" t="s">
        <v>1545</v>
      </c>
      <c r="AM57" s="606" t="s">
        <v>2053</v>
      </c>
      <c r="AN57" s="609" t="s">
        <v>12</v>
      </c>
      <c r="AO57" s="610" t="s">
        <v>1368</v>
      </c>
      <c r="AP57" s="610" t="s">
        <v>1368</v>
      </c>
      <c r="AQ57" s="610" t="s">
        <v>1368</v>
      </c>
      <c r="AR57" s="610" t="s">
        <v>1368</v>
      </c>
      <c r="AS57" s="610" t="s">
        <v>1368</v>
      </c>
      <c r="AT57" s="610" t="s">
        <v>1368</v>
      </c>
      <c r="AU57" s="610" t="s">
        <v>1368</v>
      </c>
      <c r="AV57" s="610" t="s">
        <v>1368</v>
      </c>
      <c r="AW57" s="610" t="s">
        <v>1368</v>
      </c>
      <c r="AX57" s="610" t="s">
        <v>1368</v>
      </c>
      <c r="AY57" s="610" t="s">
        <v>1368</v>
      </c>
      <c r="AZ57" s="610" t="s">
        <v>1368</v>
      </c>
      <c r="BA57" s="610" t="s">
        <v>1368</v>
      </c>
      <c r="BB57" s="610" t="s">
        <v>1368</v>
      </c>
      <c r="BC57" s="610" t="s">
        <v>1368</v>
      </c>
      <c r="BD57" s="610" t="s">
        <v>1368</v>
      </c>
      <c r="BE57" s="610" t="s">
        <v>1368</v>
      </c>
      <c r="BF57" s="610" t="s">
        <v>1368</v>
      </c>
      <c r="BG57" s="610" t="s">
        <v>1368</v>
      </c>
      <c r="BH57" s="610" t="s">
        <v>1368</v>
      </c>
      <c r="BI57" s="610" t="s">
        <v>1368</v>
      </c>
      <c r="BJ57" s="610" t="s">
        <v>1368</v>
      </c>
      <c r="BK57" s="610" t="s">
        <v>1368</v>
      </c>
      <c r="BL57" s="610" t="s">
        <v>1368</v>
      </c>
      <c r="BM57" s="610">
        <v>0</v>
      </c>
      <c r="BN57" s="610">
        <v>0</v>
      </c>
      <c r="BO57" s="610">
        <v>0</v>
      </c>
      <c r="BP57" s="610">
        <v>0</v>
      </c>
      <c r="BQ57" s="610">
        <v>0</v>
      </c>
      <c r="BR57" s="610">
        <v>0</v>
      </c>
      <c r="BS57" s="610">
        <v>0</v>
      </c>
      <c r="BT57" s="610">
        <v>0</v>
      </c>
      <c r="BU57" s="610">
        <v>0</v>
      </c>
      <c r="BV57" s="610">
        <v>0</v>
      </c>
      <c r="BW57" s="610">
        <v>0</v>
      </c>
      <c r="BX57" s="610">
        <v>0</v>
      </c>
      <c r="BY57" s="610">
        <v>0</v>
      </c>
      <c r="BZ57" s="610">
        <v>0</v>
      </c>
      <c r="CA57" s="610">
        <v>0</v>
      </c>
      <c r="CB57" s="610">
        <v>0</v>
      </c>
      <c r="CC57" s="610">
        <v>0</v>
      </c>
      <c r="CD57" s="610">
        <v>0</v>
      </c>
      <c r="CE57" s="610">
        <v>0</v>
      </c>
      <c r="CF57" s="610">
        <v>0</v>
      </c>
      <c r="CG57" s="610">
        <v>0</v>
      </c>
      <c r="CH57" s="610">
        <v>0</v>
      </c>
      <c r="CI57" s="610">
        <v>0</v>
      </c>
      <c r="CJ57" s="610">
        <v>0</v>
      </c>
      <c r="CK57" s="610">
        <v>0</v>
      </c>
      <c r="CL57" s="610">
        <v>0</v>
      </c>
      <c r="CM57" s="610">
        <v>0</v>
      </c>
      <c r="CN57" s="610">
        <v>0</v>
      </c>
      <c r="CO57" s="610">
        <v>0</v>
      </c>
      <c r="CP57" s="610">
        <v>0</v>
      </c>
      <c r="CQ57" s="610">
        <v>0</v>
      </c>
      <c r="CR57" s="610">
        <v>0</v>
      </c>
      <c r="CS57" s="610">
        <v>0</v>
      </c>
      <c r="CT57" s="610">
        <v>0</v>
      </c>
      <c r="CU57" s="610">
        <v>0</v>
      </c>
      <c r="CV57" s="610">
        <v>0</v>
      </c>
      <c r="CW57" s="610" t="s">
        <v>14</v>
      </c>
      <c r="CX57" s="610">
        <v>0</v>
      </c>
      <c r="CY57" s="610" t="s">
        <v>1707</v>
      </c>
      <c r="CZ57" s="610" t="s">
        <v>1707</v>
      </c>
      <c r="DA57" s="610" t="s">
        <v>1707</v>
      </c>
      <c r="DB57" s="610" t="s">
        <v>1707</v>
      </c>
      <c r="DC57" s="610" t="s">
        <v>1707</v>
      </c>
      <c r="DD57" s="610" t="s">
        <v>1707</v>
      </c>
      <c r="DE57" s="610" t="s">
        <v>1707</v>
      </c>
      <c r="DF57" s="610" t="s">
        <v>1707</v>
      </c>
      <c r="DG57" s="610" t="s">
        <v>1707</v>
      </c>
      <c r="DH57" s="610" t="s">
        <v>1707</v>
      </c>
      <c r="DI57" s="610" t="s">
        <v>1707</v>
      </c>
      <c r="DJ57" s="610" t="s">
        <v>1707</v>
      </c>
      <c r="DK57" s="610" t="s">
        <v>18</v>
      </c>
      <c r="DL57" s="610" t="s">
        <v>18</v>
      </c>
      <c r="DM57" s="610" t="s">
        <v>18</v>
      </c>
      <c r="DN57" s="610" t="s">
        <v>18</v>
      </c>
      <c r="DO57" s="610" t="s">
        <v>18</v>
      </c>
      <c r="DP57" s="610" t="s">
        <v>18</v>
      </c>
      <c r="DQ57" s="610" t="s">
        <v>18</v>
      </c>
      <c r="DR57" s="610" t="s">
        <v>18</v>
      </c>
      <c r="DS57" s="610" t="s">
        <v>18</v>
      </c>
      <c r="DT57" s="610" t="s">
        <v>18</v>
      </c>
      <c r="DU57" s="610" t="s">
        <v>18</v>
      </c>
      <c r="DV57" s="610" t="s">
        <v>18</v>
      </c>
      <c r="DW57" s="609" t="s">
        <v>1368</v>
      </c>
      <c r="DX57" s="609" t="s">
        <v>1368</v>
      </c>
      <c r="DY57" s="609" t="s">
        <v>1368</v>
      </c>
      <c r="DZ57" s="609" t="s">
        <v>1368</v>
      </c>
      <c r="EA57" s="609" t="s">
        <v>1368</v>
      </c>
      <c r="EB57" s="609" t="s">
        <v>1368</v>
      </c>
      <c r="EC57" s="609" t="s">
        <v>1368</v>
      </c>
      <c r="ED57" s="609" t="s">
        <v>1368</v>
      </c>
      <c r="EE57" s="609" t="s">
        <v>1368</v>
      </c>
      <c r="EF57" s="609" t="s">
        <v>1368</v>
      </c>
      <c r="EG57" s="609" t="s">
        <v>1368</v>
      </c>
      <c r="EH57" s="609" t="s">
        <v>1368</v>
      </c>
      <c r="EI57" s="610" t="s">
        <v>1707</v>
      </c>
      <c r="EJ57" s="610" t="s">
        <v>1707</v>
      </c>
      <c r="EK57" s="610" t="s">
        <v>1707</v>
      </c>
      <c r="EL57" s="610" t="s">
        <v>1707</v>
      </c>
      <c r="EM57" s="610" t="s">
        <v>1707</v>
      </c>
      <c r="EN57" s="610" t="s">
        <v>1707</v>
      </c>
      <c r="EO57" s="610" t="s">
        <v>1707</v>
      </c>
      <c r="EP57" s="610" t="s">
        <v>1707</v>
      </c>
      <c r="EQ57" s="610" t="s">
        <v>1707</v>
      </c>
      <c r="ER57" s="610" t="s">
        <v>1707</v>
      </c>
      <c r="ES57" s="610" t="s">
        <v>1707</v>
      </c>
      <c r="ET57" s="610" t="s">
        <v>1707</v>
      </c>
      <c r="EU57" s="610">
        <v>4070</v>
      </c>
      <c r="EV57" s="610" t="s">
        <v>2449</v>
      </c>
      <c r="EW57" s="610" t="s">
        <v>2449</v>
      </c>
      <c r="EX57" s="610" t="s">
        <v>2449</v>
      </c>
      <c r="EY57" s="610" t="s">
        <v>2449</v>
      </c>
      <c r="EZ57" s="610" t="s">
        <v>2449</v>
      </c>
      <c r="FA57" s="610" t="s">
        <v>2449</v>
      </c>
      <c r="FB57" s="610" t="s">
        <v>2449</v>
      </c>
      <c r="FC57" s="610" t="s">
        <v>2449</v>
      </c>
      <c r="FD57" s="610" t="s">
        <v>2449</v>
      </c>
      <c r="FE57" s="610" t="s">
        <v>2449</v>
      </c>
      <c r="FF57" s="610" t="s">
        <v>2449</v>
      </c>
      <c r="FG57" s="610" t="s">
        <v>2449</v>
      </c>
      <c r="FH57" s="610">
        <v>22</v>
      </c>
      <c r="FI57" s="610">
        <v>22</v>
      </c>
      <c r="FJ57" s="610">
        <v>22</v>
      </c>
      <c r="FK57" s="610">
        <v>22</v>
      </c>
      <c r="FL57" s="610">
        <v>22</v>
      </c>
      <c r="FM57" s="610">
        <v>22</v>
      </c>
      <c r="FN57" s="610">
        <v>22</v>
      </c>
      <c r="FO57" s="610">
        <v>22</v>
      </c>
      <c r="FP57" s="610">
        <v>22</v>
      </c>
      <c r="FQ57" s="610">
        <v>22</v>
      </c>
      <c r="FR57" s="610" t="s">
        <v>2487</v>
      </c>
      <c r="FS57" s="610" t="s">
        <v>2487</v>
      </c>
      <c r="FT57" s="610" t="s">
        <v>2487</v>
      </c>
      <c r="FU57" s="610" t="s">
        <v>2487</v>
      </c>
      <c r="FV57" s="610" t="s">
        <v>2487</v>
      </c>
      <c r="FW57" s="610" t="s">
        <v>2487</v>
      </c>
      <c r="FX57" s="610" t="s">
        <v>2487</v>
      </c>
      <c r="FY57" s="610" t="s">
        <v>2487</v>
      </c>
      <c r="FZ57" s="610" t="s">
        <v>2487</v>
      </c>
      <c r="GA57" s="610" t="s">
        <v>2487</v>
      </c>
      <c r="GB57" s="610" t="s">
        <v>2487</v>
      </c>
      <c r="GC57" s="610" t="s">
        <v>2487</v>
      </c>
      <c r="GD57" s="564">
        <f t="shared" si="3"/>
        <v>79950</v>
      </c>
      <c r="GE57" s="564">
        <f t="shared" si="4"/>
        <v>79950</v>
      </c>
      <c r="GF57" s="564">
        <f t="shared" si="5"/>
        <v>79950</v>
      </c>
      <c r="GG57" s="564">
        <f t="shared" si="6"/>
        <v>79950</v>
      </c>
      <c r="GH57" s="564">
        <f t="shared" si="7"/>
        <v>79950</v>
      </c>
      <c r="GI57" s="564">
        <f t="shared" si="8"/>
        <v>79950</v>
      </c>
      <c r="GJ57" s="564">
        <f t="shared" si="9"/>
        <v>79950</v>
      </c>
      <c r="GK57" s="564">
        <f t="shared" si="10"/>
        <v>79950</v>
      </c>
      <c r="GL57" s="564">
        <f t="shared" si="11"/>
        <v>79950</v>
      </c>
      <c r="GM57" s="564">
        <f t="shared" si="12"/>
        <v>79950</v>
      </c>
      <c r="GN57" s="564">
        <f t="shared" si="13"/>
        <v>79950</v>
      </c>
      <c r="GO57" s="564">
        <f t="shared" si="14"/>
        <v>79950</v>
      </c>
      <c r="GP57" s="564"/>
      <c r="GS57" s="375" t="s">
        <v>1919</v>
      </c>
      <c r="GT57" s="374" t="str">
        <f t="shared" si="15"/>
        <v>〇</v>
      </c>
    </row>
    <row r="58" spans="2:202">
      <c r="B58" s="371">
        <v>54</v>
      </c>
      <c r="C58" s="378">
        <v>54</v>
      </c>
      <c r="D58" s="373" t="s">
        <v>1461</v>
      </c>
      <c r="E58" s="373" t="s">
        <v>14</v>
      </c>
      <c r="F58" s="603">
        <f t="shared" si="2"/>
        <v>90</v>
      </c>
      <c r="G58" s="603"/>
      <c r="H58" s="603">
        <v>50</v>
      </c>
      <c r="I58" s="603">
        <v>40</v>
      </c>
      <c r="J58" s="603"/>
      <c r="K58" s="603"/>
      <c r="L58" s="603"/>
      <c r="M58" s="603"/>
      <c r="N58" s="608"/>
      <c r="O58" s="603">
        <v>1577000</v>
      </c>
      <c r="P58" s="603">
        <v>2721000</v>
      </c>
      <c r="Q58" s="603">
        <v>2721000</v>
      </c>
      <c r="R58" s="603">
        <v>1791000</v>
      </c>
      <c r="S58" s="603">
        <v>0</v>
      </c>
      <c r="T58" s="603">
        <v>4362000</v>
      </c>
      <c r="U58" s="603">
        <v>0</v>
      </c>
      <c r="V58" s="603">
        <v>0</v>
      </c>
      <c r="W58" s="603">
        <v>0</v>
      </c>
      <c r="X58" s="603">
        <v>0</v>
      </c>
      <c r="Y58" s="603">
        <v>0</v>
      </c>
      <c r="Z58" s="603">
        <v>0</v>
      </c>
      <c r="AA58" s="603">
        <v>0</v>
      </c>
      <c r="AB58" s="603">
        <v>0</v>
      </c>
      <c r="AC58" s="603">
        <v>0</v>
      </c>
      <c r="AD58" s="603">
        <v>0</v>
      </c>
      <c r="AE58" s="603">
        <v>0</v>
      </c>
      <c r="AF58" s="603">
        <v>0</v>
      </c>
      <c r="AG58" s="603">
        <v>0</v>
      </c>
      <c r="AH58" s="603">
        <v>0</v>
      </c>
      <c r="AI58" s="603">
        <v>0</v>
      </c>
      <c r="AJ58" s="604" t="s">
        <v>2377</v>
      </c>
      <c r="AK58" s="605" t="s">
        <v>1545</v>
      </c>
      <c r="AL58" s="605" t="s">
        <v>1545</v>
      </c>
      <c r="AM58" s="606" t="s">
        <v>2054</v>
      </c>
      <c r="AN58" s="609" t="s">
        <v>12</v>
      </c>
      <c r="AO58" s="610" t="s">
        <v>13</v>
      </c>
      <c r="AP58" s="610" t="s">
        <v>13</v>
      </c>
      <c r="AQ58" s="610" t="s">
        <v>13</v>
      </c>
      <c r="AR58" s="610" t="s">
        <v>13</v>
      </c>
      <c r="AS58" s="610" t="s">
        <v>13</v>
      </c>
      <c r="AT58" s="610" t="s">
        <v>13</v>
      </c>
      <c r="AU58" s="610" t="s">
        <v>13</v>
      </c>
      <c r="AV58" s="610" t="s">
        <v>13</v>
      </c>
      <c r="AW58" s="610" t="s">
        <v>13</v>
      </c>
      <c r="AX58" s="610" t="s">
        <v>13</v>
      </c>
      <c r="AY58" s="610" t="s">
        <v>13</v>
      </c>
      <c r="AZ58" s="610" t="s">
        <v>13</v>
      </c>
      <c r="BA58" s="610" t="s">
        <v>14</v>
      </c>
      <c r="BB58" s="610" t="s">
        <v>14</v>
      </c>
      <c r="BC58" s="610" t="s">
        <v>14</v>
      </c>
      <c r="BD58" s="610" t="s">
        <v>14</v>
      </c>
      <c r="BE58" s="610" t="s">
        <v>14</v>
      </c>
      <c r="BF58" s="610" t="s">
        <v>14</v>
      </c>
      <c r="BG58" s="610" t="s">
        <v>14</v>
      </c>
      <c r="BH58" s="610" t="s">
        <v>14</v>
      </c>
      <c r="BI58" s="610" t="s">
        <v>14</v>
      </c>
      <c r="BJ58" s="610" t="s">
        <v>14</v>
      </c>
      <c r="BK58" s="610" t="s">
        <v>14</v>
      </c>
      <c r="BL58" s="610" t="s">
        <v>14</v>
      </c>
      <c r="BM58" s="610">
        <v>2</v>
      </c>
      <c r="BN58" s="610">
        <v>2</v>
      </c>
      <c r="BO58" s="610">
        <v>2</v>
      </c>
      <c r="BP58" s="610">
        <v>2</v>
      </c>
      <c r="BQ58" s="610">
        <v>2</v>
      </c>
      <c r="BR58" s="610">
        <v>2</v>
      </c>
      <c r="BS58" s="610">
        <v>2</v>
      </c>
      <c r="BT58" s="610">
        <v>2</v>
      </c>
      <c r="BU58" s="610">
        <v>2</v>
      </c>
      <c r="BV58" s="610">
        <v>2</v>
      </c>
      <c r="BW58" s="610">
        <v>2</v>
      </c>
      <c r="BX58" s="610">
        <v>2</v>
      </c>
      <c r="BY58" s="610">
        <v>0</v>
      </c>
      <c r="BZ58" s="610">
        <v>0</v>
      </c>
      <c r="CA58" s="610">
        <v>0</v>
      </c>
      <c r="CB58" s="610">
        <v>0</v>
      </c>
      <c r="CC58" s="610">
        <v>0</v>
      </c>
      <c r="CD58" s="610">
        <v>0</v>
      </c>
      <c r="CE58" s="610">
        <v>0</v>
      </c>
      <c r="CF58" s="610">
        <v>0</v>
      </c>
      <c r="CG58" s="610">
        <v>0</v>
      </c>
      <c r="CH58" s="610">
        <v>0</v>
      </c>
      <c r="CI58" s="610">
        <v>0</v>
      </c>
      <c r="CJ58" s="610">
        <v>0</v>
      </c>
      <c r="CK58" s="610">
        <v>0</v>
      </c>
      <c r="CL58" s="610">
        <v>0</v>
      </c>
      <c r="CM58" s="610">
        <v>0</v>
      </c>
      <c r="CN58" s="610">
        <v>0</v>
      </c>
      <c r="CO58" s="610">
        <v>0</v>
      </c>
      <c r="CP58" s="610">
        <v>0</v>
      </c>
      <c r="CQ58" s="610">
        <v>0</v>
      </c>
      <c r="CR58" s="610">
        <v>0</v>
      </c>
      <c r="CS58" s="610">
        <v>0</v>
      </c>
      <c r="CT58" s="610">
        <v>0</v>
      </c>
      <c r="CU58" s="610">
        <v>0</v>
      </c>
      <c r="CV58" s="610">
        <v>0</v>
      </c>
      <c r="CW58" s="610" t="s">
        <v>14</v>
      </c>
      <c r="CX58" s="610">
        <v>0</v>
      </c>
      <c r="CY58" s="610" t="s">
        <v>1707</v>
      </c>
      <c r="CZ58" s="610" t="s">
        <v>1707</v>
      </c>
      <c r="DA58" s="610" t="s">
        <v>1707</v>
      </c>
      <c r="DB58" s="610" t="s">
        <v>1707</v>
      </c>
      <c r="DC58" s="610" t="s">
        <v>1707</v>
      </c>
      <c r="DD58" s="610" t="s">
        <v>1707</v>
      </c>
      <c r="DE58" s="610" t="s">
        <v>1707</v>
      </c>
      <c r="DF58" s="610" t="s">
        <v>1707</v>
      </c>
      <c r="DG58" s="610" t="s">
        <v>1707</v>
      </c>
      <c r="DH58" s="610" t="s">
        <v>1707</v>
      </c>
      <c r="DI58" s="610" t="s">
        <v>1707</v>
      </c>
      <c r="DJ58" s="610" t="s">
        <v>1707</v>
      </c>
      <c r="DK58" s="610" t="s">
        <v>1368</v>
      </c>
      <c r="DL58" s="610" t="s">
        <v>1368</v>
      </c>
      <c r="DM58" s="610" t="s">
        <v>1368</v>
      </c>
      <c r="DN58" s="610" t="s">
        <v>1368</v>
      </c>
      <c r="DO58" s="610" t="s">
        <v>1368</v>
      </c>
      <c r="DP58" s="610" t="s">
        <v>1368</v>
      </c>
      <c r="DQ58" s="610" t="s">
        <v>1368</v>
      </c>
      <c r="DR58" s="610" t="s">
        <v>1368</v>
      </c>
      <c r="DS58" s="610" t="s">
        <v>1368</v>
      </c>
      <c r="DT58" s="610" t="s">
        <v>1368</v>
      </c>
      <c r="DU58" s="610" t="s">
        <v>1368</v>
      </c>
      <c r="DV58" s="610" t="s">
        <v>1368</v>
      </c>
      <c r="DW58" s="609" t="s">
        <v>1368</v>
      </c>
      <c r="DX58" s="609" t="s">
        <v>1368</v>
      </c>
      <c r="DY58" s="609" t="s">
        <v>1368</v>
      </c>
      <c r="DZ58" s="609" t="s">
        <v>1368</v>
      </c>
      <c r="EA58" s="609" t="s">
        <v>1368</v>
      </c>
      <c r="EB58" s="609" t="s">
        <v>1368</v>
      </c>
      <c r="EC58" s="609" t="s">
        <v>1368</v>
      </c>
      <c r="ED58" s="609" t="s">
        <v>1368</v>
      </c>
      <c r="EE58" s="609" t="s">
        <v>1368</v>
      </c>
      <c r="EF58" s="609" t="s">
        <v>1368</v>
      </c>
      <c r="EG58" s="609" t="s">
        <v>1368</v>
      </c>
      <c r="EH58" s="609" t="s">
        <v>1368</v>
      </c>
      <c r="EI58" s="610" t="s">
        <v>1707</v>
      </c>
      <c r="EJ58" s="610" t="s">
        <v>1707</v>
      </c>
      <c r="EK58" s="610" t="s">
        <v>1707</v>
      </c>
      <c r="EL58" s="610" t="s">
        <v>1707</v>
      </c>
      <c r="EM58" s="610" t="s">
        <v>1707</v>
      </c>
      <c r="EN58" s="610" t="s">
        <v>1707</v>
      </c>
      <c r="EO58" s="610" t="s">
        <v>1707</v>
      </c>
      <c r="EP58" s="610" t="s">
        <v>1707</v>
      </c>
      <c r="EQ58" s="610" t="s">
        <v>1707</v>
      </c>
      <c r="ER58" s="610" t="s">
        <v>1707</v>
      </c>
      <c r="ES58" s="610" t="s">
        <v>1707</v>
      </c>
      <c r="ET58" s="610" t="s">
        <v>1707</v>
      </c>
      <c r="EU58" s="610">
        <v>4070</v>
      </c>
      <c r="EV58" s="610" t="s">
        <v>1707</v>
      </c>
      <c r="EW58" s="610" t="s">
        <v>1707</v>
      </c>
      <c r="EX58" s="610" t="s">
        <v>1707</v>
      </c>
      <c r="EY58" s="610" t="s">
        <v>1707</v>
      </c>
      <c r="EZ58" s="610" t="s">
        <v>1707</v>
      </c>
      <c r="FA58" s="610" t="s">
        <v>1707</v>
      </c>
      <c r="FB58" s="610" t="s">
        <v>1707</v>
      </c>
      <c r="FC58" s="610" t="s">
        <v>1707</v>
      </c>
      <c r="FD58" s="610" t="s">
        <v>1707</v>
      </c>
      <c r="FE58" s="610" t="s">
        <v>1707</v>
      </c>
      <c r="FF58" s="610" t="s">
        <v>1707</v>
      </c>
      <c r="FG58" s="610" t="s">
        <v>1707</v>
      </c>
      <c r="FH58" s="610">
        <v>37</v>
      </c>
      <c r="FI58" s="610">
        <v>37</v>
      </c>
      <c r="FJ58" s="610">
        <v>37</v>
      </c>
      <c r="FK58" s="610">
        <v>37</v>
      </c>
      <c r="FL58" s="610">
        <v>37</v>
      </c>
      <c r="FM58" s="610">
        <v>37</v>
      </c>
      <c r="FN58" s="610">
        <v>37</v>
      </c>
      <c r="FO58" s="610">
        <v>37</v>
      </c>
      <c r="FP58" s="610">
        <v>37</v>
      </c>
      <c r="FQ58" s="610">
        <v>37</v>
      </c>
      <c r="FR58" s="610" t="s">
        <v>2487</v>
      </c>
      <c r="FS58" s="610" t="s">
        <v>2487</v>
      </c>
      <c r="FT58" s="610" t="s">
        <v>2487</v>
      </c>
      <c r="FU58" s="610" t="s">
        <v>2487</v>
      </c>
      <c r="FV58" s="610" t="s">
        <v>2487</v>
      </c>
      <c r="FW58" s="610" t="s">
        <v>2487</v>
      </c>
      <c r="FX58" s="610" t="s">
        <v>2487</v>
      </c>
      <c r="FY58" s="610" t="s">
        <v>2487</v>
      </c>
      <c r="FZ58" s="610" t="s">
        <v>2487</v>
      </c>
      <c r="GA58" s="610" t="s">
        <v>2487</v>
      </c>
      <c r="GB58" s="610" t="s">
        <v>2487</v>
      </c>
      <c r="GC58" s="610" t="s">
        <v>2487</v>
      </c>
      <c r="GD58" s="564">
        <f t="shared" si="3"/>
        <v>79950</v>
      </c>
      <c r="GE58" s="564">
        <f t="shared" si="4"/>
        <v>79950</v>
      </c>
      <c r="GF58" s="564">
        <f t="shared" si="5"/>
        <v>79950</v>
      </c>
      <c r="GG58" s="564">
        <f t="shared" si="6"/>
        <v>79950</v>
      </c>
      <c r="GH58" s="564">
        <f t="shared" si="7"/>
        <v>79950</v>
      </c>
      <c r="GI58" s="564">
        <f t="shared" si="8"/>
        <v>79950</v>
      </c>
      <c r="GJ58" s="564">
        <f t="shared" si="9"/>
        <v>79950</v>
      </c>
      <c r="GK58" s="564">
        <f t="shared" si="10"/>
        <v>79950</v>
      </c>
      <c r="GL58" s="564">
        <f t="shared" si="11"/>
        <v>79950</v>
      </c>
      <c r="GM58" s="564">
        <f t="shared" si="12"/>
        <v>79950</v>
      </c>
      <c r="GN58" s="564">
        <f t="shared" si="13"/>
        <v>79950</v>
      </c>
      <c r="GO58" s="564">
        <f t="shared" si="14"/>
        <v>79950</v>
      </c>
      <c r="GP58" s="564"/>
      <c r="GS58" s="375" t="s">
        <v>1461</v>
      </c>
      <c r="GT58" s="374" t="str">
        <f t="shared" si="15"/>
        <v>〇</v>
      </c>
    </row>
    <row r="59" spans="2:202">
      <c r="B59" s="371">
        <v>55</v>
      </c>
      <c r="C59" s="378">
        <v>55</v>
      </c>
      <c r="D59" s="373" t="s">
        <v>1462</v>
      </c>
      <c r="E59" s="373" t="s">
        <v>14</v>
      </c>
      <c r="F59" s="603">
        <f t="shared" si="2"/>
        <v>30</v>
      </c>
      <c r="G59" s="603"/>
      <c r="H59" s="603">
        <v>17</v>
      </c>
      <c r="I59" s="603">
        <v>13</v>
      </c>
      <c r="J59" s="603"/>
      <c r="K59" s="603"/>
      <c r="L59" s="603"/>
      <c r="M59" s="603"/>
      <c r="N59" s="608"/>
      <c r="O59" s="603">
        <v>1577000</v>
      </c>
      <c r="P59" s="603">
        <v>2721000</v>
      </c>
      <c r="Q59" s="603">
        <v>0</v>
      </c>
      <c r="R59" s="603">
        <v>1188000</v>
      </c>
      <c r="S59" s="603">
        <v>0</v>
      </c>
      <c r="T59" s="603">
        <v>0</v>
      </c>
      <c r="U59" s="603">
        <v>0</v>
      </c>
      <c r="V59" s="603">
        <v>0</v>
      </c>
      <c r="W59" s="603">
        <v>0</v>
      </c>
      <c r="X59" s="603">
        <v>0</v>
      </c>
      <c r="Y59" s="603">
        <v>0</v>
      </c>
      <c r="Z59" s="603">
        <v>0</v>
      </c>
      <c r="AA59" s="603">
        <v>0</v>
      </c>
      <c r="AB59" s="603">
        <v>0</v>
      </c>
      <c r="AC59" s="603">
        <v>0</v>
      </c>
      <c r="AD59" s="603">
        <v>0</v>
      </c>
      <c r="AE59" s="603">
        <v>0</v>
      </c>
      <c r="AF59" s="603">
        <v>0</v>
      </c>
      <c r="AG59" s="603">
        <v>0</v>
      </c>
      <c r="AH59" s="603">
        <v>0</v>
      </c>
      <c r="AI59" s="603">
        <v>0</v>
      </c>
      <c r="AJ59" s="604" t="s">
        <v>2377</v>
      </c>
      <c r="AK59" s="605" t="s">
        <v>1545</v>
      </c>
      <c r="AL59" s="605" t="s">
        <v>1545</v>
      </c>
      <c r="AM59" s="606" t="s">
        <v>2055</v>
      </c>
      <c r="AN59" s="609" t="s">
        <v>12</v>
      </c>
      <c r="AO59" s="610" t="s">
        <v>1368</v>
      </c>
      <c r="AP59" s="610" t="s">
        <v>1368</v>
      </c>
      <c r="AQ59" s="610" t="s">
        <v>1368</v>
      </c>
      <c r="AR59" s="610" t="s">
        <v>1368</v>
      </c>
      <c r="AS59" s="610" t="s">
        <v>1368</v>
      </c>
      <c r="AT59" s="610" t="s">
        <v>1368</v>
      </c>
      <c r="AU59" s="610" t="s">
        <v>1368</v>
      </c>
      <c r="AV59" s="610" t="s">
        <v>1368</v>
      </c>
      <c r="AW59" s="610" t="s">
        <v>1368</v>
      </c>
      <c r="AX59" s="610" t="s">
        <v>1368</v>
      </c>
      <c r="AY59" s="610" t="s">
        <v>1368</v>
      </c>
      <c r="AZ59" s="610" t="s">
        <v>1368</v>
      </c>
      <c r="BA59" s="610" t="s">
        <v>1368</v>
      </c>
      <c r="BB59" s="610" t="s">
        <v>1368</v>
      </c>
      <c r="BC59" s="610" t="s">
        <v>1368</v>
      </c>
      <c r="BD59" s="610" t="s">
        <v>1368</v>
      </c>
      <c r="BE59" s="610" t="s">
        <v>1368</v>
      </c>
      <c r="BF59" s="610" t="s">
        <v>1368</v>
      </c>
      <c r="BG59" s="610" t="s">
        <v>1368</v>
      </c>
      <c r="BH59" s="610" t="s">
        <v>1368</v>
      </c>
      <c r="BI59" s="610" t="s">
        <v>1368</v>
      </c>
      <c r="BJ59" s="610" t="s">
        <v>1368</v>
      </c>
      <c r="BK59" s="610" t="s">
        <v>1368</v>
      </c>
      <c r="BL59" s="610" t="s">
        <v>1368</v>
      </c>
      <c r="BM59" s="610">
        <v>0</v>
      </c>
      <c r="BN59" s="610">
        <v>0</v>
      </c>
      <c r="BO59" s="610">
        <v>0</v>
      </c>
      <c r="BP59" s="610">
        <v>0</v>
      </c>
      <c r="BQ59" s="610">
        <v>0</v>
      </c>
      <c r="BR59" s="610">
        <v>0</v>
      </c>
      <c r="BS59" s="610">
        <v>0</v>
      </c>
      <c r="BT59" s="610">
        <v>0</v>
      </c>
      <c r="BU59" s="610">
        <v>0</v>
      </c>
      <c r="BV59" s="610">
        <v>0</v>
      </c>
      <c r="BW59" s="610">
        <v>0</v>
      </c>
      <c r="BX59" s="610">
        <v>0</v>
      </c>
      <c r="BY59" s="610">
        <v>0</v>
      </c>
      <c r="BZ59" s="610">
        <v>0</v>
      </c>
      <c r="CA59" s="610">
        <v>0</v>
      </c>
      <c r="CB59" s="610">
        <v>0</v>
      </c>
      <c r="CC59" s="610">
        <v>0</v>
      </c>
      <c r="CD59" s="610">
        <v>0</v>
      </c>
      <c r="CE59" s="610">
        <v>0</v>
      </c>
      <c r="CF59" s="610">
        <v>0</v>
      </c>
      <c r="CG59" s="610">
        <v>0</v>
      </c>
      <c r="CH59" s="610">
        <v>0</v>
      </c>
      <c r="CI59" s="610">
        <v>0</v>
      </c>
      <c r="CJ59" s="610">
        <v>0</v>
      </c>
      <c r="CK59" s="610">
        <v>0</v>
      </c>
      <c r="CL59" s="610">
        <v>0</v>
      </c>
      <c r="CM59" s="610">
        <v>0</v>
      </c>
      <c r="CN59" s="610">
        <v>0</v>
      </c>
      <c r="CO59" s="610">
        <v>0</v>
      </c>
      <c r="CP59" s="610">
        <v>0</v>
      </c>
      <c r="CQ59" s="610">
        <v>0</v>
      </c>
      <c r="CR59" s="610">
        <v>0</v>
      </c>
      <c r="CS59" s="610">
        <v>0</v>
      </c>
      <c r="CT59" s="610">
        <v>0</v>
      </c>
      <c r="CU59" s="610">
        <v>0</v>
      </c>
      <c r="CV59" s="610">
        <v>0</v>
      </c>
      <c r="CW59" s="610" t="s">
        <v>14</v>
      </c>
      <c r="CX59" s="610">
        <v>0</v>
      </c>
      <c r="CY59" s="610" t="s">
        <v>1707</v>
      </c>
      <c r="CZ59" s="610" t="s">
        <v>1707</v>
      </c>
      <c r="DA59" s="610" t="s">
        <v>1707</v>
      </c>
      <c r="DB59" s="610" t="s">
        <v>1707</v>
      </c>
      <c r="DC59" s="610" t="s">
        <v>1707</v>
      </c>
      <c r="DD59" s="610" t="s">
        <v>1707</v>
      </c>
      <c r="DE59" s="610" t="s">
        <v>1707</v>
      </c>
      <c r="DF59" s="610" t="s">
        <v>1707</v>
      </c>
      <c r="DG59" s="610" t="s">
        <v>1707</v>
      </c>
      <c r="DH59" s="610" t="s">
        <v>1707</v>
      </c>
      <c r="DI59" s="610" t="s">
        <v>1707</v>
      </c>
      <c r="DJ59" s="610" t="s">
        <v>1707</v>
      </c>
      <c r="DK59" s="610" t="s">
        <v>1368</v>
      </c>
      <c r="DL59" s="610" t="s">
        <v>1368</v>
      </c>
      <c r="DM59" s="610" t="s">
        <v>1368</v>
      </c>
      <c r="DN59" s="610" t="s">
        <v>1368</v>
      </c>
      <c r="DO59" s="610" t="s">
        <v>1368</v>
      </c>
      <c r="DP59" s="610" t="s">
        <v>1368</v>
      </c>
      <c r="DQ59" s="610" t="s">
        <v>1368</v>
      </c>
      <c r="DR59" s="610" t="s">
        <v>1368</v>
      </c>
      <c r="DS59" s="610" t="s">
        <v>1368</v>
      </c>
      <c r="DT59" s="610" t="s">
        <v>1368</v>
      </c>
      <c r="DU59" s="610" t="s">
        <v>1368</v>
      </c>
      <c r="DV59" s="610" t="s">
        <v>1368</v>
      </c>
      <c r="DW59" s="609" t="s">
        <v>1368</v>
      </c>
      <c r="DX59" s="609" t="s">
        <v>1368</v>
      </c>
      <c r="DY59" s="609" t="s">
        <v>1368</v>
      </c>
      <c r="DZ59" s="609" t="s">
        <v>1368</v>
      </c>
      <c r="EA59" s="609" t="s">
        <v>1368</v>
      </c>
      <c r="EB59" s="609" t="s">
        <v>1368</v>
      </c>
      <c r="EC59" s="609" t="s">
        <v>1368</v>
      </c>
      <c r="ED59" s="609" t="s">
        <v>1368</v>
      </c>
      <c r="EE59" s="609" t="s">
        <v>1368</v>
      </c>
      <c r="EF59" s="609" t="s">
        <v>1368</v>
      </c>
      <c r="EG59" s="609" t="s">
        <v>1368</v>
      </c>
      <c r="EH59" s="609" t="s">
        <v>1368</v>
      </c>
      <c r="EI59" s="610" t="s">
        <v>1707</v>
      </c>
      <c r="EJ59" s="610" t="s">
        <v>1707</v>
      </c>
      <c r="EK59" s="610" t="s">
        <v>1707</v>
      </c>
      <c r="EL59" s="610" t="s">
        <v>1707</v>
      </c>
      <c r="EM59" s="610" t="s">
        <v>1707</v>
      </c>
      <c r="EN59" s="610" t="s">
        <v>1707</v>
      </c>
      <c r="EO59" s="610" t="s">
        <v>1707</v>
      </c>
      <c r="EP59" s="610" t="s">
        <v>1707</v>
      </c>
      <c r="EQ59" s="610" t="s">
        <v>1707</v>
      </c>
      <c r="ER59" s="610" t="s">
        <v>1707</v>
      </c>
      <c r="ES59" s="610" t="s">
        <v>1707</v>
      </c>
      <c r="ET59" s="610" t="s">
        <v>1707</v>
      </c>
      <c r="EU59" s="610">
        <v>4010</v>
      </c>
      <c r="EV59" s="610" t="s">
        <v>1707</v>
      </c>
      <c r="EW59" s="610" t="s">
        <v>1707</v>
      </c>
      <c r="EX59" s="610" t="s">
        <v>1707</v>
      </c>
      <c r="EY59" s="610" t="s">
        <v>1707</v>
      </c>
      <c r="EZ59" s="610" t="s">
        <v>1707</v>
      </c>
      <c r="FA59" s="610" t="s">
        <v>1707</v>
      </c>
      <c r="FB59" s="610" t="s">
        <v>1707</v>
      </c>
      <c r="FC59" s="610" t="s">
        <v>1707</v>
      </c>
      <c r="FD59" s="610" t="s">
        <v>1707</v>
      </c>
      <c r="FE59" s="610" t="s">
        <v>1707</v>
      </c>
      <c r="FF59" s="610" t="s">
        <v>1707</v>
      </c>
      <c r="FG59" s="610" t="s">
        <v>1707</v>
      </c>
      <c r="FH59" s="610">
        <v>13</v>
      </c>
      <c r="FI59" s="610">
        <v>13</v>
      </c>
      <c r="FJ59" s="610">
        <v>13</v>
      </c>
      <c r="FK59" s="610">
        <v>13</v>
      </c>
      <c r="FL59" s="610">
        <v>13</v>
      </c>
      <c r="FM59" s="610">
        <v>13</v>
      </c>
      <c r="FN59" s="610">
        <v>13</v>
      </c>
      <c r="FO59" s="610">
        <v>13</v>
      </c>
      <c r="FP59" s="610">
        <v>13</v>
      </c>
      <c r="FQ59" s="610">
        <v>13</v>
      </c>
      <c r="FR59" s="610" t="s">
        <v>2487</v>
      </c>
      <c r="FS59" s="610" t="s">
        <v>2487</v>
      </c>
      <c r="FT59" s="610" t="s">
        <v>2487</v>
      </c>
      <c r="FU59" s="610" t="s">
        <v>2487</v>
      </c>
      <c r="FV59" s="610" t="s">
        <v>2487</v>
      </c>
      <c r="FW59" s="610" t="s">
        <v>2487</v>
      </c>
      <c r="FX59" s="610" t="s">
        <v>2487</v>
      </c>
      <c r="FY59" s="610" t="s">
        <v>2487</v>
      </c>
      <c r="FZ59" s="610" t="s">
        <v>2487</v>
      </c>
      <c r="GA59" s="610" t="s">
        <v>2487</v>
      </c>
      <c r="GB59" s="610" t="s">
        <v>2487</v>
      </c>
      <c r="GC59" s="610" t="s">
        <v>2487</v>
      </c>
      <c r="GD59" s="564">
        <f t="shared" si="3"/>
        <v>79950</v>
      </c>
      <c r="GE59" s="564">
        <f t="shared" si="4"/>
        <v>79950</v>
      </c>
      <c r="GF59" s="564">
        <f t="shared" si="5"/>
        <v>79950</v>
      </c>
      <c r="GG59" s="564">
        <f t="shared" si="6"/>
        <v>79950</v>
      </c>
      <c r="GH59" s="564">
        <f t="shared" si="7"/>
        <v>79950</v>
      </c>
      <c r="GI59" s="564">
        <f t="shared" si="8"/>
        <v>79950</v>
      </c>
      <c r="GJ59" s="564">
        <f t="shared" si="9"/>
        <v>79950</v>
      </c>
      <c r="GK59" s="564">
        <f t="shared" si="10"/>
        <v>79950</v>
      </c>
      <c r="GL59" s="564">
        <f t="shared" si="11"/>
        <v>79950</v>
      </c>
      <c r="GM59" s="564">
        <f t="shared" si="12"/>
        <v>79950</v>
      </c>
      <c r="GN59" s="564">
        <f t="shared" si="13"/>
        <v>79950</v>
      </c>
      <c r="GO59" s="564">
        <f t="shared" si="14"/>
        <v>79950</v>
      </c>
      <c r="GP59" s="564"/>
      <c r="GS59" s="375" t="s">
        <v>1462</v>
      </c>
      <c r="GT59" s="374" t="str">
        <f t="shared" si="15"/>
        <v>〇</v>
      </c>
    </row>
    <row r="60" spans="2:202">
      <c r="B60" s="371">
        <v>56</v>
      </c>
      <c r="C60" s="378">
        <v>56</v>
      </c>
      <c r="D60" s="373" t="s">
        <v>1463</v>
      </c>
      <c r="E60" s="373" t="s">
        <v>14</v>
      </c>
      <c r="F60" s="603">
        <f t="shared" si="2"/>
        <v>59</v>
      </c>
      <c r="G60" s="603"/>
      <c r="H60" s="603">
        <v>33</v>
      </c>
      <c r="I60" s="603">
        <v>26</v>
      </c>
      <c r="J60" s="603"/>
      <c r="K60" s="603"/>
      <c r="L60" s="603"/>
      <c r="M60" s="603"/>
      <c r="N60" s="608"/>
      <c r="O60" s="603">
        <v>1577000</v>
      </c>
      <c r="P60" s="603">
        <v>2721000</v>
      </c>
      <c r="Q60" s="603">
        <v>2721000</v>
      </c>
      <c r="R60" s="603">
        <v>1791000</v>
      </c>
      <c r="S60" s="603">
        <v>0</v>
      </c>
      <c r="T60" s="603">
        <v>2181000</v>
      </c>
      <c r="U60" s="603">
        <v>0</v>
      </c>
      <c r="V60" s="603">
        <v>1051000</v>
      </c>
      <c r="W60" s="603">
        <v>1814000</v>
      </c>
      <c r="X60" s="603">
        <v>1814000</v>
      </c>
      <c r="Y60" s="603">
        <v>1194000</v>
      </c>
      <c r="Z60" s="603">
        <v>0</v>
      </c>
      <c r="AA60" s="603">
        <v>1454000</v>
      </c>
      <c r="AB60" s="603">
        <v>0</v>
      </c>
      <c r="AC60" s="603">
        <v>526000</v>
      </c>
      <c r="AD60" s="603">
        <v>907000</v>
      </c>
      <c r="AE60" s="603">
        <v>907000</v>
      </c>
      <c r="AF60" s="603">
        <v>597000</v>
      </c>
      <c r="AG60" s="603">
        <v>0</v>
      </c>
      <c r="AH60" s="603">
        <v>727000</v>
      </c>
      <c r="AI60" s="603">
        <v>0</v>
      </c>
      <c r="AJ60" s="604" t="s">
        <v>2377</v>
      </c>
      <c r="AK60" s="605" t="s">
        <v>2378</v>
      </c>
      <c r="AL60" s="605" t="s">
        <v>2490</v>
      </c>
      <c r="AM60" s="606" t="s">
        <v>2056</v>
      </c>
      <c r="AN60" s="609" t="s">
        <v>12</v>
      </c>
      <c r="AO60" s="610" t="s">
        <v>1368</v>
      </c>
      <c r="AP60" s="610" t="s">
        <v>1368</v>
      </c>
      <c r="AQ60" s="610" t="s">
        <v>1368</v>
      </c>
      <c r="AR60" s="610" t="s">
        <v>1368</v>
      </c>
      <c r="AS60" s="610" t="s">
        <v>1368</v>
      </c>
      <c r="AT60" s="610" t="s">
        <v>1368</v>
      </c>
      <c r="AU60" s="610" t="s">
        <v>1368</v>
      </c>
      <c r="AV60" s="610" t="s">
        <v>1368</v>
      </c>
      <c r="AW60" s="610" t="s">
        <v>1368</v>
      </c>
      <c r="AX60" s="610" t="s">
        <v>1368</v>
      </c>
      <c r="AY60" s="610" t="s">
        <v>1368</v>
      </c>
      <c r="AZ60" s="610" t="s">
        <v>1368</v>
      </c>
      <c r="BA60" s="610" t="s">
        <v>1368</v>
      </c>
      <c r="BB60" s="610" t="s">
        <v>1368</v>
      </c>
      <c r="BC60" s="610" t="s">
        <v>1368</v>
      </c>
      <c r="BD60" s="610" t="s">
        <v>1368</v>
      </c>
      <c r="BE60" s="610" t="s">
        <v>1368</v>
      </c>
      <c r="BF60" s="610" t="s">
        <v>1368</v>
      </c>
      <c r="BG60" s="610" t="s">
        <v>1368</v>
      </c>
      <c r="BH60" s="610" t="s">
        <v>1368</v>
      </c>
      <c r="BI60" s="610" t="s">
        <v>1368</v>
      </c>
      <c r="BJ60" s="610" t="s">
        <v>1368</v>
      </c>
      <c r="BK60" s="610" t="s">
        <v>1368</v>
      </c>
      <c r="BL60" s="610" t="s">
        <v>1368</v>
      </c>
      <c r="BM60" s="610">
        <v>1</v>
      </c>
      <c r="BN60" s="610">
        <v>1</v>
      </c>
      <c r="BO60" s="610">
        <v>1</v>
      </c>
      <c r="BP60" s="610">
        <v>1</v>
      </c>
      <c r="BQ60" s="610">
        <v>1</v>
      </c>
      <c r="BR60" s="610">
        <v>1</v>
      </c>
      <c r="BS60" s="610">
        <v>1</v>
      </c>
      <c r="BT60" s="610">
        <v>1</v>
      </c>
      <c r="BU60" s="610">
        <v>1</v>
      </c>
      <c r="BV60" s="610">
        <v>1</v>
      </c>
      <c r="BW60" s="610">
        <v>1</v>
      </c>
      <c r="BX60" s="610">
        <v>1</v>
      </c>
      <c r="BY60" s="610">
        <v>0</v>
      </c>
      <c r="BZ60" s="610">
        <v>0</v>
      </c>
      <c r="CA60" s="610">
        <v>0</v>
      </c>
      <c r="CB60" s="610">
        <v>0</v>
      </c>
      <c r="CC60" s="610">
        <v>0</v>
      </c>
      <c r="CD60" s="610">
        <v>0</v>
      </c>
      <c r="CE60" s="610">
        <v>0</v>
      </c>
      <c r="CF60" s="610">
        <v>0</v>
      </c>
      <c r="CG60" s="610">
        <v>0</v>
      </c>
      <c r="CH60" s="610">
        <v>0</v>
      </c>
      <c r="CI60" s="610">
        <v>0</v>
      </c>
      <c r="CJ60" s="610">
        <v>0</v>
      </c>
      <c r="CK60" s="610">
        <v>0</v>
      </c>
      <c r="CL60" s="610">
        <v>0</v>
      </c>
      <c r="CM60" s="610">
        <v>0</v>
      </c>
      <c r="CN60" s="610">
        <v>0</v>
      </c>
      <c r="CO60" s="610">
        <v>0</v>
      </c>
      <c r="CP60" s="610">
        <v>0</v>
      </c>
      <c r="CQ60" s="610">
        <v>0</v>
      </c>
      <c r="CR60" s="610">
        <v>0</v>
      </c>
      <c r="CS60" s="610">
        <v>0</v>
      </c>
      <c r="CT60" s="610">
        <v>0</v>
      </c>
      <c r="CU60" s="610">
        <v>0</v>
      </c>
      <c r="CV60" s="610">
        <v>0</v>
      </c>
      <c r="CW60" s="610" t="s">
        <v>14</v>
      </c>
      <c r="CX60" s="610">
        <v>0</v>
      </c>
      <c r="CY60" s="610" t="s">
        <v>1707</v>
      </c>
      <c r="CZ60" s="610" t="s">
        <v>1707</v>
      </c>
      <c r="DA60" s="610" t="s">
        <v>1707</v>
      </c>
      <c r="DB60" s="610" t="s">
        <v>1707</v>
      </c>
      <c r="DC60" s="610" t="s">
        <v>1707</v>
      </c>
      <c r="DD60" s="610" t="s">
        <v>1707</v>
      </c>
      <c r="DE60" s="610" t="s">
        <v>1707</v>
      </c>
      <c r="DF60" s="610" t="s">
        <v>1707</v>
      </c>
      <c r="DG60" s="610" t="s">
        <v>1707</v>
      </c>
      <c r="DH60" s="610" t="s">
        <v>1707</v>
      </c>
      <c r="DI60" s="610" t="s">
        <v>1707</v>
      </c>
      <c r="DJ60" s="610" t="s">
        <v>1707</v>
      </c>
      <c r="DK60" s="610" t="s">
        <v>20</v>
      </c>
      <c r="DL60" s="610" t="s">
        <v>20</v>
      </c>
      <c r="DM60" s="610" t="s">
        <v>20</v>
      </c>
      <c r="DN60" s="610" t="s">
        <v>20</v>
      </c>
      <c r="DO60" s="610" t="s">
        <v>20</v>
      </c>
      <c r="DP60" s="610" t="s">
        <v>20</v>
      </c>
      <c r="DQ60" s="610" t="s">
        <v>20</v>
      </c>
      <c r="DR60" s="610" t="s">
        <v>20</v>
      </c>
      <c r="DS60" s="610" t="s">
        <v>20</v>
      </c>
      <c r="DT60" s="610" t="s">
        <v>20</v>
      </c>
      <c r="DU60" s="610" t="s">
        <v>20</v>
      </c>
      <c r="DV60" s="610" t="s">
        <v>20</v>
      </c>
      <c r="DW60" s="609" t="s">
        <v>1368</v>
      </c>
      <c r="DX60" s="609" t="s">
        <v>1368</v>
      </c>
      <c r="DY60" s="609" t="s">
        <v>1368</v>
      </c>
      <c r="DZ60" s="609" t="s">
        <v>1368</v>
      </c>
      <c r="EA60" s="609" t="s">
        <v>1368</v>
      </c>
      <c r="EB60" s="609" t="s">
        <v>1368</v>
      </c>
      <c r="EC60" s="609" t="s">
        <v>1368</v>
      </c>
      <c r="ED60" s="609" t="s">
        <v>1368</v>
      </c>
      <c r="EE60" s="609" t="s">
        <v>1368</v>
      </c>
      <c r="EF60" s="609" t="s">
        <v>1368</v>
      </c>
      <c r="EG60" s="609" t="s">
        <v>1368</v>
      </c>
      <c r="EH60" s="609" t="s">
        <v>1368</v>
      </c>
      <c r="EI60" s="610" t="s">
        <v>1707</v>
      </c>
      <c r="EJ60" s="610" t="s">
        <v>1707</v>
      </c>
      <c r="EK60" s="610" t="s">
        <v>1707</v>
      </c>
      <c r="EL60" s="610" t="s">
        <v>1707</v>
      </c>
      <c r="EM60" s="610" t="s">
        <v>1707</v>
      </c>
      <c r="EN60" s="610" t="s">
        <v>1707</v>
      </c>
      <c r="EO60" s="610" t="s">
        <v>1707</v>
      </c>
      <c r="EP60" s="610" t="s">
        <v>1707</v>
      </c>
      <c r="EQ60" s="610" t="s">
        <v>1707</v>
      </c>
      <c r="ER60" s="610" t="s">
        <v>1707</v>
      </c>
      <c r="ES60" s="610" t="s">
        <v>1707</v>
      </c>
      <c r="ET60" s="610" t="s">
        <v>1707</v>
      </c>
      <c r="EU60" s="610">
        <v>4070</v>
      </c>
      <c r="EV60" s="610" t="s">
        <v>2449</v>
      </c>
      <c r="EW60" s="610" t="s">
        <v>2449</v>
      </c>
      <c r="EX60" s="610" t="s">
        <v>2449</v>
      </c>
      <c r="EY60" s="610" t="s">
        <v>2449</v>
      </c>
      <c r="EZ60" s="610" t="s">
        <v>2449</v>
      </c>
      <c r="FA60" s="610" t="s">
        <v>2449</v>
      </c>
      <c r="FB60" s="610" t="s">
        <v>2449</v>
      </c>
      <c r="FC60" s="610" t="s">
        <v>2449</v>
      </c>
      <c r="FD60" s="610" t="s">
        <v>2449</v>
      </c>
      <c r="FE60" s="610" t="s">
        <v>2449</v>
      </c>
      <c r="FF60" s="610" t="s">
        <v>2449</v>
      </c>
      <c r="FG60" s="610" t="s">
        <v>2449</v>
      </c>
      <c r="FH60" s="610">
        <v>24</v>
      </c>
      <c r="FI60" s="610">
        <v>24</v>
      </c>
      <c r="FJ60" s="610">
        <v>24</v>
      </c>
      <c r="FK60" s="610">
        <v>23</v>
      </c>
      <c r="FL60" s="610">
        <v>23</v>
      </c>
      <c r="FM60" s="610">
        <v>23</v>
      </c>
      <c r="FN60" s="610">
        <v>23</v>
      </c>
      <c r="FO60" s="610">
        <v>23</v>
      </c>
      <c r="FP60" s="610">
        <v>22</v>
      </c>
      <c r="FQ60" s="610">
        <v>22</v>
      </c>
      <c r="FR60" s="610" t="s">
        <v>2487</v>
      </c>
      <c r="FS60" s="610" t="s">
        <v>2487</v>
      </c>
      <c r="FT60" s="610" t="s">
        <v>1368</v>
      </c>
      <c r="FU60" s="610" t="s">
        <v>2487</v>
      </c>
      <c r="FV60" s="610" t="s">
        <v>2487</v>
      </c>
      <c r="FW60" s="610" t="s">
        <v>2487</v>
      </c>
      <c r="FX60" s="610" t="s">
        <v>2487</v>
      </c>
      <c r="FY60" s="610" t="s">
        <v>2487</v>
      </c>
      <c r="FZ60" s="610" t="s">
        <v>2487</v>
      </c>
      <c r="GA60" s="610" t="s">
        <v>2487</v>
      </c>
      <c r="GB60" s="610" t="s">
        <v>2487</v>
      </c>
      <c r="GC60" s="610" t="s">
        <v>2487</v>
      </c>
      <c r="GD60" s="564">
        <f t="shared" si="3"/>
        <v>79950</v>
      </c>
      <c r="GE60" s="564">
        <f t="shared" si="4"/>
        <v>79950</v>
      </c>
      <c r="GF60" s="564" t="str">
        <f t="shared" si="5"/>
        <v/>
      </c>
      <c r="GG60" s="564">
        <f t="shared" si="6"/>
        <v>79950</v>
      </c>
      <c r="GH60" s="564">
        <f t="shared" si="7"/>
        <v>79950</v>
      </c>
      <c r="GI60" s="564">
        <f t="shared" si="8"/>
        <v>79950</v>
      </c>
      <c r="GJ60" s="564">
        <f t="shared" si="9"/>
        <v>79950</v>
      </c>
      <c r="GK60" s="564">
        <f t="shared" si="10"/>
        <v>79950</v>
      </c>
      <c r="GL60" s="564">
        <f t="shared" si="11"/>
        <v>79950</v>
      </c>
      <c r="GM60" s="564">
        <f t="shared" si="12"/>
        <v>79950</v>
      </c>
      <c r="GN60" s="564">
        <f t="shared" si="13"/>
        <v>79950</v>
      </c>
      <c r="GO60" s="564">
        <f t="shared" si="14"/>
        <v>79950</v>
      </c>
      <c r="GP60" s="564"/>
      <c r="GS60" s="375" t="s">
        <v>1463</v>
      </c>
      <c r="GT60" s="374" t="str">
        <f t="shared" si="15"/>
        <v>〇</v>
      </c>
    </row>
    <row r="61" spans="2:202">
      <c r="B61" s="371">
        <v>57</v>
      </c>
      <c r="C61" s="378">
        <v>57</v>
      </c>
      <c r="D61" s="373" t="s">
        <v>1464</v>
      </c>
      <c r="E61" s="373" t="s">
        <v>14</v>
      </c>
      <c r="F61" s="603">
        <f t="shared" si="2"/>
        <v>59</v>
      </c>
      <c r="G61" s="603"/>
      <c r="H61" s="603">
        <v>33</v>
      </c>
      <c r="I61" s="603">
        <v>26</v>
      </c>
      <c r="J61" s="603"/>
      <c r="K61" s="603"/>
      <c r="L61" s="603"/>
      <c r="M61" s="603"/>
      <c r="N61" s="608"/>
      <c r="O61" s="603">
        <v>1577000</v>
      </c>
      <c r="P61" s="603">
        <v>2721000</v>
      </c>
      <c r="Q61" s="603">
        <v>2721000</v>
      </c>
      <c r="R61" s="603">
        <v>1791000</v>
      </c>
      <c r="S61" s="603">
        <v>0</v>
      </c>
      <c r="T61" s="603">
        <v>2181000</v>
      </c>
      <c r="U61" s="603">
        <v>0</v>
      </c>
      <c r="V61" s="603">
        <v>1051000</v>
      </c>
      <c r="W61" s="603">
        <v>1814000</v>
      </c>
      <c r="X61" s="603">
        <v>1814000</v>
      </c>
      <c r="Y61" s="603">
        <v>1194000</v>
      </c>
      <c r="Z61" s="603">
        <v>0</v>
      </c>
      <c r="AA61" s="603">
        <v>1454000</v>
      </c>
      <c r="AB61" s="603">
        <v>0</v>
      </c>
      <c r="AC61" s="603">
        <v>0</v>
      </c>
      <c r="AD61" s="603">
        <v>0</v>
      </c>
      <c r="AE61" s="603">
        <v>0</v>
      </c>
      <c r="AF61" s="603">
        <v>0</v>
      </c>
      <c r="AG61" s="603">
        <v>0</v>
      </c>
      <c r="AH61" s="603">
        <v>0</v>
      </c>
      <c r="AI61" s="603">
        <v>0</v>
      </c>
      <c r="AJ61" s="604" t="s">
        <v>2377</v>
      </c>
      <c r="AK61" s="605" t="s">
        <v>2378</v>
      </c>
      <c r="AL61" s="605" t="s">
        <v>1545</v>
      </c>
      <c r="AM61" s="606" t="s">
        <v>2057</v>
      </c>
      <c r="AN61" s="609" t="s">
        <v>12</v>
      </c>
      <c r="AO61" s="610" t="s">
        <v>1368</v>
      </c>
      <c r="AP61" s="610" t="s">
        <v>1368</v>
      </c>
      <c r="AQ61" s="610" t="s">
        <v>1368</v>
      </c>
      <c r="AR61" s="610" t="s">
        <v>1368</v>
      </c>
      <c r="AS61" s="610" t="s">
        <v>1368</v>
      </c>
      <c r="AT61" s="610" t="s">
        <v>1368</v>
      </c>
      <c r="AU61" s="610" t="s">
        <v>1368</v>
      </c>
      <c r="AV61" s="610" t="s">
        <v>1368</v>
      </c>
      <c r="AW61" s="610" t="s">
        <v>1368</v>
      </c>
      <c r="AX61" s="610" t="s">
        <v>1368</v>
      </c>
      <c r="AY61" s="610" t="s">
        <v>1368</v>
      </c>
      <c r="AZ61" s="610" t="s">
        <v>1368</v>
      </c>
      <c r="BA61" s="610" t="s">
        <v>1368</v>
      </c>
      <c r="BB61" s="610" t="s">
        <v>1368</v>
      </c>
      <c r="BC61" s="610" t="s">
        <v>1368</v>
      </c>
      <c r="BD61" s="610" t="s">
        <v>1368</v>
      </c>
      <c r="BE61" s="610" t="s">
        <v>1368</v>
      </c>
      <c r="BF61" s="610" t="s">
        <v>1368</v>
      </c>
      <c r="BG61" s="610" t="s">
        <v>1368</v>
      </c>
      <c r="BH61" s="610" t="s">
        <v>1368</v>
      </c>
      <c r="BI61" s="610" t="s">
        <v>1368</v>
      </c>
      <c r="BJ61" s="610" t="s">
        <v>1368</v>
      </c>
      <c r="BK61" s="610" t="s">
        <v>1368</v>
      </c>
      <c r="BL61" s="610" t="s">
        <v>1368</v>
      </c>
      <c r="BM61" s="610">
        <v>1</v>
      </c>
      <c r="BN61" s="610">
        <v>1</v>
      </c>
      <c r="BO61" s="610">
        <v>1</v>
      </c>
      <c r="BP61" s="610">
        <v>1</v>
      </c>
      <c r="BQ61" s="610">
        <v>1</v>
      </c>
      <c r="BR61" s="610">
        <v>1</v>
      </c>
      <c r="BS61" s="610">
        <v>1</v>
      </c>
      <c r="BT61" s="610">
        <v>1</v>
      </c>
      <c r="BU61" s="610">
        <v>1</v>
      </c>
      <c r="BV61" s="610">
        <v>1</v>
      </c>
      <c r="BW61" s="610">
        <v>1</v>
      </c>
      <c r="BX61" s="610">
        <v>1</v>
      </c>
      <c r="BY61" s="610">
        <v>0</v>
      </c>
      <c r="BZ61" s="610">
        <v>0</v>
      </c>
      <c r="CA61" s="610">
        <v>0</v>
      </c>
      <c r="CB61" s="610">
        <v>0</v>
      </c>
      <c r="CC61" s="610">
        <v>0</v>
      </c>
      <c r="CD61" s="610">
        <v>0</v>
      </c>
      <c r="CE61" s="610">
        <v>0</v>
      </c>
      <c r="CF61" s="610">
        <v>0</v>
      </c>
      <c r="CG61" s="610">
        <v>0</v>
      </c>
      <c r="CH61" s="610">
        <v>0</v>
      </c>
      <c r="CI61" s="610">
        <v>0</v>
      </c>
      <c r="CJ61" s="610">
        <v>0</v>
      </c>
      <c r="CK61" s="610">
        <v>0</v>
      </c>
      <c r="CL61" s="610">
        <v>0</v>
      </c>
      <c r="CM61" s="610">
        <v>0</v>
      </c>
      <c r="CN61" s="610">
        <v>0</v>
      </c>
      <c r="CO61" s="610">
        <v>0</v>
      </c>
      <c r="CP61" s="610">
        <v>0</v>
      </c>
      <c r="CQ61" s="610">
        <v>0</v>
      </c>
      <c r="CR61" s="610">
        <v>0</v>
      </c>
      <c r="CS61" s="610">
        <v>0</v>
      </c>
      <c r="CT61" s="610">
        <v>0</v>
      </c>
      <c r="CU61" s="610">
        <v>0</v>
      </c>
      <c r="CV61" s="610">
        <v>0</v>
      </c>
      <c r="CW61" s="610" t="s">
        <v>14</v>
      </c>
      <c r="CX61" s="610">
        <v>0</v>
      </c>
      <c r="CY61" s="610" t="s">
        <v>1707</v>
      </c>
      <c r="CZ61" s="610" t="s">
        <v>1707</v>
      </c>
      <c r="DA61" s="610" t="s">
        <v>1707</v>
      </c>
      <c r="DB61" s="610" t="s">
        <v>1707</v>
      </c>
      <c r="DC61" s="610" t="s">
        <v>1707</v>
      </c>
      <c r="DD61" s="610" t="s">
        <v>1707</v>
      </c>
      <c r="DE61" s="610" t="s">
        <v>1707</v>
      </c>
      <c r="DF61" s="610" t="s">
        <v>1707</v>
      </c>
      <c r="DG61" s="610" t="s">
        <v>1707</v>
      </c>
      <c r="DH61" s="610" t="s">
        <v>1707</v>
      </c>
      <c r="DI61" s="610" t="s">
        <v>1707</v>
      </c>
      <c r="DJ61" s="610" t="s">
        <v>1707</v>
      </c>
      <c r="DK61" s="610" t="s">
        <v>1368</v>
      </c>
      <c r="DL61" s="610" t="s">
        <v>1368</v>
      </c>
      <c r="DM61" s="610" t="s">
        <v>1368</v>
      </c>
      <c r="DN61" s="610" t="s">
        <v>1368</v>
      </c>
      <c r="DO61" s="610" t="s">
        <v>1368</v>
      </c>
      <c r="DP61" s="610" t="s">
        <v>1368</v>
      </c>
      <c r="DQ61" s="610" t="s">
        <v>1368</v>
      </c>
      <c r="DR61" s="610" t="s">
        <v>1368</v>
      </c>
      <c r="DS61" s="610" t="s">
        <v>1368</v>
      </c>
      <c r="DT61" s="610" t="s">
        <v>1368</v>
      </c>
      <c r="DU61" s="610" t="s">
        <v>1368</v>
      </c>
      <c r="DV61" s="610" t="s">
        <v>1368</v>
      </c>
      <c r="DW61" s="609" t="s">
        <v>1368</v>
      </c>
      <c r="DX61" s="609" t="s">
        <v>1368</v>
      </c>
      <c r="DY61" s="609" t="s">
        <v>1368</v>
      </c>
      <c r="DZ61" s="609" t="s">
        <v>1368</v>
      </c>
      <c r="EA61" s="609" t="s">
        <v>1368</v>
      </c>
      <c r="EB61" s="609" t="s">
        <v>1368</v>
      </c>
      <c r="EC61" s="609" t="s">
        <v>1368</v>
      </c>
      <c r="ED61" s="609" t="s">
        <v>1368</v>
      </c>
      <c r="EE61" s="609" t="s">
        <v>1368</v>
      </c>
      <c r="EF61" s="609" t="s">
        <v>1368</v>
      </c>
      <c r="EG61" s="609" t="s">
        <v>1368</v>
      </c>
      <c r="EH61" s="609" t="s">
        <v>1368</v>
      </c>
      <c r="EI61" s="610" t="s">
        <v>1707</v>
      </c>
      <c r="EJ61" s="610" t="s">
        <v>1707</v>
      </c>
      <c r="EK61" s="610" t="s">
        <v>1707</v>
      </c>
      <c r="EL61" s="610" t="s">
        <v>1707</v>
      </c>
      <c r="EM61" s="610" t="s">
        <v>1707</v>
      </c>
      <c r="EN61" s="610" t="s">
        <v>1707</v>
      </c>
      <c r="EO61" s="610" t="s">
        <v>1707</v>
      </c>
      <c r="EP61" s="610" t="s">
        <v>1707</v>
      </c>
      <c r="EQ61" s="610" t="s">
        <v>1707</v>
      </c>
      <c r="ER61" s="610" t="s">
        <v>1707</v>
      </c>
      <c r="ES61" s="610" t="s">
        <v>1707</v>
      </c>
      <c r="ET61" s="610" t="s">
        <v>1707</v>
      </c>
      <c r="EU61" s="610">
        <v>3950</v>
      </c>
      <c r="EV61" s="610" t="s">
        <v>1707</v>
      </c>
      <c r="EW61" s="610" t="s">
        <v>1707</v>
      </c>
      <c r="EX61" s="610" t="s">
        <v>1707</v>
      </c>
      <c r="EY61" s="610" t="s">
        <v>1707</v>
      </c>
      <c r="EZ61" s="610" t="s">
        <v>1707</v>
      </c>
      <c r="FA61" s="610" t="s">
        <v>1707</v>
      </c>
      <c r="FB61" s="610" t="s">
        <v>1707</v>
      </c>
      <c r="FC61" s="610" t="s">
        <v>1707</v>
      </c>
      <c r="FD61" s="610" t="s">
        <v>1707</v>
      </c>
      <c r="FE61" s="610" t="s">
        <v>1707</v>
      </c>
      <c r="FF61" s="610" t="s">
        <v>1707</v>
      </c>
      <c r="FG61" s="610" t="s">
        <v>1707</v>
      </c>
      <c r="FH61" s="610">
        <v>24</v>
      </c>
      <c r="FI61" s="610">
        <v>24</v>
      </c>
      <c r="FJ61" s="610">
        <v>24</v>
      </c>
      <c r="FK61" s="610">
        <v>24</v>
      </c>
      <c r="FL61" s="610">
        <v>24</v>
      </c>
      <c r="FM61" s="610">
        <v>24</v>
      </c>
      <c r="FN61" s="610">
        <v>23</v>
      </c>
      <c r="FO61" s="610">
        <v>23</v>
      </c>
      <c r="FP61" s="610">
        <v>23</v>
      </c>
      <c r="FQ61" s="610">
        <v>23</v>
      </c>
      <c r="FR61" s="610" t="s">
        <v>2487</v>
      </c>
      <c r="FS61" s="610" t="s">
        <v>2487</v>
      </c>
      <c r="FT61" s="610" t="s">
        <v>2487</v>
      </c>
      <c r="FU61" s="610" t="s">
        <v>2487</v>
      </c>
      <c r="FV61" s="610" t="s">
        <v>2487</v>
      </c>
      <c r="FW61" s="610" t="s">
        <v>2487</v>
      </c>
      <c r="FX61" s="610" t="s">
        <v>2487</v>
      </c>
      <c r="FY61" s="610" t="s">
        <v>2487</v>
      </c>
      <c r="FZ61" s="610" t="s">
        <v>2487</v>
      </c>
      <c r="GA61" s="610" t="s">
        <v>2487</v>
      </c>
      <c r="GB61" s="610" t="s">
        <v>2487</v>
      </c>
      <c r="GC61" s="610" t="s">
        <v>2487</v>
      </c>
      <c r="GD61" s="564">
        <f t="shared" si="3"/>
        <v>79950</v>
      </c>
      <c r="GE61" s="564">
        <f t="shared" si="4"/>
        <v>79950</v>
      </c>
      <c r="GF61" s="564">
        <f t="shared" si="5"/>
        <v>79950</v>
      </c>
      <c r="GG61" s="564">
        <f t="shared" si="6"/>
        <v>79950</v>
      </c>
      <c r="GH61" s="564">
        <f t="shared" si="7"/>
        <v>79950</v>
      </c>
      <c r="GI61" s="564">
        <f t="shared" si="8"/>
        <v>79950</v>
      </c>
      <c r="GJ61" s="564">
        <f t="shared" si="9"/>
        <v>79950</v>
      </c>
      <c r="GK61" s="564">
        <f t="shared" si="10"/>
        <v>79950</v>
      </c>
      <c r="GL61" s="564">
        <f t="shared" si="11"/>
        <v>79950</v>
      </c>
      <c r="GM61" s="564">
        <f t="shared" si="12"/>
        <v>79950</v>
      </c>
      <c r="GN61" s="564">
        <f t="shared" si="13"/>
        <v>79950</v>
      </c>
      <c r="GO61" s="564">
        <f t="shared" si="14"/>
        <v>79950</v>
      </c>
      <c r="GP61" s="564"/>
      <c r="GS61" s="375" t="s">
        <v>1464</v>
      </c>
      <c r="GT61" s="374" t="str">
        <f t="shared" si="15"/>
        <v>〇</v>
      </c>
    </row>
    <row r="62" spans="2:202">
      <c r="B62" s="371">
        <v>58</v>
      </c>
      <c r="C62" s="378">
        <v>58</v>
      </c>
      <c r="D62" s="373" t="s">
        <v>556</v>
      </c>
      <c r="E62" s="373" t="s">
        <v>14</v>
      </c>
      <c r="F62" s="603">
        <f t="shared" si="2"/>
        <v>59</v>
      </c>
      <c r="G62" s="603"/>
      <c r="H62" s="603">
        <v>30</v>
      </c>
      <c r="I62" s="603">
        <v>29</v>
      </c>
      <c r="J62" s="603"/>
      <c r="K62" s="603"/>
      <c r="L62" s="603"/>
      <c r="M62" s="603"/>
      <c r="N62" s="608"/>
      <c r="O62" s="603">
        <v>1577000</v>
      </c>
      <c r="P62" s="603">
        <v>0</v>
      </c>
      <c r="Q62" s="603">
        <v>0</v>
      </c>
      <c r="R62" s="603">
        <v>0</v>
      </c>
      <c r="S62" s="603">
        <v>0</v>
      </c>
      <c r="T62" s="603">
        <v>0</v>
      </c>
      <c r="U62" s="603">
        <v>0</v>
      </c>
      <c r="V62" s="603">
        <v>1051000</v>
      </c>
      <c r="W62" s="603">
        <v>0</v>
      </c>
      <c r="X62" s="603">
        <v>0</v>
      </c>
      <c r="Y62" s="603">
        <v>0</v>
      </c>
      <c r="Z62" s="603">
        <v>0</v>
      </c>
      <c r="AA62" s="603">
        <v>0</v>
      </c>
      <c r="AB62" s="603">
        <v>0</v>
      </c>
      <c r="AC62" s="603">
        <v>0</v>
      </c>
      <c r="AD62" s="603">
        <v>0</v>
      </c>
      <c r="AE62" s="603">
        <v>0</v>
      </c>
      <c r="AF62" s="603">
        <v>0</v>
      </c>
      <c r="AG62" s="603">
        <v>0</v>
      </c>
      <c r="AH62" s="603">
        <v>0</v>
      </c>
      <c r="AI62" s="603">
        <v>0</v>
      </c>
      <c r="AJ62" s="604" t="s">
        <v>2377</v>
      </c>
      <c r="AK62" s="605" t="s">
        <v>2378</v>
      </c>
      <c r="AL62" s="605" t="s">
        <v>1545</v>
      </c>
      <c r="AM62" s="606" t="s">
        <v>2058</v>
      </c>
      <c r="AN62" s="609" t="s">
        <v>12</v>
      </c>
      <c r="AO62" s="610" t="s">
        <v>1368</v>
      </c>
      <c r="AP62" s="610" t="s">
        <v>1368</v>
      </c>
      <c r="AQ62" s="610" t="s">
        <v>1368</v>
      </c>
      <c r="AR62" s="610" t="s">
        <v>1368</v>
      </c>
      <c r="AS62" s="610" t="s">
        <v>1368</v>
      </c>
      <c r="AT62" s="610" t="s">
        <v>1368</v>
      </c>
      <c r="AU62" s="610" t="s">
        <v>1368</v>
      </c>
      <c r="AV62" s="610" t="s">
        <v>1368</v>
      </c>
      <c r="AW62" s="610" t="s">
        <v>1368</v>
      </c>
      <c r="AX62" s="610" t="s">
        <v>1368</v>
      </c>
      <c r="AY62" s="610" t="s">
        <v>1368</v>
      </c>
      <c r="AZ62" s="610" t="s">
        <v>1368</v>
      </c>
      <c r="BA62" s="610" t="s">
        <v>1368</v>
      </c>
      <c r="BB62" s="610" t="s">
        <v>1368</v>
      </c>
      <c r="BC62" s="610" t="s">
        <v>1368</v>
      </c>
      <c r="BD62" s="610" t="s">
        <v>1368</v>
      </c>
      <c r="BE62" s="610" t="s">
        <v>1368</v>
      </c>
      <c r="BF62" s="610" t="s">
        <v>1368</v>
      </c>
      <c r="BG62" s="610" t="s">
        <v>1368</v>
      </c>
      <c r="BH62" s="610" t="s">
        <v>1368</v>
      </c>
      <c r="BI62" s="610" t="s">
        <v>1368</v>
      </c>
      <c r="BJ62" s="610" t="s">
        <v>1368</v>
      </c>
      <c r="BK62" s="610" t="s">
        <v>1368</v>
      </c>
      <c r="BL62" s="610" t="s">
        <v>1368</v>
      </c>
      <c r="BM62" s="610">
        <v>1</v>
      </c>
      <c r="BN62" s="610">
        <v>1</v>
      </c>
      <c r="BO62" s="610">
        <v>1</v>
      </c>
      <c r="BP62" s="610">
        <v>1</v>
      </c>
      <c r="BQ62" s="610">
        <v>1</v>
      </c>
      <c r="BR62" s="610">
        <v>1</v>
      </c>
      <c r="BS62" s="610">
        <v>1</v>
      </c>
      <c r="BT62" s="610">
        <v>1</v>
      </c>
      <c r="BU62" s="610">
        <v>1</v>
      </c>
      <c r="BV62" s="610">
        <v>1</v>
      </c>
      <c r="BW62" s="610">
        <v>1</v>
      </c>
      <c r="BX62" s="610">
        <v>1</v>
      </c>
      <c r="BY62" s="610">
        <v>0</v>
      </c>
      <c r="BZ62" s="610">
        <v>0</v>
      </c>
      <c r="CA62" s="610">
        <v>0</v>
      </c>
      <c r="CB62" s="610">
        <v>0</v>
      </c>
      <c r="CC62" s="610">
        <v>0</v>
      </c>
      <c r="CD62" s="610">
        <v>0</v>
      </c>
      <c r="CE62" s="610">
        <v>0</v>
      </c>
      <c r="CF62" s="610">
        <v>0</v>
      </c>
      <c r="CG62" s="610">
        <v>0</v>
      </c>
      <c r="CH62" s="610">
        <v>0</v>
      </c>
      <c r="CI62" s="610">
        <v>0</v>
      </c>
      <c r="CJ62" s="610">
        <v>0</v>
      </c>
      <c r="CK62" s="610">
        <v>0</v>
      </c>
      <c r="CL62" s="610">
        <v>0</v>
      </c>
      <c r="CM62" s="610">
        <v>0</v>
      </c>
      <c r="CN62" s="610">
        <v>0</v>
      </c>
      <c r="CO62" s="610">
        <v>0</v>
      </c>
      <c r="CP62" s="610">
        <v>0</v>
      </c>
      <c r="CQ62" s="610">
        <v>0</v>
      </c>
      <c r="CR62" s="610">
        <v>0</v>
      </c>
      <c r="CS62" s="610">
        <v>0</v>
      </c>
      <c r="CT62" s="610">
        <v>0</v>
      </c>
      <c r="CU62" s="610">
        <v>0</v>
      </c>
      <c r="CV62" s="610">
        <v>0</v>
      </c>
      <c r="CW62" s="610" t="s">
        <v>14</v>
      </c>
      <c r="CX62" s="610">
        <v>0</v>
      </c>
      <c r="CY62" s="610" t="s">
        <v>1707</v>
      </c>
      <c r="CZ62" s="610" t="s">
        <v>1707</v>
      </c>
      <c r="DA62" s="610" t="s">
        <v>1707</v>
      </c>
      <c r="DB62" s="610" t="s">
        <v>1707</v>
      </c>
      <c r="DC62" s="610" t="s">
        <v>1707</v>
      </c>
      <c r="DD62" s="610" t="s">
        <v>1707</v>
      </c>
      <c r="DE62" s="610" t="s">
        <v>1707</v>
      </c>
      <c r="DF62" s="610" t="s">
        <v>1707</v>
      </c>
      <c r="DG62" s="610" t="s">
        <v>1707</v>
      </c>
      <c r="DH62" s="610" t="s">
        <v>1707</v>
      </c>
      <c r="DI62" s="610" t="s">
        <v>1707</v>
      </c>
      <c r="DJ62" s="610" t="s">
        <v>1707</v>
      </c>
      <c r="DK62" s="610" t="s">
        <v>1368</v>
      </c>
      <c r="DL62" s="610" t="s">
        <v>1368</v>
      </c>
      <c r="DM62" s="610" t="s">
        <v>1368</v>
      </c>
      <c r="DN62" s="610" t="s">
        <v>1368</v>
      </c>
      <c r="DO62" s="610" t="s">
        <v>1368</v>
      </c>
      <c r="DP62" s="610" t="s">
        <v>1368</v>
      </c>
      <c r="DQ62" s="610" t="s">
        <v>1368</v>
      </c>
      <c r="DR62" s="610" t="s">
        <v>1368</v>
      </c>
      <c r="DS62" s="610" t="s">
        <v>1368</v>
      </c>
      <c r="DT62" s="610" t="s">
        <v>1368</v>
      </c>
      <c r="DU62" s="610" t="s">
        <v>1368</v>
      </c>
      <c r="DV62" s="610" t="s">
        <v>1368</v>
      </c>
      <c r="DW62" s="609" t="s">
        <v>1368</v>
      </c>
      <c r="DX62" s="609" t="s">
        <v>1368</v>
      </c>
      <c r="DY62" s="609" t="s">
        <v>1368</v>
      </c>
      <c r="DZ62" s="609" t="s">
        <v>1368</v>
      </c>
      <c r="EA62" s="609" t="s">
        <v>1368</v>
      </c>
      <c r="EB62" s="609" t="s">
        <v>1368</v>
      </c>
      <c r="EC62" s="609" t="s">
        <v>1368</v>
      </c>
      <c r="ED62" s="609" t="s">
        <v>1368</v>
      </c>
      <c r="EE62" s="609" t="s">
        <v>1368</v>
      </c>
      <c r="EF62" s="609" t="s">
        <v>1368</v>
      </c>
      <c r="EG62" s="609" t="s">
        <v>1368</v>
      </c>
      <c r="EH62" s="609" t="s">
        <v>1368</v>
      </c>
      <c r="EI62" s="610" t="s">
        <v>1707</v>
      </c>
      <c r="EJ62" s="610" t="s">
        <v>1707</v>
      </c>
      <c r="EK62" s="610" t="s">
        <v>1707</v>
      </c>
      <c r="EL62" s="610" t="s">
        <v>1707</v>
      </c>
      <c r="EM62" s="610" t="s">
        <v>1707</v>
      </c>
      <c r="EN62" s="610" t="s">
        <v>1707</v>
      </c>
      <c r="EO62" s="610" t="s">
        <v>1707</v>
      </c>
      <c r="EP62" s="610" t="s">
        <v>1707</v>
      </c>
      <c r="EQ62" s="610" t="s">
        <v>1707</v>
      </c>
      <c r="ER62" s="610" t="s">
        <v>1707</v>
      </c>
      <c r="ES62" s="610" t="s">
        <v>1707</v>
      </c>
      <c r="ET62" s="610" t="s">
        <v>1707</v>
      </c>
      <c r="EU62" s="610">
        <v>4040</v>
      </c>
      <c r="EV62" s="610" t="s">
        <v>1707</v>
      </c>
      <c r="EW62" s="610" t="s">
        <v>1707</v>
      </c>
      <c r="EX62" s="610" t="s">
        <v>1707</v>
      </c>
      <c r="EY62" s="610" t="s">
        <v>1707</v>
      </c>
      <c r="EZ62" s="610" t="s">
        <v>1707</v>
      </c>
      <c r="FA62" s="610" t="s">
        <v>1707</v>
      </c>
      <c r="FB62" s="610" t="s">
        <v>1707</v>
      </c>
      <c r="FC62" s="610" t="s">
        <v>1707</v>
      </c>
      <c r="FD62" s="610" t="s">
        <v>1707</v>
      </c>
      <c r="FE62" s="610" t="s">
        <v>1707</v>
      </c>
      <c r="FF62" s="610" t="s">
        <v>1707</v>
      </c>
      <c r="FG62" s="610" t="s">
        <v>1707</v>
      </c>
      <c r="FH62" s="610">
        <v>25</v>
      </c>
      <c r="FI62" s="610">
        <v>25</v>
      </c>
      <c r="FJ62" s="610">
        <v>25</v>
      </c>
      <c r="FK62" s="610">
        <v>25</v>
      </c>
      <c r="FL62" s="610">
        <v>25</v>
      </c>
      <c r="FM62" s="610">
        <v>25</v>
      </c>
      <c r="FN62" s="610">
        <v>25</v>
      </c>
      <c r="FO62" s="610">
        <v>25</v>
      </c>
      <c r="FP62" s="610">
        <v>25</v>
      </c>
      <c r="FQ62" s="610">
        <v>25</v>
      </c>
      <c r="FR62" s="610" t="s">
        <v>1368</v>
      </c>
      <c r="FS62" s="610" t="s">
        <v>1368</v>
      </c>
      <c r="FT62" s="610" t="s">
        <v>1368</v>
      </c>
      <c r="FU62" s="610" t="s">
        <v>1368</v>
      </c>
      <c r="FV62" s="610" t="s">
        <v>1368</v>
      </c>
      <c r="FW62" s="610" t="s">
        <v>1368</v>
      </c>
      <c r="FX62" s="610" t="s">
        <v>1368</v>
      </c>
      <c r="FY62" s="610" t="s">
        <v>1368</v>
      </c>
      <c r="FZ62" s="610" t="s">
        <v>1368</v>
      </c>
      <c r="GA62" s="610" t="s">
        <v>1368</v>
      </c>
      <c r="GB62" s="610" t="s">
        <v>1368</v>
      </c>
      <c r="GC62" s="610" t="s">
        <v>1368</v>
      </c>
      <c r="GD62" s="564" t="str">
        <f t="shared" si="3"/>
        <v/>
      </c>
      <c r="GE62" s="564" t="str">
        <f t="shared" si="4"/>
        <v/>
      </c>
      <c r="GF62" s="564" t="str">
        <f t="shared" si="5"/>
        <v/>
      </c>
      <c r="GG62" s="564" t="str">
        <f t="shared" si="6"/>
        <v/>
      </c>
      <c r="GH62" s="564" t="str">
        <f t="shared" si="7"/>
        <v/>
      </c>
      <c r="GI62" s="564" t="str">
        <f t="shared" si="8"/>
        <v/>
      </c>
      <c r="GJ62" s="564" t="str">
        <f t="shared" si="9"/>
        <v/>
      </c>
      <c r="GK62" s="564" t="str">
        <f t="shared" si="10"/>
        <v/>
      </c>
      <c r="GL62" s="564" t="str">
        <f t="shared" si="11"/>
        <v/>
      </c>
      <c r="GM62" s="564" t="str">
        <f t="shared" si="12"/>
        <v/>
      </c>
      <c r="GN62" s="564" t="str">
        <f t="shared" si="13"/>
        <v/>
      </c>
      <c r="GO62" s="564" t="str">
        <f t="shared" si="14"/>
        <v/>
      </c>
      <c r="GP62" s="564"/>
      <c r="GS62" s="375" t="s">
        <v>556</v>
      </c>
      <c r="GT62" s="374" t="str">
        <f t="shared" si="15"/>
        <v>〇</v>
      </c>
    </row>
    <row r="63" spans="2:202">
      <c r="B63" s="371">
        <v>59</v>
      </c>
      <c r="C63" s="378">
        <v>59</v>
      </c>
      <c r="D63" s="373" t="s">
        <v>1465</v>
      </c>
      <c r="E63" s="373" t="s">
        <v>14</v>
      </c>
      <c r="F63" s="603">
        <f t="shared" si="2"/>
        <v>40</v>
      </c>
      <c r="G63" s="603"/>
      <c r="H63" s="603">
        <v>23</v>
      </c>
      <c r="I63" s="603">
        <v>17</v>
      </c>
      <c r="J63" s="603"/>
      <c r="K63" s="603"/>
      <c r="L63" s="603"/>
      <c r="M63" s="603"/>
      <c r="N63" s="608"/>
      <c r="O63" s="603">
        <v>1577000</v>
      </c>
      <c r="P63" s="603">
        <v>2721000</v>
      </c>
      <c r="Q63" s="603">
        <v>2721000</v>
      </c>
      <c r="R63" s="603">
        <v>1791000</v>
      </c>
      <c r="S63" s="603">
        <v>0</v>
      </c>
      <c r="T63" s="603">
        <v>2181000</v>
      </c>
      <c r="U63" s="603">
        <v>0</v>
      </c>
      <c r="V63" s="603">
        <v>1051000</v>
      </c>
      <c r="W63" s="603">
        <v>1814000</v>
      </c>
      <c r="X63" s="603">
        <v>1814000</v>
      </c>
      <c r="Y63" s="603">
        <v>1194000</v>
      </c>
      <c r="Z63" s="603">
        <v>0</v>
      </c>
      <c r="AA63" s="603">
        <v>1454000</v>
      </c>
      <c r="AB63" s="603">
        <v>0</v>
      </c>
      <c r="AC63" s="603">
        <v>526000</v>
      </c>
      <c r="AD63" s="603">
        <v>907000</v>
      </c>
      <c r="AE63" s="603">
        <v>907000</v>
      </c>
      <c r="AF63" s="603">
        <v>597000</v>
      </c>
      <c r="AG63" s="603">
        <v>0</v>
      </c>
      <c r="AH63" s="603">
        <v>727000</v>
      </c>
      <c r="AI63" s="603">
        <v>0</v>
      </c>
      <c r="AJ63" s="604" t="s">
        <v>2377</v>
      </c>
      <c r="AK63" s="605" t="s">
        <v>2378</v>
      </c>
      <c r="AL63" s="605" t="s">
        <v>2490</v>
      </c>
      <c r="AM63" s="606" t="s">
        <v>2059</v>
      </c>
      <c r="AN63" s="609" t="s">
        <v>12</v>
      </c>
      <c r="AO63" s="610" t="s">
        <v>1368</v>
      </c>
      <c r="AP63" s="610" t="s">
        <v>1368</v>
      </c>
      <c r="AQ63" s="610" t="s">
        <v>1368</v>
      </c>
      <c r="AR63" s="610" t="s">
        <v>1368</v>
      </c>
      <c r="AS63" s="610" t="s">
        <v>1368</v>
      </c>
      <c r="AT63" s="610" t="s">
        <v>1368</v>
      </c>
      <c r="AU63" s="610" t="s">
        <v>1368</v>
      </c>
      <c r="AV63" s="610" t="s">
        <v>1368</v>
      </c>
      <c r="AW63" s="610" t="s">
        <v>1368</v>
      </c>
      <c r="AX63" s="610" t="s">
        <v>1368</v>
      </c>
      <c r="AY63" s="610" t="s">
        <v>1368</v>
      </c>
      <c r="AZ63" s="610" t="s">
        <v>1368</v>
      </c>
      <c r="BA63" s="610" t="s">
        <v>1368</v>
      </c>
      <c r="BB63" s="610" t="s">
        <v>1368</v>
      </c>
      <c r="BC63" s="610" t="s">
        <v>1368</v>
      </c>
      <c r="BD63" s="610" t="s">
        <v>1368</v>
      </c>
      <c r="BE63" s="610" t="s">
        <v>1368</v>
      </c>
      <c r="BF63" s="610" t="s">
        <v>1368</v>
      </c>
      <c r="BG63" s="610" t="s">
        <v>1368</v>
      </c>
      <c r="BH63" s="610" t="s">
        <v>1368</v>
      </c>
      <c r="BI63" s="610" t="s">
        <v>1368</v>
      </c>
      <c r="BJ63" s="610" t="s">
        <v>1368</v>
      </c>
      <c r="BK63" s="610" t="s">
        <v>1368</v>
      </c>
      <c r="BL63" s="610" t="s">
        <v>1368</v>
      </c>
      <c r="BM63" s="610">
        <v>1</v>
      </c>
      <c r="BN63" s="610">
        <v>1</v>
      </c>
      <c r="BO63" s="610">
        <v>1</v>
      </c>
      <c r="BP63" s="610">
        <v>1</v>
      </c>
      <c r="BQ63" s="610">
        <v>1</v>
      </c>
      <c r="BR63" s="610">
        <v>1</v>
      </c>
      <c r="BS63" s="610">
        <v>1</v>
      </c>
      <c r="BT63" s="610">
        <v>1</v>
      </c>
      <c r="BU63" s="610">
        <v>1</v>
      </c>
      <c r="BV63" s="610">
        <v>1</v>
      </c>
      <c r="BW63" s="610">
        <v>1</v>
      </c>
      <c r="BX63" s="610">
        <v>1</v>
      </c>
      <c r="BY63" s="610">
        <v>0</v>
      </c>
      <c r="BZ63" s="610">
        <v>0</v>
      </c>
      <c r="CA63" s="610">
        <v>0</v>
      </c>
      <c r="CB63" s="610">
        <v>0</v>
      </c>
      <c r="CC63" s="610">
        <v>0</v>
      </c>
      <c r="CD63" s="610">
        <v>0</v>
      </c>
      <c r="CE63" s="610">
        <v>0</v>
      </c>
      <c r="CF63" s="610">
        <v>0</v>
      </c>
      <c r="CG63" s="610">
        <v>0</v>
      </c>
      <c r="CH63" s="610">
        <v>0</v>
      </c>
      <c r="CI63" s="610">
        <v>0</v>
      </c>
      <c r="CJ63" s="610">
        <v>0</v>
      </c>
      <c r="CK63" s="610">
        <v>0</v>
      </c>
      <c r="CL63" s="610">
        <v>0</v>
      </c>
      <c r="CM63" s="610">
        <v>0</v>
      </c>
      <c r="CN63" s="610">
        <v>0</v>
      </c>
      <c r="CO63" s="610">
        <v>0</v>
      </c>
      <c r="CP63" s="610">
        <v>0</v>
      </c>
      <c r="CQ63" s="610">
        <v>0</v>
      </c>
      <c r="CR63" s="610">
        <v>0</v>
      </c>
      <c r="CS63" s="610">
        <v>0</v>
      </c>
      <c r="CT63" s="610">
        <v>0</v>
      </c>
      <c r="CU63" s="610">
        <v>0</v>
      </c>
      <c r="CV63" s="610">
        <v>0</v>
      </c>
      <c r="CW63" s="610" t="s">
        <v>14</v>
      </c>
      <c r="CX63" s="610">
        <v>0</v>
      </c>
      <c r="CY63" s="610" t="s">
        <v>1707</v>
      </c>
      <c r="CZ63" s="610" t="s">
        <v>1707</v>
      </c>
      <c r="DA63" s="610" t="s">
        <v>1707</v>
      </c>
      <c r="DB63" s="610" t="s">
        <v>1707</v>
      </c>
      <c r="DC63" s="610" t="s">
        <v>1707</v>
      </c>
      <c r="DD63" s="610" t="s">
        <v>1707</v>
      </c>
      <c r="DE63" s="610" t="s">
        <v>1707</v>
      </c>
      <c r="DF63" s="610" t="s">
        <v>1707</v>
      </c>
      <c r="DG63" s="610" t="s">
        <v>1707</v>
      </c>
      <c r="DH63" s="610" t="s">
        <v>1707</v>
      </c>
      <c r="DI63" s="610" t="s">
        <v>1707</v>
      </c>
      <c r="DJ63" s="610" t="s">
        <v>1707</v>
      </c>
      <c r="DK63" s="610" t="s">
        <v>1368</v>
      </c>
      <c r="DL63" s="610" t="s">
        <v>1368</v>
      </c>
      <c r="DM63" s="610" t="s">
        <v>1368</v>
      </c>
      <c r="DN63" s="610" t="s">
        <v>1368</v>
      </c>
      <c r="DO63" s="610" t="s">
        <v>1368</v>
      </c>
      <c r="DP63" s="610" t="s">
        <v>1368</v>
      </c>
      <c r="DQ63" s="610" t="s">
        <v>1368</v>
      </c>
      <c r="DR63" s="610" t="s">
        <v>1368</v>
      </c>
      <c r="DS63" s="610" t="s">
        <v>1368</v>
      </c>
      <c r="DT63" s="610" t="s">
        <v>1368</v>
      </c>
      <c r="DU63" s="610" t="s">
        <v>1368</v>
      </c>
      <c r="DV63" s="610" t="s">
        <v>1368</v>
      </c>
      <c r="DW63" s="609" t="s">
        <v>1368</v>
      </c>
      <c r="DX63" s="609" t="s">
        <v>1368</v>
      </c>
      <c r="DY63" s="609" t="s">
        <v>1368</v>
      </c>
      <c r="DZ63" s="609" t="s">
        <v>1368</v>
      </c>
      <c r="EA63" s="609" t="s">
        <v>1368</v>
      </c>
      <c r="EB63" s="609" t="s">
        <v>1368</v>
      </c>
      <c r="EC63" s="609" t="s">
        <v>1368</v>
      </c>
      <c r="ED63" s="609" t="s">
        <v>1368</v>
      </c>
      <c r="EE63" s="609" t="s">
        <v>1368</v>
      </c>
      <c r="EF63" s="609" t="s">
        <v>1368</v>
      </c>
      <c r="EG63" s="609" t="s">
        <v>1368</v>
      </c>
      <c r="EH63" s="609" t="s">
        <v>1368</v>
      </c>
      <c r="EI63" s="610" t="s">
        <v>1707</v>
      </c>
      <c r="EJ63" s="610" t="s">
        <v>1707</v>
      </c>
      <c r="EK63" s="610" t="s">
        <v>1707</v>
      </c>
      <c r="EL63" s="610" t="s">
        <v>1707</v>
      </c>
      <c r="EM63" s="610" t="s">
        <v>1707</v>
      </c>
      <c r="EN63" s="610" t="s">
        <v>1707</v>
      </c>
      <c r="EO63" s="610" t="s">
        <v>1707</v>
      </c>
      <c r="EP63" s="610" t="s">
        <v>1707</v>
      </c>
      <c r="EQ63" s="610" t="s">
        <v>1707</v>
      </c>
      <c r="ER63" s="610" t="s">
        <v>1707</v>
      </c>
      <c r="ES63" s="610" t="s">
        <v>1707</v>
      </c>
      <c r="ET63" s="610" t="s">
        <v>1707</v>
      </c>
      <c r="EU63" s="610">
        <v>4040</v>
      </c>
      <c r="EV63" s="610" t="s">
        <v>1707</v>
      </c>
      <c r="EW63" s="610" t="s">
        <v>1707</v>
      </c>
      <c r="EX63" s="610" t="s">
        <v>1707</v>
      </c>
      <c r="EY63" s="610" t="s">
        <v>1707</v>
      </c>
      <c r="EZ63" s="610" t="s">
        <v>1707</v>
      </c>
      <c r="FA63" s="610" t="s">
        <v>1707</v>
      </c>
      <c r="FB63" s="610" t="s">
        <v>1707</v>
      </c>
      <c r="FC63" s="610" t="s">
        <v>1707</v>
      </c>
      <c r="FD63" s="610" t="s">
        <v>1707</v>
      </c>
      <c r="FE63" s="610" t="s">
        <v>1707</v>
      </c>
      <c r="FF63" s="610" t="s">
        <v>1707</v>
      </c>
      <c r="FG63" s="610" t="s">
        <v>1707</v>
      </c>
      <c r="FH63" s="610">
        <v>16</v>
      </c>
      <c r="FI63" s="610">
        <v>16</v>
      </c>
      <c r="FJ63" s="610">
        <v>16</v>
      </c>
      <c r="FK63" s="610">
        <v>16</v>
      </c>
      <c r="FL63" s="610">
        <v>16</v>
      </c>
      <c r="FM63" s="610">
        <v>16</v>
      </c>
      <c r="FN63" s="610">
        <v>16</v>
      </c>
      <c r="FO63" s="610">
        <v>16</v>
      </c>
      <c r="FP63" s="610">
        <v>16</v>
      </c>
      <c r="FQ63" s="610">
        <v>16</v>
      </c>
      <c r="FR63" s="610" t="s">
        <v>2488</v>
      </c>
      <c r="FS63" s="610" t="s">
        <v>2488</v>
      </c>
      <c r="FT63" s="610" t="s">
        <v>2488</v>
      </c>
      <c r="FU63" s="610" t="s">
        <v>2488</v>
      </c>
      <c r="FV63" s="610" t="s">
        <v>2488</v>
      </c>
      <c r="FW63" s="610" t="s">
        <v>2488</v>
      </c>
      <c r="FX63" s="610" t="s">
        <v>2488</v>
      </c>
      <c r="FY63" s="610" t="s">
        <v>2488</v>
      </c>
      <c r="FZ63" s="610" t="s">
        <v>2488</v>
      </c>
      <c r="GA63" s="610" t="s">
        <v>2488</v>
      </c>
      <c r="GB63" s="610" t="s">
        <v>2488</v>
      </c>
      <c r="GC63" s="610" t="s">
        <v>2488</v>
      </c>
      <c r="GD63" s="564" t="str">
        <f t="shared" si="3"/>
        <v/>
      </c>
      <c r="GE63" s="564" t="str">
        <f t="shared" si="4"/>
        <v/>
      </c>
      <c r="GF63" s="564" t="str">
        <f t="shared" si="5"/>
        <v/>
      </c>
      <c r="GG63" s="564" t="str">
        <f t="shared" si="6"/>
        <v/>
      </c>
      <c r="GH63" s="564" t="str">
        <f t="shared" si="7"/>
        <v/>
      </c>
      <c r="GI63" s="564" t="str">
        <f t="shared" si="8"/>
        <v/>
      </c>
      <c r="GJ63" s="564" t="str">
        <f t="shared" si="9"/>
        <v/>
      </c>
      <c r="GK63" s="564" t="str">
        <f t="shared" si="10"/>
        <v/>
      </c>
      <c r="GL63" s="564" t="str">
        <f t="shared" si="11"/>
        <v/>
      </c>
      <c r="GM63" s="564" t="str">
        <f t="shared" si="12"/>
        <v/>
      </c>
      <c r="GN63" s="564" t="str">
        <f t="shared" si="13"/>
        <v/>
      </c>
      <c r="GO63" s="564" t="str">
        <f t="shared" si="14"/>
        <v/>
      </c>
      <c r="GP63" s="564"/>
      <c r="GS63" s="375" t="s">
        <v>1465</v>
      </c>
      <c r="GT63" s="374" t="str">
        <f t="shared" si="15"/>
        <v>〇</v>
      </c>
    </row>
    <row r="64" spans="2:202">
      <c r="B64" s="371">
        <v>60</v>
      </c>
      <c r="C64" s="378">
        <v>60</v>
      </c>
      <c r="D64" s="373" t="s">
        <v>1466</v>
      </c>
      <c r="E64" s="373" t="s">
        <v>14</v>
      </c>
      <c r="F64" s="603">
        <f t="shared" si="2"/>
        <v>48</v>
      </c>
      <c r="G64" s="603"/>
      <c r="H64" s="603">
        <v>24</v>
      </c>
      <c r="I64" s="603">
        <v>24</v>
      </c>
      <c r="J64" s="603"/>
      <c r="K64" s="603"/>
      <c r="L64" s="603"/>
      <c r="M64" s="603"/>
      <c r="N64" s="608"/>
      <c r="O64" s="603">
        <v>1577000</v>
      </c>
      <c r="P64" s="603">
        <v>2721000</v>
      </c>
      <c r="Q64" s="603">
        <v>2721000</v>
      </c>
      <c r="R64" s="603">
        <v>1791000</v>
      </c>
      <c r="S64" s="603">
        <v>0</v>
      </c>
      <c r="T64" s="603">
        <v>2181000</v>
      </c>
      <c r="U64" s="603">
        <v>0</v>
      </c>
      <c r="V64" s="603">
        <v>1051000</v>
      </c>
      <c r="W64" s="603">
        <v>1814000</v>
      </c>
      <c r="X64" s="603">
        <v>1814000</v>
      </c>
      <c r="Y64" s="603">
        <v>1194000</v>
      </c>
      <c r="Z64" s="603">
        <v>0</v>
      </c>
      <c r="AA64" s="603">
        <v>1454000</v>
      </c>
      <c r="AB64" s="603">
        <v>0</v>
      </c>
      <c r="AC64" s="603">
        <v>0</v>
      </c>
      <c r="AD64" s="603">
        <v>0</v>
      </c>
      <c r="AE64" s="603">
        <v>0</v>
      </c>
      <c r="AF64" s="603">
        <v>0</v>
      </c>
      <c r="AG64" s="603">
        <v>0</v>
      </c>
      <c r="AH64" s="603">
        <v>0</v>
      </c>
      <c r="AI64" s="603">
        <v>0</v>
      </c>
      <c r="AJ64" s="604" t="s">
        <v>2377</v>
      </c>
      <c r="AK64" s="605" t="s">
        <v>2378</v>
      </c>
      <c r="AL64" s="605" t="s">
        <v>1545</v>
      </c>
      <c r="AM64" s="606" t="s">
        <v>2060</v>
      </c>
      <c r="AN64" s="609" t="s">
        <v>12</v>
      </c>
      <c r="AO64" s="610" t="s">
        <v>1368</v>
      </c>
      <c r="AP64" s="610" t="s">
        <v>1368</v>
      </c>
      <c r="AQ64" s="610" t="s">
        <v>1368</v>
      </c>
      <c r="AR64" s="610" t="s">
        <v>1368</v>
      </c>
      <c r="AS64" s="610" t="s">
        <v>1368</v>
      </c>
      <c r="AT64" s="610" t="s">
        <v>1368</v>
      </c>
      <c r="AU64" s="610" t="s">
        <v>1368</v>
      </c>
      <c r="AV64" s="610" t="s">
        <v>1368</v>
      </c>
      <c r="AW64" s="610" t="s">
        <v>1368</v>
      </c>
      <c r="AX64" s="610" t="s">
        <v>1368</v>
      </c>
      <c r="AY64" s="610" t="s">
        <v>1368</v>
      </c>
      <c r="AZ64" s="610" t="s">
        <v>1368</v>
      </c>
      <c r="BA64" s="610" t="s">
        <v>1368</v>
      </c>
      <c r="BB64" s="610" t="s">
        <v>1368</v>
      </c>
      <c r="BC64" s="610" t="s">
        <v>1368</v>
      </c>
      <c r="BD64" s="610" t="s">
        <v>1368</v>
      </c>
      <c r="BE64" s="610" t="s">
        <v>1368</v>
      </c>
      <c r="BF64" s="610" t="s">
        <v>1368</v>
      </c>
      <c r="BG64" s="610" t="s">
        <v>1368</v>
      </c>
      <c r="BH64" s="610" t="s">
        <v>1368</v>
      </c>
      <c r="BI64" s="610" t="s">
        <v>1368</v>
      </c>
      <c r="BJ64" s="610" t="s">
        <v>1368</v>
      </c>
      <c r="BK64" s="610" t="s">
        <v>1368</v>
      </c>
      <c r="BL64" s="610" t="s">
        <v>1368</v>
      </c>
      <c r="BM64" s="610">
        <v>1</v>
      </c>
      <c r="BN64" s="610">
        <v>1</v>
      </c>
      <c r="BO64" s="610">
        <v>1</v>
      </c>
      <c r="BP64" s="610">
        <v>1</v>
      </c>
      <c r="BQ64" s="610">
        <v>1</v>
      </c>
      <c r="BR64" s="610">
        <v>1</v>
      </c>
      <c r="BS64" s="610">
        <v>1</v>
      </c>
      <c r="BT64" s="610">
        <v>1</v>
      </c>
      <c r="BU64" s="610">
        <v>1</v>
      </c>
      <c r="BV64" s="610">
        <v>1</v>
      </c>
      <c r="BW64" s="610">
        <v>1</v>
      </c>
      <c r="BX64" s="610">
        <v>1</v>
      </c>
      <c r="BY64" s="610">
        <v>0</v>
      </c>
      <c r="BZ64" s="610">
        <v>0</v>
      </c>
      <c r="CA64" s="610">
        <v>0</v>
      </c>
      <c r="CB64" s="610">
        <v>0</v>
      </c>
      <c r="CC64" s="610">
        <v>0</v>
      </c>
      <c r="CD64" s="610">
        <v>0</v>
      </c>
      <c r="CE64" s="610">
        <v>0</v>
      </c>
      <c r="CF64" s="610">
        <v>0</v>
      </c>
      <c r="CG64" s="610">
        <v>0</v>
      </c>
      <c r="CH64" s="610">
        <v>0</v>
      </c>
      <c r="CI64" s="610">
        <v>0</v>
      </c>
      <c r="CJ64" s="610">
        <v>0</v>
      </c>
      <c r="CK64" s="610">
        <v>0</v>
      </c>
      <c r="CL64" s="610">
        <v>0</v>
      </c>
      <c r="CM64" s="610">
        <v>0</v>
      </c>
      <c r="CN64" s="610">
        <v>0</v>
      </c>
      <c r="CO64" s="610">
        <v>0</v>
      </c>
      <c r="CP64" s="610">
        <v>0</v>
      </c>
      <c r="CQ64" s="610">
        <v>0</v>
      </c>
      <c r="CR64" s="610">
        <v>0</v>
      </c>
      <c r="CS64" s="610">
        <v>0</v>
      </c>
      <c r="CT64" s="610">
        <v>0</v>
      </c>
      <c r="CU64" s="610">
        <v>0</v>
      </c>
      <c r="CV64" s="610">
        <v>0</v>
      </c>
      <c r="CW64" s="610" t="s">
        <v>14</v>
      </c>
      <c r="CX64" s="610">
        <v>0</v>
      </c>
      <c r="CY64" s="610" t="s">
        <v>1707</v>
      </c>
      <c r="CZ64" s="610" t="s">
        <v>1707</v>
      </c>
      <c r="DA64" s="610" t="s">
        <v>1707</v>
      </c>
      <c r="DB64" s="610" t="s">
        <v>1707</v>
      </c>
      <c r="DC64" s="610" t="s">
        <v>1707</v>
      </c>
      <c r="DD64" s="610" t="s">
        <v>1707</v>
      </c>
      <c r="DE64" s="610" t="s">
        <v>1707</v>
      </c>
      <c r="DF64" s="610" t="s">
        <v>1707</v>
      </c>
      <c r="DG64" s="610" t="s">
        <v>1707</v>
      </c>
      <c r="DH64" s="610" t="s">
        <v>1707</v>
      </c>
      <c r="DI64" s="610" t="s">
        <v>1707</v>
      </c>
      <c r="DJ64" s="610" t="s">
        <v>1707</v>
      </c>
      <c r="DK64" s="610" t="s">
        <v>1368</v>
      </c>
      <c r="DL64" s="610" t="s">
        <v>1368</v>
      </c>
      <c r="DM64" s="610" t="s">
        <v>1368</v>
      </c>
      <c r="DN64" s="610" t="s">
        <v>1368</v>
      </c>
      <c r="DO64" s="610" t="s">
        <v>1368</v>
      </c>
      <c r="DP64" s="610" t="s">
        <v>1368</v>
      </c>
      <c r="DQ64" s="610" t="s">
        <v>1368</v>
      </c>
      <c r="DR64" s="610" t="s">
        <v>1368</v>
      </c>
      <c r="DS64" s="610" t="s">
        <v>1368</v>
      </c>
      <c r="DT64" s="610" t="s">
        <v>1368</v>
      </c>
      <c r="DU64" s="610" t="s">
        <v>1368</v>
      </c>
      <c r="DV64" s="610" t="s">
        <v>1368</v>
      </c>
      <c r="DW64" s="609" t="s">
        <v>1368</v>
      </c>
      <c r="DX64" s="609" t="s">
        <v>1368</v>
      </c>
      <c r="DY64" s="609" t="s">
        <v>1368</v>
      </c>
      <c r="DZ64" s="609" t="s">
        <v>1368</v>
      </c>
      <c r="EA64" s="609" t="s">
        <v>1368</v>
      </c>
      <c r="EB64" s="609" t="s">
        <v>1368</v>
      </c>
      <c r="EC64" s="609" t="s">
        <v>1368</v>
      </c>
      <c r="ED64" s="609" t="s">
        <v>1368</v>
      </c>
      <c r="EE64" s="609" t="s">
        <v>1368</v>
      </c>
      <c r="EF64" s="609" t="s">
        <v>1368</v>
      </c>
      <c r="EG64" s="609" t="s">
        <v>1368</v>
      </c>
      <c r="EH64" s="609" t="s">
        <v>1368</v>
      </c>
      <c r="EI64" s="610" t="s">
        <v>1707</v>
      </c>
      <c r="EJ64" s="610" t="s">
        <v>1707</v>
      </c>
      <c r="EK64" s="610" t="s">
        <v>1707</v>
      </c>
      <c r="EL64" s="610" t="s">
        <v>1707</v>
      </c>
      <c r="EM64" s="610" t="s">
        <v>1707</v>
      </c>
      <c r="EN64" s="610" t="s">
        <v>1707</v>
      </c>
      <c r="EO64" s="610" t="s">
        <v>1707</v>
      </c>
      <c r="EP64" s="610" t="s">
        <v>1707</v>
      </c>
      <c r="EQ64" s="610" t="s">
        <v>1707</v>
      </c>
      <c r="ER64" s="610" t="s">
        <v>1707</v>
      </c>
      <c r="ES64" s="610" t="s">
        <v>1707</v>
      </c>
      <c r="ET64" s="610" t="s">
        <v>1707</v>
      </c>
      <c r="EU64" s="610">
        <v>3920</v>
      </c>
      <c r="EV64" s="610" t="s">
        <v>1707</v>
      </c>
      <c r="EW64" s="610" t="s">
        <v>1707</v>
      </c>
      <c r="EX64" s="610" t="s">
        <v>1707</v>
      </c>
      <c r="EY64" s="610" t="s">
        <v>1707</v>
      </c>
      <c r="EZ64" s="610" t="s">
        <v>1707</v>
      </c>
      <c r="FA64" s="610" t="s">
        <v>1707</v>
      </c>
      <c r="FB64" s="610" t="s">
        <v>1707</v>
      </c>
      <c r="FC64" s="610" t="s">
        <v>1707</v>
      </c>
      <c r="FD64" s="610" t="s">
        <v>1707</v>
      </c>
      <c r="FE64" s="610" t="s">
        <v>1707</v>
      </c>
      <c r="FF64" s="610" t="s">
        <v>1707</v>
      </c>
      <c r="FG64" s="610" t="s">
        <v>1707</v>
      </c>
      <c r="FH64" s="610">
        <v>14</v>
      </c>
      <c r="FI64" s="610">
        <v>13</v>
      </c>
      <c r="FJ64" s="610">
        <v>13</v>
      </c>
      <c r="FK64" s="610">
        <v>13</v>
      </c>
      <c r="FL64" s="610">
        <v>12</v>
      </c>
      <c r="FM64" s="610">
        <v>12</v>
      </c>
      <c r="FN64" s="610">
        <v>12</v>
      </c>
      <c r="FO64" s="610">
        <v>12</v>
      </c>
      <c r="FP64" s="610">
        <v>12</v>
      </c>
      <c r="FQ64" s="610">
        <v>12</v>
      </c>
      <c r="FR64" s="610" t="s">
        <v>2489</v>
      </c>
      <c r="FS64" s="610" t="s">
        <v>2489</v>
      </c>
      <c r="FT64" s="610" t="s">
        <v>2489</v>
      </c>
      <c r="FU64" s="610" t="s">
        <v>2489</v>
      </c>
      <c r="FV64" s="610" t="s">
        <v>2489</v>
      </c>
      <c r="FW64" s="610" t="s">
        <v>2489</v>
      </c>
      <c r="FX64" s="610" t="s">
        <v>2489</v>
      </c>
      <c r="FY64" s="610" t="s">
        <v>2489</v>
      </c>
      <c r="FZ64" s="610" t="s">
        <v>2489</v>
      </c>
      <c r="GA64" s="610" t="s">
        <v>2489</v>
      </c>
      <c r="GB64" s="610" t="s">
        <v>2489</v>
      </c>
      <c r="GC64" s="610" t="s">
        <v>2489</v>
      </c>
      <c r="GD64" s="564" t="str">
        <f t="shared" si="3"/>
        <v/>
      </c>
      <c r="GE64" s="564" t="str">
        <f t="shared" si="4"/>
        <v/>
      </c>
      <c r="GF64" s="564" t="str">
        <f t="shared" si="5"/>
        <v/>
      </c>
      <c r="GG64" s="564" t="str">
        <f t="shared" si="6"/>
        <v/>
      </c>
      <c r="GH64" s="564" t="str">
        <f t="shared" si="7"/>
        <v/>
      </c>
      <c r="GI64" s="564" t="str">
        <f t="shared" si="8"/>
        <v/>
      </c>
      <c r="GJ64" s="564" t="str">
        <f t="shared" si="9"/>
        <v/>
      </c>
      <c r="GK64" s="564" t="str">
        <f t="shared" si="10"/>
        <v/>
      </c>
      <c r="GL64" s="564" t="str">
        <f t="shared" si="11"/>
        <v/>
      </c>
      <c r="GM64" s="564" t="str">
        <f t="shared" si="12"/>
        <v/>
      </c>
      <c r="GN64" s="564" t="str">
        <f t="shared" si="13"/>
        <v/>
      </c>
      <c r="GO64" s="564" t="str">
        <f t="shared" si="14"/>
        <v/>
      </c>
      <c r="GP64" s="564"/>
      <c r="GS64" s="375" t="s">
        <v>1466</v>
      </c>
      <c r="GT64" s="374" t="str">
        <f t="shared" si="15"/>
        <v>〇</v>
      </c>
    </row>
    <row r="65" spans="2:202">
      <c r="B65" s="371">
        <v>61</v>
      </c>
      <c r="C65" s="378">
        <v>61</v>
      </c>
      <c r="D65" s="373" t="s">
        <v>1467</v>
      </c>
      <c r="E65" s="373" t="s">
        <v>1707</v>
      </c>
      <c r="F65" s="603">
        <f t="shared" si="2"/>
        <v>25</v>
      </c>
      <c r="G65" s="603"/>
      <c r="H65" s="603">
        <v>0</v>
      </c>
      <c r="I65" s="603">
        <v>25</v>
      </c>
      <c r="J65" s="603">
        <v>33</v>
      </c>
      <c r="K65" s="603"/>
      <c r="L65" s="603">
        <v>33</v>
      </c>
      <c r="M65" s="603">
        <v>0</v>
      </c>
      <c r="N65" s="608"/>
      <c r="O65" s="603">
        <v>1577000</v>
      </c>
      <c r="P65" s="603">
        <v>2721000</v>
      </c>
      <c r="Q65" s="603">
        <v>0</v>
      </c>
      <c r="R65" s="603">
        <v>1188000</v>
      </c>
      <c r="S65" s="603">
        <v>0</v>
      </c>
      <c r="T65" s="603">
        <v>0</v>
      </c>
      <c r="U65" s="603">
        <v>0</v>
      </c>
      <c r="V65" s="603">
        <v>0</v>
      </c>
      <c r="W65" s="603">
        <v>0</v>
      </c>
      <c r="X65" s="603">
        <v>0</v>
      </c>
      <c r="Y65" s="603">
        <v>0</v>
      </c>
      <c r="Z65" s="603">
        <v>0</v>
      </c>
      <c r="AA65" s="603">
        <v>0</v>
      </c>
      <c r="AB65" s="603">
        <v>0</v>
      </c>
      <c r="AC65" s="603">
        <v>0</v>
      </c>
      <c r="AD65" s="603">
        <v>0</v>
      </c>
      <c r="AE65" s="603">
        <v>0</v>
      </c>
      <c r="AF65" s="603">
        <v>0</v>
      </c>
      <c r="AG65" s="603">
        <v>0</v>
      </c>
      <c r="AH65" s="603">
        <v>0</v>
      </c>
      <c r="AI65" s="603">
        <v>0</v>
      </c>
      <c r="AJ65" s="604" t="s">
        <v>2377</v>
      </c>
      <c r="AK65" s="605" t="s">
        <v>1545</v>
      </c>
      <c r="AL65" s="605" t="s">
        <v>1545</v>
      </c>
      <c r="AM65" s="606" t="s">
        <v>2061</v>
      </c>
      <c r="AN65" s="609" t="s">
        <v>12</v>
      </c>
      <c r="AO65" s="610" t="s">
        <v>1368</v>
      </c>
      <c r="AP65" s="610" t="s">
        <v>1368</v>
      </c>
      <c r="AQ65" s="610" t="s">
        <v>1368</v>
      </c>
      <c r="AR65" s="610" t="s">
        <v>1368</v>
      </c>
      <c r="AS65" s="610" t="s">
        <v>1368</v>
      </c>
      <c r="AT65" s="610" t="s">
        <v>1368</v>
      </c>
      <c r="AU65" s="610" t="s">
        <v>1368</v>
      </c>
      <c r="AV65" s="610" t="s">
        <v>1368</v>
      </c>
      <c r="AW65" s="610" t="s">
        <v>1368</v>
      </c>
      <c r="AX65" s="610" t="s">
        <v>1368</v>
      </c>
      <c r="AY65" s="610" t="s">
        <v>1368</v>
      </c>
      <c r="AZ65" s="610" t="s">
        <v>1368</v>
      </c>
      <c r="BA65" s="610" t="s">
        <v>1368</v>
      </c>
      <c r="BB65" s="610" t="s">
        <v>1368</v>
      </c>
      <c r="BC65" s="610" t="s">
        <v>1368</v>
      </c>
      <c r="BD65" s="610" t="s">
        <v>1368</v>
      </c>
      <c r="BE65" s="610" t="s">
        <v>1368</v>
      </c>
      <c r="BF65" s="610" t="s">
        <v>1368</v>
      </c>
      <c r="BG65" s="610" t="s">
        <v>1368</v>
      </c>
      <c r="BH65" s="610" t="s">
        <v>1368</v>
      </c>
      <c r="BI65" s="610" t="s">
        <v>1368</v>
      </c>
      <c r="BJ65" s="610" t="s">
        <v>1368</v>
      </c>
      <c r="BK65" s="610" t="s">
        <v>1368</v>
      </c>
      <c r="BL65" s="610" t="s">
        <v>1368</v>
      </c>
      <c r="BM65" s="610">
        <v>1</v>
      </c>
      <c r="BN65" s="610">
        <v>1</v>
      </c>
      <c r="BO65" s="610">
        <v>1</v>
      </c>
      <c r="BP65" s="610">
        <v>1</v>
      </c>
      <c r="BQ65" s="610">
        <v>1</v>
      </c>
      <c r="BR65" s="610">
        <v>1</v>
      </c>
      <c r="BS65" s="610">
        <v>1</v>
      </c>
      <c r="BT65" s="610">
        <v>1</v>
      </c>
      <c r="BU65" s="610">
        <v>1</v>
      </c>
      <c r="BV65" s="610">
        <v>1</v>
      </c>
      <c r="BW65" s="610">
        <v>1</v>
      </c>
      <c r="BX65" s="610">
        <v>1</v>
      </c>
      <c r="BY65" s="610">
        <v>0</v>
      </c>
      <c r="BZ65" s="610">
        <v>0</v>
      </c>
      <c r="CA65" s="610">
        <v>0</v>
      </c>
      <c r="CB65" s="610">
        <v>0</v>
      </c>
      <c r="CC65" s="610">
        <v>0</v>
      </c>
      <c r="CD65" s="610">
        <v>0</v>
      </c>
      <c r="CE65" s="610">
        <v>0</v>
      </c>
      <c r="CF65" s="610">
        <v>0</v>
      </c>
      <c r="CG65" s="610">
        <v>0</v>
      </c>
      <c r="CH65" s="610">
        <v>0</v>
      </c>
      <c r="CI65" s="610">
        <v>0</v>
      </c>
      <c r="CJ65" s="610">
        <v>0</v>
      </c>
      <c r="CK65" s="610">
        <v>0</v>
      </c>
      <c r="CL65" s="610">
        <v>0</v>
      </c>
      <c r="CM65" s="610">
        <v>0</v>
      </c>
      <c r="CN65" s="610">
        <v>0</v>
      </c>
      <c r="CO65" s="610">
        <v>0</v>
      </c>
      <c r="CP65" s="610">
        <v>0</v>
      </c>
      <c r="CQ65" s="610">
        <v>0</v>
      </c>
      <c r="CR65" s="610">
        <v>0</v>
      </c>
      <c r="CS65" s="610">
        <v>0</v>
      </c>
      <c r="CT65" s="610">
        <v>0</v>
      </c>
      <c r="CU65" s="610">
        <v>0</v>
      </c>
      <c r="CV65" s="610">
        <v>0</v>
      </c>
      <c r="CW65" s="610" t="s">
        <v>14</v>
      </c>
      <c r="CX65" s="610">
        <v>0</v>
      </c>
      <c r="CY65" s="610" t="s">
        <v>1707</v>
      </c>
      <c r="CZ65" s="610" t="s">
        <v>1707</v>
      </c>
      <c r="DA65" s="610" t="s">
        <v>1707</v>
      </c>
      <c r="DB65" s="610" t="s">
        <v>1707</v>
      </c>
      <c r="DC65" s="610" t="s">
        <v>1707</v>
      </c>
      <c r="DD65" s="610" t="s">
        <v>1707</v>
      </c>
      <c r="DE65" s="610" t="s">
        <v>1707</v>
      </c>
      <c r="DF65" s="610" t="s">
        <v>1707</v>
      </c>
      <c r="DG65" s="610" t="s">
        <v>1707</v>
      </c>
      <c r="DH65" s="610" t="s">
        <v>1707</v>
      </c>
      <c r="DI65" s="610" t="s">
        <v>1707</v>
      </c>
      <c r="DJ65" s="610" t="s">
        <v>1707</v>
      </c>
      <c r="DK65" s="610" t="s">
        <v>1368</v>
      </c>
      <c r="DL65" s="610" t="s">
        <v>1368</v>
      </c>
      <c r="DM65" s="610" t="s">
        <v>1368</v>
      </c>
      <c r="DN65" s="610" t="s">
        <v>1368</v>
      </c>
      <c r="DO65" s="610" t="s">
        <v>1368</v>
      </c>
      <c r="DP65" s="610" t="s">
        <v>1368</v>
      </c>
      <c r="DQ65" s="610" t="s">
        <v>1368</v>
      </c>
      <c r="DR65" s="610" t="s">
        <v>1368</v>
      </c>
      <c r="DS65" s="610" t="s">
        <v>1368</v>
      </c>
      <c r="DT65" s="610" t="s">
        <v>1368</v>
      </c>
      <c r="DU65" s="610" t="s">
        <v>1368</v>
      </c>
      <c r="DV65" s="610" t="s">
        <v>1368</v>
      </c>
      <c r="DW65" s="609" t="s">
        <v>1368</v>
      </c>
      <c r="DX65" s="609" t="s">
        <v>1368</v>
      </c>
      <c r="DY65" s="609" t="s">
        <v>1368</v>
      </c>
      <c r="DZ65" s="609" t="s">
        <v>1368</v>
      </c>
      <c r="EA65" s="609" t="s">
        <v>1368</v>
      </c>
      <c r="EB65" s="609" t="s">
        <v>1368</v>
      </c>
      <c r="EC65" s="609" t="s">
        <v>1368</v>
      </c>
      <c r="ED65" s="609" t="s">
        <v>1368</v>
      </c>
      <c r="EE65" s="609" t="s">
        <v>1368</v>
      </c>
      <c r="EF65" s="609" t="s">
        <v>1368</v>
      </c>
      <c r="EG65" s="609" t="s">
        <v>1368</v>
      </c>
      <c r="EH65" s="609" t="s">
        <v>1368</v>
      </c>
      <c r="EI65" s="610" t="s">
        <v>1707</v>
      </c>
      <c r="EJ65" s="610" t="s">
        <v>1707</v>
      </c>
      <c r="EK65" s="610" t="s">
        <v>1707</v>
      </c>
      <c r="EL65" s="610" t="s">
        <v>1707</v>
      </c>
      <c r="EM65" s="610" t="s">
        <v>1707</v>
      </c>
      <c r="EN65" s="610" t="s">
        <v>1707</v>
      </c>
      <c r="EO65" s="610" t="s">
        <v>1707</v>
      </c>
      <c r="EP65" s="610" t="s">
        <v>1707</v>
      </c>
      <c r="EQ65" s="610" t="s">
        <v>1707</v>
      </c>
      <c r="ER65" s="610" t="s">
        <v>1707</v>
      </c>
      <c r="ES65" s="610" t="s">
        <v>1707</v>
      </c>
      <c r="ET65" s="610" t="s">
        <v>1707</v>
      </c>
      <c r="EU65" s="610">
        <v>4010</v>
      </c>
      <c r="EV65" s="610" t="s">
        <v>1707</v>
      </c>
      <c r="EW65" s="610" t="s">
        <v>1707</v>
      </c>
      <c r="EX65" s="610" t="s">
        <v>1707</v>
      </c>
      <c r="EY65" s="610" t="s">
        <v>1707</v>
      </c>
      <c r="EZ65" s="610" t="s">
        <v>1707</v>
      </c>
      <c r="FA65" s="610" t="s">
        <v>1707</v>
      </c>
      <c r="FB65" s="610" t="s">
        <v>1707</v>
      </c>
      <c r="FC65" s="610" t="s">
        <v>1707</v>
      </c>
      <c r="FD65" s="610" t="s">
        <v>1707</v>
      </c>
      <c r="FE65" s="610" t="s">
        <v>1707</v>
      </c>
      <c r="FF65" s="610" t="s">
        <v>1707</v>
      </c>
      <c r="FG65" s="610" t="s">
        <v>1707</v>
      </c>
      <c r="FH65" s="610">
        <v>20</v>
      </c>
      <c r="FI65" s="610">
        <v>20</v>
      </c>
      <c r="FJ65" s="610">
        <v>21</v>
      </c>
      <c r="FK65" s="610">
        <v>21</v>
      </c>
      <c r="FL65" s="610">
        <v>21</v>
      </c>
      <c r="FM65" s="610">
        <v>22</v>
      </c>
      <c r="FN65" s="610">
        <v>22</v>
      </c>
      <c r="FO65" s="610">
        <v>21</v>
      </c>
      <c r="FP65" s="610">
        <v>21</v>
      </c>
      <c r="FQ65" s="610">
        <v>22</v>
      </c>
      <c r="FR65" s="610" t="s">
        <v>2489</v>
      </c>
      <c r="FS65" s="610" t="s">
        <v>2489</v>
      </c>
      <c r="FT65" s="610" t="s">
        <v>2489</v>
      </c>
      <c r="FU65" s="610" t="s">
        <v>2489</v>
      </c>
      <c r="FV65" s="610" t="s">
        <v>2489</v>
      </c>
      <c r="FW65" s="610" t="s">
        <v>2489</v>
      </c>
      <c r="FX65" s="610" t="s">
        <v>2489</v>
      </c>
      <c r="FY65" s="610" t="s">
        <v>2489</v>
      </c>
      <c r="FZ65" s="610" t="s">
        <v>2489</v>
      </c>
      <c r="GA65" s="610" t="s">
        <v>2489</v>
      </c>
      <c r="GB65" s="610" t="s">
        <v>2489</v>
      </c>
      <c r="GC65" s="610" t="s">
        <v>2489</v>
      </c>
      <c r="GD65" s="564" t="str">
        <f t="shared" si="3"/>
        <v/>
      </c>
      <c r="GE65" s="564" t="str">
        <f t="shared" si="4"/>
        <v/>
      </c>
      <c r="GF65" s="564" t="str">
        <f t="shared" si="5"/>
        <v/>
      </c>
      <c r="GG65" s="564" t="str">
        <f t="shared" si="6"/>
        <v/>
      </c>
      <c r="GH65" s="564" t="str">
        <f t="shared" si="7"/>
        <v/>
      </c>
      <c r="GI65" s="564" t="str">
        <f t="shared" si="8"/>
        <v/>
      </c>
      <c r="GJ65" s="564" t="str">
        <f t="shared" si="9"/>
        <v/>
      </c>
      <c r="GK65" s="564" t="str">
        <f t="shared" si="10"/>
        <v/>
      </c>
      <c r="GL65" s="564" t="str">
        <f t="shared" si="11"/>
        <v/>
      </c>
      <c r="GM65" s="564" t="str">
        <f t="shared" si="12"/>
        <v/>
      </c>
      <c r="GN65" s="564" t="str">
        <f t="shared" si="13"/>
        <v/>
      </c>
      <c r="GO65" s="564" t="str">
        <f t="shared" si="14"/>
        <v/>
      </c>
      <c r="GP65" s="564"/>
      <c r="GS65" s="375" t="s">
        <v>1467</v>
      </c>
      <c r="GT65" s="374" t="str">
        <f t="shared" si="15"/>
        <v>〇</v>
      </c>
    </row>
    <row r="66" spans="2:202">
      <c r="B66" s="371">
        <v>62</v>
      </c>
      <c r="C66" s="378">
        <v>62</v>
      </c>
      <c r="D66" s="373" t="s">
        <v>1468</v>
      </c>
      <c r="E66" s="373" t="s">
        <v>14</v>
      </c>
      <c r="F66" s="603">
        <f t="shared" si="2"/>
        <v>30</v>
      </c>
      <c r="G66" s="603"/>
      <c r="H66" s="603">
        <v>17</v>
      </c>
      <c r="I66" s="603">
        <v>13</v>
      </c>
      <c r="J66" s="603"/>
      <c r="K66" s="603"/>
      <c r="L66" s="603"/>
      <c r="M66" s="603"/>
      <c r="N66" s="608"/>
      <c r="O66" s="603">
        <v>1577000</v>
      </c>
      <c r="P66" s="603">
        <v>2721000</v>
      </c>
      <c r="Q66" s="603">
        <v>2721000</v>
      </c>
      <c r="R66" s="603">
        <v>1791000</v>
      </c>
      <c r="S66" s="603">
        <v>0</v>
      </c>
      <c r="T66" s="603">
        <v>0</v>
      </c>
      <c r="U66" s="603">
        <v>0</v>
      </c>
      <c r="V66" s="603">
        <v>1051000</v>
      </c>
      <c r="W66" s="603">
        <v>1814000</v>
      </c>
      <c r="X66" s="603">
        <v>1814000</v>
      </c>
      <c r="Y66" s="603">
        <v>1194000</v>
      </c>
      <c r="Z66" s="603">
        <v>0</v>
      </c>
      <c r="AA66" s="603">
        <v>0</v>
      </c>
      <c r="AB66" s="603">
        <v>0</v>
      </c>
      <c r="AC66" s="603">
        <v>526000</v>
      </c>
      <c r="AD66" s="603">
        <v>907000</v>
      </c>
      <c r="AE66" s="603">
        <v>907000</v>
      </c>
      <c r="AF66" s="603">
        <v>597000</v>
      </c>
      <c r="AG66" s="603">
        <v>0</v>
      </c>
      <c r="AH66" s="603">
        <v>0</v>
      </c>
      <c r="AI66" s="603">
        <v>0</v>
      </c>
      <c r="AJ66" s="604" t="s">
        <v>2377</v>
      </c>
      <c r="AK66" s="605" t="s">
        <v>2378</v>
      </c>
      <c r="AL66" s="605" t="s">
        <v>2490</v>
      </c>
      <c r="AM66" s="606" t="s">
        <v>2062</v>
      </c>
      <c r="AN66" s="609" t="s">
        <v>12</v>
      </c>
      <c r="AO66" s="610" t="s">
        <v>13</v>
      </c>
      <c r="AP66" s="610" t="s">
        <v>13</v>
      </c>
      <c r="AQ66" s="610" t="s">
        <v>13</v>
      </c>
      <c r="AR66" s="610" t="s">
        <v>13</v>
      </c>
      <c r="AS66" s="610" t="s">
        <v>13</v>
      </c>
      <c r="AT66" s="610" t="s">
        <v>13</v>
      </c>
      <c r="AU66" s="610" t="s">
        <v>13</v>
      </c>
      <c r="AV66" s="610" t="s">
        <v>13</v>
      </c>
      <c r="AW66" s="610" t="s">
        <v>13</v>
      </c>
      <c r="AX66" s="610" t="s">
        <v>13</v>
      </c>
      <c r="AY66" s="610" t="s">
        <v>13</v>
      </c>
      <c r="AZ66" s="610" t="s">
        <v>13</v>
      </c>
      <c r="BA66" s="610" t="s">
        <v>12</v>
      </c>
      <c r="BB66" s="610" t="s">
        <v>12</v>
      </c>
      <c r="BC66" s="610" t="s">
        <v>12</v>
      </c>
      <c r="BD66" s="610" t="s">
        <v>12</v>
      </c>
      <c r="BE66" s="610" t="s">
        <v>12</v>
      </c>
      <c r="BF66" s="610" t="s">
        <v>12</v>
      </c>
      <c r="BG66" s="610" t="s">
        <v>12</v>
      </c>
      <c r="BH66" s="610" t="s">
        <v>12</v>
      </c>
      <c r="BI66" s="610" t="s">
        <v>12</v>
      </c>
      <c r="BJ66" s="610" t="s">
        <v>12</v>
      </c>
      <c r="BK66" s="610" t="s">
        <v>12</v>
      </c>
      <c r="BL66" s="610" t="s">
        <v>12</v>
      </c>
      <c r="BM66" s="610">
        <v>1</v>
      </c>
      <c r="BN66" s="610">
        <v>1</v>
      </c>
      <c r="BO66" s="610">
        <v>1</v>
      </c>
      <c r="BP66" s="610">
        <v>1</v>
      </c>
      <c r="BQ66" s="610">
        <v>1</v>
      </c>
      <c r="BR66" s="610">
        <v>1</v>
      </c>
      <c r="BS66" s="610">
        <v>1</v>
      </c>
      <c r="BT66" s="610">
        <v>1</v>
      </c>
      <c r="BU66" s="610">
        <v>1</v>
      </c>
      <c r="BV66" s="610">
        <v>1</v>
      </c>
      <c r="BW66" s="610">
        <v>1</v>
      </c>
      <c r="BX66" s="610">
        <v>1</v>
      </c>
      <c r="BY66" s="610">
        <v>0</v>
      </c>
      <c r="BZ66" s="610">
        <v>0</v>
      </c>
      <c r="CA66" s="610">
        <v>0</v>
      </c>
      <c r="CB66" s="610">
        <v>0</v>
      </c>
      <c r="CC66" s="610">
        <v>0</v>
      </c>
      <c r="CD66" s="610">
        <v>0</v>
      </c>
      <c r="CE66" s="610">
        <v>0</v>
      </c>
      <c r="CF66" s="610">
        <v>0</v>
      </c>
      <c r="CG66" s="610">
        <v>0</v>
      </c>
      <c r="CH66" s="610">
        <v>0</v>
      </c>
      <c r="CI66" s="610">
        <v>0</v>
      </c>
      <c r="CJ66" s="610">
        <v>0</v>
      </c>
      <c r="CK66" s="610">
        <v>0</v>
      </c>
      <c r="CL66" s="610">
        <v>0</v>
      </c>
      <c r="CM66" s="610">
        <v>0</v>
      </c>
      <c r="CN66" s="610">
        <v>0</v>
      </c>
      <c r="CO66" s="610">
        <v>0</v>
      </c>
      <c r="CP66" s="610">
        <v>0</v>
      </c>
      <c r="CQ66" s="610">
        <v>0</v>
      </c>
      <c r="CR66" s="610">
        <v>0</v>
      </c>
      <c r="CS66" s="610">
        <v>0</v>
      </c>
      <c r="CT66" s="610">
        <v>0</v>
      </c>
      <c r="CU66" s="610">
        <v>0</v>
      </c>
      <c r="CV66" s="610">
        <v>0</v>
      </c>
      <c r="CW66" s="610" t="s">
        <v>14</v>
      </c>
      <c r="CX66" s="610">
        <v>0</v>
      </c>
      <c r="CY66" s="610" t="s">
        <v>1707</v>
      </c>
      <c r="CZ66" s="610" t="s">
        <v>1707</v>
      </c>
      <c r="DA66" s="610" t="s">
        <v>1707</v>
      </c>
      <c r="DB66" s="610" t="s">
        <v>1707</v>
      </c>
      <c r="DC66" s="610" t="s">
        <v>1707</v>
      </c>
      <c r="DD66" s="610" t="s">
        <v>1707</v>
      </c>
      <c r="DE66" s="610" t="s">
        <v>1707</v>
      </c>
      <c r="DF66" s="610" t="s">
        <v>1707</v>
      </c>
      <c r="DG66" s="610" t="s">
        <v>1707</v>
      </c>
      <c r="DH66" s="610" t="s">
        <v>1707</v>
      </c>
      <c r="DI66" s="610" t="s">
        <v>1707</v>
      </c>
      <c r="DJ66" s="610" t="s">
        <v>1707</v>
      </c>
      <c r="DK66" s="610" t="s">
        <v>1368</v>
      </c>
      <c r="DL66" s="610" t="s">
        <v>1368</v>
      </c>
      <c r="DM66" s="610" t="s">
        <v>1368</v>
      </c>
      <c r="DN66" s="610" t="s">
        <v>1368</v>
      </c>
      <c r="DO66" s="610" t="s">
        <v>1368</v>
      </c>
      <c r="DP66" s="610" t="s">
        <v>1368</v>
      </c>
      <c r="DQ66" s="610" t="s">
        <v>1368</v>
      </c>
      <c r="DR66" s="610" t="s">
        <v>1368</v>
      </c>
      <c r="DS66" s="610" t="s">
        <v>1368</v>
      </c>
      <c r="DT66" s="610" t="s">
        <v>1368</v>
      </c>
      <c r="DU66" s="610" t="s">
        <v>1368</v>
      </c>
      <c r="DV66" s="610" t="s">
        <v>1368</v>
      </c>
      <c r="DW66" s="609" t="s">
        <v>1368</v>
      </c>
      <c r="DX66" s="609" t="s">
        <v>1368</v>
      </c>
      <c r="DY66" s="609" t="s">
        <v>1368</v>
      </c>
      <c r="DZ66" s="609" t="s">
        <v>1368</v>
      </c>
      <c r="EA66" s="609" t="s">
        <v>1368</v>
      </c>
      <c r="EB66" s="609" t="s">
        <v>1368</v>
      </c>
      <c r="EC66" s="609" t="s">
        <v>1368</v>
      </c>
      <c r="ED66" s="609" t="s">
        <v>1368</v>
      </c>
      <c r="EE66" s="609" t="s">
        <v>1368</v>
      </c>
      <c r="EF66" s="609" t="s">
        <v>1368</v>
      </c>
      <c r="EG66" s="609" t="s">
        <v>1368</v>
      </c>
      <c r="EH66" s="609" t="s">
        <v>1368</v>
      </c>
      <c r="EI66" s="610" t="s">
        <v>1707</v>
      </c>
      <c r="EJ66" s="610" t="s">
        <v>1707</v>
      </c>
      <c r="EK66" s="610" t="s">
        <v>1707</v>
      </c>
      <c r="EL66" s="610" t="s">
        <v>1707</v>
      </c>
      <c r="EM66" s="610" t="s">
        <v>1707</v>
      </c>
      <c r="EN66" s="610" t="s">
        <v>1707</v>
      </c>
      <c r="EO66" s="610" t="s">
        <v>1707</v>
      </c>
      <c r="EP66" s="610" t="s">
        <v>1707</v>
      </c>
      <c r="EQ66" s="610" t="s">
        <v>1707</v>
      </c>
      <c r="ER66" s="610" t="s">
        <v>1707</v>
      </c>
      <c r="ES66" s="610" t="s">
        <v>1707</v>
      </c>
      <c r="ET66" s="610" t="s">
        <v>1707</v>
      </c>
      <c r="EU66" s="610">
        <v>3950</v>
      </c>
      <c r="EV66" s="610" t="s">
        <v>1707</v>
      </c>
      <c r="EW66" s="610" t="s">
        <v>1707</v>
      </c>
      <c r="EX66" s="610" t="s">
        <v>1707</v>
      </c>
      <c r="EY66" s="610" t="s">
        <v>1707</v>
      </c>
      <c r="EZ66" s="610" t="s">
        <v>1707</v>
      </c>
      <c r="FA66" s="610" t="s">
        <v>1707</v>
      </c>
      <c r="FB66" s="610" t="s">
        <v>1707</v>
      </c>
      <c r="FC66" s="610" t="s">
        <v>1707</v>
      </c>
      <c r="FD66" s="610" t="s">
        <v>1707</v>
      </c>
      <c r="FE66" s="610" t="s">
        <v>1707</v>
      </c>
      <c r="FF66" s="610" t="s">
        <v>1707</v>
      </c>
      <c r="FG66" s="610" t="s">
        <v>1707</v>
      </c>
      <c r="FH66" s="610">
        <v>12</v>
      </c>
      <c r="FI66" s="610">
        <v>12</v>
      </c>
      <c r="FJ66" s="610">
        <v>12</v>
      </c>
      <c r="FK66" s="610">
        <v>12</v>
      </c>
      <c r="FL66" s="610">
        <v>12</v>
      </c>
      <c r="FM66" s="610">
        <v>12</v>
      </c>
      <c r="FN66" s="610">
        <v>12</v>
      </c>
      <c r="FO66" s="610">
        <v>12</v>
      </c>
      <c r="FP66" s="610">
        <v>12</v>
      </c>
      <c r="FQ66" s="610">
        <v>12</v>
      </c>
      <c r="FR66" s="610" t="s">
        <v>2487</v>
      </c>
      <c r="FS66" s="610" t="s">
        <v>2487</v>
      </c>
      <c r="FT66" s="610" t="s">
        <v>2487</v>
      </c>
      <c r="FU66" s="610" t="s">
        <v>2487</v>
      </c>
      <c r="FV66" s="610" t="s">
        <v>2487</v>
      </c>
      <c r="FW66" s="610" t="s">
        <v>2487</v>
      </c>
      <c r="FX66" s="610" t="s">
        <v>2487</v>
      </c>
      <c r="FY66" s="610" t="s">
        <v>2487</v>
      </c>
      <c r="FZ66" s="610" t="s">
        <v>2487</v>
      </c>
      <c r="GA66" s="610" t="s">
        <v>2487</v>
      </c>
      <c r="GB66" s="610" t="s">
        <v>2487</v>
      </c>
      <c r="GC66" s="610" t="s">
        <v>2487</v>
      </c>
      <c r="GD66" s="564">
        <f t="shared" si="3"/>
        <v>79950</v>
      </c>
      <c r="GE66" s="564">
        <f t="shared" si="4"/>
        <v>79950</v>
      </c>
      <c r="GF66" s="564">
        <f t="shared" si="5"/>
        <v>79950</v>
      </c>
      <c r="GG66" s="564">
        <f t="shared" si="6"/>
        <v>79950</v>
      </c>
      <c r="GH66" s="564">
        <f t="shared" si="7"/>
        <v>79950</v>
      </c>
      <c r="GI66" s="564">
        <f t="shared" si="8"/>
        <v>79950</v>
      </c>
      <c r="GJ66" s="564">
        <f t="shared" si="9"/>
        <v>79950</v>
      </c>
      <c r="GK66" s="564">
        <f t="shared" si="10"/>
        <v>79950</v>
      </c>
      <c r="GL66" s="564">
        <f t="shared" si="11"/>
        <v>79950</v>
      </c>
      <c r="GM66" s="564">
        <f t="shared" si="12"/>
        <v>79950</v>
      </c>
      <c r="GN66" s="564">
        <f t="shared" si="13"/>
        <v>79950</v>
      </c>
      <c r="GO66" s="564">
        <f t="shared" si="14"/>
        <v>79950</v>
      </c>
      <c r="GP66" s="564"/>
      <c r="GS66" s="375" t="s">
        <v>1468</v>
      </c>
      <c r="GT66" s="374" t="str">
        <f t="shared" si="15"/>
        <v>〇</v>
      </c>
    </row>
    <row r="67" spans="2:202">
      <c r="B67" s="371">
        <v>63</v>
      </c>
      <c r="C67" s="378">
        <v>63</v>
      </c>
      <c r="D67" s="373" t="s">
        <v>1780</v>
      </c>
      <c r="E67" s="373" t="s">
        <v>14</v>
      </c>
      <c r="F67" s="603">
        <f t="shared" si="2"/>
        <v>56</v>
      </c>
      <c r="G67" s="603"/>
      <c r="H67" s="603">
        <v>32</v>
      </c>
      <c r="I67" s="603">
        <v>24</v>
      </c>
      <c r="J67" s="603"/>
      <c r="K67" s="603"/>
      <c r="L67" s="603"/>
      <c r="M67" s="603"/>
      <c r="N67" s="608"/>
      <c r="O67" s="603">
        <v>1577000</v>
      </c>
      <c r="P67" s="603">
        <v>2721000</v>
      </c>
      <c r="Q67" s="603">
        <v>2721000</v>
      </c>
      <c r="R67" s="603">
        <v>1791000</v>
      </c>
      <c r="S67" s="603">
        <v>0</v>
      </c>
      <c r="T67" s="603">
        <v>2181000</v>
      </c>
      <c r="U67" s="603">
        <v>0</v>
      </c>
      <c r="V67" s="603">
        <v>0</v>
      </c>
      <c r="W67" s="603">
        <v>0</v>
      </c>
      <c r="X67" s="603">
        <v>0</v>
      </c>
      <c r="Y67" s="603">
        <v>0</v>
      </c>
      <c r="Z67" s="603">
        <v>0</v>
      </c>
      <c r="AA67" s="603">
        <v>0</v>
      </c>
      <c r="AB67" s="603">
        <v>0</v>
      </c>
      <c r="AC67" s="603">
        <v>1577000</v>
      </c>
      <c r="AD67" s="603">
        <v>2721000</v>
      </c>
      <c r="AE67" s="603">
        <v>2721000</v>
      </c>
      <c r="AF67" s="603">
        <v>1791000</v>
      </c>
      <c r="AG67" s="603">
        <v>0</v>
      </c>
      <c r="AH67" s="603">
        <v>2181000</v>
      </c>
      <c r="AI67" s="603">
        <v>0</v>
      </c>
      <c r="AJ67" s="604" t="s">
        <v>2377</v>
      </c>
      <c r="AK67" s="605" t="s">
        <v>1545</v>
      </c>
      <c r="AL67" s="605" t="s">
        <v>2490</v>
      </c>
      <c r="AM67" s="606" t="s">
        <v>2063</v>
      </c>
      <c r="AN67" s="609" t="s">
        <v>12</v>
      </c>
      <c r="AO67" s="610" t="s">
        <v>1368</v>
      </c>
      <c r="AP67" s="610" t="s">
        <v>1368</v>
      </c>
      <c r="AQ67" s="610" t="s">
        <v>1368</v>
      </c>
      <c r="AR67" s="610" t="s">
        <v>1368</v>
      </c>
      <c r="AS67" s="610" t="s">
        <v>1368</v>
      </c>
      <c r="AT67" s="610" t="s">
        <v>1368</v>
      </c>
      <c r="AU67" s="610" t="s">
        <v>1368</v>
      </c>
      <c r="AV67" s="610" t="s">
        <v>1368</v>
      </c>
      <c r="AW67" s="610" t="s">
        <v>1368</v>
      </c>
      <c r="AX67" s="610" t="s">
        <v>1368</v>
      </c>
      <c r="AY67" s="610" t="s">
        <v>1368</v>
      </c>
      <c r="AZ67" s="610" t="s">
        <v>1368</v>
      </c>
      <c r="BA67" s="610" t="s">
        <v>1368</v>
      </c>
      <c r="BB67" s="610" t="s">
        <v>1368</v>
      </c>
      <c r="BC67" s="610" t="s">
        <v>1368</v>
      </c>
      <c r="BD67" s="610" t="s">
        <v>1368</v>
      </c>
      <c r="BE67" s="610" t="s">
        <v>1368</v>
      </c>
      <c r="BF67" s="610" t="s">
        <v>1368</v>
      </c>
      <c r="BG67" s="610" t="s">
        <v>1368</v>
      </c>
      <c r="BH67" s="610" t="s">
        <v>1368</v>
      </c>
      <c r="BI67" s="610" t="s">
        <v>1368</v>
      </c>
      <c r="BJ67" s="610" t="s">
        <v>1368</v>
      </c>
      <c r="BK67" s="610" t="s">
        <v>1368</v>
      </c>
      <c r="BL67" s="610" t="s">
        <v>1368</v>
      </c>
      <c r="BM67" s="610">
        <v>2</v>
      </c>
      <c r="BN67" s="610">
        <v>2</v>
      </c>
      <c r="BO67" s="610">
        <v>2</v>
      </c>
      <c r="BP67" s="610">
        <v>2</v>
      </c>
      <c r="BQ67" s="610">
        <v>2</v>
      </c>
      <c r="BR67" s="610">
        <v>2</v>
      </c>
      <c r="BS67" s="610">
        <v>2</v>
      </c>
      <c r="BT67" s="610">
        <v>2</v>
      </c>
      <c r="BU67" s="610">
        <v>2</v>
      </c>
      <c r="BV67" s="610">
        <v>2</v>
      </c>
      <c r="BW67" s="610">
        <v>2</v>
      </c>
      <c r="BX67" s="610">
        <v>2</v>
      </c>
      <c r="BY67" s="610">
        <v>0</v>
      </c>
      <c r="BZ67" s="610">
        <v>0</v>
      </c>
      <c r="CA67" s="610">
        <v>0</v>
      </c>
      <c r="CB67" s="610">
        <v>0</v>
      </c>
      <c r="CC67" s="610">
        <v>0</v>
      </c>
      <c r="CD67" s="610">
        <v>0</v>
      </c>
      <c r="CE67" s="610">
        <v>0</v>
      </c>
      <c r="CF67" s="610">
        <v>0</v>
      </c>
      <c r="CG67" s="610">
        <v>0</v>
      </c>
      <c r="CH67" s="610">
        <v>0</v>
      </c>
      <c r="CI67" s="610">
        <v>0</v>
      </c>
      <c r="CJ67" s="610">
        <v>0</v>
      </c>
      <c r="CK67" s="610">
        <v>0</v>
      </c>
      <c r="CL67" s="610">
        <v>0</v>
      </c>
      <c r="CM67" s="610">
        <v>0</v>
      </c>
      <c r="CN67" s="610">
        <v>0</v>
      </c>
      <c r="CO67" s="610">
        <v>0</v>
      </c>
      <c r="CP67" s="610">
        <v>0</v>
      </c>
      <c r="CQ67" s="610">
        <v>0</v>
      </c>
      <c r="CR67" s="610">
        <v>0</v>
      </c>
      <c r="CS67" s="610">
        <v>0</v>
      </c>
      <c r="CT67" s="610">
        <v>0</v>
      </c>
      <c r="CU67" s="610">
        <v>0</v>
      </c>
      <c r="CV67" s="610">
        <v>0</v>
      </c>
      <c r="CW67" s="610" t="s">
        <v>14</v>
      </c>
      <c r="CX67" s="610">
        <v>0</v>
      </c>
      <c r="CY67" s="610" t="s">
        <v>1707</v>
      </c>
      <c r="CZ67" s="610" t="s">
        <v>1707</v>
      </c>
      <c r="DA67" s="610" t="s">
        <v>1707</v>
      </c>
      <c r="DB67" s="610" t="s">
        <v>1707</v>
      </c>
      <c r="DC67" s="610" t="s">
        <v>1707</v>
      </c>
      <c r="DD67" s="610" t="s">
        <v>1707</v>
      </c>
      <c r="DE67" s="610" t="s">
        <v>1707</v>
      </c>
      <c r="DF67" s="610" t="s">
        <v>1707</v>
      </c>
      <c r="DG67" s="610" t="s">
        <v>1707</v>
      </c>
      <c r="DH67" s="610" t="s">
        <v>1707</v>
      </c>
      <c r="DI67" s="610" t="s">
        <v>1707</v>
      </c>
      <c r="DJ67" s="610" t="s">
        <v>1707</v>
      </c>
      <c r="DK67" s="610" t="s">
        <v>1368</v>
      </c>
      <c r="DL67" s="610" t="s">
        <v>1368</v>
      </c>
      <c r="DM67" s="610" t="s">
        <v>1368</v>
      </c>
      <c r="DN67" s="610" t="s">
        <v>1368</v>
      </c>
      <c r="DO67" s="610" t="s">
        <v>1368</v>
      </c>
      <c r="DP67" s="610" t="s">
        <v>1368</v>
      </c>
      <c r="DQ67" s="610" t="s">
        <v>1368</v>
      </c>
      <c r="DR67" s="610" t="s">
        <v>1368</v>
      </c>
      <c r="DS67" s="610" t="s">
        <v>1368</v>
      </c>
      <c r="DT67" s="610" t="s">
        <v>1368</v>
      </c>
      <c r="DU67" s="610" t="s">
        <v>1368</v>
      </c>
      <c r="DV67" s="610" t="s">
        <v>1368</v>
      </c>
      <c r="DW67" s="609" t="s">
        <v>1368</v>
      </c>
      <c r="DX67" s="609" t="s">
        <v>1368</v>
      </c>
      <c r="DY67" s="609" t="s">
        <v>1368</v>
      </c>
      <c r="DZ67" s="609" t="s">
        <v>1368</v>
      </c>
      <c r="EA67" s="609" t="s">
        <v>1368</v>
      </c>
      <c r="EB67" s="609" t="s">
        <v>1368</v>
      </c>
      <c r="EC67" s="609" t="s">
        <v>1368</v>
      </c>
      <c r="ED67" s="609" t="s">
        <v>1368</v>
      </c>
      <c r="EE67" s="609" t="s">
        <v>1368</v>
      </c>
      <c r="EF67" s="609" t="s">
        <v>1368</v>
      </c>
      <c r="EG67" s="609" t="s">
        <v>1368</v>
      </c>
      <c r="EH67" s="609" t="s">
        <v>1368</v>
      </c>
      <c r="EI67" s="610" t="s">
        <v>1707</v>
      </c>
      <c r="EJ67" s="610" t="s">
        <v>1707</v>
      </c>
      <c r="EK67" s="610" t="s">
        <v>1707</v>
      </c>
      <c r="EL67" s="610" t="s">
        <v>1707</v>
      </c>
      <c r="EM67" s="610" t="s">
        <v>1707</v>
      </c>
      <c r="EN67" s="610" t="s">
        <v>1707</v>
      </c>
      <c r="EO67" s="610" t="s">
        <v>1707</v>
      </c>
      <c r="EP67" s="610" t="s">
        <v>1707</v>
      </c>
      <c r="EQ67" s="610" t="s">
        <v>1707</v>
      </c>
      <c r="ER67" s="610" t="s">
        <v>1707</v>
      </c>
      <c r="ES67" s="610" t="s">
        <v>1707</v>
      </c>
      <c r="ET67" s="610" t="s">
        <v>1707</v>
      </c>
      <c r="EU67" s="610">
        <v>4070</v>
      </c>
      <c r="EV67" s="610" t="s">
        <v>1707</v>
      </c>
      <c r="EW67" s="610" t="s">
        <v>1707</v>
      </c>
      <c r="EX67" s="610" t="s">
        <v>1707</v>
      </c>
      <c r="EY67" s="610" t="s">
        <v>1707</v>
      </c>
      <c r="EZ67" s="610" t="s">
        <v>1707</v>
      </c>
      <c r="FA67" s="610" t="s">
        <v>1707</v>
      </c>
      <c r="FB67" s="610" t="s">
        <v>1707</v>
      </c>
      <c r="FC67" s="610" t="s">
        <v>1707</v>
      </c>
      <c r="FD67" s="610" t="s">
        <v>1707</v>
      </c>
      <c r="FE67" s="610" t="s">
        <v>1707</v>
      </c>
      <c r="FF67" s="610" t="s">
        <v>1707</v>
      </c>
      <c r="FG67" s="610" t="s">
        <v>1707</v>
      </c>
      <c r="FH67" s="610">
        <v>20</v>
      </c>
      <c r="FI67" s="610">
        <v>21</v>
      </c>
      <c r="FJ67" s="610">
        <v>21</v>
      </c>
      <c r="FK67" s="610">
        <v>21</v>
      </c>
      <c r="FL67" s="610">
        <v>21</v>
      </c>
      <c r="FM67" s="610">
        <v>21</v>
      </c>
      <c r="FN67" s="610">
        <v>22</v>
      </c>
      <c r="FO67" s="610">
        <v>22</v>
      </c>
      <c r="FP67" s="610">
        <v>22</v>
      </c>
      <c r="FQ67" s="610">
        <v>22</v>
      </c>
      <c r="FR67" s="610" t="s">
        <v>2487</v>
      </c>
      <c r="FS67" s="610" t="s">
        <v>2487</v>
      </c>
      <c r="FT67" s="610" t="s">
        <v>2487</v>
      </c>
      <c r="FU67" s="610" t="s">
        <v>2487</v>
      </c>
      <c r="FV67" s="610" t="s">
        <v>2487</v>
      </c>
      <c r="FW67" s="610" t="s">
        <v>2487</v>
      </c>
      <c r="FX67" s="610" t="s">
        <v>2487</v>
      </c>
      <c r="FY67" s="610" t="s">
        <v>2487</v>
      </c>
      <c r="FZ67" s="610" t="s">
        <v>2487</v>
      </c>
      <c r="GA67" s="610" t="s">
        <v>2487</v>
      </c>
      <c r="GB67" s="610" t="s">
        <v>2487</v>
      </c>
      <c r="GC67" s="610" t="s">
        <v>2487</v>
      </c>
      <c r="GD67" s="564">
        <f t="shared" si="3"/>
        <v>79950</v>
      </c>
      <c r="GE67" s="564">
        <f t="shared" si="4"/>
        <v>79950</v>
      </c>
      <c r="GF67" s="564">
        <f t="shared" si="5"/>
        <v>79950</v>
      </c>
      <c r="GG67" s="564">
        <f t="shared" si="6"/>
        <v>79950</v>
      </c>
      <c r="GH67" s="564">
        <f t="shared" si="7"/>
        <v>79950</v>
      </c>
      <c r="GI67" s="564">
        <f t="shared" si="8"/>
        <v>79950</v>
      </c>
      <c r="GJ67" s="564">
        <f t="shared" si="9"/>
        <v>79950</v>
      </c>
      <c r="GK67" s="564">
        <f t="shared" si="10"/>
        <v>79950</v>
      </c>
      <c r="GL67" s="564">
        <f t="shared" si="11"/>
        <v>79950</v>
      </c>
      <c r="GM67" s="564">
        <f t="shared" si="12"/>
        <v>79950</v>
      </c>
      <c r="GN67" s="564">
        <f t="shared" si="13"/>
        <v>79950</v>
      </c>
      <c r="GO67" s="564">
        <f t="shared" si="14"/>
        <v>79950</v>
      </c>
      <c r="GP67" s="564"/>
      <c r="GS67" s="375" t="s">
        <v>1780</v>
      </c>
      <c r="GT67" s="374" t="str">
        <f t="shared" si="15"/>
        <v>〇</v>
      </c>
    </row>
    <row r="68" spans="2:202">
      <c r="B68" s="371">
        <v>64</v>
      </c>
      <c r="C68" s="378">
        <v>64</v>
      </c>
      <c r="D68" s="373" t="s">
        <v>1469</v>
      </c>
      <c r="E68" s="373" t="s">
        <v>14</v>
      </c>
      <c r="F68" s="603">
        <f t="shared" si="2"/>
        <v>40</v>
      </c>
      <c r="G68" s="603"/>
      <c r="H68" s="603">
        <v>23</v>
      </c>
      <c r="I68" s="603">
        <v>17</v>
      </c>
      <c r="J68" s="603"/>
      <c r="K68" s="603"/>
      <c r="L68" s="603"/>
      <c r="M68" s="603"/>
      <c r="N68" s="608"/>
      <c r="O68" s="603">
        <v>1577000</v>
      </c>
      <c r="P68" s="603">
        <v>2721000</v>
      </c>
      <c r="Q68" s="603">
        <v>2721000</v>
      </c>
      <c r="R68" s="603">
        <v>1791000</v>
      </c>
      <c r="S68" s="603">
        <v>0</v>
      </c>
      <c r="T68" s="603">
        <v>2181000</v>
      </c>
      <c r="U68" s="603">
        <v>0</v>
      </c>
      <c r="V68" s="603">
        <v>1051000</v>
      </c>
      <c r="W68" s="603">
        <v>1814000</v>
      </c>
      <c r="X68" s="603">
        <v>1814000</v>
      </c>
      <c r="Y68" s="603">
        <v>1194000</v>
      </c>
      <c r="Z68" s="603">
        <v>0</v>
      </c>
      <c r="AA68" s="603">
        <v>1454000</v>
      </c>
      <c r="AB68" s="603">
        <v>0</v>
      </c>
      <c r="AC68" s="603">
        <v>526000</v>
      </c>
      <c r="AD68" s="603">
        <v>907000</v>
      </c>
      <c r="AE68" s="603">
        <v>907000</v>
      </c>
      <c r="AF68" s="603">
        <v>597000</v>
      </c>
      <c r="AG68" s="603">
        <v>0</v>
      </c>
      <c r="AH68" s="603">
        <v>727000</v>
      </c>
      <c r="AI68" s="603">
        <v>0</v>
      </c>
      <c r="AJ68" s="604" t="s">
        <v>2377</v>
      </c>
      <c r="AK68" s="605" t="s">
        <v>2378</v>
      </c>
      <c r="AL68" s="605" t="s">
        <v>2490</v>
      </c>
      <c r="AM68" s="606" t="s">
        <v>2064</v>
      </c>
      <c r="AN68" s="609" t="s">
        <v>12</v>
      </c>
      <c r="AO68" s="610" t="s">
        <v>13</v>
      </c>
      <c r="AP68" s="610" t="s">
        <v>13</v>
      </c>
      <c r="AQ68" s="610" t="s">
        <v>13</v>
      </c>
      <c r="AR68" s="610" t="s">
        <v>13</v>
      </c>
      <c r="AS68" s="610" t="s">
        <v>13</v>
      </c>
      <c r="AT68" s="610" t="s">
        <v>13</v>
      </c>
      <c r="AU68" s="610" t="s">
        <v>13</v>
      </c>
      <c r="AV68" s="610" t="s">
        <v>13</v>
      </c>
      <c r="AW68" s="610" t="s">
        <v>13</v>
      </c>
      <c r="AX68" s="610" t="s">
        <v>13</v>
      </c>
      <c r="AY68" s="610" t="s">
        <v>13</v>
      </c>
      <c r="AZ68" s="610" t="s">
        <v>13</v>
      </c>
      <c r="BA68" s="610" t="s">
        <v>12</v>
      </c>
      <c r="BB68" s="610" t="s">
        <v>12</v>
      </c>
      <c r="BC68" s="610" t="s">
        <v>12</v>
      </c>
      <c r="BD68" s="610" t="s">
        <v>12</v>
      </c>
      <c r="BE68" s="610" t="s">
        <v>12</v>
      </c>
      <c r="BF68" s="610" t="s">
        <v>12</v>
      </c>
      <c r="BG68" s="610" t="s">
        <v>12</v>
      </c>
      <c r="BH68" s="610" t="s">
        <v>12</v>
      </c>
      <c r="BI68" s="610" t="s">
        <v>12</v>
      </c>
      <c r="BJ68" s="610" t="s">
        <v>12</v>
      </c>
      <c r="BK68" s="610" t="s">
        <v>12</v>
      </c>
      <c r="BL68" s="610" t="s">
        <v>12</v>
      </c>
      <c r="BM68" s="610">
        <v>1</v>
      </c>
      <c r="BN68" s="610">
        <v>1</v>
      </c>
      <c r="BO68" s="610">
        <v>1</v>
      </c>
      <c r="BP68" s="610">
        <v>1</v>
      </c>
      <c r="BQ68" s="610">
        <v>1</v>
      </c>
      <c r="BR68" s="610">
        <v>1</v>
      </c>
      <c r="BS68" s="610">
        <v>1</v>
      </c>
      <c r="BT68" s="610">
        <v>1</v>
      </c>
      <c r="BU68" s="610">
        <v>1</v>
      </c>
      <c r="BV68" s="610">
        <v>1</v>
      </c>
      <c r="BW68" s="610">
        <v>1</v>
      </c>
      <c r="BX68" s="610">
        <v>1</v>
      </c>
      <c r="BY68" s="610">
        <v>0</v>
      </c>
      <c r="BZ68" s="610">
        <v>0</v>
      </c>
      <c r="CA68" s="610">
        <v>0</v>
      </c>
      <c r="CB68" s="610">
        <v>0</v>
      </c>
      <c r="CC68" s="610">
        <v>0</v>
      </c>
      <c r="CD68" s="610">
        <v>0</v>
      </c>
      <c r="CE68" s="610">
        <v>0</v>
      </c>
      <c r="CF68" s="610">
        <v>0</v>
      </c>
      <c r="CG68" s="610">
        <v>0</v>
      </c>
      <c r="CH68" s="610">
        <v>0</v>
      </c>
      <c r="CI68" s="610">
        <v>0</v>
      </c>
      <c r="CJ68" s="610">
        <v>0</v>
      </c>
      <c r="CK68" s="610">
        <v>0</v>
      </c>
      <c r="CL68" s="610">
        <v>0</v>
      </c>
      <c r="CM68" s="610">
        <v>0</v>
      </c>
      <c r="CN68" s="610">
        <v>0</v>
      </c>
      <c r="CO68" s="610">
        <v>0</v>
      </c>
      <c r="CP68" s="610">
        <v>0</v>
      </c>
      <c r="CQ68" s="610">
        <v>0</v>
      </c>
      <c r="CR68" s="610">
        <v>0</v>
      </c>
      <c r="CS68" s="610">
        <v>0</v>
      </c>
      <c r="CT68" s="610">
        <v>0</v>
      </c>
      <c r="CU68" s="610">
        <v>0</v>
      </c>
      <c r="CV68" s="610">
        <v>0</v>
      </c>
      <c r="CW68" s="610" t="s">
        <v>14</v>
      </c>
      <c r="CX68" s="610">
        <v>0</v>
      </c>
      <c r="CY68" s="610" t="s">
        <v>1707</v>
      </c>
      <c r="CZ68" s="610" t="s">
        <v>1707</v>
      </c>
      <c r="DA68" s="610" t="s">
        <v>1707</v>
      </c>
      <c r="DB68" s="610" t="s">
        <v>1707</v>
      </c>
      <c r="DC68" s="610" t="s">
        <v>1707</v>
      </c>
      <c r="DD68" s="610" t="s">
        <v>1707</v>
      </c>
      <c r="DE68" s="610" t="s">
        <v>1707</v>
      </c>
      <c r="DF68" s="610" t="s">
        <v>1707</v>
      </c>
      <c r="DG68" s="610" t="s">
        <v>1707</v>
      </c>
      <c r="DH68" s="610" t="s">
        <v>1707</v>
      </c>
      <c r="DI68" s="610" t="s">
        <v>1707</v>
      </c>
      <c r="DJ68" s="610" t="s">
        <v>1707</v>
      </c>
      <c r="DK68" s="610" t="s">
        <v>1368</v>
      </c>
      <c r="DL68" s="610" t="s">
        <v>1368</v>
      </c>
      <c r="DM68" s="610" t="s">
        <v>1368</v>
      </c>
      <c r="DN68" s="610" t="s">
        <v>1368</v>
      </c>
      <c r="DO68" s="610" t="s">
        <v>1368</v>
      </c>
      <c r="DP68" s="610" t="s">
        <v>1368</v>
      </c>
      <c r="DQ68" s="610" t="s">
        <v>1368</v>
      </c>
      <c r="DR68" s="610" t="s">
        <v>1368</v>
      </c>
      <c r="DS68" s="610" t="s">
        <v>1368</v>
      </c>
      <c r="DT68" s="610" t="s">
        <v>1368</v>
      </c>
      <c r="DU68" s="610" t="s">
        <v>1368</v>
      </c>
      <c r="DV68" s="610" t="s">
        <v>1368</v>
      </c>
      <c r="DW68" s="609" t="s">
        <v>1368</v>
      </c>
      <c r="DX68" s="609" t="s">
        <v>1368</v>
      </c>
      <c r="DY68" s="609" t="s">
        <v>1368</v>
      </c>
      <c r="DZ68" s="609" t="s">
        <v>1368</v>
      </c>
      <c r="EA68" s="609" t="s">
        <v>1368</v>
      </c>
      <c r="EB68" s="609" t="s">
        <v>1368</v>
      </c>
      <c r="EC68" s="609" t="s">
        <v>1368</v>
      </c>
      <c r="ED68" s="609" t="s">
        <v>1368</v>
      </c>
      <c r="EE68" s="609" t="s">
        <v>1368</v>
      </c>
      <c r="EF68" s="609" t="s">
        <v>1368</v>
      </c>
      <c r="EG68" s="609" t="s">
        <v>1368</v>
      </c>
      <c r="EH68" s="609" t="s">
        <v>1368</v>
      </c>
      <c r="EI68" s="610" t="s">
        <v>1707</v>
      </c>
      <c r="EJ68" s="610" t="s">
        <v>1707</v>
      </c>
      <c r="EK68" s="610" t="s">
        <v>1707</v>
      </c>
      <c r="EL68" s="610" t="s">
        <v>1707</v>
      </c>
      <c r="EM68" s="610" t="s">
        <v>1707</v>
      </c>
      <c r="EN68" s="610" t="s">
        <v>1707</v>
      </c>
      <c r="EO68" s="610" t="s">
        <v>1707</v>
      </c>
      <c r="EP68" s="610" t="s">
        <v>1707</v>
      </c>
      <c r="EQ68" s="610" t="s">
        <v>1707</v>
      </c>
      <c r="ER68" s="610" t="s">
        <v>1707</v>
      </c>
      <c r="ES68" s="610" t="s">
        <v>1707</v>
      </c>
      <c r="ET68" s="610" t="s">
        <v>1707</v>
      </c>
      <c r="EU68" s="610">
        <v>3980</v>
      </c>
      <c r="EV68" s="610" t="s">
        <v>1707</v>
      </c>
      <c r="EW68" s="610" t="s">
        <v>1707</v>
      </c>
      <c r="EX68" s="610" t="s">
        <v>1707</v>
      </c>
      <c r="EY68" s="610" t="s">
        <v>1707</v>
      </c>
      <c r="EZ68" s="610" t="s">
        <v>1707</v>
      </c>
      <c r="FA68" s="610" t="s">
        <v>1707</v>
      </c>
      <c r="FB68" s="610" t="s">
        <v>1707</v>
      </c>
      <c r="FC68" s="610" t="s">
        <v>1707</v>
      </c>
      <c r="FD68" s="610" t="s">
        <v>1707</v>
      </c>
      <c r="FE68" s="610" t="s">
        <v>1707</v>
      </c>
      <c r="FF68" s="610" t="s">
        <v>1707</v>
      </c>
      <c r="FG68" s="610" t="s">
        <v>1707</v>
      </c>
      <c r="FH68" s="610">
        <v>14</v>
      </c>
      <c r="FI68" s="610">
        <v>14</v>
      </c>
      <c r="FJ68" s="610">
        <v>15</v>
      </c>
      <c r="FK68" s="610">
        <v>15</v>
      </c>
      <c r="FL68" s="610">
        <v>15</v>
      </c>
      <c r="FM68" s="610">
        <v>15</v>
      </c>
      <c r="FN68" s="610">
        <v>15</v>
      </c>
      <c r="FO68" s="610">
        <v>15</v>
      </c>
      <c r="FP68" s="610">
        <v>15</v>
      </c>
      <c r="FQ68" s="610">
        <v>15</v>
      </c>
      <c r="FR68" s="610" t="s">
        <v>2487</v>
      </c>
      <c r="FS68" s="610" t="s">
        <v>2487</v>
      </c>
      <c r="FT68" s="610" t="s">
        <v>2487</v>
      </c>
      <c r="FU68" s="610" t="s">
        <v>2487</v>
      </c>
      <c r="FV68" s="610" t="s">
        <v>2487</v>
      </c>
      <c r="FW68" s="610" t="s">
        <v>2487</v>
      </c>
      <c r="FX68" s="610" t="s">
        <v>2487</v>
      </c>
      <c r="FY68" s="610" t="s">
        <v>2487</v>
      </c>
      <c r="FZ68" s="610" t="s">
        <v>2487</v>
      </c>
      <c r="GA68" s="610" t="s">
        <v>2487</v>
      </c>
      <c r="GB68" s="610" t="s">
        <v>2487</v>
      </c>
      <c r="GC68" s="610" t="s">
        <v>2487</v>
      </c>
      <c r="GD68" s="564">
        <f t="shared" si="3"/>
        <v>79950</v>
      </c>
      <c r="GE68" s="564">
        <f t="shared" si="4"/>
        <v>79950</v>
      </c>
      <c r="GF68" s="564">
        <f t="shared" si="5"/>
        <v>79950</v>
      </c>
      <c r="GG68" s="564">
        <f t="shared" si="6"/>
        <v>79950</v>
      </c>
      <c r="GH68" s="564">
        <f t="shared" si="7"/>
        <v>79950</v>
      </c>
      <c r="GI68" s="564">
        <f t="shared" si="8"/>
        <v>79950</v>
      </c>
      <c r="GJ68" s="564">
        <f t="shared" si="9"/>
        <v>79950</v>
      </c>
      <c r="GK68" s="564">
        <f t="shared" si="10"/>
        <v>79950</v>
      </c>
      <c r="GL68" s="564">
        <f t="shared" si="11"/>
        <v>79950</v>
      </c>
      <c r="GM68" s="564">
        <f t="shared" si="12"/>
        <v>79950</v>
      </c>
      <c r="GN68" s="564">
        <f t="shared" si="13"/>
        <v>79950</v>
      </c>
      <c r="GO68" s="564">
        <f t="shared" si="14"/>
        <v>79950</v>
      </c>
      <c r="GP68" s="564"/>
      <c r="GS68" s="375" t="s">
        <v>1469</v>
      </c>
      <c r="GT68" s="374" t="str">
        <f t="shared" si="15"/>
        <v>〇</v>
      </c>
    </row>
    <row r="69" spans="2:202">
      <c r="B69" s="371">
        <v>65</v>
      </c>
      <c r="C69" s="378">
        <v>65</v>
      </c>
      <c r="D69" s="373" t="s">
        <v>1470</v>
      </c>
      <c r="E69" s="373" t="s">
        <v>14</v>
      </c>
      <c r="F69" s="603">
        <f t="shared" si="2"/>
        <v>30</v>
      </c>
      <c r="G69" s="603"/>
      <c r="H69" s="603">
        <v>17</v>
      </c>
      <c r="I69" s="603">
        <v>13</v>
      </c>
      <c r="J69" s="603"/>
      <c r="K69" s="603"/>
      <c r="L69" s="603"/>
      <c r="M69" s="603"/>
      <c r="N69" s="608"/>
      <c r="O69" s="603">
        <v>1577000</v>
      </c>
      <c r="P69" s="603">
        <v>0</v>
      </c>
      <c r="Q69" s="603">
        <v>0</v>
      </c>
      <c r="R69" s="603">
        <v>1188000</v>
      </c>
      <c r="S69" s="603">
        <v>0</v>
      </c>
      <c r="T69" s="603">
        <v>0</v>
      </c>
      <c r="U69" s="603">
        <v>0</v>
      </c>
      <c r="V69" s="603">
        <v>0</v>
      </c>
      <c r="W69" s="603">
        <v>0</v>
      </c>
      <c r="X69" s="603">
        <v>0</v>
      </c>
      <c r="Y69" s="603">
        <v>0</v>
      </c>
      <c r="Z69" s="603">
        <v>0</v>
      </c>
      <c r="AA69" s="603">
        <v>0</v>
      </c>
      <c r="AB69" s="603">
        <v>0</v>
      </c>
      <c r="AC69" s="603">
        <v>0</v>
      </c>
      <c r="AD69" s="603">
        <v>0</v>
      </c>
      <c r="AE69" s="603">
        <v>0</v>
      </c>
      <c r="AF69" s="603">
        <v>0</v>
      </c>
      <c r="AG69" s="603">
        <v>0</v>
      </c>
      <c r="AH69" s="603">
        <v>0</v>
      </c>
      <c r="AI69" s="603">
        <v>0</v>
      </c>
      <c r="AJ69" s="604" t="s">
        <v>2377</v>
      </c>
      <c r="AK69" s="605" t="s">
        <v>1545</v>
      </c>
      <c r="AL69" s="605" t="s">
        <v>1545</v>
      </c>
      <c r="AM69" s="606" t="s">
        <v>2065</v>
      </c>
      <c r="AN69" s="609" t="s">
        <v>12</v>
      </c>
      <c r="AO69" s="610" t="s">
        <v>1368</v>
      </c>
      <c r="AP69" s="610" t="s">
        <v>1368</v>
      </c>
      <c r="AQ69" s="610" t="s">
        <v>1368</v>
      </c>
      <c r="AR69" s="610" t="s">
        <v>1368</v>
      </c>
      <c r="AS69" s="610" t="s">
        <v>1368</v>
      </c>
      <c r="AT69" s="610" t="s">
        <v>1368</v>
      </c>
      <c r="AU69" s="610" t="s">
        <v>1368</v>
      </c>
      <c r="AV69" s="610" t="s">
        <v>1368</v>
      </c>
      <c r="AW69" s="610" t="s">
        <v>1368</v>
      </c>
      <c r="AX69" s="610" t="s">
        <v>1368</v>
      </c>
      <c r="AY69" s="610" t="s">
        <v>1368</v>
      </c>
      <c r="AZ69" s="610" t="s">
        <v>1368</v>
      </c>
      <c r="BA69" s="610" t="s">
        <v>1368</v>
      </c>
      <c r="BB69" s="610" t="s">
        <v>1368</v>
      </c>
      <c r="BC69" s="610" t="s">
        <v>1368</v>
      </c>
      <c r="BD69" s="610" t="s">
        <v>1368</v>
      </c>
      <c r="BE69" s="610" t="s">
        <v>1368</v>
      </c>
      <c r="BF69" s="610" t="s">
        <v>1368</v>
      </c>
      <c r="BG69" s="610" t="s">
        <v>1368</v>
      </c>
      <c r="BH69" s="610" t="s">
        <v>1368</v>
      </c>
      <c r="BI69" s="610" t="s">
        <v>1368</v>
      </c>
      <c r="BJ69" s="610" t="s">
        <v>1368</v>
      </c>
      <c r="BK69" s="610" t="s">
        <v>1368</v>
      </c>
      <c r="BL69" s="610" t="s">
        <v>1368</v>
      </c>
      <c r="BM69" s="610">
        <v>1</v>
      </c>
      <c r="BN69" s="610">
        <v>1</v>
      </c>
      <c r="BO69" s="610">
        <v>1</v>
      </c>
      <c r="BP69" s="610">
        <v>1</v>
      </c>
      <c r="BQ69" s="610">
        <v>1</v>
      </c>
      <c r="BR69" s="610">
        <v>1</v>
      </c>
      <c r="BS69" s="610">
        <v>1</v>
      </c>
      <c r="BT69" s="610">
        <v>1</v>
      </c>
      <c r="BU69" s="610">
        <v>1</v>
      </c>
      <c r="BV69" s="610">
        <v>1</v>
      </c>
      <c r="BW69" s="610">
        <v>1</v>
      </c>
      <c r="BX69" s="610">
        <v>1</v>
      </c>
      <c r="BY69" s="610">
        <v>0</v>
      </c>
      <c r="BZ69" s="610">
        <v>0</v>
      </c>
      <c r="CA69" s="610">
        <v>0</v>
      </c>
      <c r="CB69" s="610">
        <v>0</v>
      </c>
      <c r="CC69" s="610">
        <v>0</v>
      </c>
      <c r="CD69" s="610">
        <v>0</v>
      </c>
      <c r="CE69" s="610">
        <v>0</v>
      </c>
      <c r="CF69" s="610">
        <v>0</v>
      </c>
      <c r="CG69" s="610">
        <v>0</v>
      </c>
      <c r="CH69" s="610">
        <v>0</v>
      </c>
      <c r="CI69" s="610">
        <v>0</v>
      </c>
      <c r="CJ69" s="610">
        <v>0</v>
      </c>
      <c r="CK69" s="610">
        <v>0</v>
      </c>
      <c r="CL69" s="610">
        <v>0</v>
      </c>
      <c r="CM69" s="610">
        <v>0</v>
      </c>
      <c r="CN69" s="610">
        <v>0</v>
      </c>
      <c r="CO69" s="610">
        <v>0</v>
      </c>
      <c r="CP69" s="610">
        <v>0</v>
      </c>
      <c r="CQ69" s="610">
        <v>0</v>
      </c>
      <c r="CR69" s="610">
        <v>0</v>
      </c>
      <c r="CS69" s="610">
        <v>0</v>
      </c>
      <c r="CT69" s="610">
        <v>0</v>
      </c>
      <c r="CU69" s="610">
        <v>0</v>
      </c>
      <c r="CV69" s="610">
        <v>0</v>
      </c>
      <c r="CW69" s="610" t="s">
        <v>14</v>
      </c>
      <c r="CX69" s="610">
        <v>0</v>
      </c>
      <c r="CY69" s="610" t="s">
        <v>1707</v>
      </c>
      <c r="CZ69" s="610" t="s">
        <v>1707</v>
      </c>
      <c r="DA69" s="610" t="s">
        <v>1707</v>
      </c>
      <c r="DB69" s="610" t="s">
        <v>1707</v>
      </c>
      <c r="DC69" s="610" t="s">
        <v>1707</v>
      </c>
      <c r="DD69" s="610" t="s">
        <v>1707</v>
      </c>
      <c r="DE69" s="610" t="s">
        <v>1707</v>
      </c>
      <c r="DF69" s="610" t="s">
        <v>1707</v>
      </c>
      <c r="DG69" s="610" t="s">
        <v>1707</v>
      </c>
      <c r="DH69" s="610" t="s">
        <v>1707</v>
      </c>
      <c r="DI69" s="610" t="s">
        <v>1707</v>
      </c>
      <c r="DJ69" s="610" t="s">
        <v>1707</v>
      </c>
      <c r="DK69" s="610" t="s">
        <v>1368</v>
      </c>
      <c r="DL69" s="610" t="s">
        <v>1368</v>
      </c>
      <c r="DM69" s="610" t="s">
        <v>1368</v>
      </c>
      <c r="DN69" s="610" t="s">
        <v>1368</v>
      </c>
      <c r="DO69" s="610" t="s">
        <v>1368</v>
      </c>
      <c r="DP69" s="610" t="s">
        <v>1368</v>
      </c>
      <c r="DQ69" s="610" t="s">
        <v>1368</v>
      </c>
      <c r="DR69" s="610" t="s">
        <v>1368</v>
      </c>
      <c r="DS69" s="610" t="s">
        <v>1368</v>
      </c>
      <c r="DT69" s="610" t="s">
        <v>1368</v>
      </c>
      <c r="DU69" s="610" t="s">
        <v>1368</v>
      </c>
      <c r="DV69" s="610" t="s">
        <v>1368</v>
      </c>
      <c r="DW69" s="609" t="s">
        <v>1368</v>
      </c>
      <c r="DX69" s="609" t="s">
        <v>1368</v>
      </c>
      <c r="DY69" s="609" t="s">
        <v>1368</v>
      </c>
      <c r="DZ69" s="609" t="s">
        <v>1368</v>
      </c>
      <c r="EA69" s="609" t="s">
        <v>1368</v>
      </c>
      <c r="EB69" s="609" t="s">
        <v>1368</v>
      </c>
      <c r="EC69" s="609" t="s">
        <v>1368</v>
      </c>
      <c r="ED69" s="609" t="s">
        <v>1368</v>
      </c>
      <c r="EE69" s="609" t="s">
        <v>1368</v>
      </c>
      <c r="EF69" s="609" t="s">
        <v>1368</v>
      </c>
      <c r="EG69" s="609" t="s">
        <v>1368</v>
      </c>
      <c r="EH69" s="609" t="s">
        <v>1368</v>
      </c>
      <c r="EI69" s="610" t="s">
        <v>1707</v>
      </c>
      <c r="EJ69" s="610" t="s">
        <v>1707</v>
      </c>
      <c r="EK69" s="610" t="s">
        <v>1707</v>
      </c>
      <c r="EL69" s="610" t="s">
        <v>1707</v>
      </c>
      <c r="EM69" s="610" t="s">
        <v>1707</v>
      </c>
      <c r="EN69" s="610" t="s">
        <v>1707</v>
      </c>
      <c r="EO69" s="610" t="s">
        <v>1707</v>
      </c>
      <c r="EP69" s="610" t="s">
        <v>1707</v>
      </c>
      <c r="EQ69" s="610" t="s">
        <v>1707</v>
      </c>
      <c r="ER69" s="610" t="s">
        <v>1707</v>
      </c>
      <c r="ES69" s="610" t="s">
        <v>1707</v>
      </c>
      <c r="ET69" s="610" t="s">
        <v>1707</v>
      </c>
      <c r="EU69" s="610">
        <v>4010</v>
      </c>
      <c r="EV69" s="610" t="s">
        <v>1707</v>
      </c>
      <c r="EW69" s="610" t="s">
        <v>1707</v>
      </c>
      <c r="EX69" s="610" t="s">
        <v>1707</v>
      </c>
      <c r="EY69" s="610" t="s">
        <v>1707</v>
      </c>
      <c r="EZ69" s="610" t="s">
        <v>1707</v>
      </c>
      <c r="FA69" s="610" t="s">
        <v>1707</v>
      </c>
      <c r="FB69" s="610" t="s">
        <v>1707</v>
      </c>
      <c r="FC69" s="610" t="s">
        <v>1707</v>
      </c>
      <c r="FD69" s="610" t="s">
        <v>1707</v>
      </c>
      <c r="FE69" s="610" t="s">
        <v>1707</v>
      </c>
      <c r="FF69" s="610" t="s">
        <v>1707</v>
      </c>
      <c r="FG69" s="610" t="s">
        <v>1707</v>
      </c>
      <c r="FH69" s="610">
        <v>12</v>
      </c>
      <c r="FI69" s="610">
        <v>12</v>
      </c>
      <c r="FJ69" s="610">
        <v>12</v>
      </c>
      <c r="FK69" s="610">
        <v>12</v>
      </c>
      <c r="FL69" s="610">
        <v>12</v>
      </c>
      <c r="FM69" s="610">
        <v>12</v>
      </c>
      <c r="FN69" s="610">
        <v>12</v>
      </c>
      <c r="FO69" s="610">
        <v>12</v>
      </c>
      <c r="FP69" s="610">
        <v>12</v>
      </c>
      <c r="FQ69" s="610">
        <v>12</v>
      </c>
      <c r="FR69" s="610" t="s">
        <v>2487</v>
      </c>
      <c r="FS69" s="610" t="s">
        <v>2487</v>
      </c>
      <c r="FT69" s="610" t="s">
        <v>2487</v>
      </c>
      <c r="FU69" s="610" t="s">
        <v>2487</v>
      </c>
      <c r="FV69" s="610" t="s">
        <v>2487</v>
      </c>
      <c r="FW69" s="610" t="s">
        <v>2487</v>
      </c>
      <c r="FX69" s="610" t="s">
        <v>2487</v>
      </c>
      <c r="FY69" s="610" t="s">
        <v>2487</v>
      </c>
      <c r="FZ69" s="610" t="s">
        <v>2487</v>
      </c>
      <c r="GA69" s="610" t="s">
        <v>2487</v>
      </c>
      <c r="GB69" s="610" t="s">
        <v>2487</v>
      </c>
      <c r="GC69" s="610" t="s">
        <v>2487</v>
      </c>
      <c r="GD69" s="564">
        <f t="shared" si="3"/>
        <v>79950</v>
      </c>
      <c r="GE69" s="564">
        <f t="shared" si="4"/>
        <v>79950</v>
      </c>
      <c r="GF69" s="564">
        <f t="shared" si="5"/>
        <v>79950</v>
      </c>
      <c r="GG69" s="564">
        <f t="shared" si="6"/>
        <v>79950</v>
      </c>
      <c r="GH69" s="564">
        <f t="shared" si="7"/>
        <v>79950</v>
      </c>
      <c r="GI69" s="564">
        <f t="shared" si="8"/>
        <v>79950</v>
      </c>
      <c r="GJ69" s="564">
        <f t="shared" si="9"/>
        <v>79950</v>
      </c>
      <c r="GK69" s="564">
        <f t="shared" si="10"/>
        <v>79950</v>
      </c>
      <c r="GL69" s="564">
        <f t="shared" si="11"/>
        <v>79950</v>
      </c>
      <c r="GM69" s="564">
        <f t="shared" si="12"/>
        <v>79950</v>
      </c>
      <c r="GN69" s="564">
        <f t="shared" si="13"/>
        <v>79950</v>
      </c>
      <c r="GO69" s="564">
        <f t="shared" si="14"/>
        <v>79950</v>
      </c>
      <c r="GP69" s="564"/>
      <c r="GS69" s="375" t="s">
        <v>1470</v>
      </c>
      <c r="GT69" s="374" t="str">
        <f t="shared" ref="GT69:GT100" si="16">IF(D69=GS69,"〇","✕")</f>
        <v>〇</v>
      </c>
    </row>
    <row r="70" spans="2:202">
      <c r="B70" s="371">
        <v>66</v>
      </c>
      <c r="C70" s="378">
        <v>66</v>
      </c>
      <c r="D70" s="373" t="s">
        <v>1471</v>
      </c>
      <c r="E70" s="373" t="s">
        <v>14</v>
      </c>
      <c r="F70" s="603">
        <f t="shared" ref="F70:F133" si="17">SUM(G70:I70)</f>
        <v>59</v>
      </c>
      <c r="G70" s="603"/>
      <c r="H70" s="603">
        <v>33</v>
      </c>
      <c r="I70" s="603">
        <v>26</v>
      </c>
      <c r="J70" s="603"/>
      <c r="K70" s="603"/>
      <c r="L70" s="603"/>
      <c r="M70" s="603"/>
      <c r="N70" s="608"/>
      <c r="O70" s="603">
        <v>1577000</v>
      </c>
      <c r="P70" s="603">
        <v>2721000</v>
      </c>
      <c r="Q70" s="603">
        <v>2721000</v>
      </c>
      <c r="R70" s="603">
        <v>1791000</v>
      </c>
      <c r="S70" s="603">
        <v>0</v>
      </c>
      <c r="T70" s="603">
        <v>0</v>
      </c>
      <c r="U70" s="603">
        <v>0</v>
      </c>
      <c r="V70" s="603">
        <v>1051000</v>
      </c>
      <c r="W70" s="603">
        <v>1814000</v>
      </c>
      <c r="X70" s="603">
        <v>1814000</v>
      </c>
      <c r="Y70" s="603">
        <v>1194000</v>
      </c>
      <c r="Z70" s="603">
        <v>0</v>
      </c>
      <c r="AA70" s="603">
        <v>0</v>
      </c>
      <c r="AB70" s="603">
        <v>0</v>
      </c>
      <c r="AC70" s="603">
        <v>526000</v>
      </c>
      <c r="AD70" s="603">
        <v>907000</v>
      </c>
      <c r="AE70" s="603">
        <v>907000</v>
      </c>
      <c r="AF70" s="603">
        <v>597000</v>
      </c>
      <c r="AG70" s="603">
        <v>0</v>
      </c>
      <c r="AH70" s="603">
        <v>0</v>
      </c>
      <c r="AI70" s="603">
        <v>0</v>
      </c>
      <c r="AJ70" s="604" t="s">
        <v>2377</v>
      </c>
      <c r="AK70" s="605" t="s">
        <v>2378</v>
      </c>
      <c r="AL70" s="605" t="s">
        <v>2490</v>
      </c>
      <c r="AM70" s="606" t="s">
        <v>2066</v>
      </c>
      <c r="AN70" s="609" t="s">
        <v>12</v>
      </c>
      <c r="AO70" s="610" t="s">
        <v>1368</v>
      </c>
      <c r="AP70" s="610" t="s">
        <v>1368</v>
      </c>
      <c r="AQ70" s="610" t="s">
        <v>1368</v>
      </c>
      <c r="AR70" s="610" t="s">
        <v>1368</v>
      </c>
      <c r="AS70" s="610" t="s">
        <v>1368</v>
      </c>
      <c r="AT70" s="610" t="s">
        <v>1368</v>
      </c>
      <c r="AU70" s="610" t="s">
        <v>1368</v>
      </c>
      <c r="AV70" s="610" t="s">
        <v>1368</v>
      </c>
      <c r="AW70" s="610" t="s">
        <v>1368</v>
      </c>
      <c r="AX70" s="610" t="s">
        <v>1368</v>
      </c>
      <c r="AY70" s="610" t="s">
        <v>1368</v>
      </c>
      <c r="AZ70" s="610" t="s">
        <v>1368</v>
      </c>
      <c r="BA70" s="610" t="s">
        <v>1368</v>
      </c>
      <c r="BB70" s="610" t="s">
        <v>1368</v>
      </c>
      <c r="BC70" s="610" t="s">
        <v>1368</v>
      </c>
      <c r="BD70" s="610" t="s">
        <v>1368</v>
      </c>
      <c r="BE70" s="610" t="s">
        <v>1368</v>
      </c>
      <c r="BF70" s="610" t="s">
        <v>1368</v>
      </c>
      <c r="BG70" s="610" t="s">
        <v>1368</v>
      </c>
      <c r="BH70" s="610" t="s">
        <v>1368</v>
      </c>
      <c r="BI70" s="610" t="s">
        <v>1368</v>
      </c>
      <c r="BJ70" s="610" t="s">
        <v>1368</v>
      </c>
      <c r="BK70" s="610" t="s">
        <v>1368</v>
      </c>
      <c r="BL70" s="610" t="s">
        <v>1368</v>
      </c>
      <c r="BM70" s="610">
        <v>0</v>
      </c>
      <c r="BN70" s="610">
        <v>0</v>
      </c>
      <c r="BO70" s="610">
        <v>0</v>
      </c>
      <c r="BP70" s="610">
        <v>0</v>
      </c>
      <c r="BQ70" s="610">
        <v>0</v>
      </c>
      <c r="BR70" s="610">
        <v>0</v>
      </c>
      <c r="BS70" s="610">
        <v>0</v>
      </c>
      <c r="BT70" s="610">
        <v>0</v>
      </c>
      <c r="BU70" s="610">
        <v>0</v>
      </c>
      <c r="BV70" s="610">
        <v>0</v>
      </c>
      <c r="BW70" s="610">
        <v>0</v>
      </c>
      <c r="BX70" s="610">
        <v>0</v>
      </c>
      <c r="BY70" s="610">
        <v>0</v>
      </c>
      <c r="BZ70" s="610">
        <v>0</v>
      </c>
      <c r="CA70" s="610">
        <v>0</v>
      </c>
      <c r="CB70" s="610">
        <v>0</v>
      </c>
      <c r="CC70" s="610">
        <v>0</v>
      </c>
      <c r="CD70" s="610">
        <v>0</v>
      </c>
      <c r="CE70" s="610">
        <v>0</v>
      </c>
      <c r="CF70" s="610">
        <v>0</v>
      </c>
      <c r="CG70" s="610">
        <v>0</v>
      </c>
      <c r="CH70" s="610">
        <v>0</v>
      </c>
      <c r="CI70" s="610">
        <v>0</v>
      </c>
      <c r="CJ70" s="610">
        <v>0</v>
      </c>
      <c r="CK70" s="610">
        <v>0</v>
      </c>
      <c r="CL70" s="610">
        <v>0</v>
      </c>
      <c r="CM70" s="610">
        <v>0</v>
      </c>
      <c r="CN70" s="610">
        <v>0</v>
      </c>
      <c r="CO70" s="610">
        <v>0</v>
      </c>
      <c r="CP70" s="610">
        <v>0</v>
      </c>
      <c r="CQ70" s="610">
        <v>0</v>
      </c>
      <c r="CR70" s="610">
        <v>0</v>
      </c>
      <c r="CS70" s="610">
        <v>0</v>
      </c>
      <c r="CT70" s="610">
        <v>0</v>
      </c>
      <c r="CU70" s="610">
        <v>0</v>
      </c>
      <c r="CV70" s="610">
        <v>0</v>
      </c>
      <c r="CW70" s="610" t="s">
        <v>14</v>
      </c>
      <c r="CX70" s="610">
        <v>0</v>
      </c>
      <c r="CY70" s="610" t="s">
        <v>1707</v>
      </c>
      <c r="CZ70" s="610" t="s">
        <v>1707</v>
      </c>
      <c r="DA70" s="610" t="s">
        <v>1707</v>
      </c>
      <c r="DB70" s="610" t="s">
        <v>1707</v>
      </c>
      <c r="DC70" s="610" t="s">
        <v>1707</v>
      </c>
      <c r="DD70" s="610" t="s">
        <v>1707</v>
      </c>
      <c r="DE70" s="610" t="s">
        <v>1707</v>
      </c>
      <c r="DF70" s="610" t="s">
        <v>1707</v>
      </c>
      <c r="DG70" s="610" t="s">
        <v>1707</v>
      </c>
      <c r="DH70" s="610" t="s">
        <v>1707</v>
      </c>
      <c r="DI70" s="610" t="s">
        <v>1707</v>
      </c>
      <c r="DJ70" s="610" t="s">
        <v>1707</v>
      </c>
      <c r="DK70" s="610" t="s">
        <v>1368</v>
      </c>
      <c r="DL70" s="610" t="s">
        <v>1368</v>
      </c>
      <c r="DM70" s="610" t="s">
        <v>1368</v>
      </c>
      <c r="DN70" s="610" t="s">
        <v>1368</v>
      </c>
      <c r="DO70" s="610" t="s">
        <v>1368</v>
      </c>
      <c r="DP70" s="610" t="s">
        <v>1368</v>
      </c>
      <c r="DQ70" s="610" t="s">
        <v>1368</v>
      </c>
      <c r="DR70" s="610" t="s">
        <v>1368</v>
      </c>
      <c r="DS70" s="610" t="s">
        <v>1368</v>
      </c>
      <c r="DT70" s="610" t="s">
        <v>1368</v>
      </c>
      <c r="DU70" s="610" t="s">
        <v>1368</v>
      </c>
      <c r="DV70" s="610" t="s">
        <v>1368</v>
      </c>
      <c r="DW70" s="609" t="s">
        <v>1368</v>
      </c>
      <c r="DX70" s="609" t="s">
        <v>1368</v>
      </c>
      <c r="DY70" s="609" t="s">
        <v>1368</v>
      </c>
      <c r="DZ70" s="609" t="s">
        <v>1368</v>
      </c>
      <c r="EA70" s="609" t="s">
        <v>1368</v>
      </c>
      <c r="EB70" s="609" t="s">
        <v>1368</v>
      </c>
      <c r="EC70" s="609" t="s">
        <v>1368</v>
      </c>
      <c r="ED70" s="609" t="s">
        <v>1368</v>
      </c>
      <c r="EE70" s="609" t="s">
        <v>1368</v>
      </c>
      <c r="EF70" s="609" t="s">
        <v>1368</v>
      </c>
      <c r="EG70" s="609" t="s">
        <v>1368</v>
      </c>
      <c r="EH70" s="609" t="s">
        <v>1368</v>
      </c>
      <c r="EI70" s="610" t="s">
        <v>1707</v>
      </c>
      <c r="EJ70" s="610" t="s">
        <v>1707</v>
      </c>
      <c r="EK70" s="610" t="s">
        <v>1707</v>
      </c>
      <c r="EL70" s="610" t="s">
        <v>1707</v>
      </c>
      <c r="EM70" s="610" t="s">
        <v>1707</v>
      </c>
      <c r="EN70" s="610" t="s">
        <v>1707</v>
      </c>
      <c r="EO70" s="610" t="s">
        <v>1707</v>
      </c>
      <c r="EP70" s="610" t="s">
        <v>1707</v>
      </c>
      <c r="EQ70" s="610" t="s">
        <v>1707</v>
      </c>
      <c r="ER70" s="610" t="s">
        <v>1707</v>
      </c>
      <c r="ES70" s="610" t="s">
        <v>1707</v>
      </c>
      <c r="ET70" s="610" t="s">
        <v>1707</v>
      </c>
      <c r="EU70" s="610">
        <v>4010</v>
      </c>
      <c r="EV70" s="610" t="s">
        <v>1707</v>
      </c>
      <c r="EW70" s="610" t="s">
        <v>1707</v>
      </c>
      <c r="EX70" s="610" t="s">
        <v>1707</v>
      </c>
      <c r="EY70" s="610" t="s">
        <v>1707</v>
      </c>
      <c r="EZ70" s="610" t="s">
        <v>1707</v>
      </c>
      <c r="FA70" s="610" t="s">
        <v>1707</v>
      </c>
      <c r="FB70" s="610" t="s">
        <v>1707</v>
      </c>
      <c r="FC70" s="610" t="s">
        <v>1707</v>
      </c>
      <c r="FD70" s="610" t="s">
        <v>1707</v>
      </c>
      <c r="FE70" s="610" t="s">
        <v>1707</v>
      </c>
      <c r="FF70" s="610" t="s">
        <v>1707</v>
      </c>
      <c r="FG70" s="610" t="s">
        <v>1707</v>
      </c>
      <c r="FH70" s="610">
        <v>22</v>
      </c>
      <c r="FI70" s="610">
        <v>22</v>
      </c>
      <c r="FJ70" s="610">
        <v>22</v>
      </c>
      <c r="FK70" s="610">
        <v>22</v>
      </c>
      <c r="FL70" s="610">
        <v>22</v>
      </c>
      <c r="FM70" s="610">
        <v>22</v>
      </c>
      <c r="FN70" s="610">
        <v>22</v>
      </c>
      <c r="FO70" s="610">
        <v>22</v>
      </c>
      <c r="FP70" s="610">
        <v>22</v>
      </c>
      <c r="FQ70" s="610">
        <v>22</v>
      </c>
      <c r="FR70" s="610" t="s">
        <v>2487</v>
      </c>
      <c r="FS70" s="610" t="s">
        <v>2487</v>
      </c>
      <c r="FT70" s="610" t="s">
        <v>2487</v>
      </c>
      <c r="FU70" s="610" t="s">
        <v>2487</v>
      </c>
      <c r="FV70" s="610" t="s">
        <v>2487</v>
      </c>
      <c r="FW70" s="610" t="s">
        <v>2487</v>
      </c>
      <c r="FX70" s="610" t="s">
        <v>2487</v>
      </c>
      <c r="FY70" s="610" t="s">
        <v>2487</v>
      </c>
      <c r="FZ70" s="610" t="s">
        <v>2487</v>
      </c>
      <c r="GA70" s="610" t="s">
        <v>2487</v>
      </c>
      <c r="GB70" s="610" t="s">
        <v>2487</v>
      </c>
      <c r="GC70" s="610" t="s">
        <v>2487</v>
      </c>
      <c r="GD70" s="564">
        <f t="shared" ref="GD70:GD133" si="18">IF(FR70="配置",$GD$3,"")</f>
        <v>79950</v>
      </c>
      <c r="GE70" s="564">
        <f t="shared" ref="GE70:GE133" si="19">IF(FS70="配置",$GD$3,"")</f>
        <v>79950</v>
      </c>
      <c r="GF70" s="564">
        <f t="shared" ref="GF70:GF133" si="20">IF(FT70="配置",$GD$3,"")</f>
        <v>79950</v>
      </c>
      <c r="GG70" s="564">
        <f t="shared" ref="GG70:GG133" si="21">IF(FU70="配置",$GD$3,"")</f>
        <v>79950</v>
      </c>
      <c r="GH70" s="564">
        <f t="shared" ref="GH70:GH133" si="22">IF(FV70="配置",$GD$3,"")</f>
        <v>79950</v>
      </c>
      <c r="GI70" s="564">
        <f t="shared" ref="GI70:GI133" si="23">IF(FW70="配置",$GD$3,"")</f>
        <v>79950</v>
      </c>
      <c r="GJ70" s="564">
        <f t="shared" ref="GJ70:GJ133" si="24">IF(FX70="配置",$GD$3,"")</f>
        <v>79950</v>
      </c>
      <c r="GK70" s="564">
        <f t="shared" ref="GK70:GK133" si="25">IF(FY70="配置",$GD$3,"")</f>
        <v>79950</v>
      </c>
      <c r="GL70" s="564">
        <f t="shared" ref="GL70:GL133" si="26">IF(FZ70="配置",$GD$3,"")</f>
        <v>79950</v>
      </c>
      <c r="GM70" s="564">
        <f t="shared" ref="GM70:GM133" si="27">IF(GA70="配置",$GD$3,"")</f>
        <v>79950</v>
      </c>
      <c r="GN70" s="564">
        <f t="shared" ref="GN70:GN133" si="28">IF(GB70="配置",$GD$3,"")</f>
        <v>79950</v>
      </c>
      <c r="GO70" s="564">
        <f t="shared" ref="GO70:GO133" si="29">IF(GC70="配置",$GD$3,"")</f>
        <v>79950</v>
      </c>
      <c r="GP70" s="564"/>
      <c r="GS70" s="375" t="s">
        <v>1471</v>
      </c>
      <c r="GT70" s="374" t="str">
        <f t="shared" si="16"/>
        <v>〇</v>
      </c>
    </row>
    <row r="71" spans="2:202">
      <c r="B71" s="371">
        <v>67</v>
      </c>
      <c r="C71" s="378">
        <v>67</v>
      </c>
      <c r="D71" s="373" t="s">
        <v>1472</v>
      </c>
      <c r="E71" s="373" t="s">
        <v>1707</v>
      </c>
      <c r="F71" s="603">
        <f t="shared" si="17"/>
        <v>79</v>
      </c>
      <c r="G71" s="603"/>
      <c r="H71" s="603">
        <v>39</v>
      </c>
      <c r="I71" s="603">
        <v>40</v>
      </c>
      <c r="J71" s="603">
        <v>20</v>
      </c>
      <c r="K71" s="603"/>
      <c r="L71" s="603">
        <v>20</v>
      </c>
      <c r="M71" s="603">
        <v>0</v>
      </c>
      <c r="N71" s="608"/>
      <c r="O71" s="603">
        <v>1577000</v>
      </c>
      <c r="P71" s="603">
        <v>2721000</v>
      </c>
      <c r="Q71" s="603">
        <v>2721000</v>
      </c>
      <c r="R71" s="603">
        <v>1791000</v>
      </c>
      <c r="S71" s="603">
        <v>0</v>
      </c>
      <c r="T71" s="603">
        <v>4362000</v>
      </c>
      <c r="U71" s="603">
        <v>0</v>
      </c>
      <c r="V71" s="603">
        <v>1051000</v>
      </c>
      <c r="W71" s="603">
        <v>1814000</v>
      </c>
      <c r="X71" s="603">
        <v>1814000</v>
      </c>
      <c r="Y71" s="603">
        <v>1194000</v>
      </c>
      <c r="Z71" s="603">
        <v>0</v>
      </c>
      <c r="AA71" s="603">
        <v>2908000</v>
      </c>
      <c r="AB71" s="603">
        <v>0</v>
      </c>
      <c r="AC71" s="603">
        <v>0</v>
      </c>
      <c r="AD71" s="603">
        <v>0</v>
      </c>
      <c r="AE71" s="603">
        <v>0</v>
      </c>
      <c r="AF71" s="603">
        <v>0</v>
      </c>
      <c r="AG71" s="603">
        <v>0</v>
      </c>
      <c r="AH71" s="603">
        <v>0</v>
      </c>
      <c r="AI71" s="603">
        <v>0</v>
      </c>
      <c r="AJ71" s="604" t="s">
        <v>2377</v>
      </c>
      <c r="AK71" s="605" t="s">
        <v>2378</v>
      </c>
      <c r="AL71" s="605" t="s">
        <v>1545</v>
      </c>
      <c r="AM71" s="606" t="s">
        <v>2067</v>
      </c>
      <c r="AN71" s="609" t="s">
        <v>12</v>
      </c>
      <c r="AO71" s="610" t="s">
        <v>13</v>
      </c>
      <c r="AP71" s="610" t="s">
        <v>13</v>
      </c>
      <c r="AQ71" s="610" t="s">
        <v>13</v>
      </c>
      <c r="AR71" s="610" t="s">
        <v>13</v>
      </c>
      <c r="AS71" s="610" t="s">
        <v>13</v>
      </c>
      <c r="AT71" s="610" t="s">
        <v>13</v>
      </c>
      <c r="AU71" s="610" t="s">
        <v>13</v>
      </c>
      <c r="AV71" s="610" t="s">
        <v>13</v>
      </c>
      <c r="AW71" s="610" t="s">
        <v>13</v>
      </c>
      <c r="AX71" s="610" t="s">
        <v>13</v>
      </c>
      <c r="AY71" s="610" t="s">
        <v>13</v>
      </c>
      <c r="AZ71" s="610" t="s">
        <v>13</v>
      </c>
      <c r="BA71" s="610" t="s">
        <v>12</v>
      </c>
      <c r="BB71" s="610" t="s">
        <v>12</v>
      </c>
      <c r="BC71" s="610" t="s">
        <v>12</v>
      </c>
      <c r="BD71" s="610" t="s">
        <v>12</v>
      </c>
      <c r="BE71" s="610" t="s">
        <v>12</v>
      </c>
      <c r="BF71" s="610" t="s">
        <v>12</v>
      </c>
      <c r="BG71" s="610" t="s">
        <v>12</v>
      </c>
      <c r="BH71" s="610" t="s">
        <v>12</v>
      </c>
      <c r="BI71" s="610" t="s">
        <v>12</v>
      </c>
      <c r="BJ71" s="610" t="s">
        <v>12</v>
      </c>
      <c r="BK71" s="610" t="s">
        <v>12</v>
      </c>
      <c r="BL71" s="610" t="s">
        <v>12</v>
      </c>
      <c r="BM71" s="610">
        <v>1</v>
      </c>
      <c r="BN71" s="610">
        <v>1</v>
      </c>
      <c r="BO71" s="610">
        <v>1</v>
      </c>
      <c r="BP71" s="610">
        <v>1</v>
      </c>
      <c r="BQ71" s="610">
        <v>2</v>
      </c>
      <c r="BR71" s="610">
        <v>2</v>
      </c>
      <c r="BS71" s="610">
        <v>2</v>
      </c>
      <c r="BT71" s="610">
        <v>2</v>
      </c>
      <c r="BU71" s="610">
        <v>2</v>
      </c>
      <c r="BV71" s="610">
        <v>2</v>
      </c>
      <c r="BW71" s="610">
        <v>2</v>
      </c>
      <c r="BX71" s="610">
        <v>2</v>
      </c>
      <c r="BY71" s="610">
        <v>0</v>
      </c>
      <c r="BZ71" s="610">
        <v>0</v>
      </c>
      <c r="CA71" s="610">
        <v>0</v>
      </c>
      <c r="CB71" s="610">
        <v>0</v>
      </c>
      <c r="CC71" s="610">
        <v>0</v>
      </c>
      <c r="CD71" s="610">
        <v>0</v>
      </c>
      <c r="CE71" s="610">
        <v>0</v>
      </c>
      <c r="CF71" s="610">
        <v>0</v>
      </c>
      <c r="CG71" s="610">
        <v>0</v>
      </c>
      <c r="CH71" s="610">
        <v>0</v>
      </c>
      <c r="CI71" s="610">
        <v>0</v>
      </c>
      <c r="CJ71" s="610">
        <v>0</v>
      </c>
      <c r="CK71" s="610">
        <v>0</v>
      </c>
      <c r="CL71" s="610">
        <v>0</v>
      </c>
      <c r="CM71" s="610">
        <v>0</v>
      </c>
      <c r="CN71" s="610">
        <v>0</v>
      </c>
      <c r="CO71" s="610">
        <v>0</v>
      </c>
      <c r="CP71" s="610">
        <v>0</v>
      </c>
      <c r="CQ71" s="610">
        <v>0</v>
      </c>
      <c r="CR71" s="610">
        <v>0</v>
      </c>
      <c r="CS71" s="610">
        <v>0</v>
      </c>
      <c r="CT71" s="610">
        <v>0</v>
      </c>
      <c r="CU71" s="610">
        <v>0</v>
      </c>
      <c r="CV71" s="610">
        <v>0</v>
      </c>
      <c r="CW71" s="610" t="s">
        <v>14</v>
      </c>
      <c r="CX71" s="610">
        <v>0</v>
      </c>
      <c r="CY71" s="610" t="s">
        <v>1707</v>
      </c>
      <c r="CZ71" s="610" t="s">
        <v>1707</v>
      </c>
      <c r="DA71" s="610" t="s">
        <v>1707</v>
      </c>
      <c r="DB71" s="610" t="s">
        <v>1707</v>
      </c>
      <c r="DC71" s="610" t="s">
        <v>1707</v>
      </c>
      <c r="DD71" s="610" t="s">
        <v>1707</v>
      </c>
      <c r="DE71" s="610" t="s">
        <v>1707</v>
      </c>
      <c r="DF71" s="610" t="s">
        <v>1707</v>
      </c>
      <c r="DG71" s="610" t="s">
        <v>1707</v>
      </c>
      <c r="DH71" s="610" t="s">
        <v>1707</v>
      </c>
      <c r="DI71" s="610" t="s">
        <v>1707</v>
      </c>
      <c r="DJ71" s="610" t="s">
        <v>1707</v>
      </c>
      <c r="DK71" s="610" t="s">
        <v>1368</v>
      </c>
      <c r="DL71" s="610" t="s">
        <v>1368</v>
      </c>
      <c r="DM71" s="610" t="s">
        <v>1368</v>
      </c>
      <c r="DN71" s="610" t="s">
        <v>1368</v>
      </c>
      <c r="DO71" s="610" t="s">
        <v>1368</v>
      </c>
      <c r="DP71" s="610" t="s">
        <v>1368</v>
      </c>
      <c r="DQ71" s="610" t="s">
        <v>1368</v>
      </c>
      <c r="DR71" s="610" t="s">
        <v>1368</v>
      </c>
      <c r="DS71" s="610" t="s">
        <v>1368</v>
      </c>
      <c r="DT71" s="610" t="s">
        <v>1368</v>
      </c>
      <c r="DU71" s="610" t="s">
        <v>1368</v>
      </c>
      <c r="DV71" s="610" t="s">
        <v>1368</v>
      </c>
      <c r="DW71" s="609" t="s">
        <v>1368</v>
      </c>
      <c r="DX71" s="609" t="s">
        <v>1368</v>
      </c>
      <c r="DY71" s="609" t="s">
        <v>1368</v>
      </c>
      <c r="DZ71" s="609" t="s">
        <v>1368</v>
      </c>
      <c r="EA71" s="609" t="s">
        <v>1368</v>
      </c>
      <c r="EB71" s="609" t="s">
        <v>1368</v>
      </c>
      <c r="EC71" s="609" t="s">
        <v>1368</v>
      </c>
      <c r="ED71" s="609" t="s">
        <v>1368</v>
      </c>
      <c r="EE71" s="609" t="s">
        <v>1368</v>
      </c>
      <c r="EF71" s="609" t="s">
        <v>1368</v>
      </c>
      <c r="EG71" s="609" t="s">
        <v>1368</v>
      </c>
      <c r="EH71" s="609" t="s">
        <v>1368</v>
      </c>
      <c r="EI71" s="610" t="s">
        <v>1707</v>
      </c>
      <c r="EJ71" s="610" t="s">
        <v>1707</v>
      </c>
      <c r="EK71" s="610" t="s">
        <v>1707</v>
      </c>
      <c r="EL71" s="610" t="s">
        <v>1707</v>
      </c>
      <c r="EM71" s="610" t="s">
        <v>1707</v>
      </c>
      <c r="EN71" s="610" t="s">
        <v>1707</v>
      </c>
      <c r="EO71" s="610" t="s">
        <v>1707</v>
      </c>
      <c r="EP71" s="610" t="s">
        <v>1707</v>
      </c>
      <c r="EQ71" s="610" t="s">
        <v>1707</v>
      </c>
      <c r="ER71" s="610" t="s">
        <v>1707</v>
      </c>
      <c r="ES71" s="610" t="s">
        <v>1707</v>
      </c>
      <c r="ET71" s="610" t="s">
        <v>1707</v>
      </c>
      <c r="EU71" s="610">
        <v>3950</v>
      </c>
      <c r="EV71" s="610" t="s">
        <v>2449</v>
      </c>
      <c r="EW71" s="610" t="s">
        <v>2449</v>
      </c>
      <c r="EX71" s="610" t="s">
        <v>2449</v>
      </c>
      <c r="EY71" s="610" t="s">
        <v>2449</v>
      </c>
      <c r="EZ71" s="610" t="s">
        <v>2449</v>
      </c>
      <c r="FA71" s="610" t="s">
        <v>2449</v>
      </c>
      <c r="FB71" s="610" t="s">
        <v>2449</v>
      </c>
      <c r="FC71" s="610" t="s">
        <v>2449</v>
      </c>
      <c r="FD71" s="610" t="s">
        <v>2449</v>
      </c>
      <c r="FE71" s="610" t="s">
        <v>2449</v>
      </c>
      <c r="FF71" s="610" t="s">
        <v>2449</v>
      </c>
      <c r="FG71" s="610" t="s">
        <v>2449</v>
      </c>
      <c r="FH71" s="610">
        <v>38</v>
      </c>
      <c r="FI71" s="610">
        <v>38</v>
      </c>
      <c r="FJ71" s="610">
        <v>38</v>
      </c>
      <c r="FK71" s="610">
        <v>38</v>
      </c>
      <c r="FL71" s="610">
        <v>38</v>
      </c>
      <c r="FM71" s="610">
        <v>38</v>
      </c>
      <c r="FN71" s="610">
        <v>38</v>
      </c>
      <c r="FO71" s="610">
        <v>38</v>
      </c>
      <c r="FP71" s="610">
        <v>37</v>
      </c>
      <c r="FQ71" s="610">
        <v>37</v>
      </c>
      <c r="FR71" s="610" t="s">
        <v>2487</v>
      </c>
      <c r="FS71" s="610" t="s">
        <v>2487</v>
      </c>
      <c r="FT71" s="610" t="s">
        <v>2487</v>
      </c>
      <c r="FU71" s="610" t="s">
        <v>2487</v>
      </c>
      <c r="FV71" s="610" t="s">
        <v>2487</v>
      </c>
      <c r="FW71" s="610" t="s">
        <v>2487</v>
      </c>
      <c r="FX71" s="610" t="s">
        <v>2487</v>
      </c>
      <c r="FY71" s="610" t="s">
        <v>2487</v>
      </c>
      <c r="FZ71" s="610" t="s">
        <v>2487</v>
      </c>
      <c r="GA71" s="610" t="s">
        <v>2487</v>
      </c>
      <c r="GB71" s="610" t="s">
        <v>2487</v>
      </c>
      <c r="GC71" s="610" t="s">
        <v>2487</v>
      </c>
      <c r="GD71" s="564">
        <f t="shared" si="18"/>
        <v>79950</v>
      </c>
      <c r="GE71" s="564">
        <f t="shared" si="19"/>
        <v>79950</v>
      </c>
      <c r="GF71" s="564">
        <f t="shared" si="20"/>
        <v>79950</v>
      </c>
      <c r="GG71" s="564">
        <f t="shared" si="21"/>
        <v>79950</v>
      </c>
      <c r="GH71" s="564">
        <f t="shared" si="22"/>
        <v>79950</v>
      </c>
      <c r="GI71" s="564">
        <f t="shared" si="23"/>
        <v>79950</v>
      </c>
      <c r="GJ71" s="564">
        <f t="shared" si="24"/>
        <v>79950</v>
      </c>
      <c r="GK71" s="564">
        <f t="shared" si="25"/>
        <v>79950</v>
      </c>
      <c r="GL71" s="564">
        <f t="shared" si="26"/>
        <v>79950</v>
      </c>
      <c r="GM71" s="564">
        <f t="shared" si="27"/>
        <v>79950</v>
      </c>
      <c r="GN71" s="564">
        <f t="shared" si="28"/>
        <v>79950</v>
      </c>
      <c r="GO71" s="564">
        <f t="shared" si="29"/>
        <v>79950</v>
      </c>
      <c r="GP71" s="564"/>
      <c r="GS71" s="375" t="s">
        <v>1472</v>
      </c>
      <c r="GT71" s="374" t="str">
        <f t="shared" si="16"/>
        <v>〇</v>
      </c>
    </row>
    <row r="72" spans="2:202">
      <c r="B72" s="371">
        <v>68</v>
      </c>
      <c r="C72" s="378">
        <v>68</v>
      </c>
      <c r="D72" s="373" t="s">
        <v>524</v>
      </c>
      <c r="E72" s="373" t="s">
        <v>14</v>
      </c>
      <c r="F72" s="603">
        <f t="shared" si="17"/>
        <v>59</v>
      </c>
      <c r="G72" s="603"/>
      <c r="H72" s="603">
        <v>30</v>
      </c>
      <c r="I72" s="603">
        <v>29</v>
      </c>
      <c r="J72" s="603"/>
      <c r="K72" s="603"/>
      <c r="L72" s="603"/>
      <c r="M72" s="603"/>
      <c r="N72" s="608"/>
      <c r="O72" s="603">
        <v>1577000</v>
      </c>
      <c r="P72" s="603">
        <v>2721000</v>
      </c>
      <c r="Q72" s="603">
        <v>2721000</v>
      </c>
      <c r="R72" s="603">
        <v>0</v>
      </c>
      <c r="S72" s="603">
        <v>0</v>
      </c>
      <c r="T72" s="603">
        <v>0</v>
      </c>
      <c r="U72" s="603">
        <v>0</v>
      </c>
      <c r="V72" s="603">
        <v>0</v>
      </c>
      <c r="W72" s="603">
        <v>0</v>
      </c>
      <c r="X72" s="603">
        <v>0</v>
      </c>
      <c r="Y72" s="603">
        <v>0</v>
      </c>
      <c r="Z72" s="603">
        <v>0</v>
      </c>
      <c r="AA72" s="603">
        <v>0</v>
      </c>
      <c r="AB72" s="603">
        <v>0</v>
      </c>
      <c r="AC72" s="603">
        <v>0</v>
      </c>
      <c r="AD72" s="603">
        <v>0</v>
      </c>
      <c r="AE72" s="603">
        <v>0</v>
      </c>
      <c r="AF72" s="603">
        <v>0</v>
      </c>
      <c r="AG72" s="603">
        <v>0</v>
      </c>
      <c r="AH72" s="603">
        <v>0</v>
      </c>
      <c r="AI72" s="603">
        <v>0</v>
      </c>
      <c r="AJ72" s="604" t="s">
        <v>2377</v>
      </c>
      <c r="AK72" s="605" t="s">
        <v>1545</v>
      </c>
      <c r="AL72" s="605" t="s">
        <v>1545</v>
      </c>
      <c r="AM72" s="606" t="s">
        <v>2068</v>
      </c>
      <c r="AN72" s="609" t="s">
        <v>12</v>
      </c>
      <c r="AO72" s="610" t="s">
        <v>1368</v>
      </c>
      <c r="AP72" s="610" t="s">
        <v>1368</v>
      </c>
      <c r="AQ72" s="610" t="s">
        <v>1368</v>
      </c>
      <c r="AR72" s="610" t="s">
        <v>1368</v>
      </c>
      <c r="AS72" s="610" t="s">
        <v>1368</v>
      </c>
      <c r="AT72" s="610" t="s">
        <v>1368</v>
      </c>
      <c r="AU72" s="610" t="s">
        <v>1368</v>
      </c>
      <c r="AV72" s="610" t="s">
        <v>1368</v>
      </c>
      <c r="AW72" s="610" t="s">
        <v>1368</v>
      </c>
      <c r="AX72" s="610" t="s">
        <v>1368</v>
      </c>
      <c r="AY72" s="610" t="s">
        <v>1368</v>
      </c>
      <c r="AZ72" s="610" t="s">
        <v>1368</v>
      </c>
      <c r="BA72" s="610" t="s">
        <v>1368</v>
      </c>
      <c r="BB72" s="610" t="s">
        <v>1368</v>
      </c>
      <c r="BC72" s="610" t="s">
        <v>1368</v>
      </c>
      <c r="BD72" s="610" t="s">
        <v>1368</v>
      </c>
      <c r="BE72" s="610" t="s">
        <v>1368</v>
      </c>
      <c r="BF72" s="610" t="s">
        <v>1368</v>
      </c>
      <c r="BG72" s="610" t="s">
        <v>1368</v>
      </c>
      <c r="BH72" s="610" t="s">
        <v>1368</v>
      </c>
      <c r="BI72" s="610" t="s">
        <v>1368</v>
      </c>
      <c r="BJ72" s="610" t="s">
        <v>1368</v>
      </c>
      <c r="BK72" s="610" t="s">
        <v>1368</v>
      </c>
      <c r="BL72" s="610" t="s">
        <v>1368</v>
      </c>
      <c r="BM72" s="610">
        <v>1</v>
      </c>
      <c r="BN72" s="610">
        <v>1</v>
      </c>
      <c r="BO72" s="610">
        <v>1</v>
      </c>
      <c r="BP72" s="610">
        <v>1</v>
      </c>
      <c r="BQ72" s="610">
        <v>1</v>
      </c>
      <c r="BR72" s="610">
        <v>1</v>
      </c>
      <c r="BS72" s="610">
        <v>1</v>
      </c>
      <c r="BT72" s="610">
        <v>1</v>
      </c>
      <c r="BU72" s="610">
        <v>1</v>
      </c>
      <c r="BV72" s="610">
        <v>1</v>
      </c>
      <c r="BW72" s="610">
        <v>1</v>
      </c>
      <c r="BX72" s="610">
        <v>1</v>
      </c>
      <c r="BY72" s="610">
        <v>0</v>
      </c>
      <c r="BZ72" s="610">
        <v>0</v>
      </c>
      <c r="CA72" s="610">
        <v>0</v>
      </c>
      <c r="CB72" s="610">
        <v>0</v>
      </c>
      <c r="CC72" s="610">
        <v>0</v>
      </c>
      <c r="CD72" s="610">
        <v>0</v>
      </c>
      <c r="CE72" s="610">
        <v>0</v>
      </c>
      <c r="CF72" s="610">
        <v>0</v>
      </c>
      <c r="CG72" s="610">
        <v>0</v>
      </c>
      <c r="CH72" s="610">
        <v>0</v>
      </c>
      <c r="CI72" s="610">
        <v>0</v>
      </c>
      <c r="CJ72" s="610">
        <v>0</v>
      </c>
      <c r="CK72" s="610">
        <v>0</v>
      </c>
      <c r="CL72" s="610">
        <v>0</v>
      </c>
      <c r="CM72" s="610">
        <v>0</v>
      </c>
      <c r="CN72" s="610">
        <v>0</v>
      </c>
      <c r="CO72" s="610">
        <v>0</v>
      </c>
      <c r="CP72" s="610">
        <v>0</v>
      </c>
      <c r="CQ72" s="610">
        <v>0</v>
      </c>
      <c r="CR72" s="610">
        <v>0</v>
      </c>
      <c r="CS72" s="610">
        <v>0</v>
      </c>
      <c r="CT72" s="610">
        <v>0</v>
      </c>
      <c r="CU72" s="610">
        <v>0</v>
      </c>
      <c r="CV72" s="610">
        <v>0</v>
      </c>
      <c r="CW72" s="610" t="s">
        <v>14</v>
      </c>
      <c r="CX72" s="610">
        <v>0</v>
      </c>
      <c r="CY72" s="610" t="s">
        <v>1707</v>
      </c>
      <c r="CZ72" s="610" t="s">
        <v>1707</v>
      </c>
      <c r="DA72" s="610" t="s">
        <v>1707</v>
      </c>
      <c r="DB72" s="610" t="s">
        <v>1707</v>
      </c>
      <c r="DC72" s="610" t="s">
        <v>1707</v>
      </c>
      <c r="DD72" s="610" t="s">
        <v>1707</v>
      </c>
      <c r="DE72" s="610" t="s">
        <v>1707</v>
      </c>
      <c r="DF72" s="610" t="s">
        <v>1707</v>
      </c>
      <c r="DG72" s="610" t="s">
        <v>1707</v>
      </c>
      <c r="DH72" s="610" t="s">
        <v>1707</v>
      </c>
      <c r="DI72" s="610" t="s">
        <v>1707</v>
      </c>
      <c r="DJ72" s="610" t="s">
        <v>1707</v>
      </c>
      <c r="DK72" s="610" t="s">
        <v>1368</v>
      </c>
      <c r="DL72" s="610" t="s">
        <v>1368</v>
      </c>
      <c r="DM72" s="610" t="s">
        <v>1368</v>
      </c>
      <c r="DN72" s="610" t="s">
        <v>1368</v>
      </c>
      <c r="DO72" s="610" t="s">
        <v>1368</v>
      </c>
      <c r="DP72" s="610" t="s">
        <v>1368</v>
      </c>
      <c r="DQ72" s="610" t="s">
        <v>1368</v>
      </c>
      <c r="DR72" s="610" t="s">
        <v>1368</v>
      </c>
      <c r="DS72" s="610" t="s">
        <v>1368</v>
      </c>
      <c r="DT72" s="610" t="s">
        <v>1368</v>
      </c>
      <c r="DU72" s="610" t="s">
        <v>1368</v>
      </c>
      <c r="DV72" s="610" t="s">
        <v>1368</v>
      </c>
      <c r="DW72" s="609" t="s">
        <v>1368</v>
      </c>
      <c r="DX72" s="609" t="s">
        <v>1368</v>
      </c>
      <c r="DY72" s="609" t="s">
        <v>1368</v>
      </c>
      <c r="DZ72" s="609" t="s">
        <v>1368</v>
      </c>
      <c r="EA72" s="609" t="s">
        <v>1368</v>
      </c>
      <c r="EB72" s="609" t="s">
        <v>1368</v>
      </c>
      <c r="EC72" s="609" t="s">
        <v>1368</v>
      </c>
      <c r="ED72" s="609" t="s">
        <v>1368</v>
      </c>
      <c r="EE72" s="609" t="s">
        <v>1368</v>
      </c>
      <c r="EF72" s="609" t="s">
        <v>1368</v>
      </c>
      <c r="EG72" s="609" t="s">
        <v>1368</v>
      </c>
      <c r="EH72" s="609" t="s">
        <v>1368</v>
      </c>
      <c r="EI72" s="610" t="s">
        <v>1707</v>
      </c>
      <c r="EJ72" s="610" t="s">
        <v>1707</v>
      </c>
      <c r="EK72" s="610" t="s">
        <v>1707</v>
      </c>
      <c r="EL72" s="610" t="s">
        <v>1707</v>
      </c>
      <c r="EM72" s="610" t="s">
        <v>1707</v>
      </c>
      <c r="EN72" s="610" t="s">
        <v>1707</v>
      </c>
      <c r="EO72" s="610" t="s">
        <v>1707</v>
      </c>
      <c r="EP72" s="610" t="s">
        <v>1707</v>
      </c>
      <c r="EQ72" s="610" t="s">
        <v>1707</v>
      </c>
      <c r="ER72" s="610" t="s">
        <v>1707</v>
      </c>
      <c r="ES72" s="610" t="s">
        <v>1707</v>
      </c>
      <c r="ET72" s="610" t="s">
        <v>1707</v>
      </c>
      <c r="EU72" s="610">
        <v>4010</v>
      </c>
      <c r="EV72" s="610" t="s">
        <v>1707</v>
      </c>
      <c r="EW72" s="610" t="s">
        <v>1707</v>
      </c>
      <c r="EX72" s="610" t="s">
        <v>1707</v>
      </c>
      <c r="EY72" s="610" t="s">
        <v>1707</v>
      </c>
      <c r="EZ72" s="610" t="s">
        <v>1707</v>
      </c>
      <c r="FA72" s="610" t="s">
        <v>1707</v>
      </c>
      <c r="FB72" s="610" t="s">
        <v>1707</v>
      </c>
      <c r="FC72" s="610" t="s">
        <v>1707</v>
      </c>
      <c r="FD72" s="610" t="s">
        <v>1707</v>
      </c>
      <c r="FE72" s="610" t="s">
        <v>1707</v>
      </c>
      <c r="FF72" s="610" t="s">
        <v>1707</v>
      </c>
      <c r="FG72" s="610" t="s">
        <v>1707</v>
      </c>
      <c r="FH72" s="610">
        <v>22</v>
      </c>
      <c r="FI72" s="610">
        <v>22</v>
      </c>
      <c r="FJ72" s="610">
        <v>22</v>
      </c>
      <c r="FK72" s="610">
        <v>22</v>
      </c>
      <c r="FL72" s="610">
        <v>22</v>
      </c>
      <c r="FM72" s="610">
        <v>22</v>
      </c>
      <c r="FN72" s="610">
        <v>22</v>
      </c>
      <c r="FO72" s="610">
        <v>22</v>
      </c>
      <c r="FP72" s="610">
        <v>22</v>
      </c>
      <c r="FQ72" s="610">
        <v>22</v>
      </c>
      <c r="FR72" s="610" t="s">
        <v>2487</v>
      </c>
      <c r="FS72" s="610" t="s">
        <v>2487</v>
      </c>
      <c r="FT72" s="610" t="s">
        <v>2487</v>
      </c>
      <c r="FU72" s="610" t="s">
        <v>2487</v>
      </c>
      <c r="FV72" s="610" t="s">
        <v>2487</v>
      </c>
      <c r="FW72" s="610" t="s">
        <v>2487</v>
      </c>
      <c r="FX72" s="610" t="s">
        <v>2487</v>
      </c>
      <c r="FY72" s="610" t="s">
        <v>2487</v>
      </c>
      <c r="FZ72" s="610" t="s">
        <v>2487</v>
      </c>
      <c r="GA72" s="610" t="s">
        <v>2487</v>
      </c>
      <c r="GB72" s="610" t="s">
        <v>2487</v>
      </c>
      <c r="GC72" s="610" t="s">
        <v>2487</v>
      </c>
      <c r="GD72" s="564">
        <f t="shared" si="18"/>
        <v>79950</v>
      </c>
      <c r="GE72" s="564">
        <f t="shared" si="19"/>
        <v>79950</v>
      </c>
      <c r="GF72" s="564">
        <f t="shared" si="20"/>
        <v>79950</v>
      </c>
      <c r="GG72" s="564">
        <f t="shared" si="21"/>
        <v>79950</v>
      </c>
      <c r="GH72" s="564">
        <f t="shared" si="22"/>
        <v>79950</v>
      </c>
      <c r="GI72" s="564">
        <f t="shared" si="23"/>
        <v>79950</v>
      </c>
      <c r="GJ72" s="564">
        <f t="shared" si="24"/>
        <v>79950</v>
      </c>
      <c r="GK72" s="564">
        <f t="shared" si="25"/>
        <v>79950</v>
      </c>
      <c r="GL72" s="564">
        <f t="shared" si="26"/>
        <v>79950</v>
      </c>
      <c r="GM72" s="564">
        <f t="shared" si="27"/>
        <v>79950</v>
      </c>
      <c r="GN72" s="564">
        <f t="shared" si="28"/>
        <v>79950</v>
      </c>
      <c r="GO72" s="564">
        <f t="shared" si="29"/>
        <v>79950</v>
      </c>
      <c r="GP72" s="564"/>
      <c r="GS72" s="375" t="s">
        <v>524</v>
      </c>
      <c r="GT72" s="374" t="str">
        <f t="shared" si="16"/>
        <v>〇</v>
      </c>
    </row>
    <row r="73" spans="2:202">
      <c r="B73" s="371">
        <v>69</v>
      </c>
      <c r="C73" s="378">
        <v>69</v>
      </c>
      <c r="D73" s="373" t="s">
        <v>1473</v>
      </c>
      <c r="E73" s="373" t="s">
        <v>14</v>
      </c>
      <c r="F73" s="603">
        <f t="shared" si="17"/>
        <v>27</v>
      </c>
      <c r="G73" s="603"/>
      <c r="H73" s="603">
        <v>15</v>
      </c>
      <c r="I73" s="603">
        <v>12</v>
      </c>
      <c r="J73" s="603"/>
      <c r="K73" s="603"/>
      <c r="L73" s="603"/>
      <c r="M73" s="603"/>
      <c r="N73" s="608"/>
      <c r="O73" s="603">
        <v>1577000</v>
      </c>
      <c r="P73" s="603">
        <v>0</v>
      </c>
      <c r="Q73" s="603">
        <v>0</v>
      </c>
      <c r="R73" s="603">
        <v>0</v>
      </c>
      <c r="S73" s="603">
        <v>0</v>
      </c>
      <c r="T73" s="603">
        <v>0</v>
      </c>
      <c r="U73" s="603">
        <v>0</v>
      </c>
      <c r="V73" s="603">
        <v>0</v>
      </c>
      <c r="W73" s="603">
        <v>0</v>
      </c>
      <c r="X73" s="603">
        <v>0</v>
      </c>
      <c r="Y73" s="603">
        <v>0</v>
      </c>
      <c r="Z73" s="603">
        <v>0</v>
      </c>
      <c r="AA73" s="603">
        <v>0</v>
      </c>
      <c r="AB73" s="603">
        <v>0</v>
      </c>
      <c r="AC73" s="603">
        <v>0</v>
      </c>
      <c r="AD73" s="603">
        <v>0</v>
      </c>
      <c r="AE73" s="603">
        <v>0</v>
      </c>
      <c r="AF73" s="603">
        <v>0</v>
      </c>
      <c r="AG73" s="603">
        <v>0</v>
      </c>
      <c r="AH73" s="603">
        <v>0</v>
      </c>
      <c r="AI73" s="603">
        <v>0</v>
      </c>
      <c r="AJ73" s="604" t="s">
        <v>2377</v>
      </c>
      <c r="AK73" s="605" t="s">
        <v>1545</v>
      </c>
      <c r="AL73" s="605" t="s">
        <v>1545</v>
      </c>
      <c r="AM73" s="606" t="s">
        <v>2069</v>
      </c>
      <c r="AN73" s="609" t="s">
        <v>12</v>
      </c>
      <c r="AO73" s="610" t="s">
        <v>1368</v>
      </c>
      <c r="AP73" s="610" t="s">
        <v>1368</v>
      </c>
      <c r="AQ73" s="610" t="s">
        <v>1368</v>
      </c>
      <c r="AR73" s="610" t="s">
        <v>1368</v>
      </c>
      <c r="AS73" s="610" t="s">
        <v>1368</v>
      </c>
      <c r="AT73" s="610" t="s">
        <v>1368</v>
      </c>
      <c r="AU73" s="610" t="s">
        <v>1368</v>
      </c>
      <c r="AV73" s="610" t="s">
        <v>1368</v>
      </c>
      <c r="AW73" s="610" t="s">
        <v>1368</v>
      </c>
      <c r="AX73" s="610" t="s">
        <v>1368</v>
      </c>
      <c r="AY73" s="610" t="s">
        <v>1368</v>
      </c>
      <c r="AZ73" s="610" t="s">
        <v>1368</v>
      </c>
      <c r="BA73" s="610" t="s">
        <v>1368</v>
      </c>
      <c r="BB73" s="610" t="s">
        <v>1368</v>
      </c>
      <c r="BC73" s="610" t="s">
        <v>1368</v>
      </c>
      <c r="BD73" s="610" t="s">
        <v>1368</v>
      </c>
      <c r="BE73" s="610" t="s">
        <v>1368</v>
      </c>
      <c r="BF73" s="610" t="s">
        <v>1368</v>
      </c>
      <c r="BG73" s="610" t="s">
        <v>1368</v>
      </c>
      <c r="BH73" s="610" t="s">
        <v>1368</v>
      </c>
      <c r="BI73" s="610" t="s">
        <v>1368</v>
      </c>
      <c r="BJ73" s="610" t="s">
        <v>1368</v>
      </c>
      <c r="BK73" s="610" t="s">
        <v>1368</v>
      </c>
      <c r="BL73" s="610" t="s">
        <v>1368</v>
      </c>
      <c r="BM73" s="610">
        <v>1</v>
      </c>
      <c r="BN73" s="610">
        <v>1</v>
      </c>
      <c r="BO73" s="610">
        <v>1</v>
      </c>
      <c r="BP73" s="610">
        <v>1</v>
      </c>
      <c r="BQ73" s="610">
        <v>1</v>
      </c>
      <c r="BR73" s="610">
        <v>1</v>
      </c>
      <c r="BS73" s="610">
        <v>1</v>
      </c>
      <c r="BT73" s="610">
        <v>1</v>
      </c>
      <c r="BU73" s="610">
        <v>1</v>
      </c>
      <c r="BV73" s="610">
        <v>1</v>
      </c>
      <c r="BW73" s="610">
        <v>1</v>
      </c>
      <c r="BX73" s="610">
        <v>1</v>
      </c>
      <c r="BY73" s="610">
        <v>0</v>
      </c>
      <c r="BZ73" s="610">
        <v>0</v>
      </c>
      <c r="CA73" s="610">
        <v>0</v>
      </c>
      <c r="CB73" s="610">
        <v>0</v>
      </c>
      <c r="CC73" s="610">
        <v>0</v>
      </c>
      <c r="CD73" s="610">
        <v>0</v>
      </c>
      <c r="CE73" s="610">
        <v>0</v>
      </c>
      <c r="CF73" s="610">
        <v>0</v>
      </c>
      <c r="CG73" s="610">
        <v>0</v>
      </c>
      <c r="CH73" s="610">
        <v>0</v>
      </c>
      <c r="CI73" s="610">
        <v>0</v>
      </c>
      <c r="CJ73" s="610">
        <v>0</v>
      </c>
      <c r="CK73" s="610">
        <v>0</v>
      </c>
      <c r="CL73" s="610">
        <v>0</v>
      </c>
      <c r="CM73" s="610">
        <v>0</v>
      </c>
      <c r="CN73" s="610">
        <v>0</v>
      </c>
      <c r="CO73" s="610">
        <v>0</v>
      </c>
      <c r="CP73" s="610">
        <v>0</v>
      </c>
      <c r="CQ73" s="610">
        <v>0</v>
      </c>
      <c r="CR73" s="610">
        <v>0</v>
      </c>
      <c r="CS73" s="610">
        <v>0</v>
      </c>
      <c r="CT73" s="610">
        <v>0</v>
      </c>
      <c r="CU73" s="610">
        <v>0</v>
      </c>
      <c r="CV73" s="610">
        <v>0</v>
      </c>
      <c r="CW73" s="610" t="s">
        <v>14</v>
      </c>
      <c r="CX73" s="610">
        <v>0</v>
      </c>
      <c r="CY73" s="610" t="s">
        <v>2449</v>
      </c>
      <c r="CZ73" s="610" t="s">
        <v>2449</v>
      </c>
      <c r="DA73" s="610" t="s">
        <v>2449</v>
      </c>
      <c r="DB73" s="610" t="s">
        <v>2449</v>
      </c>
      <c r="DC73" s="610" t="s">
        <v>2449</v>
      </c>
      <c r="DD73" s="610" t="s">
        <v>2449</v>
      </c>
      <c r="DE73" s="610" t="s">
        <v>2449</v>
      </c>
      <c r="DF73" s="610" t="s">
        <v>2449</v>
      </c>
      <c r="DG73" s="610" t="s">
        <v>2449</v>
      </c>
      <c r="DH73" s="610" t="s">
        <v>2449</v>
      </c>
      <c r="DI73" s="610" t="s">
        <v>2449</v>
      </c>
      <c r="DJ73" s="610" t="s">
        <v>2449</v>
      </c>
      <c r="DK73" s="610" t="s">
        <v>1368</v>
      </c>
      <c r="DL73" s="610" t="s">
        <v>1368</v>
      </c>
      <c r="DM73" s="610" t="s">
        <v>1368</v>
      </c>
      <c r="DN73" s="610" t="s">
        <v>1368</v>
      </c>
      <c r="DO73" s="610" t="s">
        <v>1368</v>
      </c>
      <c r="DP73" s="610" t="s">
        <v>1368</v>
      </c>
      <c r="DQ73" s="610" t="s">
        <v>1368</v>
      </c>
      <c r="DR73" s="610" t="s">
        <v>1368</v>
      </c>
      <c r="DS73" s="610" t="s">
        <v>1368</v>
      </c>
      <c r="DT73" s="610" t="s">
        <v>1368</v>
      </c>
      <c r="DU73" s="610" t="s">
        <v>1368</v>
      </c>
      <c r="DV73" s="610" t="s">
        <v>1368</v>
      </c>
      <c r="DW73" s="609" t="s">
        <v>1368</v>
      </c>
      <c r="DX73" s="609" t="s">
        <v>1368</v>
      </c>
      <c r="DY73" s="609" t="s">
        <v>1368</v>
      </c>
      <c r="DZ73" s="609" t="s">
        <v>1368</v>
      </c>
      <c r="EA73" s="609" t="s">
        <v>1368</v>
      </c>
      <c r="EB73" s="609" t="s">
        <v>1368</v>
      </c>
      <c r="EC73" s="609" t="s">
        <v>1368</v>
      </c>
      <c r="ED73" s="609" t="s">
        <v>1368</v>
      </c>
      <c r="EE73" s="609" t="s">
        <v>1368</v>
      </c>
      <c r="EF73" s="609" t="s">
        <v>1368</v>
      </c>
      <c r="EG73" s="609" t="s">
        <v>1368</v>
      </c>
      <c r="EH73" s="609" t="s">
        <v>1368</v>
      </c>
      <c r="EI73" s="610" t="s">
        <v>1707</v>
      </c>
      <c r="EJ73" s="610" t="s">
        <v>1707</v>
      </c>
      <c r="EK73" s="610" t="s">
        <v>1707</v>
      </c>
      <c r="EL73" s="610" t="s">
        <v>1707</v>
      </c>
      <c r="EM73" s="610" t="s">
        <v>1707</v>
      </c>
      <c r="EN73" s="610" t="s">
        <v>1707</v>
      </c>
      <c r="EO73" s="610" t="s">
        <v>1707</v>
      </c>
      <c r="EP73" s="610" t="s">
        <v>1707</v>
      </c>
      <c r="EQ73" s="610" t="s">
        <v>1707</v>
      </c>
      <c r="ER73" s="610" t="s">
        <v>1707</v>
      </c>
      <c r="ES73" s="610" t="s">
        <v>1707</v>
      </c>
      <c r="ET73" s="610" t="s">
        <v>1707</v>
      </c>
      <c r="EU73" s="610">
        <v>3980</v>
      </c>
      <c r="EV73" s="610" t="s">
        <v>2449</v>
      </c>
      <c r="EW73" s="610" t="s">
        <v>2449</v>
      </c>
      <c r="EX73" s="610" t="s">
        <v>2449</v>
      </c>
      <c r="EY73" s="610" t="s">
        <v>2449</v>
      </c>
      <c r="EZ73" s="610" t="s">
        <v>2449</v>
      </c>
      <c r="FA73" s="610" t="s">
        <v>2449</v>
      </c>
      <c r="FB73" s="610" t="s">
        <v>2449</v>
      </c>
      <c r="FC73" s="610" t="s">
        <v>2449</v>
      </c>
      <c r="FD73" s="610" t="s">
        <v>2449</v>
      </c>
      <c r="FE73" s="610" t="s">
        <v>2449</v>
      </c>
      <c r="FF73" s="610" t="s">
        <v>2449</v>
      </c>
      <c r="FG73" s="610" t="s">
        <v>2449</v>
      </c>
      <c r="FH73" s="610">
        <v>9</v>
      </c>
      <c r="FI73" s="610">
        <v>9</v>
      </c>
      <c r="FJ73" s="610">
        <v>9</v>
      </c>
      <c r="FK73" s="610">
        <v>9</v>
      </c>
      <c r="FL73" s="610">
        <v>9</v>
      </c>
      <c r="FM73" s="610">
        <v>9</v>
      </c>
      <c r="FN73" s="610">
        <v>9</v>
      </c>
      <c r="FO73" s="610">
        <v>9</v>
      </c>
      <c r="FP73" s="610">
        <v>9</v>
      </c>
      <c r="FQ73" s="610">
        <v>9</v>
      </c>
      <c r="FR73" s="610" t="s">
        <v>2487</v>
      </c>
      <c r="FS73" s="610" t="s">
        <v>2487</v>
      </c>
      <c r="FT73" s="610" t="s">
        <v>2487</v>
      </c>
      <c r="FU73" s="610" t="s">
        <v>2487</v>
      </c>
      <c r="FV73" s="610" t="s">
        <v>2487</v>
      </c>
      <c r="FW73" s="610" t="s">
        <v>2487</v>
      </c>
      <c r="FX73" s="610" t="s">
        <v>2487</v>
      </c>
      <c r="FY73" s="610" t="s">
        <v>2487</v>
      </c>
      <c r="FZ73" s="610" t="s">
        <v>2487</v>
      </c>
      <c r="GA73" s="610" t="s">
        <v>2487</v>
      </c>
      <c r="GB73" s="610" t="s">
        <v>2487</v>
      </c>
      <c r="GC73" s="610" t="s">
        <v>2487</v>
      </c>
      <c r="GD73" s="564">
        <f t="shared" si="18"/>
        <v>79950</v>
      </c>
      <c r="GE73" s="564">
        <f t="shared" si="19"/>
        <v>79950</v>
      </c>
      <c r="GF73" s="564">
        <f t="shared" si="20"/>
        <v>79950</v>
      </c>
      <c r="GG73" s="564">
        <f t="shared" si="21"/>
        <v>79950</v>
      </c>
      <c r="GH73" s="564">
        <f t="shared" si="22"/>
        <v>79950</v>
      </c>
      <c r="GI73" s="564">
        <f t="shared" si="23"/>
        <v>79950</v>
      </c>
      <c r="GJ73" s="564">
        <f t="shared" si="24"/>
        <v>79950</v>
      </c>
      <c r="GK73" s="564">
        <f t="shared" si="25"/>
        <v>79950</v>
      </c>
      <c r="GL73" s="564">
        <f t="shared" si="26"/>
        <v>79950</v>
      </c>
      <c r="GM73" s="564">
        <f t="shared" si="27"/>
        <v>79950</v>
      </c>
      <c r="GN73" s="564">
        <f t="shared" si="28"/>
        <v>79950</v>
      </c>
      <c r="GO73" s="564">
        <f t="shared" si="29"/>
        <v>79950</v>
      </c>
      <c r="GP73" s="564"/>
      <c r="GS73" s="375" t="s">
        <v>1473</v>
      </c>
      <c r="GT73" s="374" t="str">
        <f t="shared" si="16"/>
        <v>〇</v>
      </c>
    </row>
    <row r="74" spans="2:202">
      <c r="B74" s="371">
        <v>70</v>
      </c>
      <c r="C74" s="378">
        <v>70</v>
      </c>
      <c r="D74" s="373" t="s">
        <v>1779</v>
      </c>
      <c r="E74" s="373" t="s">
        <v>1707</v>
      </c>
      <c r="F74" s="603">
        <f t="shared" si="17"/>
        <v>20</v>
      </c>
      <c r="G74" s="603"/>
      <c r="H74" s="603">
        <v>15</v>
      </c>
      <c r="I74" s="603">
        <v>5</v>
      </c>
      <c r="J74" s="603">
        <v>9</v>
      </c>
      <c r="K74" s="603"/>
      <c r="L74" s="603">
        <v>0</v>
      </c>
      <c r="M74" s="603">
        <v>9</v>
      </c>
      <c r="N74" s="608"/>
      <c r="O74" s="603">
        <v>974000</v>
      </c>
      <c r="P74" s="603">
        <v>0</v>
      </c>
      <c r="Q74" s="603">
        <v>0</v>
      </c>
      <c r="R74" s="603">
        <v>0</v>
      </c>
      <c r="S74" s="603">
        <v>0</v>
      </c>
      <c r="T74" s="603">
        <v>0</v>
      </c>
      <c r="U74" s="603">
        <v>0</v>
      </c>
      <c r="V74" s="603">
        <v>0</v>
      </c>
      <c r="W74" s="603">
        <v>0</v>
      </c>
      <c r="X74" s="603">
        <v>0</v>
      </c>
      <c r="Y74" s="603">
        <v>0</v>
      </c>
      <c r="Z74" s="603">
        <v>0</v>
      </c>
      <c r="AA74" s="603">
        <v>0</v>
      </c>
      <c r="AB74" s="603">
        <v>0</v>
      </c>
      <c r="AC74" s="603">
        <v>0</v>
      </c>
      <c r="AD74" s="603">
        <v>0</v>
      </c>
      <c r="AE74" s="603">
        <v>0</v>
      </c>
      <c r="AF74" s="603">
        <v>0</v>
      </c>
      <c r="AG74" s="603">
        <v>0</v>
      </c>
      <c r="AH74" s="603">
        <v>0</v>
      </c>
      <c r="AI74" s="603">
        <v>0</v>
      </c>
      <c r="AJ74" s="604" t="s">
        <v>2377</v>
      </c>
      <c r="AK74" s="605" t="s">
        <v>1545</v>
      </c>
      <c r="AL74" s="605" t="s">
        <v>1545</v>
      </c>
      <c r="AM74" s="606" t="s">
        <v>2070</v>
      </c>
      <c r="AN74" s="609" t="s">
        <v>12</v>
      </c>
      <c r="AO74" s="610" t="s">
        <v>1368</v>
      </c>
      <c r="AP74" s="610" t="s">
        <v>1368</v>
      </c>
      <c r="AQ74" s="610" t="s">
        <v>1368</v>
      </c>
      <c r="AR74" s="610" t="s">
        <v>1368</v>
      </c>
      <c r="AS74" s="610" t="s">
        <v>1368</v>
      </c>
      <c r="AT74" s="610" t="s">
        <v>1368</v>
      </c>
      <c r="AU74" s="610" t="s">
        <v>1368</v>
      </c>
      <c r="AV74" s="610" t="s">
        <v>1368</v>
      </c>
      <c r="AW74" s="610" t="s">
        <v>1368</v>
      </c>
      <c r="AX74" s="610" t="s">
        <v>1368</v>
      </c>
      <c r="AY74" s="610" t="s">
        <v>1368</v>
      </c>
      <c r="AZ74" s="610" t="s">
        <v>1368</v>
      </c>
      <c r="BA74" s="610" t="s">
        <v>1368</v>
      </c>
      <c r="BB74" s="610" t="s">
        <v>1368</v>
      </c>
      <c r="BC74" s="610" t="s">
        <v>1368</v>
      </c>
      <c r="BD74" s="610" t="s">
        <v>1368</v>
      </c>
      <c r="BE74" s="610" t="s">
        <v>1368</v>
      </c>
      <c r="BF74" s="610" t="s">
        <v>1368</v>
      </c>
      <c r="BG74" s="610" t="s">
        <v>1368</v>
      </c>
      <c r="BH74" s="610" t="s">
        <v>1368</v>
      </c>
      <c r="BI74" s="610" t="s">
        <v>1368</v>
      </c>
      <c r="BJ74" s="610" t="s">
        <v>1368</v>
      </c>
      <c r="BK74" s="610" t="s">
        <v>1368</v>
      </c>
      <c r="BL74" s="610" t="s">
        <v>1368</v>
      </c>
      <c r="BM74" s="610">
        <v>1</v>
      </c>
      <c r="BN74" s="610">
        <v>1</v>
      </c>
      <c r="BO74" s="610">
        <v>1</v>
      </c>
      <c r="BP74" s="610">
        <v>1</v>
      </c>
      <c r="BQ74" s="610">
        <v>1</v>
      </c>
      <c r="BR74" s="610">
        <v>1</v>
      </c>
      <c r="BS74" s="610">
        <v>1</v>
      </c>
      <c r="BT74" s="610">
        <v>1</v>
      </c>
      <c r="BU74" s="610">
        <v>1</v>
      </c>
      <c r="BV74" s="610">
        <v>1</v>
      </c>
      <c r="BW74" s="610">
        <v>1</v>
      </c>
      <c r="BX74" s="610">
        <v>1</v>
      </c>
      <c r="BY74" s="610">
        <v>0</v>
      </c>
      <c r="BZ74" s="610">
        <v>0</v>
      </c>
      <c r="CA74" s="610">
        <v>0</v>
      </c>
      <c r="CB74" s="610">
        <v>0</v>
      </c>
      <c r="CC74" s="610">
        <v>0</v>
      </c>
      <c r="CD74" s="610">
        <v>0</v>
      </c>
      <c r="CE74" s="610">
        <v>0</v>
      </c>
      <c r="CF74" s="610">
        <v>0</v>
      </c>
      <c r="CG74" s="610">
        <v>0</v>
      </c>
      <c r="CH74" s="610">
        <v>0</v>
      </c>
      <c r="CI74" s="610">
        <v>0</v>
      </c>
      <c r="CJ74" s="610">
        <v>0</v>
      </c>
      <c r="CK74" s="610">
        <v>0</v>
      </c>
      <c r="CL74" s="610">
        <v>0</v>
      </c>
      <c r="CM74" s="610">
        <v>0</v>
      </c>
      <c r="CN74" s="610">
        <v>0</v>
      </c>
      <c r="CO74" s="610">
        <v>0</v>
      </c>
      <c r="CP74" s="610">
        <v>0</v>
      </c>
      <c r="CQ74" s="610">
        <v>0</v>
      </c>
      <c r="CR74" s="610">
        <v>0</v>
      </c>
      <c r="CS74" s="610">
        <v>0</v>
      </c>
      <c r="CT74" s="610">
        <v>0</v>
      </c>
      <c r="CU74" s="610">
        <v>0</v>
      </c>
      <c r="CV74" s="610">
        <v>0</v>
      </c>
      <c r="CW74" s="610" t="s">
        <v>14</v>
      </c>
      <c r="CX74" s="610">
        <v>0</v>
      </c>
      <c r="CY74" s="610" t="s">
        <v>2449</v>
      </c>
      <c r="CZ74" s="610" t="s">
        <v>2449</v>
      </c>
      <c r="DA74" s="610" t="s">
        <v>2449</v>
      </c>
      <c r="DB74" s="610" t="s">
        <v>2449</v>
      </c>
      <c r="DC74" s="610" t="s">
        <v>2449</v>
      </c>
      <c r="DD74" s="610" t="s">
        <v>2449</v>
      </c>
      <c r="DE74" s="610" t="s">
        <v>2449</v>
      </c>
      <c r="DF74" s="610" t="s">
        <v>2449</v>
      </c>
      <c r="DG74" s="610" t="s">
        <v>2449</v>
      </c>
      <c r="DH74" s="610" t="s">
        <v>2449</v>
      </c>
      <c r="DI74" s="610" t="s">
        <v>2449</v>
      </c>
      <c r="DJ74" s="610" t="s">
        <v>2449</v>
      </c>
      <c r="DK74" s="610" t="s">
        <v>1368</v>
      </c>
      <c r="DL74" s="610" t="s">
        <v>1368</v>
      </c>
      <c r="DM74" s="610" t="s">
        <v>1368</v>
      </c>
      <c r="DN74" s="610" t="s">
        <v>1368</v>
      </c>
      <c r="DO74" s="610" t="s">
        <v>1368</v>
      </c>
      <c r="DP74" s="610" t="s">
        <v>1368</v>
      </c>
      <c r="DQ74" s="610" t="s">
        <v>1368</v>
      </c>
      <c r="DR74" s="610" t="s">
        <v>1368</v>
      </c>
      <c r="DS74" s="610" t="s">
        <v>1368</v>
      </c>
      <c r="DT74" s="610" t="s">
        <v>1368</v>
      </c>
      <c r="DU74" s="610" t="s">
        <v>1368</v>
      </c>
      <c r="DV74" s="610" t="s">
        <v>1368</v>
      </c>
      <c r="DW74" s="609" t="s">
        <v>1368</v>
      </c>
      <c r="DX74" s="609" t="s">
        <v>1368</v>
      </c>
      <c r="DY74" s="609" t="s">
        <v>1368</v>
      </c>
      <c r="DZ74" s="609" t="s">
        <v>1368</v>
      </c>
      <c r="EA74" s="609" t="s">
        <v>1368</v>
      </c>
      <c r="EB74" s="609" t="s">
        <v>1368</v>
      </c>
      <c r="EC74" s="609" t="s">
        <v>1368</v>
      </c>
      <c r="ED74" s="609" t="s">
        <v>1368</v>
      </c>
      <c r="EE74" s="609" t="s">
        <v>1368</v>
      </c>
      <c r="EF74" s="609" t="s">
        <v>1368</v>
      </c>
      <c r="EG74" s="609" t="s">
        <v>1368</v>
      </c>
      <c r="EH74" s="609" t="s">
        <v>1368</v>
      </c>
      <c r="EI74" s="610" t="s">
        <v>1707</v>
      </c>
      <c r="EJ74" s="610" t="s">
        <v>1707</v>
      </c>
      <c r="EK74" s="610" t="s">
        <v>1707</v>
      </c>
      <c r="EL74" s="610" t="s">
        <v>1707</v>
      </c>
      <c r="EM74" s="610" t="s">
        <v>1707</v>
      </c>
      <c r="EN74" s="610" t="s">
        <v>1707</v>
      </c>
      <c r="EO74" s="610" t="s">
        <v>1707</v>
      </c>
      <c r="EP74" s="610" t="s">
        <v>1707</v>
      </c>
      <c r="EQ74" s="610" t="s">
        <v>1707</v>
      </c>
      <c r="ER74" s="610" t="s">
        <v>1707</v>
      </c>
      <c r="ES74" s="610" t="s">
        <v>1707</v>
      </c>
      <c r="ET74" s="610" t="s">
        <v>1707</v>
      </c>
      <c r="EU74" s="610">
        <v>3860</v>
      </c>
      <c r="EV74" s="610" t="s">
        <v>1707</v>
      </c>
      <c r="EW74" s="610" t="s">
        <v>1707</v>
      </c>
      <c r="EX74" s="610" t="s">
        <v>1707</v>
      </c>
      <c r="EY74" s="610" t="s">
        <v>1707</v>
      </c>
      <c r="EZ74" s="610" t="s">
        <v>1707</v>
      </c>
      <c r="FA74" s="610" t="s">
        <v>1707</v>
      </c>
      <c r="FB74" s="610" t="s">
        <v>1707</v>
      </c>
      <c r="FC74" s="610" t="s">
        <v>1707</v>
      </c>
      <c r="FD74" s="610" t="s">
        <v>1707</v>
      </c>
      <c r="FE74" s="610" t="s">
        <v>1707</v>
      </c>
      <c r="FF74" s="610" t="s">
        <v>1707</v>
      </c>
      <c r="FG74" s="610" t="s">
        <v>1707</v>
      </c>
      <c r="FH74" s="610">
        <v>10</v>
      </c>
      <c r="FI74" s="610">
        <v>10</v>
      </c>
      <c r="FJ74" s="610">
        <v>10</v>
      </c>
      <c r="FK74" s="610">
        <v>9</v>
      </c>
      <c r="FL74" s="610">
        <v>10</v>
      </c>
      <c r="FM74" s="610">
        <v>10</v>
      </c>
      <c r="FN74" s="610">
        <v>10</v>
      </c>
      <c r="FO74" s="610">
        <v>10</v>
      </c>
      <c r="FP74" s="610">
        <v>10</v>
      </c>
      <c r="FQ74" s="610">
        <v>10</v>
      </c>
      <c r="FR74" s="610" t="s">
        <v>2487</v>
      </c>
      <c r="FS74" s="610" t="s">
        <v>2487</v>
      </c>
      <c r="FT74" s="610" t="s">
        <v>2487</v>
      </c>
      <c r="FU74" s="610" t="s">
        <v>2487</v>
      </c>
      <c r="FV74" s="610" t="s">
        <v>2487</v>
      </c>
      <c r="FW74" s="610" t="s">
        <v>2487</v>
      </c>
      <c r="FX74" s="610" t="s">
        <v>2487</v>
      </c>
      <c r="FY74" s="610" t="s">
        <v>2487</v>
      </c>
      <c r="FZ74" s="610" t="s">
        <v>2487</v>
      </c>
      <c r="GA74" s="610" t="s">
        <v>2487</v>
      </c>
      <c r="GB74" s="610" t="s">
        <v>2487</v>
      </c>
      <c r="GC74" s="610" t="s">
        <v>2487</v>
      </c>
      <c r="GD74" s="564">
        <f t="shared" si="18"/>
        <v>79950</v>
      </c>
      <c r="GE74" s="564">
        <f t="shared" si="19"/>
        <v>79950</v>
      </c>
      <c r="GF74" s="564">
        <f t="shared" si="20"/>
        <v>79950</v>
      </c>
      <c r="GG74" s="564">
        <f t="shared" si="21"/>
        <v>79950</v>
      </c>
      <c r="GH74" s="564">
        <f t="shared" si="22"/>
        <v>79950</v>
      </c>
      <c r="GI74" s="564">
        <f t="shared" si="23"/>
        <v>79950</v>
      </c>
      <c r="GJ74" s="564">
        <f t="shared" si="24"/>
        <v>79950</v>
      </c>
      <c r="GK74" s="564">
        <f t="shared" si="25"/>
        <v>79950</v>
      </c>
      <c r="GL74" s="564">
        <f t="shared" si="26"/>
        <v>79950</v>
      </c>
      <c r="GM74" s="564">
        <f t="shared" si="27"/>
        <v>79950</v>
      </c>
      <c r="GN74" s="564">
        <f t="shared" si="28"/>
        <v>79950</v>
      </c>
      <c r="GO74" s="564">
        <f t="shared" si="29"/>
        <v>79950</v>
      </c>
      <c r="GP74" s="564"/>
      <c r="GS74" s="375" t="s">
        <v>1779</v>
      </c>
      <c r="GT74" s="374" t="str">
        <f t="shared" si="16"/>
        <v>〇</v>
      </c>
    </row>
    <row r="75" spans="2:202">
      <c r="B75" s="371">
        <v>71</v>
      </c>
      <c r="C75" s="378">
        <v>71</v>
      </c>
      <c r="D75" s="373" t="s">
        <v>1474</v>
      </c>
      <c r="E75" s="373" t="s">
        <v>14</v>
      </c>
      <c r="F75" s="603">
        <f t="shared" si="17"/>
        <v>30</v>
      </c>
      <c r="G75" s="603"/>
      <c r="H75" s="603">
        <v>15</v>
      </c>
      <c r="I75" s="603">
        <v>15</v>
      </c>
      <c r="J75" s="603"/>
      <c r="K75" s="603"/>
      <c r="L75" s="603"/>
      <c r="M75" s="603"/>
      <c r="N75" s="608"/>
      <c r="O75" s="603">
        <v>1577000</v>
      </c>
      <c r="P75" s="603">
        <v>2721000</v>
      </c>
      <c r="Q75" s="603">
        <v>0</v>
      </c>
      <c r="R75" s="603">
        <v>1188000</v>
      </c>
      <c r="S75" s="603">
        <v>1791000</v>
      </c>
      <c r="T75" s="603">
        <v>0</v>
      </c>
      <c r="U75" s="603">
        <v>0</v>
      </c>
      <c r="V75" s="603">
        <v>1051000</v>
      </c>
      <c r="W75" s="603">
        <v>1814000</v>
      </c>
      <c r="X75" s="603">
        <v>0</v>
      </c>
      <c r="Y75" s="603">
        <v>792000</v>
      </c>
      <c r="Z75" s="603">
        <v>1194000</v>
      </c>
      <c r="AA75" s="603">
        <v>0</v>
      </c>
      <c r="AB75" s="603">
        <v>0</v>
      </c>
      <c r="AC75" s="603">
        <v>0</v>
      </c>
      <c r="AD75" s="603">
        <v>0</v>
      </c>
      <c r="AE75" s="603">
        <v>0</v>
      </c>
      <c r="AF75" s="603">
        <v>0</v>
      </c>
      <c r="AG75" s="603">
        <v>0</v>
      </c>
      <c r="AH75" s="603">
        <v>0</v>
      </c>
      <c r="AI75" s="603">
        <v>0</v>
      </c>
      <c r="AJ75" s="604" t="s">
        <v>2377</v>
      </c>
      <c r="AK75" s="605" t="s">
        <v>2378</v>
      </c>
      <c r="AL75" s="605" t="s">
        <v>1545</v>
      </c>
      <c r="AM75" s="606" t="s">
        <v>2071</v>
      </c>
      <c r="AN75" s="609" t="s">
        <v>12</v>
      </c>
      <c r="AO75" s="610" t="s">
        <v>1368</v>
      </c>
      <c r="AP75" s="610" t="s">
        <v>1368</v>
      </c>
      <c r="AQ75" s="610" t="s">
        <v>1368</v>
      </c>
      <c r="AR75" s="610" t="s">
        <v>1368</v>
      </c>
      <c r="AS75" s="610" t="s">
        <v>1368</v>
      </c>
      <c r="AT75" s="610" t="s">
        <v>1368</v>
      </c>
      <c r="AU75" s="610" t="s">
        <v>1368</v>
      </c>
      <c r="AV75" s="610" t="s">
        <v>1368</v>
      </c>
      <c r="AW75" s="610" t="s">
        <v>1368</v>
      </c>
      <c r="AX75" s="610" t="s">
        <v>1368</v>
      </c>
      <c r="AY75" s="610" t="s">
        <v>1368</v>
      </c>
      <c r="AZ75" s="610" t="s">
        <v>1368</v>
      </c>
      <c r="BA75" s="610" t="s">
        <v>1368</v>
      </c>
      <c r="BB75" s="610" t="s">
        <v>1368</v>
      </c>
      <c r="BC75" s="610" t="s">
        <v>1368</v>
      </c>
      <c r="BD75" s="610" t="s">
        <v>1368</v>
      </c>
      <c r="BE75" s="610" t="s">
        <v>1368</v>
      </c>
      <c r="BF75" s="610" t="s">
        <v>1368</v>
      </c>
      <c r="BG75" s="610" t="s">
        <v>1368</v>
      </c>
      <c r="BH75" s="610" t="s">
        <v>1368</v>
      </c>
      <c r="BI75" s="610" t="s">
        <v>1368</v>
      </c>
      <c r="BJ75" s="610" t="s">
        <v>1368</v>
      </c>
      <c r="BK75" s="610" t="s">
        <v>1368</v>
      </c>
      <c r="BL75" s="610" t="s">
        <v>1368</v>
      </c>
      <c r="BM75" s="610">
        <v>0</v>
      </c>
      <c r="BN75" s="610">
        <v>0</v>
      </c>
      <c r="BO75" s="610">
        <v>0</v>
      </c>
      <c r="BP75" s="610">
        <v>0</v>
      </c>
      <c r="BQ75" s="610">
        <v>0</v>
      </c>
      <c r="BR75" s="610">
        <v>0</v>
      </c>
      <c r="BS75" s="610">
        <v>0</v>
      </c>
      <c r="BT75" s="610">
        <v>0</v>
      </c>
      <c r="BU75" s="610">
        <v>0</v>
      </c>
      <c r="BV75" s="610">
        <v>0</v>
      </c>
      <c r="BW75" s="610">
        <v>0</v>
      </c>
      <c r="BX75" s="610">
        <v>0</v>
      </c>
      <c r="BY75" s="610">
        <v>0</v>
      </c>
      <c r="BZ75" s="610">
        <v>0</v>
      </c>
      <c r="CA75" s="610">
        <v>0</v>
      </c>
      <c r="CB75" s="610">
        <v>0</v>
      </c>
      <c r="CC75" s="610">
        <v>0</v>
      </c>
      <c r="CD75" s="610">
        <v>0</v>
      </c>
      <c r="CE75" s="610">
        <v>0</v>
      </c>
      <c r="CF75" s="610">
        <v>0</v>
      </c>
      <c r="CG75" s="610">
        <v>0</v>
      </c>
      <c r="CH75" s="610">
        <v>0</v>
      </c>
      <c r="CI75" s="610">
        <v>0</v>
      </c>
      <c r="CJ75" s="610">
        <v>0</v>
      </c>
      <c r="CK75" s="610">
        <v>0</v>
      </c>
      <c r="CL75" s="610">
        <v>0</v>
      </c>
      <c r="CM75" s="610">
        <v>0</v>
      </c>
      <c r="CN75" s="610">
        <v>0</v>
      </c>
      <c r="CO75" s="610">
        <v>0</v>
      </c>
      <c r="CP75" s="610">
        <v>0</v>
      </c>
      <c r="CQ75" s="610">
        <v>0</v>
      </c>
      <c r="CR75" s="610">
        <v>0</v>
      </c>
      <c r="CS75" s="610">
        <v>0</v>
      </c>
      <c r="CT75" s="610">
        <v>0</v>
      </c>
      <c r="CU75" s="610">
        <v>0</v>
      </c>
      <c r="CV75" s="610">
        <v>0</v>
      </c>
      <c r="CW75" s="610" t="s">
        <v>14</v>
      </c>
      <c r="CX75" s="610">
        <v>0</v>
      </c>
      <c r="CY75" s="610" t="s">
        <v>1707</v>
      </c>
      <c r="CZ75" s="610" t="s">
        <v>1707</v>
      </c>
      <c r="DA75" s="610" t="s">
        <v>1707</v>
      </c>
      <c r="DB75" s="610" t="s">
        <v>1707</v>
      </c>
      <c r="DC75" s="610" t="s">
        <v>1707</v>
      </c>
      <c r="DD75" s="610" t="s">
        <v>1707</v>
      </c>
      <c r="DE75" s="610" t="s">
        <v>1707</v>
      </c>
      <c r="DF75" s="610" t="s">
        <v>1707</v>
      </c>
      <c r="DG75" s="610" t="s">
        <v>1707</v>
      </c>
      <c r="DH75" s="610" t="s">
        <v>1707</v>
      </c>
      <c r="DI75" s="610" t="s">
        <v>1707</v>
      </c>
      <c r="DJ75" s="610" t="s">
        <v>1707</v>
      </c>
      <c r="DK75" s="610" t="s">
        <v>1368</v>
      </c>
      <c r="DL75" s="610" t="s">
        <v>1368</v>
      </c>
      <c r="DM75" s="610" t="s">
        <v>1368</v>
      </c>
      <c r="DN75" s="610" t="s">
        <v>1368</v>
      </c>
      <c r="DO75" s="610" t="s">
        <v>1368</v>
      </c>
      <c r="DP75" s="610" t="s">
        <v>1368</v>
      </c>
      <c r="DQ75" s="610" t="s">
        <v>1368</v>
      </c>
      <c r="DR75" s="610" t="s">
        <v>1368</v>
      </c>
      <c r="DS75" s="610" t="s">
        <v>1368</v>
      </c>
      <c r="DT75" s="610" t="s">
        <v>1368</v>
      </c>
      <c r="DU75" s="610" t="s">
        <v>1368</v>
      </c>
      <c r="DV75" s="610" t="s">
        <v>1368</v>
      </c>
      <c r="DW75" s="609" t="s">
        <v>1368</v>
      </c>
      <c r="DX75" s="609" t="s">
        <v>1368</v>
      </c>
      <c r="DY75" s="609" t="s">
        <v>1368</v>
      </c>
      <c r="DZ75" s="609" t="s">
        <v>1368</v>
      </c>
      <c r="EA75" s="609" t="s">
        <v>1368</v>
      </c>
      <c r="EB75" s="609" t="s">
        <v>1368</v>
      </c>
      <c r="EC75" s="609" t="s">
        <v>1368</v>
      </c>
      <c r="ED75" s="609" t="s">
        <v>1368</v>
      </c>
      <c r="EE75" s="609" t="s">
        <v>1368</v>
      </c>
      <c r="EF75" s="609" t="s">
        <v>1368</v>
      </c>
      <c r="EG75" s="609" t="s">
        <v>1368</v>
      </c>
      <c r="EH75" s="609" t="s">
        <v>1368</v>
      </c>
      <c r="EI75" s="610" t="s">
        <v>1707</v>
      </c>
      <c r="EJ75" s="610" t="s">
        <v>1707</v>
      </c>
      <c r="EK75" s="610" t="s">
        <v>1707</v>
      </c>
      <c r="EL75" s="610" t="s">
        <v>1707</v>
      </c>
      <c r="EM75" s="610" t="s">
        <v>1707</v>
      </c>
      <c r="EN75" s="610" t="s">
        <v>1707</v>
      </c>
      <c r="EO75" s="610" t="s">
        <v>1707</v>
      </c>
      <c r="EP75" s="610" t="s">
        <v>1707</v>
      </c>
      <c r="EQ75" s="610" t="s">
        <v>1707</v>
      </c>
      <c r="ER75" s="610" t="s">
        <v>1707</v>
      </c>
      <c r="ES75" s="610" t="s">
        <v>1707</v>
      </c>
      <c r="ET75" s="610" t="s">
        <v>1707</v>
      </c>
      <c r="EU75" s="610">
        <v>4070</v>
      </c>
      <c r="EV75" s="610" t="s">
        <v>1707</v>
      </c>
      <c r="EW75" s="610" t="s">
        <v>1707</v>
      </c>
      <c r="EX75" s="610" t="s">
        <v>1707</v>
      </c>
      <c r="EY75" s="610" t="s">
        <v>1707</v>
      </c>
      <c r="EZ75" s="610" t="s">
        <v>1707</v>
      </c>
      <c r="FA75" s="610" t="s">
        <v>1707</v>
      </c>
      <c r="FB75" s="610" t="s">
        <v>1707</v>
      </c>
      <c r="FC75" s="610" t="s">
        <v>1707</v>
      </c>
      <c r="FD75" s="610" t="s">
        <v>1707</v>
      </c>
      <c r="FE75" s="610" t="s">
        <v>1707</v>
      </c>
      <c r="FF75" s="610" t="s">
        <v>1707</v>
      </c>
      <c r="FG75" s="610" t="s">
        <v>1707</v>
      </c>
      <c r="FH75" s="610">
        <v>10</v>
      </c>
      <c r="FI75" s="610">
        <v>10</v>
      </c>
      <c r="FJ75" s="610">
        <v>10</v>
      </c>
      <c r="FK75" s="610">
        <v>10</v>
      </c>
      <c r="FL75" s="610">
        <v>10</v>
      </c>
      <c r="FM75" s="610">
        <v>10</v>
      </c>
      <c r="FN75" s="610">
        <v>10</v>
      </c>
      <c r="FO75" s="610">
        <v>10</v>
      </c>
      <c r="FP75" s="610">
        <v>10</v>
      </c>
      <c r="FQ75" s="610">
        <v>10</v>
      </c>
      <c r="FR75" s="610" t="s">
        <v>2487</v>
      </c>
      <c r="FS75" s="610" t="s">
        <v>2487</v>
      </c>
      <c r="FT75" s="610" t="s">
        <v>2487</v>
      </c>
      <c r="FU75" s="610" t="s">
        <v>2487</v>
      </c>
      <c r="FV75" s="610" t="s">
        <v>2487</v>
      </c>
      <c r="FW75" s="610" t="s">
        <v>2487</v>
      </c>
      <c r="FX75" s="610" t="s">
        <v>2487</v>
      </c>
      <c r="FY75" s="610" t="s">
        <v>2487</v>
      </c>
      <c r="FZ75" s="610" t="s">
        <v>2487</v>
      </c>
      <c r="GA75" s="610" t="s">
        <v>2487</v>
      </c>
      <c r="GB75" s="610" t="s">
        <v>2487</v>
      </c>
      <c r="GC75" s="610" t="s">
        <v>2487</v>
      </c>
      <c r="GD75" s="564">
        <f t="shared" si="18"/>
        <v>79950</v>
      </c>
      <c r="GE75" s="564">
        <f t="shared" si="19"/>
        <v>79950</v>
      </c>
      <c r="GF75" s="564">
        <f t="shared" si="20"/>
        <v>79950</v>
      </c>
      <c r="GG75" s="564">
        <f t="shared" si="21"/>
        <v>79950</v>
      </c>
      <c r="GH75" s="564">
        <f t="shared" si="22"/>
        <v>79950</v>
      </c>
      <c r="GI75" s="564">
        <f t="shared" si="23"/>
        <v>79950</v>
      </c>
      <c r="GJ75" s="564">
        <f t="shared" si="24"/>
        <v>79950</v>
      </c>
      <c r="GK75" s="564">
        <f t="shared" si="25"/>
        <v>79950</v>
      </c>
      <c r="GL75" s="564">
        <f t="shared" si="26"/>
        <v>79950</v>
      </c>
      <c r="GM75" s="564">
        <f t="shared" si="27"/>
        <v>79950</v>
      </c>
      <c r="GN75" s="564">
        <f t="shared" si="28"/>
        <v>79950</v>
      </c>
      <c r="GO75" s="564">
        <f t="shared" si="29"/>
        <v>79950</v>
      </c>
      <c r="GP75" s="564"/>
      <c r="GS75" s="375" t="s">
        <v>1474</v>
      </c>
      <c r="GT75" s="374" t="str">
        <f t="shared" si="16"/>
        <v>〇</v>
      </c>
    </row>
    <row r="76" spans="2:202">
      <c r="B76" s="371">
        <v>72</v>
      </c>
      <c r="C76" s="378">
        <v>72</v>
      </c>
      <c r="D76" s="373" t="s">
        <v>1475</v>
      </c>
      <c r="E76" s="373" t="s">
        <v>14</v>
      </c>
      <c r="F76" s="603">
        <f t="shared" si="17"/>
        <v>48</v>
      </c>
      <c r="G76" s="603"/>
      <c r="H76" s="603">
        <v>27</v>
      </c>
      <c r="I76" s="603">
        <v>21</v>
      </c>
      <c r="J76" s="603"/>
      <c r="K76" s="603"/>
      <c r="L76" s="603"/>
      <c r="M76" s="603"/>
      <c r="N76" s="608"/>
      <c r="O76" s="603">
        <v>1577000</v>
      </c>
      <c r="P76" s="603">
        <v>2721000</v>
      </c>
      <c r="Q76" s="603">
        <v>2721000</v>
      </c>
      <c r="R76" s="603">
        <v>1791000</v>
      </c>
      <c r="S76" s="603">
        <v>0</v>
      </c>
      <c r="T76" s="603">
        <v>4362000</v>
      </c>
      <c r="U76" s="603">
        <v>0</v>
      </c>
      <c r="V76" s="603">
        <v>1051000</v>
      </c>
      <c r="W76" s="603">
        <v>1814000</v>
      </c>
      <c r="X76" s="603">
        <v>1814000</v>
      </c>
      <c r="Y76" s="603">
        <v>1194000</v>
      </c>
      <c r="Z76" s="603">
        <v>0</v>
      </c>
      <c r="AA76" s="603">
        <v>2908000</v>
      </c>
      <c r="AB76" s="603">
        <v>0</v>
      </c>
      <c r="AC76" s="603">
        <v>526000</v>
      </c>
      <c r="AD76" s="603">
        <v>907000</v>
      </c>
      <c r="AE76" s="603">
        <v>907000</v>
      </c>
      <c r="AF76" s="603">
        <v>597000</v>
      </c>
      <c r="AG76" s="603">
        <v>0</v>
      </c>
      <c r="AH76" s="603">
        <v>1454000</v>
      </c>
      <c r="AI76" s="603">
        <v>0</v>
      </c>
      <c r="AJ76" s="604" t="s">
        <v>2377</v>
      </c>
      <c r="AK76" s="605" t="s">
        <v>2378</v>
      </c>
      <c r="AL76" s="605" t="s">
        <v>2490</v>
      </c>
      <c r="AM76" s="606" t="s">
        <v>2072</v>
      </c>
      <c r="AN76" s="609" t="s">
        <v>12</v>
      </c>
      <c r="AO76" s="610" t="s">
        <v>1368</v>
      </c>
      <c r="AP76" s="610" t="s">
        <v>1368</v>
      </c>
      <c r="AQ76" s="610" t="s">
        <v>1368</v>
      </c>
      <c r="AR76" s="610" t="s">
        <v>1368</v>
      </c>
      <c r="AS76" s="610" t="s">
        <v>1368</v>
      </c>
      <c r="AT76" s="610" t="s">
        <v>1368</v>
      </c>
      <c r="AU76" s="610" t="s">
        <v>1368</v>
      </c>
      <c r="AV76" s="610" t="s">
        <v>1368</v>
      </c>
      <c r="AW76" s="610" t="s">
        <v>1368</v>
      </c>
      <c r="AX76" s="610" t="s">
        <v>1368</v>
      </c>
      <c r="AY76" s="610" t="s">
        <v>1368</v>
      </c>
      <c r="AZ76" s="610" t="s">
        <v>1368</v>
      </c>
      <c r="BA76" s="610" t="s">
        <v>1368</v>
      </c>
      <c r="BB76" s="610" t="s">
        <v>1368</v>
      </c>
      <c r="BC76" s="610" t="s">
        <v>1368</v>
      </c>
      <c r="BD76" s="610" t="s">
        <v>1368</v>
      </c>
      <c r="BE76" s="610" t="s">
        <v>1368</v>
      </c>
      <c r="BF76" s="610" t="s">
        <v>1368</v>
      </c>
      <c r="BG76" s="610" t="s">
        <v>1368</v>
      </c>
      <c r="BH76" s="610" t="s">
        <v>1368</v>
      </c>
      <c r="BI76" s="610" t="s">
        <v>1368</v>
      </c>
      <c r="BJ76" s="610" t="s">
        <v>1368</v>
      </c>
      <c r="BK76" s="610" t="s">
        <v>1368</v>
      </c>
      <c r="BL76" s="610" t="s">
        <v>1368</v>
      </c>
      <c r="BM76" s="610">
        <v>2</v>
      </c>
      <c r="BN76" s="610">
        <v>2</v>
      </c>
      <c r="BO76" s="610">
        <v>2</v>
      </c>
      <c r="BP76" s="610">
        <v>2</v>
      </c>
      <c r="BQ76" s="610">
        <v>2</v>
      </c>
      <c r="BR76" s="610">
        <v>2</v>
      </c>
      <c r="BS76" s="610">
        <v>2</v>
      </c>
      <c r="BT76" s="610">
        <v>2</v>
      </c>
      <c r="BU76" s="610">
        <v>2</v>
      </c>
      <c r="BV76" s="610">
        <v>2</v>
      </c>
      <c r="BW76" s="610">
        <v>2</v>
      </c>
      <c r="BX76" s="610">
        <v>2</v>
      </c>
      <c r="BY76" s="610">
        <v>0</v>
      </c>
      <c r="BZ76" s="610">
        <v>0</v>
      </c>
      <c r="CA76" s="610">
        <v>0</v>
      </c>
      <c r="CB76" s="610">
        <v>0</v>
      </c>
      <c r="CC76" s="610">
        <v>0</v>
      </c>
      <c r="CD76" s="610">
        <v>0</v>
      </c>
      <c r="CE76" s="610">
        <v>0</v>
      </c>
      <c r="CF76" s="610">
        <v>0</v>
      </c>
      <c r="CG76" s="610">
        <v>0</v>
      </c>
      <c r="CH76" s="610">
        <v>0</v>
      </c>
      <c r="CI76" s="610">
        <v>0</v>
      </c>
      <c r="CJ76" s="610">
        <v>0</v>
      </c>
      <c r="CK76" s="610">
        <v>0</v>
      </c>
      <c r="CL76" s="610">
        <v>0</v>
      </c>
      <c r="CM76" s="610">
        <v>0</v>
      </c>
      <c r="CN76" s="610">
        <v>0</v>
      </c>
      <c r="CO76" s="610">
        <v>0</v>
      </c>
      <c r="CP76" s="610">
        <v>0</v>
      </c>
      <c r="CQ76" s="610">
        <v>0</v>
      </c>
      <c r="CR76" s="610">
        <v>0</v>
      </c>
      <c r="CS76" s="610">
        <v>0</v>
      </c>
      <c r="CT76" s="610">
        <v>0</v>
      </c>
      <c r="CU76" s="610">
        <v>0</v>
      </c>
      <c r="CV76" s="610">
        <v>0</v>
      </c>
      <c r="CW76" s="610" t="s">
        <v>14</v>
      </c>
      <c r="CX76" s="610">
        <v>0</v>
      </c>
      <c r="CY76" s="610" t="s">
        <v>1707</v>
      </c>
      <c r="CZ76" s="610" t="s">
        <v>1707</v>
      </c>
      <c r="DA76" s="610" t="s">
        <v>1707</v>
      </c>
      <c r="DB76" s="610" t="s">
        <v>1707</v>
      </c>
      <c r="DC76" s="610" t="s">
        <v>1707</v>
      </c>
      <c r="DD76" s="610" t="s">
        <v>1707</v>
      </c>
      <c r="DE76" s="610" t="s">
        <v>1707</v>
      </c>
      <c r="DF76" s="610" t="s">
        <v>1707</v>
      </c>
      <c r="DG76" s="610" t="s">
        <v>1707</v>
      </c>
      <c r="DH76" s="610" t="s">
        <v>1707</v>
      </c>
      <c r="DI76" s="610" t="s">
        <v>1707</v>
      </c>
      <c r="DJ76" s="610" t="s">
        <v>1707</v>
      </c>
      <c r="DK76" s="610" t="s">
        <v>18</v>
      </c>
      <c r="DL76" s="610" t="s">
        <v>18</v>
      </c>
      <c r="DM76" s="610" t="s">
        <v>18</v>
      </c>
      <c r="DN76" s="610" t="s">
        <v>18</v>
      </c>
      <c r="DO76" s="610" t="s">
        <v>18</v>
      </c>
      <c r="DP76" s="610" t="s">
        <v>18</v>
      </c>
      <c r="DQ76" s="610" t="s">
        <v>18</v>
      </c>
      <c r="DR76" s="610" t="s">
        <v>18</v>
      </c>
      <c r="DS76" s="610" t="s">
        <v>18</v>
      </c>
      <c r="DT76" s="610" t="s">
        <v>18</v>
      </c>
      <c r="DU76" s="610" t="s">
        <v>18</v>
      </c>
      <c r="DV76" s="610" t="s">
        <v>18</v>
      </c>
      <c r="DW76" s="609" t="s">
        <v>1368</v>
      </c>
      <c r="DX76" s="609" t="s">
        <v>1368</v>
      </c>
      <c r="DY76" s="609" t="s">
        <v>1368</v>
      </c>
      <c r="DZ76" s="609" t="s">
        <v>1368</v>
      </c>
      <c r="EA76" s="609" t="s">
        <v>1368</v>
      </c>
      <c r="EB76" s="609" t="s">
        <v>1368</v>
      </c>
      <c r="EC76" s="609" t="s">
        <v>1368</v>
      </c>
      <c r="ED76" s="609" t="s">
        <v>1368</v>
      </c>
      <c r="EE76" s="609" t="s">
        <v>1368</v>
      </c>
      <c r="EF76" s="609" t="s">
        <v>1368</v>
      </c>
      <c r="EG76" s="609" t="s">
        <v>1368</v>
      </c>
      <c r="EH76" s="609" t="s">
        <v>1368</v>
      </c>
      <c r="EI76" s="610" t="s">
        <v>1707</v>
      </c>
      <c r="EJ76" s="610" t="s">
        <v>1707</v>
      </c>
      <c r="EK76" s="610" t="s">
        <v>1707</v>
      </c>
      <c r="EL76" s="610" t="s">
        <v>1707</v>
      </c>
      <c r="EM76" s="610" t="s">
        <v>1707</v>
      </c>
      <c r="EN76" s="610" t="s">
        <v>1707</v>
      </c>
      <c r="EO76" s="610" t="s">
        <v>1707</v>
      </c>
      <c r="EP76" s="610" t="s">
        <v>1707</v>
      </c>
      <c r="EQ76" s="610" t="s">
        <v>1707</v>
      </c>
      <c r="ER76" s="610" t="s">
        <v>1707</v>
      </c>
      <c r="ES76" s="610" t="s">
        <v>1707</v>
      </c>
      <c r="ET76" s="610" t="s">
        <v>1707</v>
      </c>
      <c r="EU76" s="610">
        <v>4070</v>
      </c>
      <c r="EV76" s="610" t="s">
        <v>2449</v>
      </c>
      <c r="EW76" s="610" t="s">
        <v>2449</v>
      </c>
      <c r="EX76" s="610" t="s">
        <v>2449</v>
      </c>
      <c r="EY76" s="610" t="s">
        <v>2449</v>
      </c>
      <c r="EZ76" s="610" t="s">
        <v>2449</v>
      </c>
      <c r="FA76" s="610" t="s">
        <v>2449</v>
      </c>
      <c r="FB76" s="610" t="s">
        <v>2449</v>
      </c>
      <c r="FC76" s="610" t="s">
        <v>2449</v>
      </c>
      <c r="FD76" s="610" t="s">
        <v>2449</v>
      </c>
      <c r="FE76" s="610" t="s">
        <v>2449</v>
      </c>
      <c r="FF76" s="610" t="s">
        <v>2449</v>
      </c>
      <c r="FG76" s="610" t="s">
        <v>2449</v>
      </c>
      <c r="FH76" s="610">
        <v>18</v>
      </c>
      <c r="FI76" s="610">
        <v>18</v>
      </c>
      <c r="FJ76" s="610">
        <v>18</v>
      </c>
      <c r="FK76" s="610">
        <v>18</v>
      </c>
      <c r="FL76" s="610">
        <v>18</v>
      </c>
      <c r="FM76" s="610">
        <v>18</v>
      </c>
      <c r="FN76" s="610">
        <v>18</v>
      </c>
      <c r="FO76" s="610">
        <v>18</v>
      </c>
      <c r="FP76" s="610">
        <v>18</v>
      </c>
      <c r="FQ76" s="610">
        <v>18</v>
      </c>
      <c r="FR76" s="610" t="s">
        <v>2487</v>
      </c>
      <c r="FS76" s="610" t="s">
        <v>2487</v>
      </c>
      <c r="FT76" s="610" t="s">
        <v>2487</v>
      </c>
      <c r="FU76" s="610" t="s">
        <v>2487</v>
      </c>
      <c r="FV76" s="610" t="s">
        <v>2487</v>
      </c>
      <c r="FW76" s="610" t="s">
        <v>2487</v>
      </c>
      <c r="FX76" s="610" t="s">
        <v>2487</v>
      </c>
      <c r="FY76" s="610" t="s">
        <v>2487</v>
      </c>
      <c r="FZ76" s="610" t="s">
        <v>2487</v>
      </c>
      <c r="GA76" s="610" t="s">
        <v>2487</v>
      </c>
      <c r="GB76" s="610" t="s">
        <v>2487</v>
      </c>
      <c r="GC76" s="610" t="s">
        <v>2487</v>
      </c>
      <c r="GD76" s="564">
        <f t="shared" si="18"/>
        <v>79950</v>
      </c>
      <c r="GE76" s="564">
        <f t="shared" si="19"/>
        <v>79950</v>
      </c>
      <c r="GF76" s="564">
        <f t="shared" si="20"/>
        <v>79950</v>
      </c>
      <c r="GG76" s="564">
        <f t="shared" si="21"/>
        <v>79950</v>
      </c>
      <c r="GH76" s="564">
        <f t="shared" si="22"/>
        <v>79950</v>
      </c>
      <c r="GI76" s="564">
        <f t="shared" si="23"/>
        <v>79950</v>
      </c>
      <c r="GJ76" s="564">
        <f t="shared" si="24"/>
        <v>79950</v>
      </c>
      <c r="GK76" s="564">
        <f t="shared" si="25"/>
        <v>79950</v>
      </c>
      <c r="GL76" s="564">
        <f t="shared" si="26"/>
        <v>79950</v>
      </c>
      <c r="GM76" s="564">
        <f t="shared" si="27"/>
        <v>79950</v>
      </c>
      <c r="GN76" s="564">
        <f t="shared" si="28"/>
        <v>79950</v>
      </c>
      <c r="GO76" s="564">
        <f t="shared" si="29"/>
        <v>79950</v>
      </c>
      <c r="GP76" s="564"/>
      <c r="GS76" s="375" t="s">
        <v>1475</v>
      </c>
      <c r="GT76" s="374" t="str">
        <f t="shared" si="16"/>
        <v>〇</v>
      </c>
    </row>
    <row r="77" spans="2:202">
      <c r="B77" s="371">
        <v>73</v>
      </c>
      <c r="C77" s="378">
        <v>73</v>
      </c>
      <c r="D77" s="373" t="s">
        <v>1476</v>
      </c>
      <c r="E77" s="373" t="s">
        <v>14</v>
      </c>
      <c r="F77" s="603">
        <f t="shared" si="17"/>
        <v>40</v>
      </c>
      <c r="G77" s="603"/>
      <c r="H77" s="603">
        <v>24</v>
      </c>
      <c r="I77" s="603">
        <v>16</v>
      </c>
      <c r="J77" s="603"/>
      <c r="K77" s="603"/>
      <c r="L77" s="603"/>
      <c r="M77" s="603"/>
      <c r="N77" s="608"/>
      <c r="O77" s="603">
        <v>1577000</v>
      </c>
      <c r="P77" s="603">
        <v>2721000</v>
      </c>
      <c r="Q77" s="603">
        <v>2721000</v>
      </c>
      <c r="R77" s="603">
        <v>1791000</v>
      </c>
      <c r="S77" s="603">
        <v>0</v>
      </c>
      <c r="T77" s="603">
        <v>2181000</v>
      </c>
      <c r="U77" s="603">
        <v>0</v>
      </c>
      <c r="V77" s="603">
        <v>1051000</v>
      </c>
      <c r="W77" s="603">
        <v>1814000</v>
      </c>
      <c r="X77" s="603">
        <v>1814000</v>
      </c>
      <c r="Y77" s="603">
        <v>1194000</v>
      </c>
      <c r="Z77" s="603">
        <v>0</v>
      </c>
      <c r="AA77" s="603">
        <v>1454000</v>
      </c>
      <c r="AB77" s="603">
        <v>0</v>
      </c>
      <c r="AC77" s="603">
        <v>526000</v>
      </c>
      <c r="AD77" s="603">
        <v>907000</v>
      </c>
      <c r="AE77" s="603">
        <v>907000</v>
      </c>
      <c r="AF77" s="603">
        <v>597000</v>
      </c>
      <c r="AG77" s="603">
        <v>0</v>
      </c>
      <c r="AH77" s="603">
        <v>727000</v>
      </c>
      <c r="AI77" s="603">
        <v>0</v>
      </c>
      <c r="AJ77" s="604" t="s">
        <v>2377</v>
      </c>
      <c r="AK77" s="605" t="s">
        <v>2378</v>
      </c>
      <c r="AL77" s="605" t="s">
        <v>2490</v>
      </c>
      <c r="AM77" s="606" t="s">
        <v>2073</v>
      </c>
      <c r="AN77" s="609" t="s">
        <v>12</v>
      </c>
      <c r="AO77" s="610" t="s">
        <v>1368</v>
      </c>
      <c r="AP77" s="610" t="s">
        <v>1368</v>
      </c>
      <c r="AQ77" s="610" t="s">
        <v>1368</v>
      </c>
      <c r="AR77" s="610" t="s">
        <v>1368</v>
      </c>
      <c r="AS77" s="610" t="s">
        <v>1368</v>
      </c>
      <c r="AT77" s="610" t="s">
        <v>1368</v>
      </c>
      <c r="AU77" s="610" t="s">
        <v>1368</v>
      </c>
      <c r="AV77" s="610" t="s">
        <v>1368</v>
      </c>
      <c r="AW77" s="610" t="s">
        <v>1368</v>
      </c>
      <c r="AX77" s="610" t="s">
        <v>1368</v>
      </c>
      <c r="AY77" s="610" t="s">
        <v>1368</v>
      </c>
      <c r="AZ77" s="610" t="s">
        <v>1368</v>
      </c>
      <c r="BA77" s="610" t="s">
        <v>1368</v>
      </c>
      <c r="BB77" s="610" t="s">
        <v>1368</v>
      </c>
      <c r="BC77" s="610" t="s">
        <v>1368</v>
      </c>
      <c r="BD77" s="610" t="s">
        <v>1368</v>
      </c>
      <c r="BE77" s="610" t="s">
        <v>1368</v>
      </c>
      <c r="BF77" s="610" t="s">
        <v>1368</v>
      </c>
      <c r="BG77" s="610" t="s">
        <v>1368</v>
      </c>
      <c r="BH77" s="610" t="s">
        <v>1368</v>
      </c>
      <c r="BI77" s="610" t="s">
        <v>1368</v>
      </c>
      <c r="BJ77" s="610" t="s">
        <v>1368</v>
      </c>
      <c r="BK77" s="610" t="s">
        <v>1368</v>
      </c>
      <c r="BL77" s="610" t="s">
        <v>1368</v>
      </c>
      <c r="BM77" s="610">
        <v>1</v>
      </c>
      <c r="BN77" s="610">
        <v>1</v>
      </c>
      <c r="BO77" s="610">
        <v>1</v>
      </c>
      <c r="BP77" s="610">
        <v>1</v>
      </c>
      <c r="BQ77" s="610">
        <v>1</v>
      </c>
      <c r="BR77" s="610">
        <v>1</v>
      </c>
      <c r="BS77" s="610">
        <v>1</v>
      </c>
      <c r="BT77" s="610">
        <v>1</v>
      </c>
      <c r="BU77" s="610">
        <v>1</v>
      </c>
      <c r="BV77" s="610">
        <v>1</v>
      </c>
      <c r="BW77" s="610">
        <v>1</v>
      </c>
      <c r="BX77" s="610">
        <v>1</v>
      </c>
      <c r="BY77" s="610">
        <v>0</v>
      </c>
      <c r="BZ77" s="610">
        <v>0</v>
      </c>
      <c r="CA77" s="610">
        <v>0</v>
      </c>
      <c r="CB77" s="610">
        <v>0</v>
      </c>
      <c r="CC77" s="610">
        <v>0</v>
      </c>
      <c r="CD77" s="610">
        <v>0</v>
      </c>
      <c r="CE77" s="610">
        <v>0</v>
      </c>
      <c r="CF77" s="610">
        <v>0</v>
      </c>
      <c r="CG77" s="610">
        <v>0</v>
      </c>
      <c r="CH77" s="610">
        <v>0</v>
      </c>
      <c r="CI77" s="610">
        <v>0</v>
      </c>
      <c r="CJ77" s="610">
        <v>0</v>
      </c>
      <c r="CK77" s="610">
        <v>0</v>
      </c>
      <c r="CL77" s="610">
        <v>0</v>
      </c>
      <c r="CM77" s="610">
        <v>0</v>
      </c>
      <c r="CN77" s="610">
        <v>0</v>
      </c>
      <c r="CO77" s="610">
        <v>0</v>
      </c>
      <c r="CP77" s="610">
        <v>0</v>
      </c>
      <c r="CQ77" s="610">
        <v>0</v>
      </c>
      <c r="CR77" s="610">
        <v>0</v>
      </c>
      <c r="CS77" s="610">
        <v>0</v>
      </c>
      <c r="CT77" s="610">
        <v>0</v>
      </c>
      <c r="CU77" s="610">
        <v>0</v>
      </c>
      <c r="CV77" s="610">
        <v>0</v>
      </c>
      <c r="CW77" s="610" t="s">
        <v>14</v>
      </c>
      <c r="CX77" s="610">
        <v>0</v>
      </c>
      <c r="CY77" s="610" t="s">
        <v>1707</v>
      </c>
      <c r="CZ77" s="610" t="s">
        <v>1707</v>
      </c>
      <c r="DA77" s="610" t="s">
        <v>1707</v>
      </c>
      <c r="DB77" s="610" t="s">
        <v>1707</v>
      </c>
      <c r="DC77" s="610" t="s">
        <v>1707</v>
      </c>
      <c r="DD77" s="610" t="s">
        <v>1707</v>
      </c>
      <c r="DE77" s="610" t="s">
        <v>1707</v>
      </c>
      <c r="DF77" s="610" t="s">
        <v>1707</v>
      </c>
      <c r="DG77" s="610" t="s">
        <v>1707</v>
      </c>
      <c r="DH77" s="610" t="s">
        <v>1707</v>
      </c>
      <c r="DI77" s="610" t="s">
        <v>1707</v>
      </c>
      <c r="DJ77" s="610" t="s">
        <v>1707</v>
      </c>
      <c r="DK77" s="610" t="s">
        <v>1368</v>
      </c>
      <c r="DL77" s="610" t="s">
        <v>1368</v>
      </c>
      <c r="DM77" s="610" t="s">
        <v>1368</v>
      </c>
      <c r="DN77" s="610" t="s">
        <v>1368</v>
      </c>
      <c r="DO77" s="610" t="s">
        <v>1368</v>
      </c>
      <c r="DP77" s="610" t="s">
        <v>1368</v>
      </c>
      <c r="DQ77" s="610" t="s">
        <v>1368</v>
      </c>
      <c r="DR77" s="610" t="s">
        <v>1368</v>
      </c>
      <c r="DS77" s="610" t="s">
        <v>1368</v>
      </c>
      <c r="DT77" s="610" t="s">
        <v>1368</v>
      </c>
      <c r="DU77" s="610" t="s">
        <v>1368</v>
      </c>
      <c r="DV77" s="610" t="s">
        <v>1368</v>
      </c>
      <c r="DW77" s="609" t="s">
        <v>1368</v>
      </c>
      <c r="DX77" s="609" t="s">
        <v>1368</v>
      </c>
      <c r="DY77" s="609" t="s">
        <v>1368</v>
      </c>
      <c r="DZ77" s="609" t="s">
        <v>1368</v>
      </c>
      <c r="EA77" s="609" t="s">
        <v>1368</v>
      </c>
      <c r="EB77" s="609" t="s">
        <v>1368</v>
      </c>
      <c r="EC77" s="609" t="s">
        <v>1368</v>
      </c>
      <c r="ED77" s="609" t="s">
        <v>1368</v>
      </c>
      <c r="EE77" s="609" t="s">
        <v>1368</v>
      </c>
      <c r="EF77" s="609" t="s">
        <v>1368</v>
      </c>
      <c r="EG77" s="609" t="s">
        <v>1368</v>
      </c>
      <c r="EH77" s="609" t="s">
        <v>1368</v>
      </c>
      <c r="EI77" s="610" t="s">
        <v>1707</v>
      </c>
      <c r="EJ77" s="610" t="s">
        <v>1707</v>
      </c>
      <c r="EK77" s="610" t="s">
        <v>1707</v>
      </c>
      <c r="EL77" s="610" t="s">
        <v>1707</v>
      </c>
      <c r="EM77" s="610" t="s">
        <v>1707</v>
      </c>
      <c r="EN77" s="610" t="s">
        <v>1707</v>
      </c>
      <c r="EO77" s="610" t="s">
        <v>1707</v>
      </c>
      <c r="EP77" s="610" t="s">
        <v>1707</v>
      </c>
      <c r="EQ77" s="610" t="s">
        <v>1707</v>
      </c>
      <c r="ER77" s="610" t="s">
        <v>1707</v>
      </c>
      <c r="ES77" s="610" t="s">
        <v>1707</v>
      </c>
      <c r="ET77" s="610" t="s">
        <v>1707</v>
      </c>
      <c r="EU77" s="610">
        <v>4070</v>
      </c>
      <c r="EV77" s="610" t="s">
        <v>1707</v>
      </c>
      <c r="EW77" s="610" t="s">
        <v>1707</v>
      </c>
      <c r="EX77" s="610" t="s">
        <v>1707</v>
      </c>
      <c r="EY77" s="610" t="s">
        <v>1707</v>
      </c>
      <c r="EZ77" s="610" t="s">
        <v>1707</v>
      </c>
      <c r="FA77" s="610" t="s">
        <v>1707</v>
      </c>
      <c r="FB77" s="610" t="s">
        <v>1707</v>
      </c>
      <c r="FC77" s="610" t="s">
        <v>1707</v>
      </c>
      <c r="FD77" s="610" t="s">
        <v>1707</v>
      </c>
      <c r="FE77" s="610" t="s">
        <v>1707</v>
      </c>
      <c r="FF77" s="610" t="s">
        <v>1707</v>
      </c>
      <c r="FG77" s="610" t="s">
        <v>1707</v>
      </c>
      <c r="FH77" s="610">
        <v>17</v>
      </c>
      <c r="FI77" s="610">
        <v>17</v>
      </c>
      <c r="FJ77" s="610">
        <v>17</v>
      </c>
      <c r="FK77" s="610">
        <v>17</v>
      </c>
      <c r="FL77" s="610">
        <v>17</v>
      </c>
      <c r="FM77" s="610">
        <v>17</v>
      </c>
      <c r="FN77" s="610">
        <v>17</v>
      </c>
      <c r="FO77" s="610">
        <v>17</v>
      </c>
      <c r="FP77" s="610">
        <v>17</v>
      </c>
      <c r="FQ77" s="610">
        <v>17</v>
      </c>
      <c r="FR77" s="610" t="s">
        <v>1368</v>
      </c>
      <c r="FS77" s="610" t="s">
        <v>1368</v>
      </c>
      <c r="FT77" s="610" t="s">
        <v>1368</v>
      </c>
      <c r="FU77" s="610" t="s">
        <v>1368</v>
      </c>
      <c r="FV77" s="610" t="s">
        <v>1368</v>
      </c>
      <c r="FW77" s="610" t="s">
        <v>1368</v>
      </c>
      <c r="FX77" s="610" t="s">
        <v>1368</v>
      </c>
      <c r="FY77" s="610" t="s">
        <v>1368</v>
      </c>
      <c r="FZ77" s="610" t="s">
        <v>1368</v>
      </c>
      <c r="GA77" s="610" t="s">
        <v>1368</v>
      </c>
      <c r="GB77" s="610" t="s">
        <v>1368</v>
      </c>
      <c r="GC77" s="610" t="s">
        <v>1368</v>
      </c>
      <c r="GD77" s="564" t="str">
        <f t="shared" si="18"/>
        <v/>
      </c>
      <c r="GE77" s="564" t="str">
        <f t="shared" si="19"/>
        <v/>
      </c>
      <c r="GF77" s="564" t="str">
        <f t="shared" si="20"/>
        <v/>
      </c>
      <c r="GG77" s="564" t="str">
        <f t="shared" si="21"/>
        <v/>
      </c>
      <c r="GH77" s="564" t="str">
        <f t="shared" si="22"/>
        <v/>
      </c>
      <c r="GI77" s="564" t="str">
        <f t="shared" si="23"/>
        <v/>
      </c>
      <c r="GJ77" s="564" t="str">
        <f t="shared" si="24"/>
        <v/>
      </c>
      <c r="GK77" s="564" t="str">
        <f t="shared" si="25"/>
        <v/>
      </c>
      <c r="GL77" s="564" t="str">
        <f t="shared" si="26"/>
        <v/>
      </c>
      <c r="GM77" s="564" t="str">
        <f t="shared" si="27"/>
        <v/>
      </c>
      <c r="GN77" s="564" t="str">
        <f t="shared" si="28"/>
        <v/>
      </c>
      <c r="GO77" s="564" t="str">
        <f t="shared" si="29"/>
        <v/>
      </c>
      <c r="GP77" s="564"/>
      <c r="GS77" s="375" t="s">
        <v>1476</v>
      </c>
      <c r="GT77" s="374" t="str">
        <f t="shared" si="16"/>
        <v>〇</v>
      </c>
    </row>
    <row r="78" spans="2:202">
      <c r="B78" s="371">
        <v>74</v>
      </c>
      <c r="C78" s="378">
        <v>74</v>
      </c>
      <c r="D78" s="373" t="s">
        <v>1477</v>
      </c>
      <c r="E78" s="373" t="s">
        <v>14</v>
      </c>
      <c r="F78" s="603">
        <f t="shared" si="17"/>
        <v>90</v>
      </c>
      <c r="G78" s="603"/>
      <c r="H78" s="603">
        <v>50</v>
      </c>
      <c r="I78" s="603">
        <v>40</v>
      </c>
      <c r="J78" s="603"/>
      <c r="K78" s="603"/>
      <c r="L78" s="603"/>
      <c r="M78" s="603"/>
      <c r="N78" s="608"/>
      <c r="O78" s="603">
        <v>1577000</v>
      </c>
      <c r="P78" s="603">
        <v>2721000</v>
      </c>
      <c r="Q78" s="603">
        <v>2721000</v>
      </c>
      <c r="R78" s="603">
        <v>1791000</v>
      </c>
      <c r="S78" s="603">
        <v>0</v>
      </c>
      <c r="T78" s="603">
        <v>2181000</v>
      </c>
      <c r="U78" s="603">
        <v>0</v>
      </c>
      <c r="V78" s="603">
        <v>1051000</v>
      </c>
      <c r="W78" s="603">
        <v>1814000</v>
      </c>
      <c r="X78" s="603">
        <v>1814000</v>
      </c>
      <c r="Y78" s="603">
        <v>1194000</v>
      </c>
      <c r="Z78" s="603">
        <v>0</v>
      </c>
      <c r="AA78" s="603">
        <v>1454000</v>
      </c>
      <c r="AB78" s="603">
        <v>0</v>
      </c>
      <c r="AC78" s="603">
        <v>0</v>
      </c>
      <c r="AD78" s="603">
        <v>0</v>
      </c>
      <c r="AE78" s="603">
        <v>0</v>
      </c>
      <c r="AF78" s="603">
        <v>0</v>
      </c>
      <c r="AG78" s="603">
        <v>0</v>
      </c>
      <c r="AH78" s="603">
        <v>0</v>
      </c>
      <c r="AI78" s="603">
        <v>0</v>
      </c>
      <c r="AJ78" s="604" t="s">
        <v>2377</v>
      </c>
      <c r="AK78" s="605" t="s">
        <v>2378</v>
      </c>
      <c r="AL78" s="605" t="s">
        <v>1545</v>
      </c>
      <c r="AM78" s="606" t="s">
        <v>2074</v>
      </c>
      <c r="AN78" s="609" t="s">
        <v>12</v>
      </c>
      <c r="AO78" s="610" t="s">
        <v>1368</v>
      </c>
      <c r="AP78" s="610" t="s">
        <v>1368</v>
      </c>
      <c r="AQ78" s="610" t="s">
        <v>1368</v>
      </c>
      <c r="AR78" s="610" t="s">
        <v>1368</v>
      </c>
      <c r="AS78" s="610" t="s">
        <v>1368</v>
      </c>
      <c r="AT78" s="610" t="s">
        <v>1368</v>
      </c>
      <c r="AU78" s="610" t="s">
        <v>1368</v>
      </c>
      <c r="AV78" s="610" t="s">
        <v>1368</v>
      </c>
      <c r="AW78" s="610" t="s">
        <v>1368</v>
      </c>
      <c r="AX78" s="610" t="s">
        <v>1368</v>
      </c>
      <c r="AY78" s="610" t="s">
        <v>1368</v>
      </c>
      <c r="AZ78" s="610" t="s">
        <v>1368</v>
      </c>
      <c r="BA78" s="610" t="s">
        <v>1368</v>
      </c>
      <c r="BB78" s="610" t="s">
        <v>1368</v>
      </c>
      <c r="BC78" s="610" t="s">
        <v>1368</v>
      </c>
      <c r="BD78" s="610" t="s">
        <v>1368</v>
      </c>
      <c r="BE78" s="610" t="s">
        <v>1368</v>
      </c>
      <c r="BF78" s="610" t="s">
        <v>1368</v>
      </c>
      <c r="BG78" s="610" t="s">
        <v>1368</v>
      </c>
      <c r="BH78" s="610" t="s">
        <v>1368</v>
      </c>
      <c r="BI78" s="610" t="s">
        <v>1368</v>
      </c>
      <c r="BJ78" s="610" t="s">
        <v>1368</v>
      </c>
      <c r="BK78" s="610" t="s">
        <v>1368</v>
      </c>
      <c r="BL78" s="610" t="s">
        <v>1368</v>
      </c>
      <c r="BM78" s="610">
        <v>1</v>
      </c>
      <c r="BN78" s="610">
        <v>1</v>
      </c>
      <c r="BO78" s="610">
        <v>1</v>
      </c>
      <c r="BP78" s="610">
        <v>1</v>
      </c>
      <c r="BQ78" s="610">
        <v>1</v>
      </c>
      <c r="BR78" s="610">
        <v>1</v>
      </c>
      <c r="BS78" s="610">
        <v>1</v>
      </c>
      <c r="BT78" s="610">
        <v>1</v>
      </c>
      <c r="BU78" s="610">
        <v>1</v>
      </c>
      <c r="BV78" s="610">
        <v>1</v>
      </c>
      <c r="BW78" s="610">
        <v>1</v>
      </c>
      <c r="BX78" s="610">
        <v>1</v>
      </c>
      <c r="BY78" s="610">
        <v>0</v>
      </c>
      <c r="BZ78" s="610">
        <v>0</v>
      </c>
      <c r="CA78" s="610">
        <v>0</v>
      </c>
      <c r="CB78" s="610">
        <v>0</v>
      </c>
      <c r="CC78" s="610">
        <v>0</v>
      </c>
      <c r="CD78" s="610">
        <v>0</v>
      </c>
      <c r="CE78" s="610">
        <v>0</v>
      </c>
      <c r="CF78" s="610">
        <v>0</v>
      </c>
      <c r="CG78" s="610">
        <v>0</v>
      </c>
      <c r="CH78" s="610">
        <v>0</v>
      </c>
      <c r="CI78" s="610">
        <v>0</v>
      </c>
      <c r="CJ78" s="610">
        <v>0</v>
      </c>
      <c r="CK78" s="610">
        <v>0</v>
      </c>
      <c r="CL78" s="610">
        <v>0</v>
      </c>
      <c r="CM78" s="610">
        <v>0</v>
      </c>
      <c r="CN78" s="610">
        <v>0</v>
      </c>
      <c r="CO78" s="610">
        <v>0</v>
      </c>
      <c r="CP78" s="610">
        <v>0</v>
      </c>
      <c r="CQ78" s="610">
        <v>0</v>
      </c>
      <c r="CR78" s="610">
        <v>0</v>
      </c>
      <c r="CS78" s="610">
        <v>0</v>
      </c>
      <c r="CT78" s="610">
        <v>0</v>
      </c>
      <c r="CU78" s="610">
        <v>0</v>
      </c>
      <c r="CV78" s="610">
        <v>0</v>
      </c>
      <c r="CW78" s="610" t="s">
        <v>14</v>
      </c>
      <c r="CX78" s="610">
        <v>0</v>
      </c>
      <c r="CY78" s="610" t="s">
        <v>1707</v>
      </c>
      <c r="CZ78" s="610" t="s">
        <v>1707</v>
      </c>
      <c r="DA78" s="610" t="s">
        <v>1707</v>
      </c>
      <c r="DB78" s="610" t="s">
        <v>1707</v>
      </c>
      <c r="DC78" s="610" t="s">
        <v>1707</v>
      </c>
      <c r="DD78" s="610" t="s">
        <v>1707</v>
      </c>
      <c r="DE78" s="610" t="s">
        <v>1707</v>
      </c>
      <c r="DF78" s="610" t="s">
        <v>1707</v>
      </c>
      <c r="DG78" s="610" t="s">
        <v>1707</v>
      </c>
      <c r="DH78" s="610" t="s">
        <v>1707</v>
      </c>
      <c r="DI78" s="610" t="s">
        <v>1707</v>
      </c>
      <c r="DJ78" s="610" t="s">
        <v>1707</v>
      </c>
      <c r="DK78" s="610" t="s">
        <v>18</v>
      </c>
      <c r="DL78" s="610" t="s">
        <v>18</v>
      </c>
      <c r="DM78" s="610" t="s">
        <v>18</v>
      </c>
      <c r="DN78" s="610" t="s">
        <v>18</v>
      </c>
      <c r="DO78" s="610" t="s">
        <v>18</v>
      </c>
      <c r="DP78" s="610" t="s">
        <v>18</v>
      </c>
      <c r="DQ78" s="610" t="s">
        <v>18</v>
      </c>
      <c r="DR78" s="610" t="s">
        <v>18</v>
      </c>
      <c r="DS78" s="610" t="s">
        <v>18</v>
      </c>
      <c r="DT78" s="610" t="s">
        <v>18</v>
      </c>
      <c r="DU78" s="610" t="s">
        <v>18</v>
      </c>
      <c r="DV78" s="610" t="s">
        <v>18</v>
      </c>
      <c r="DW78" s="609" t="s">
        <v>1368</v>
      </c>
      <c r="DX78" s="609" t="s">
        <v>1368</v>
      </c>
      <c r="DY78" s="609" t="s">
        <v>1368</v>
      </c>
      <c r="DZ78" s="609" t="s">
        <v>1368</v>
      </c>
      <c r="EA78" s="609" t="s">
        <v>1368</v>
      </c>
      <c r="EB78" s="609" t="s">
        <v>1368</v>
      </c>
      <c r="EC78" s="609" t="s">
        <v>1368</v>
      </c>
      <c r="ED78" s="609" t="s">
        <v>1368</v>
      </c>
      <c r="EE78" s="609" t="s">
        <v>1368</v>
      </c>
      <c r="EF78" s="609" t="s">
        <v>1368</v>
      </c>
      <c r="EG78" s="609" t="s">
        <v>1368</v>
      </c>
      <c r="EH78" s="609" t="s">
        <v>1368</v>
      </c>
      <c r="EI78" s="610" t="s">
        <v>1707</v>
      </c>
      <c r="EJ78" s="610" t="s">
        <v>1707</v>
      </c>
      <c r="EK78" s="610" t="s">
        <v>1707</v>
      </c>
      <c r="EL78" s="610" t="s">
        <v>1707</v>
      </c>
      <c r="EM78" s="610" t="s">
        <v>1707</v>
      </c>
      <c r="EN78" s="610" t="s">
        <v>1707</v>
      </c>
      <c r="EO78" s="610" t="s">
        <v>1707</v>
      </c>
      <c r="EP78" s="610" t="s">
        <v>1707</v>
      </c>
      <c r="EQ78" s="610" t="s">
        <v>1707</v>
      </c>
      <c r="ER78" s="610" t="s">
        <v>1707</v>
      </c>
      <c r="ES78" s="610" t="s">
        <v>1707</v>
      </c>
      <c r="ET78" s="610" t="s">
        <v>1707</v>
      </c>
      <c r="EU78" s="610">
        <v>4070</v>
      </c>
      <c r="EV78" s="610" t="s">
        <v>2449</v>
      </c>
      <c r="EW78" s="610" t="s">
        <v>2449</v>
      </c>
      <c r="EX78" s="610" t="s">
        <v>2449</v>
      </c>
      <c r="EY78" s="610" t="s">
        <v>2449</v>
      </c>
      <c r="EZ78" s="610" t="s">
        <v>2449</v>
      </c>
      <c r="FA78" s="610" t="s">
        <v>2449</v>
      </c>
      <c r="FB78" s="610" t="s">
        <v>2449</v>
      </c>
      <c r="FC78" s="610" t="s">
        <v>2449</v>
      </c>
      <c r="FD78" s="610" t="s">
        <v>2449</v>
      </c>
      <c r="FE78" s="610" t="s">
        <v>2449</v>
      </c>
      <c r="FF78" s="610" t="s">
        <v>2449</v>
      </c>
      <c r="FG78" s="610" t="s">
        <v>2449</v>
      </c>
      <c r="FH78" s="610">
        <v>36</v>
      </c>
      <c r="FI78" s="610">
        <v>36</v>
      </c>
      <c r="FJ78" s="610">
        <v>37</v>
      </c>
      <c r="FK78" s="610">
        <v>37</v>
      </c>
      <c r="FL78" s="610">
        <v>37</v>
      </c>
      <c r="FM78" s="610">
        <v>37</v>
      </c>
      <c r="FN78" s="610">
        <v>37</v>
      </c>
      <c r="FO78" s="610">
        <v>37</v>
      </c>
      <c r="FP78" s="610">
        <v>37</v>
      </c>
      <c r="FQ78" s="610">
        <v>37</v>
      </c>
      <c r="FR78" s="610" t="s">
        <v>2487</v>
      </c>
      <c r="FS78" s="610" t="s">
        <v>2487</v>
      </c>
      <c r="FT78" s="610" t="s">
        <v>2487</v>
      </c>
      <c r="FU78" s="610" t="s">
        <v>2487</v>
      </c>
      <c r="FV78" s="610" t="s">
        <v>2487</v>
      </c>
      <c r="FW78" s="610" t="s">
        <v>2487</v>
      </c>
      <c r="FX78" s="610" t="s">
        <v>2487</v>
      </c>
      <c r="FY78" s="610" t="s">
        <v>2487</v>
      </c>
      <c r="FZ78" s="610" t="s">
        <v>2487</v>
      </c>
      <c r="GA78" s="610" t="s">
        <v>2487</v>
      </c>
      <c r="GB78" s="610" t="s">
        <v>2487</v>
      </c>
      <c r="GC78" s="610" t="s">
        <v>2487</v>
      </c>
      <c r="GD78" s="564">
        <f t="shared" si="18"/>
        <v>79950</v>
      </c>
      <c r="GE78" s="564">
        <f t="shared" si="19"/>
        <v>79950</v>
      </c>
      <c r="GF78" s="564">
        <f t="shared" si="20"/>
        <v>79950</v>
      </c>
      <c r="GG78" s="564">
        <f t="shared" si="21"/>
        <v>79950</v>
      </c>
      <c r="GH78" s="564">
        <f t="shared" si="22"/>
        <v>79950</v>
      </c>
      <c r="GI78" s="564">
        <f t="shared" si="23"/>
        <v>79950</v>
      </c>
      <c r="GJ78" s="564">
        <f t="shared" si="24"/>
        <v>79950</v>
      </c>
      <c r="GK78" s="564">
        <f t="shared" si="25"/>
        <v>79950</v>
      </c>
      <c r="GL78" s="564">
        <f t="shared" si="26"/>
        <v>79950</v>
      </c>
      <c r="GM78" s="564">
        <f t="shared" si="27"/>
        <v>79950</v>
      </c>
      <c r="GN78" s="564">
        <f t="shared" si="28"/>
        <v>79950</v>
      </c>
      <c r="GO78" s="564">
        <f t="shared" si="29"/>
        <v>79950</v>
      </c>
      <c r="GP78" s="564"/>
      <c r="GS78" s="375" t="s">
        <v>1477</v>
      </c>
      <c r="GT78" s="374" t="str">
        <f t="shared" si="16"/>
        <v>〇</v>
      </c>
    </row>
    <row r="79" spans="2:202">
      <c r="B79" s="371">
        <v>75</v>
      </c>
      <c r="C79" s="378">
        <v>75</v>
      </c>
      <c r="D79" s="373" t="s">
        <v>1982</v>
      </c>
      <c r="E79" s="373" t="s">
        <v>14</v>
      </c>
      <c r="F79" s="603">
        <f t="shared" si="17"/>
        <v>46</v>
      </c>
      <c r="G79" s="603"/>
      <c r="H79" s="603">
        <v>30</v>
      </c>
      <c r="I79" s="603">
        <v>16</v>
      </c>
      <c r="J79" s="603"/>
      <c r="K79" s="603"/>
      <c r="L79" s="603"/>
      <c r="M79" s="603"/>
      <c r="N79" s="608"/>
      <c r="O79" s="603">
        <v>1577000</v>
      </c>
      <c r="P79" s="603">
        <v>2721000</v>
      </c>
      <c r="Q79" s="603">
        <v>2721000</v>
      </c>
      <c r="R79" s="603">
        <v>1791000</v>
      </c>
      <c r="S79" s="603">
        <v>0</v>
      </c>
      <c r="T79" s="603">
        <v>0</v>
      </c>
      <c r="U79" s="603">
        <v>0</v>
      </c>
      <c r="V79" s="603">
        <v>1051000</v>
      </c>
      <c r="W79" s="603">
        <v>1814000</v>
      </c>
      <c r="X79" s="603">
        <v>1814000</v>
      </c>
      <c r="Y79" s="603">
        <v>0</v>
      </c>
      <c r="Z79" s="603">
        <v>0</v>
      </c>
      <c r="AA79" s="603">
        <v>0</v>
      </c>
      <c r="AB79" s="603">
        <v>0</v>
      </c>
      <c r="AC79" s="603">
        <v>0</v>
      </c>
      <c r="AD79" s="603">
        <v>0</v>
      </c>
      <c r="AE79" s="603">
        <v>0</v>
      </c>
      <c r="AF79" s="603">
        <v>0</v>
      </c>
      <c r="AG79" s="603">
        <v>0</v>
      </c>
      <c r="AH79" s="603">
        <v>0</v>
      </c>
      <c r="AI79" s="603">
        <v>0</v>
      </c>
      <c r="AJ79" s="604" t="s">
        <v>2377</v>
      </c>
      <c r="AK79" s="605" t="s">
        <v>2378</v>
      </c>
      <c r="AL79" s="605" t="s">
        <v>1545</v>
      </c>
      <c r="AM79" s="606" t="s">
        <v>2075</v>
      </c>
      <c r="AN79" s="609" t="s">
        <v>12</v>
      </c>
      <c r="AO79" s="610" t="s">
        <v>1368</v>
      </c>
      <c r="AP79" s="610" t="s">
        <v>1368</v>
      </c>
      <c r="AQ79" s="610" t="s">
        <v>1368</v>
      </c>
      <c r="AR79" s="610" t="s">
        <v>1368</v>
      </c>
      <c r="AS79" s="610" t="s">
        <v>1368</v>
      </c>
      <c r="AT79" s="610" t="s">
        <v>1368</v>
      </c>
      <c r="AU79" s="610" t="s">
        <v>1368</v>
      </c>
      <c r="AV79" s="610" t="s">
        <v>1368</v>
      </c>
      <c r="AW79" s="610" t="s">
        <v>1368</v>
      </c>
      <c r="AX79" s="610" t="s">
        <v>1368</v>
      </c>
      <c r="AY79" s="610" t="s">
        <v>1368</v>
      </c>
      <c r="AZ79" s="610" t="s">
        <v>1368</v>
      </c>
      <c r="BA79" s="610" t="s">
        <v>1368</v>
      </c>
      <c r="BB79" s="610" t="s">
        <v>1368</v>
      </c>
      <c r="BC79" s="610" t="s">
        <v>1368</v>
      </c>
      <c r="BD79" s="610" t="s">
        <v>1368</v>
      </c>
      <c r="BE79" s="610" t="s">
        <v>1368</v>
      </c>
      <c r="BF79" s="610" t="s">
        <v>1368</v>
      </c>
      <c r="BG79" s="610" t="s">
        <v>1368</v>
      </c>
      <c r="BH79" s="610" t="s">
        <v>1368</v>
      </c>
      <c r="BI79" s="610" t="s">
        <v>1368</v>
      </c>
      <c r="BJ79" s="610" t="s">
        <v>1368</v>
      </c>
      <c r="BK79" s="610" t="s">
        <v>1368</v>
      </c>
      <c r="BL79" s="610" t="s">
        <v>1368</v>
      </c>
      <c r="BM79" s="610">
        <v>1</v>
      </c>
      <c r="BN79" s="610">
        <v>1</v>
      </c>
      <c r="BO79" s="610">
        <v>1</v>
      </c>
      <c r="BP79" s="610">
        <v>1</v>
      </c>
      <c r="BQ79" s="610">
        <v>1</v>
      </c>
      <c r="BR79" s="610">
        <v>1</v>
      </c>
      <c r="BS79" s="610">
        <v>1</v>
      </c>
      <c r="BT79" s="610">
        <v>1</v>
      </c>
      <c r="BU79" s="610">
        <v>1</v>
      </c>
      <c r="BV79" s="610">
        <v>1</v>
      </c>
      <c r="BW79" s="610">
        <v>1</v>
      </c>
      <c r="BX79" s="610">
        <v>1</v>
      </c>
      <c r="BY79" s="610">
        <v>0</v>
      </c>
      <c r="BZ79" s="610">
        <v>0</v>
      </c>
      <c r="CA79" s="610">
        <v>0</v>
      </c>
      <c r="CB79" s="610">
        <v>0</v>
      </c>
      <c r="CC79" s="610">
        <v>0</v>
      </c>
      <c r="CD79" s="610">
        <v>0</v>
      </c>
      <c r="CE79" s="610">
        <v>0</v>
      </c>
      <c r="CF79" s="610">
        <v>0</v>
      </c>
      <c r="CG79" s="610">
        <v>0</v>
      </c>
      <c r="CH79" s="610">
        <v>0</v>
      </c>
      <c r="CI79" s="610">
        <v>0</v>
      </c>
      <c r="CJ79" s="610">
        <v>0</v>
      </c>
      <c r="CK79" s="610">
        <v>0</v>
      </c>
      <c r="CL79" s="610">
        <v>0</v>
      </c>
      <c r="CM79" s="610">
        <v>0</v>
      </c>
      <c r="CN79" s="610">
        <v>0</v>
      </c>
      <c r="CO79" s="610">
        <v>0</v>
      </c>
      <c r="CP79" s="610">
        <v>0</v>
      </c>
      <c r="CQ79" s="610">
        <v>0</v>
      </c>
      <c r="CR79" s="610">
        <v>0</v>
      </c>
      <c r="CS79" s="610">
        <v>0</v>
      </c>
      <c r="CT79" s="610">
        <v>0</v>
      </c>
      <c r="CU79" s="610">
        <v>0</v>
      </c>
      <c r="CV79" s="610">
        <v>0</v>
      </c>
      <c r="CW79" s="610" t="s">
        <v>14</v>
      </c>
      <c r="CX79" s="610">
        <v>0</v>
      </c>
      <c r="CY79" s="610" t="s">
        <v>1707</v>
      </c>
      <c r="CZ79" s="610" t="s">
        <v>1707</v>
      </c>
      <c r="DA79" s="610" t="s">
        <v>1707</v>
      </c>
      <c r="DB79" s="610" t="s">
        <v>1707</v>
      </c>
      <c r="DC79" s="610" t="s">
        <v>1707</v>
      </c>
      <c r="DD79" s="610" t="s">
        <v>1707</v>
      </c>
      <c r="DE79" s="610" t="s">
        <v>1707</v>
      </c>
      <c r="DF79" s="610" t="s">
        <v>1707</v>
      </c>
      <c r="DG79" s="610" t="s">
        <v>1707</v>
      </c>
      <c r="DH79" s="610" t="s">
        <v>1707</v>
      </c>
      <c r="DI79" s="610" t="s">
        <v>1707</v>
      </c>
      <c r="DJ79" s="610" t="s">
        <v>1707</v>
      </c>
      <c r="DK79" s="610" t="s">
        <v>1368</v>
      </c>
      <c r="DL79" s="610" t="s">
        <v>1368</v>
      </c>
      <c r="DM79" s="610" t="s">
        <v>1368</v>
      </c>
      <c r="DN79" s="610" t="s">
        <v>1368</v>
      </c>
      <c r="DO79" s="610" t="s">
        <v>1368</v>
      </c>
      <c r="DP79" s="610" t="s">
        <v>1368</v>
      </c>
      <c r="DQ79" s="610" t="s">
        <v>1368</v>
      </c>
      <c r="DR79" s="610" t="s">
        <v>1368</v>
      </c>
      <c r="DS79" s="610" t="s">
        <v>1368</v>
      </c>
      <c r="DT79" s="610" t="s">
        <v>1368</v>
      </c>
      <c r="DU79" s="610" t="s">
        <v>1368</v>
      </c>
      <c r="DV79" s="610" t="s">
        <v>1368</v>
      </c>
      <c r="DW79" s="609" t="s">
        <v>1368</v>
      </c>
      <c r="DX79" s="609" t="s">
        <v>1368</v>
      </c>
      <c r="DY79" s="609" t="s">
        <v>1368</v>
      </c>
      <c r="DZ79" s="609" t="s">
        <v>1368</v>
      </c>
      <c r="EA79" s="609" t="s">
        <v>1368</v>
      </c>
      <c r="EB79" s="609" t="s">
        <v>1368</v>
      </c>
      <c r="EC79" s="609" t="s">
        <v>1368</v>
      </c>
      <c r="ED79" s="609" t="s">
        <v>1368</v>
      </c>
      <c r="EE79" s="609" t="s">
        <v>1368</v>
      </c>
      <c r="EF79" s="609" t="s">
        <v>1368</v>
      </c>
      <c r="EG79" s="609" t="s">
        <v>1368</v>
      </c>
      <c r="EH79" s="609" t="s">
        <v>1368</v>
      </c>
      <c r="EI79" s="610" t="s">
        <v>1707</v>
      </c>
      <c r="EJ79" s="610" t="s">
        <v>1707</v>
      </c>
      <c r="EK79" s="610" t="s">
        <v>1707</v>
      </c>
      <c r="EL79" s="610" t="s">
        <v>1707</v>
      </c>
      <c r="EM79" s="610" t="s">
        <v>1707</v>
      </c>
      <c r="EN79" s="610" t="s">
        <v>1707</v>
      </c>
      <c r="EO79" s="610" t="s">
        <v>1707</v>
      </c>
      <c r="EP79" s="610" t="s">
        <v>1707</v>
      </c>
      <c r="EQ79" s="610" t="s">
        <v>1707</v>
      </c>
      <c r="ER79" s="610" t="s">
        <v>1707</v>
      </c>
      <c r="ES79" s="610" t="s">
        <v>1707</v>
      </c>
      <c r="ET79" s="610" t="s">
        <v>1707</v>
      </c>
      <c r="EU79" s="610">
        <v>4040</v>
      </c>
      <c r="EV79" s="610" t="s">
        <v>1707</v>
      </c>
      <c r="EW79" s="610" t="s">
        <v>1707</v>
      </c>
      <c r="EX79" s="610" t="s">
        <v>1707</v>
      </c>
      <c r="EY79" s="610" t="s">
        <v>1707</v>
      </c>
      <c r="EZ79" s="610" t="s">
        <v>1707</v>
      </c>
      <c r="FA79" s="610" t="s">
        <v>1707</v>
      </c>
      <c r="FB79" s="610" t="s">
        <v>1707</v>
      </c>
      <c r="FC79" s="610" t="s">
        <v>1707</v>
      </c>
      <c r="FD79" s="610" t="s">
        <v>1707</v>
      </c>
      <c r="FE79" s="610" t="s">
        <v>1707</v>
      </c>
      <c r="FF79" s="610" t="s">
        <v>1707</v>
      </c>
      <c r="FG79" s="610" t="s">
        <v>1707</v>
      </c>
      <c r="FH79" s="610">
        <v>12</v>
      </c>
      <c r="FI79" s="610">
        <v>12</v>
      </c>
      <c r="FJ79" s="610">
        <v>12</v>
      </c>
      <c r="FK79" s="610">
        <v>13</v>
      </c>
      <c r="FL79" s="610">
        <v>13</v>
      </c>
      <c r="FM79" s="610">
        <v>13</v>
      </c>
      <c r="FN79" s="610">
        <v>13</v>
      </c>
      <c r="FO79" s="610">
        <v>13</v>
      </c>
      <c r="FP79" s="610">
        <v>13</v>
      </c>
      <c r="FQ79" s="610">
        <v>13</v>
      </c>
      <c r="FR79" s="610" t="s">
        <v>2487</v>
      </c>
      <c r="FS79" s="610" t="s">
        <v>2487</v>
      </c>
      <c r="FT79" s="610" t="s">
        <v>2487</v>
      </c>
      <c r="FU79" s="610" t="s">
        <v>2487</v>
      </c>
      <c r="FV79" s="610" t="s">
        <v>2487</v>
      </c>
      <c r="FW79" s="610" t="s">
        <v>2487</v>
      </c>
      <c r="FX79" s="610" t="s">
        <v>2487</v>
      </c>
      <c r="FY79" s="610" t="s">
        <v>2487</v>
      </c>
      <c r="FZ79" s="610" t="s">
        <v>2487</v>
      </c>
      <c r="GA79" s="610" t="s">
        <v>2487</v>
      </c>
      <c r="GB79" s="610" t="s">
        <v>2487</v>
      </c>
      <c r="GC79" s="610" t="s">
        <v>2487</v>
      </c>
      <c r="GD79" s="564">
        <f t="shared" si="18"/>
        <v>79950</v>
      </c>
      <c r="GE79" s="564">
        <f t="shared" si="19"/>
        <v>79950</v>
      </c>
      <c r="GF79" s="564">
        <f t="shared" si="20"/>
        <v>79950</v>
      </c>
      <c r="GG79" s="564">
        <f t="shared" si="21"/>
        <v>79950</v>
      </c>
      <c r="GH79" s="564">
        <f t="shared" si="22"/>
        <v>79950</v>
      </c>
      <c r="GI79" s="564">
        <f t="shared" si="23"/>
        <v>79950</v>
      </c>
      <c r="GJ79" s="564">
        <f t="shared" si="24"/>
        <v>79950</v>
      </c>
      <c r="GK79" s="564">
        <f t="shared" si="25"/>
        <v>79950</v>
      </c>
      <c r="GL79" s="564">
        <f t="shared" si="26"/>
        <v>79950</v>
      </c>
      <c r="GM79" s="564">
        <f t="shared" si="27"/>
        <v>79950</v>
      </c>
      <c r="GN79" s="564">
        <f t="shared" si="28"/>
        <v>79950</v>
      </c>
      <c r="GO79" s="564">
        <f t="shared" si="29"/>
        <v>79950</v>
      </c>
      <c r="GP79" s="564"/>
      <c r="GS79" s="375" t="s">
        <v>1982</v>
      </c>
      <c r="GT79" s="374" t="str">
        <f t="shared" si="16"/>
        <v>〇</v>
      </c>
    </row>
    <row r="80" spans="2:202">
      <c r="B80" s="371">
        <v>76</v>
      </c>
      <c r="C80" s="378">
        <v>76</v>
      </c>
      <c r="D80" s="373" t="s">
        <v>1479</v>
      </c>
      <c r="E80" s="373" t="s">
        <v>14</v>
      </c>
      <c r="F80" s="603">
        <f t="shared" si="17"/>
        <v>40</v>
      </c>
      <c r="G80" s="603"/>
      <c r="H80" s="603">
        <v>21</v>
      </c>
      <c r="I80" s="603">
        <v>19</v>
      </c>
      <c r="J80" s="603"/>
      <c r="K80" s="603"/>
      <c r="L80" s="603"/>
      <c r="M80" s="603"/>
      <c r="N80" s="608"/>
      <c r="O80" s="603">
        <v>1577000</v>
      </c>
      <c r="P80" s="603">
        <v>2721000</v>
      </c>
      <c r="Q80" s="603">
        <v>0</v>
      </c>
      <c r="R80" s="603">
        <v>1791000</v>
      </c>
      <c r="S80" s="603">
        <v>1188000</v>
      </c>
      <c r="T80" s="603">
        <v>0</v>
      </c>
      <c r="U80" s="603">
        <v>0</v>
      </c>
      <c r="V80" s="603">
        <v>1051000</v>
      </c>
      <c r="W80" s="603">
        <v>1814000</v>
      </c>
      <c r="X80" s="603">
        <v>0</v>
      </c>
      <c r="Y80" s="603">
        <v>1194000</v>
      </c>
      <c r="Z80" s="603">
        <v>792000</v>
      </c>
      <c r="AA80" s="603">
        <v>0</v>
      </c>
      <c r="AB80" s="603">
        <v>0</v>
      </c>
      <c r="AC80" s="603">
        <v>0</v>
      </c>
      <c r="AD80" s="603">
        <v>0</v>
      </c>
      <c r="AE80" s="603">
        <v>0</v>
      </c>
      <c r="AF80" s="603">
        <v>0</v>
      </c>
      <c r="AG80" s="603">
        <v>0</v>
      </c>
      <c r="AH80" s="603">
        <v>0</v>
      </c>
      <c r="AI80" s="603">
        <v>0</v>
      </c>
      <c r="AJ80" s="604" t="s">
        <v>2377</v>
      </c>
      <c r="AK80" s="605" t="s">
        <v>2378</v>
      </c>
      <c r="AL80" s="605" t="s">
        <v>1545</v>
      </c>
      <c r="AM80" s="606" t="s">
        <v>2076</v>
      </c>
      <c r="AN80" s="609" t="s">
        <v>12</v>
      </c>
      <c r="AO80" s="610" t="s">
        <v>1368</v>
      </c>
      <c r="AP80" s="610" t="s">
        <v>1368</v>
      </c>
      <c r="AQ80" s="610" t="s">
        <v>1368</v>
      </c>
      <c r="AR80" s="610" t="s">
        <v>1368</v>
      </c>
      <c r="AS80" s="610" t="s">
        <v>1368</v>
      </c>
      <c r="AT80" s="610" t="s">
        <v>1368</v>
      </c>
      <c r="AU80" s="610" t="s">
        <v>1368</v>
      </c>
      <c r="AV80" s="610" t="s">
        <v>1368</v>
      </c>
      <c r="AW80" s="610" t="s">
        <v>1368</v>
      </c>
      <c r="AX80" s="610" t="s">
        <v>1368</v>
      </c>
      <c r="AY80" s="610" t="s">
        <v>1368</v>
      </c>
      <c r="AZ80" s="610" t="s">
        <v>1368</v>
      </c>
      <c r="BA80" s="610" t="s">
        <v>1368</v>
      </c>
      <c r="BB80" s="610" t="s">
        <v>1368</v>
      </c>
      <c r="BC80" s="610" t="s">
        <v>1368</v>
      </c>
      <c r="BD80" s="610" t="s">
        <v>1368</v>
      </c>
      <c r="BE80" s="610" t="s">
        <v>1368</v>
      </c>
      <c r="BF80" s="610" t="s">
        <v>1368</v>
      </c>
      <c r="BG80" s="610" t="s">
        <v>1368</v>
      </c>
      <c r="BH80" s="610" t="s">
        <v>1368</v>
      </c>
      <c r="BI80" s="610" t="s">
        <v>1368</v>
      </c>
      <c r="BJ80" s="610" t="s">
        <v>1368</v>
      </c>
      <c r="BK80" s="610" t="s">
        <v>1368</v>
      </c>
      <c r="BL80" s="610" t="s">
        <v>1368</v>
      </c>
      <c r="BM80" s="610">
        <v>0</v>
      </c>
      <c r="BN80" s="610">
        <v>0</v>
      </c>
      <c r="BO80" s="610">
        <v>0</v>
      </c>
      <c r="BP80" s="610">
        <v>0</v>
      </c>
      <c r="BQ80" s="610">
        <v>0</v>
      </c>
      <c r="BR80" s="610">
        <v>0</v>
      </c>
      <c r="BS80" s="610">
        <v>0</v>
      </c>
      <c r="BT80" s="610">
        <v>0</v>
      </c>
      <c r="BU80" s="610">
        <v>0</v>
      </c>
      <c r="BV80" s="610">
        <v>0</v>
      </c>
      <c r="BW80" s="610">
        <v>0</v>
      </c>
      <c r="BX80" s="610">
        <v>0</v>
      </c>
      <c r="BY80" s="610">
        <v>0</v>
      </c>
      <c r="BZ80" s="610">
        <v>0</v>
      </c>
      <c r="CA80" s="610">
        <v>0</v>
      </c>
      <c r="CB80" s="610">
        <v>0</v>
      </c>
      <c r="CC80" s="610">
        <v>0</v>
      </c>
      <c r="CD80" s="610">
        <v>0</v>
      </c>
      <c r="CE80" s="610">
        <v>0</v>
      </c>
      <c r="CF80" s="610">
        <v>0</v>
      </c>
      <c r="CG80" s="610">
        <v>0</v>
      </c>
      <c r="CH80" s="610">
        <v>0</v>
      </c>
      <c r="CI80" s="610">
        <v>0</v>
      </c>
      <c r="CJ80" s="610">
        <v>0</v>
      </c>
      <c r="CK80" s="610">
        <v>0</v>
      </c>
      <c r="CL80" s="610">
        <v>0</v>
      </c>
      <c r="CM80" s="610">
        <v>0</v>
      </c>
      <c r="CN80" s="610">
        <v>0</v>
      </c>
      <c r="CO80" s="610">
        <v>0</v>
      </c>
      <c r="CP80" s="610">
        <v>0</v>
      </c>
      <c r="CQ80" s="610">
        <v>0</v>
      </c>
      <c r="CR80" s="610">
        <v>0</v>
      </c>
      <c r="CS80" s="610">
        <v>0</v>
      </c>
      <c r="CT80" s="610">
        <v>0</v>
      </c>
      <c r="CU80" s="610">
        <v>0</v>
      </c>
      <c r="CV80" s="610">
        <v>0</v>
      </c>
      <c r="CW80" s="610" t="s">
        <v>14</v>
      </c>
      <c r="CX80" s="610">
        <v>0</v>
      </c>
      <c r="CY80" s="610" t="s">
        <v>1707</v>
      </c>
      <c r="CZ80" s="610" t="s">
        <v>1707</v>
      </c>
      <c r="DA80" s="610" t="s">
        <v>1707</v>
      </c>
      <c r="DB80" s="610" t="s">
        <v>1707</v>
      </c>
      <c r="DC80" s="610" t="s">
        <v>1707</v>
      </c>
      <c r="DD80" s="610" t="s">
        <v>1707</v>
      </c>
      <c r="DE80" s="610" t="s">
        <v>1707</v>
      </c>
      <c r="DF80" s="610" t="s">
        <v>1707</v>
      </c>
      <c r="DG80" s="610" t="s">
        <v>1707</v>
      </c>
      <c r="DH80" s="610" t="s">
        <v>1707</v>
      </c>
      <c r="DI80" s="610" t="s">
        <v>1707</v>
      </c>
      <c r="DJ80" s="610" t="s">
        <v>1707</v>
      </c>
      <c r="DK80" s="610" t="s">
        <v>1368</v>
      </c>
      <c r="DL80" s="610" t="s">
        <v>1368</v>
      </c>
      <c r="DM80" s="610" t="s">
        <v>1368</v>
      </c>
      <c r="DN80" s="610" t="s">
        <v>1368</v>
      </c>
      <c r="DO80" s="610" t="s">
        <v>1368</v>
      </c>
      <c r="DP80" s="610" t="s">
        <v>1368</v>
      </c>
      <c r="DQ80" s="610" t="s">
        <v>1368</v>
      </c>
      <c r="DR80" s="610" t="s">
        <v>1368</v>
      </c>
      <c r="DS80" s="610" t="s">
        <v>1368</v>
      </c>
      <c r="DT80" s="610" t="s">
        <v>1368</v>
      </c>
      <c r="DU80" s="610" t="s">
        <v>1368</v>
      </c>
      <c r="DV80" s="610" t="s">
        <v>1368</v>
      </c>
      <c r="DW80" s="609" t="s">
        <v>1368</v>
      </c>
      <c r="DX80" s="609" t="s">
        <v>1368</v>
      </c>
      <c r="DY80" s="609" t="s">
        <v>1368</v>
      </c>
      <c r="DZ80" s="609" t="s">
        <v>1368</v>
      </c>
      <c r="EA80" s="609" t="s">
        <v>1368</v>
      </c>
      <c r="EB80" s="609" t="s">
        <v>1368</v>
      </c>
      <c r="EC80" s="609" t="s">
        <v>1368</v>
      </c>
      <c r="ED80" s="609" t="s">
        <v>1368</v>
      </c>
      <c r="EE80" s="609" t="s">
        <v>1368</v>
      </c>
      <c r="EF80" s="609" t="s">
        <v>1368</v>
      </c>
      <c r="EG80" s="609" t="s">
        <v>1368</v>
      </c>
      <c r="EH80" s="609" t="s">
        <v>1368</v>
      </c>
      <c r="EI80" s="610" t="s">
        <v>1707</v>
      </c>
      <c r="EJ80" s="610" t="s">
        <v>1707</v>
      </c>
      <c r="EK80" s="610" t="s">
        <v>1707</v>
      </c>
      <c r="EL80" s="610" t="s">
        <v>1707</v>
      </c>
      <c r="EM80" s="610" t="s">
        <v>1707</v>
      </c>
      <c r="EN80" s="610" t="s">
        <v>1707</v>
      </c>
      <c r="EO80" s="610" t="s">
        <v>1707</v>
      </c>
      <c r="EP80" s="610" t="s">
        <v>1707</v>
      </c>
      <c r="EQ80" s="610" t="s">
        <v>1707</v>
      </c>
      <c r="ER80" s="610" t="s">
        <v>1707</v>
      </c>
      <c r="ES80" s="610" t="s">
        <v>1707</v>
      </c>
      <c r="ET80" s="610" t="s">
        <v>1707</v>
      </c>
      <c r="EU80" s="610">
        <v>4010</v>
      </c>
      <c r="EV80" s="610" t="s">
        <v>1707</v>
      </c>
      <c r="EW80" s="610" t="s">
        <v>1707</v>
      </c>
      <c r="EX80" s="610" t="s">
        <v>1707</v>
      </c>
      <c r="EY80" s="610" t="s">
        <v>1707</v>
      </c>
      <c r="EZ80" s="610" t="s">
        <v>1707</v>
      </c>
      <c r="FA80" s="610" t="s">
        <v>1707</v>
      </c>
      <c r="FB80" s="610" t="s">
        <v>1707</v>
      </c>
      <c r="FC80" s="610" t="s">
        <v>1707</v>
      </c>
      <c r="FD80" s="610" t="s">
        <v>1707</v>
      </c>
      <c r="FE80" s="610" t="s">
        <v>1707</v>
      </c>
      <c r="FF80" s="610" t="s">
        <v>1707</v>
      </c>
      <c r="FG80" s="610" t="s">
        <v>1707</v>
      </c>
      <c r="FH80" s="610">
        <v>12</v>
      </c>
      <c r="FI80" s="610">
        <v>11</v>
      </c>
      <c r="FJ80" s="610">
        <v>11</v>
      </c>
      <c r="FK80" s="610">
        <v>11</v>
      </c>
      <c r="FL80" s="610">
        <v>11</v>
      </c>
      <c r="FM80" s="610">
        <v>11</v>
      </c>
      <c r="FN80" s="610">
        <v>11</v>
      </c>
      <c r="FO80" s="610">
        <v>11</v>
      </c>
      <c r="FP80" s="610">
        <v>11</v>
      </c>
      <c r="FQ80" s="610">
        <v>11</v>
      </c>
      <c r="FR80" s="610" t="s">
        <v>2487</v>
      </c>
      <c r="FS80" s="610" t="s">
        <v>2487</v>
      </c>
      <c r="FT80" s="610" t="s">
        <v>2487</v>
      </c>
      <c r="FU80" s="610" t="s">
        <v>2487</v>
      </c>
      <c r="FV80" s="610" t="s">
        <v>2487</v>
      </c>
      <c r="FW80" s="610" t="s">
        <v>2487</v>
      </c>
      <c r="FX80" s="610" t="s">
        <v>2487</v>
      </c>
      <c r="FY80" s="610" t="s">
        <v>2487</v>
      </c>
      <c r="FZ80" s="610" t="s">
        <v>2487</v>
      </c>
      <c r="GA80" s="610" t="s">
        <v>2487</v>
      </c>
      <c r="GB80" s="610" t="s">
        <v>2487</v>
      </c>
      <c r="GC80" s="610" t="s">
        <v>2487</v>
      </c>
      <c r="GD80" s="564">
        <f t="shared" si="18"/>
        <v>79950</v>
      </c>
      <c r="GE80" s="564">
        <f t="shared" si="19"/>
        <v>79950</v>
      </c>
      <c r="GF80" s="564">
        <f t="shared" si="20"/>
        <v>79950</v>
      </c>
      <c r="GG80" s="564">
        <f t="shared" si="21"/>
        <v>79950</v>
      </c>
      <c r="GH80" s="564">
        <f t="shared" si="22"/>
        <v>79950</v>
      </c>
      <c r="GI80" s="564">
        <f t="shared" si="23"/>
        <v>79950</v>
      </c>
      <c r="GJ80" s="564">
        <f t="shared" si="24"/>
        <v>79950</v>
      </c>
      <c r="GK80" s="564">
        <f t="shared" si="25"/>
        <v>79950</v>
      </c>
      <c r="GL80" s="564">
        <f t="shared" si="26"/>
        <v>79950</v>
      </c>
      <c r="GM80" s="564">
        <f t="shared" si="27"/>
        <v>79950</v>
      </c>
      <c r="GN80" s="564">
        <f t="shared" si="28"/>
        <v>79950</v>
      </c>
      <c r="GO80" s="564">
        <f t="shared" si="29"/>
        <v>79950</v>
      </c>
      <c r="GP80" s="564"/>
      <c r="GS80" s="375" t="s">
        <v>1479</v>
      </c>
      <c r="GT80" s="374" t="str">
        <f t="shared" si="16"/>
        <v>〇</v>
      </c>
    </row>
    <row r="81" spans="2:202">
      <c r="B81" s="371">
        <v>77</v>
      </c>
      <c r="C81" s="378">
        <v>77</v>
      </c>
      <c r="D81" s="373" t="s">
        <v>1480</v>
      </c>
      <c r="E81" s="373" t="s">
        <v>14</v>
      </c>
      <c r="F81" s="603">
        <f t="shared" si="17"/>
        <v>30</v>
      </c>
      <c r="G81" s="603"/>
      <c r="H81" s="603">
        <v>16</v>
      </c>
      <c r="I81" s="603">
        <v>14</v>
      </c>
      <c r="J81" s="603"/>
      <c r="K81" s="603"/>
      <c r="L81" s="603"/>
      <c r="M81" s="603"/>
      <c r="N81" s="608"/>
      <c r="O81" s="603">
        <v>1577000</v>
      </c>
      <c r="P81" s="603">
        <v>2721000</v>
      </c>
      <c r="Q81" s="603">
        <v>2721000</v>
      </c>
      <c r="R81" s="603">
        <v>1791000</v>
      </c>
      <c r="S81" s="603">
        <v>0</v>
      </c>
      <c r="T81" s="603">
        <v>0</v>
      </c>
      <c r="U81" s="603">
        <v>0</v>
      </c>
      <c r="V81" s="603">
        <v>1051000</v>
      </c>
      <c r="W81" s="603">
        <v>1814000</v>
      </c>
      <c r="X81" s="603">
        <v>1814000</v>
      </c>
      <c r="Y81" s="603">
        <v>1194000</v>
      </c>
      <c r="Z81" s="603">
        <v>0</v>
      </c>
      <c r="AA81" s="603">
        <v>0</v>
      </c>
      <c r="AB81" s="603">
        <v>0</v>
      </c>
      <c r="AC81" s="603">
        <v>526000</v>
      </c>
      <c r="AD81" s="603">
        <v>907000</v>
      </c>
      <c r="AE81" s="603">
        <v>907000</v>
      </c>
      <c r="AF81" s="603">
        <v>597000</v>
      </c>
      <c r="AG81" s="603">
        <v>0</v>
      </c>
      <c r="AH81" s="603">
        <v>0</v>
      </c>
      <c r="AI81" s="603">
        <v>0</v>
      </c>
      <c r="AJ81" s="604" t="s">
        <v>2377</v>
      </c>
      <c r="AK81" s="605" t="s">
        <v>2378</v>
      </c>
      <c r="AL81" s="605" t="s">
        <v>2490</v>
      </c>
      <c r="AM81" s="606" t="s">
        <v>2077</v>
      </c>
      <c r="AN81" s="609" t="s">
        <v>12</v>
      </c>
      <c r="AO81" s="610" t="s">
        <v>2485</v>
      </c>
      <c r="AP81" s="610" t="s">
        <v>2485</v>
      </c>
      <c r="AQ81" s="610" t="s">
        <v>2485</v>
      </c>
      <c r="AR81" s="610" t="s">
        <v>2485</v>
      </c>
      <c r="AS81" s="610" t="s">
        <v>2485</v>
      </c>
      <c r="AT81" s="610" t="s">
        <v>2485</v>
      </c>
      <c r="AU81" s="610" t="s">
        <v>2485</v>
      </c>
      <c r="AV81" s="610" t="s">
        <v>2485</v>
      </c>
      <c r="AW81" s="610" t="s">
        <v>2485</v>
      </c>
      <c r="AX81" s="610" t="s">
        <v>2485</v>
      </c>
      <c r="AY81" s="610" t="s">
        <v>2485</v>
      </c>
      <c r="AZ81" s="610" t="s">
        <v>2485</v>
      </c>
      <c r="BA81" s="610" t="s">
        <v>1368</v>
      </c>
      <c r="BB81" s="610" t="s">
        <v>1368</v>
      </c>
      <c r="BC81" s="610" t="s">
        <v>1368</v>
      </c>
      <c r="BD81" s="610" t="s">
        <v>1368</v>
      </c>
      <c r="BE81" s="610" t="s">
        <v>1368</v>
      </c>
      <c r="BF81" s="610" t="s">
        <v>1368</v>
      </c>
      <c r="BG81" s="610" t="s">
        <v>1368</v>
      </c>
      <c r="BH81" s="610" t="s">
        <v>1368</v>
      </c>
      <c r="BI81" s="610" t="s">
        <v>1368</v>
      </c>
      <c r="BJ81" s="610" t="s">
        <v>1368</v>
      </c>
      <c r="BK81" s="610" t="s">
        <v>1368</v>
      </c>
      <c r="BL81" s="610" t="s">
        <v>1368</v>
      </c>
      <c r="BM81" s="610">
        <v>0</v>
      </c>
      <c r="BN81" s="610">
        <v>0</v>
      </c>
      <c r="BO81" s="610">
        <v>1</v>
      </c>
      <c r="BP81" s="610">
        <v>1</v>
      </c>
      <c r="BQ81" s="610">
        <v>1</v>
      </c>
      <c r="BR81" s="610">
        <v>1</v>
      </c>
      <c r="BS81" s="610">
        <v>1</v>
      </c>
      <c r="BT81" s="610">
        <v>1</v>
      </c>
      <c r="BU81" s="610">
        <v>1</v>
      </c>
      <c r="BV81" s="610">
        <v>1</v>
      </c>
      <c r="BW81" s="610">
        <v>1</v>
      </c>
      <c r="BX81" s="610">
        <v>1</v>
      </c>
      <c r="BY81" s="610">
        <v>0</v>
      </c>
      <c r="BZ81" s="610">
        <v>0</v>
      </c>
      <c r="CA81" s="610">
        <v>0</v>
      </c>
      <c r="CB81" s="610">
        <v>0</v>
      </c>
      <c r="CC81" s="610">
        <v>0</v>
      </c>
      <c r="CD81" s="610">
        <v>0</v>
      </c>
      <c r="CE81" s="610">
        <v>0</v>
      </c>
      <c r="CF81" s="610">
        <v>0</v>
      </c>
      <c r="CG81" s="610">
        <v>0</v>
      </c>
      <c r="CH81" s="610">
        <v>0</v>
      </c>
      <c r="CI81" s="610">
        <v>0</v>
      </c>
      <c r="CJ81" s="610">
        <v>0</v>
      </c>
      <c r="CK81" s="610">
        <v>0</v>
      </c>
      <c r="CL81" s="610">
        <v>0</v>
      </c>
      <c r="CM81" s="610">
        <v>0</v>
      </c>
      <c r="CN81" s="610">
        <v>0</v>
      </c>
      <c r="CO81" s="610">
        <v>0</v>
      </c>
      <c r="CP81" s="610">
        <v>0</v>
      </c>
      <c r="CQ81" s="610">
        <v>0</v>
      </c>
      <c r="CR81" s="610">
        <v>0</v>
      </c>
      <c r="CS81" s="610">
        <v>0</v>
      </c>
      <c r="CT81" s="610">
        <v>0</v>
      </c>
      <c r="CU81" s="610">
        <v>0</v>
      </c>
      <c r="CV81" s="610">
        <v>0</v>
      </c>
      <c r="CW81" s="610" t="s">
        <v>14</v>
      </c>
      <c r="CX81" s="610">
        <v>0</v>
      </c>
      <c r="CY81" s="610" t="s">
        <v>1707</v>
      </c>
      <c r="CZ81" s="610" t="s">
        <v>1707</v>
      </c>
      <c r="DA81" s="610" t="s">
        <v>1707</v>
      </c>
      <c r="DB81" s="610" t="s">
        <v>1707</v>
      </c>
      <c r="DC81" s="610" t="s">
        <v>1707</v>
      </c>
      <c r="DD81" s="610" t="s">
        <v>1707</v>
      </c>
      <c r="DE81" s="610" t="s">
        <v>1707</v>
      </c>
      <c r="DF81" s="610" t="s">
        <v>1707</v>
      </c>
      <c r="DG81" s="610" t="s">
        <v>1707</v>
      </c>
      <c r="DH81" s="610" t="s">
        <v>1707</v>
      </c>
      <c r="DI81" s="610" t="s">
        <v>1707</v>
      </c>
      <c r="DJ81" s="610" t="s">
        <v>1707</v>
      </c>
      <c r="DK81" s="610" t="s">
        <v>1368</v>
      </c>
      <c r="DL81" s="610" t="s">
        <v>1368</v>
      </c>
      <c r="DM81" s="610" t="s">
        <v>1368</v>
      </c>
      <c r="DN81" s="610" t="s">
        <v>1368</v>
      </c>
      <c r="DO81" s="610" t="s">
        <v>1368</v>
      </c>
      <c r="DP81" s="610" t="s">
        <v>1368</v>
      </c>
      <c r="DQ81" s="610" t="s">
        <v>1368</v>
      </c>
      <c r="DR81" s="610" t="s">
        <v>1368</v>
      </c>
      <c r="DS81" s="610" t="s">
        <v>1368</v>
      </c>
      <c r="DT81" s="610" t="s">
        <v>1368</v>
      </c>
      <c r="DU81" s="610" t="s">
        <v>1368</v>
      </c>
      <c r="DV81" s="610" t="s">
        <v>1368</v>
      </c>
      <c r="DW81" s="609" t="s">
        <v>1368</v>
      </c>
      <c r="DX81" s="609" t="s">
        <v>1368</v>
      </c>
      <c r="DY81" s="609" t="s">
        <v>1368</v>
      </c>
      <c r="DZ81" s="609" t="s">
        <v>1368</v>
      </c>
      <c r="EA81" s="609" t="s">
        <v>1368</v>
      </c>
      <c r="EB81" s="609" t="s">
        <v>1368</v>
      </c>
      <c r="EC81" s="609" t="s">
        <v>1368</v>
      </c>
      <c r="ED81" s="609" t="s">
        <v>1368</v>
      </c>
      <c r="EE81" s="609" t="s">
        <v>1368</v>
      </c>
      <c r="EF81" s="609" t="s">
        <v>1368</v>
      </c>
      <c r="EG81" s="609" t="s">
        <v>1368</v>
      </c>
      <c r="EH81" s="609" t="s">
        <v>1368</v>
      </c>
      <c r="EI81" s="610" t="s">
        <v>1707</v>
      </c>
      <c r="EJ81" s="610" t="s">
        <v>1707</v>
      </c>
      <c r="EK81" s="610" t="s">
        <v>1707</v>
      </c>
      <c r="EL81" s="610" t="s">
        <v>1707</v>
      </c>
      <c r="EM81" s="610" t="s">
        <v>1707</v>
      </c>
      <c r="EN81" s="610" t="s">
        <v>1707</v>
      </c>
      <c r="EO81" s="610" t="s">
        <v>1707</v>
      </c>
      <c r="EP81" s="610" t="s">
        <v>1707</v>
      </c>
      <c r="EQ81" s="610" t="s">
        <v>1707</v>
      </c>
      <c r="ER81" s="610" t="s">
        <v>1707</v>
      </c>
      <c r="ES81" s="610" t="s">
        <v>1707</v>
      </c>
      <c r="ET81" s="610" t="s">
        <v>1707</v>
      </c>
      <c r="EU81" s="610">
        <v>3890</v>
      </c>
      <c r="EV81" s="610" t="s">
        <v>1707</v>
      </c>
      <c r="EW81" s="610" t="s">
        <v>1707</v>
      </c>
      <c r="EX81" s="610" t="s">
        <v>1707</v>
      </c>
      <c r="EY81" s="610" t="s">
        <v>1707</v>
      </c>
      <c r="EZ81" s="610" t="s">
        <v>1707</v>
      </c>
      <c r="FA81" s="610" t="s">
        <v>1707</v>
      </c>
      <c r="FB81" s="610" t="s">
        <v>1707</v>
      </c>
      <c r="FC81" s="610" t="s">
        <v>1707</v>
      </c>
      <c r="FD81" s="610" t="s">
        <v>1707</v>
      </c>
      <c r="FE81" s="610" t="s">
        <v>1707</v>
      </c>
      <c r="FF81" s="610" t="s">
        <v>1707</v>
      </c>
      <c r="FG81" s="610" t="s">
        <v>1707</v>
      </c>
      <c r="FH81" s="610">
        <v>11</v>
      </c>
      <c r="FI81" s="610">
        <v>11</v>
      </c>
      <c r="FJ81" s="610">
        <v>11</v>
      </c>
      <c r="FK81" s="610">
        <v>12</v>
      </c>
      <c r="FL81" s="610">
        <v>12</v>
      </c>
      <c r="FM81" s="610">
        <v>11</v>
      </c>
      <c r="FN81" s="610">
        <v>11</v>
      </c>
      <c r="FO81" s="610">
        <v>11</v>
      </c>
      <c r="FP81" s="610">
        <v>11</v>
      </c>
      <c r="FQ81" s="610">
        <v>11</v>
      </c>
      <c r="FR81" s="610" t="s">
        <v>2487</v>
      </c>
      <c r="FS81" s="610" t="s">
        <v>2487</v>
      </c>
      <c r="FT81" s="610" t="s">
        <v>2487</v>
      </c>
      <c r="FU81" s="610" t="s">
        <v>2487</v>
      </c>
      <c r="FV81" s="610" t="s">
        <v>2487</v>
      </c>
      <c r="FW81" s="610" t="s">
        <v>2487</v>
      </c>
      <c r="FX81" s="610" t="s">
        <v>2487</v>
      </c>
      <c r="FY81" s="610" t="s">
        <v>2487</v>
      </c>
      <c r="FZ81" s="610" t="s">
        <v>2487</v>
      </c>
      <c r="GA81" s="610" t="s">
        <v>2487</v>
      </c>
      <c r="GB81" s="610" t="s">
        <v>2487</v>
      </c>
      <c r="GC81" s="610" t="s">
        <v>2487</v>
      </c>
      <c r="GD81" s="564">
        <f t="shared" si="18"/>
        <v>79950</v>
      </c>
      <c r="GE81" s="564">
        <f t="shared" si="19"/>
        <v>79950</v>
      </c>
      <c r="GF81" s="564">
        <f t="shared" si="20"/>
        <v>79950</v>
      </c>
      <c r="GG81" s="564">
        <f t="shared" si="21"/>
        <v>79950</v>
      </c>
      <c r="GH81" s="564">
        <f t="shared" si="22"/>
        <v>79950</v>
      </c>
      <c r="GI81" s="564">
        <f t="shared" si="23"/>
        <v>79950</v>
      </c>
      <c r="GJ81" s="564">
        <f t="shared" si="24"/>
        <v>79950</v>
      </c>
      <c r="GK81" s="564">
        <f t="shared" si="25"/>
        <v>79950</v>
      </c>
      <c r="GL81" s="564">
        <f t="shared" si="26"/>
        <v>79950</v>
      </c>
      <c r="GM81" s="564">
        <f t="shared" si="27"/>
        <v>79950</v>
      </c>
      <c r="GN81" s="564">
        <f t="shared" si="28"/>
        <v>79950</v>
      </c>
      <c r="GO81" s="564">
        <f t="shared" si="29"/>
        <v>79950</v>
      </c>
      <c r="GP81" s="564"/>
      <c r="GS81" s="375" t="s">
        <v>1480</v>
      </c>
      <c r="GT81" s="374" t="str">
        <f t="shared" si="16"/>
        <v>〇</v>
      </c>
    </row>
    <row r="82" spans="2:202">
      <c r="B82" s="371">
        <v>78</v>
      </c>
      <c r="C82" s="378">
        <v>78</v>
      </c>
      <c r="D82" s="373" t="s">
        <v>1481</v>
      </c>
      <c r="E82" s="373" t="s">
        <v>14</v>
      </c>
      <c r="F82" s="603">
        <f t="shared" si="17"/>
        <v>38</v>
      </c>
      <c r="G82" s="603"/>
      <c r="H82" s="603">
        <v>20</v>
      </c>
      <c r="I82" s="603">
        <v>18</v>
      </c>
      <c r="J82" s="603"/>
      <c r="K82" s="603"/>
      <c r="L82" s="603"/>
      <c r="M82" s="603"/>
      <c r="N82" s="608"/>
      <c r="O82" s="603">
        <v>1577000</v>
      </c>
      <c r="P82" s="603">
        <v>2721000</v>
      </c>
      <c r="Q82" s="603">
        <v>2721000</v>
      </c>
      <c r="R82" s="603">
        <v>1791000</v>
      </c>
      <c r="S82" s="603">
        <v>0</v>
      </c>
      <c r="T82" s="603">
        <v>0</v>
      </c>
      <c r="U82" s="603">
        <v>0</v>
      </c>
      <c r="V82" s="603">
        <v>1051000</v>
      </c>
      <c r="W82" s="603">
        <v>1814000</v>
      </c>
      <c r="X82" s="603">
        <v>1814000</v>
      </c>
      <c r="Y82" s="603">
        <v>1194000</v>
      </c>
      <c r="Z82" s="603">
        <v>0</v>
      </c>
      <c r="AA82" s="603">
        <v>0</v>
      </c>
      <c r="AB82" s="603">
        <v>0</v>
      </c>
      <c r="AC82" s="603">
        <v>0</v>
      </c>
      <c r="AD82" s="603">
        <v>0</v>
      </c>
      <c r="AE82" s="603">
        <v>0</v>
      </c>
      <c r="AF82" s="603">
        <v>0</v>
      </c>
      <c r="AG82" s="603">
        <v>0</v>
      </c>
      <c r="AH82" s="603">
        <v>0</v>
      </c>
      <c r="AI82" s="603">
        <v>0</v>
      </c>
      <c r="AJ82" s="604" t="s">
        <v>2377</v>
      </c>
      <c r="AK82" s="605" t="s">
        <v>2378</v>
      </c>
      <c r="AL82" s="605" t="s">
        <v>1545</v>
      </c>
      <c r="AM82" s="606" t="s">
        <v>2078</v>
      </c>
      <c r="AN82" s="609" t="s">
        <v>12</v>
      </c>
      <c r="AO82" s="610" t="s">
        <v>2485</v>
      </c>
      <c r="AP82" s="610" t="s">
        <v>2485</v>
      </c>
      <c r="AQ82" s="610" t="s">
        <v>2485</v>
      </c>
      <c r="AR82" s="610" t="s">
        <v>2485</v>
      </c>
      <c r="AS82" s="610" t="s">
        <v>2485</v>
      </c>
      <c r="AT82" s="610" t="s">
        <v>2485</v>
      </c>
      <c r="AU82" s="610" t="s">
        <v>2485</v>
      </c>
      <c r="AV82" s="610" t="s">
        <v>2485</v>
      </c>
      <c r="AW82" s="610" t="s">
        <v>2485</v>
      </c>
      <c r="AX82" s="610" t="s">
        <v>2485</v>
      </c>
      <c r="AY82" s="610" t="s">
        <v>2485</v>
      </c>
      <c r="AZ82" s="610" t="s">
        <v>2485</v>
      </c>
      <c r="BA82" s="610" t="s">
        <v>1368</v>
      </c>
      <c r="BB82" s="610" t="s">
        <v>1368</v>
      </c>
      <c r="BC82" s="610" t="s">
        <v>1368</v>
      </c>
      <c r="BD82" s="610" t="s">
        <v>1368</v>
      </c>
      <c r="BE82" s="610" t="s">
        <v>1368</v>
      </c>
      <c r="BF82" s="610" t="s">
        <v>1368</v>
      </c>
      <c r="BG82" s="610" t="s">
        <v>1368</v>
      </c>
      <c r="BH82" s="610" t="s">
        <v>1368</v>
      </c>
      <c r="BI82" s="610" t="s">
        <v>1368</v>
      </c>
      <c r="BJ82" s="610" t="s">
        <v>1368</v>
      </c>
      <c r="BK82" s="610" t="s">
        <v>1368</v>
      </c>
      <c r="BL82" s="610" t="s">
        <v>1368</v>
      </c>
      <c r="BM82" s="610">
        <v>0</v>
      </c>
      <c r="BN82" s="610">
        <v>0</v>
      </c>
      <c r="BO82" s="610">
        <v>0</v>
      </c>
      <c r="BP82" s="610">
        <v>0</v>
      </c>
      <c r="BQ82" s="610">
        <v>0</v>
      </c>
      <c r="BR82" s="610">
        <v>0</v>
      </c>
      <c r="BS82" s="610">
        <v>0</v>
      </c>
      <c r="BT82" s="610">
        <v>0</v>
      </c>
      <c r="BU82" s="610">
        <v>0</v>
      </c>
      <c r="BV82" s="610">
        <v>0</v>
      </c>
      <c r="BW82" s="610">
        <v>0</v>
      </c>
      <c r="BX82" s="610">
        <v>0</v>
      </c>
      <c r="BY82" s="610">
        <v>0</v>
      </c>
      <c r="BZ82" s="610">
        <v>0</v>
      </c>
      <c r="CA82" s="610">
        <v>0</v>
      </c>
      <c r="CB82" s="610">
        <v>0</v>
      </c>
      <c r="CC82" s="610">
        <v>0</v>
      </c>
      <c r="CD82" s="610">
        <v>0</v>
      </c>
      <c r="CE82" s="610">
        <v>0</v>
      </c>
      <c r="CF82" s="610">
        <v>0</v>
      </c>
      <c r="CG82" s="610">
        <v>0</v>
      </c>
      <c r="CH82" s="610">
        <v>0</v>
      </c>
      <c r="CI82" s="610">
        <v>0</v>
      </c>
      <c r="CJ82" s="610">
        <v>0</v>
      </c>
      <c r="CK82" s="610">
        <v>0</v>
      </c>
      <c r="CL82" s="610">
        <v>0</v>
      </c>
      <c r="CM82" s="610">
        <v>0</v>
      </c>
      <c r="CN82" s="610">
        <v>0</v>
      </c>
      <c r="CO82" s="610">
        <v>0</v>
      </c>
      <c r="CP82" s="610">
        <v>0</v>
      </c>
      <c r="CQ82" s="610">
        <v>0</v>
      </c>
      <c r="CR82" s="610">
        <v>0</v>
      </c>
      <c r="CS82" s="610">
        <v>0</v>
      </c>
      <c r="CT82" s="610">
        <v>0</v>
      </c>
      <c r="CU82" s="610">
        <v>0</v>
      </c>
      <c r="CV82" s="610">
        <v>0</v>
      </c>
      <c r="CW82" s="610" t="s">
        <v>14</v>
      </c>
      <c r="CX82" s="610">
        <v>0</v>
      </c>
      <c r="CY82" s="610" t="s">
        <v>1707</v>
      </c>
      <c r="CZ82" s="610" t="s">
        <v>1707</v>
      </c>
      <c r="DA82" s="610" t="s">
        <v>1707</v>
      </c>
      <c r="DB82" s="610" t="s">
        <v>1707</v>
      </c>
      <c r="DC82" s="610" t="s">
        <v>1707</v>
      </c>
      <c r="DD82" s="610" t="s">
        <v>1707</v>
      </c>
      <c r="DE82" s="610" t="s">
        <v>1707</v>
      </c>
      <c r="DF82" s="610" t="s">
        <v>1707</v>
      </c>
      <c r="DG82" s="610" t="s">
        <v>1707</v>
      </c>
      <c r="DH82" s="610" t="s">
        <v>1707</v>
      </c>
      <c r="DI82" s="610" t="s">
        <v>1707</v>
      </c>
      <c r="DJ82" s="610" t="s">
        <v>1707</v>
      </c>
      <c r="DK82" s="610" t="s">
        <v>1368</v>
      </c>
      <c r="DL82" s="610" t="s">
        <v>1368</v>
      </c>
      <c r="DM82" s="610" t="s">
        <v>1368</v>
      </c>
      <c r="DN82" s="610" t="s">
        <v>1368</v>
      </c>
      <c r="DO82" s="610" t="s">
        <v>1368</v>
      </c>
      <c r="DP82" s="610" t="s">
        <v>1368</v>
      </c>
      <c r="DQ82" s="610" t="s">
        <v>1368</v>
      </c>
      <c r="DR82" s="610" t="s">
        <v>1368</v>
      </c>
      <c r="DS82" s="610" t="s">
        <v>1368</v>
      </c>
      <c r="DT82" s="610" t="s">
        <v>1368</v>
      </c>
      <c r="DU82" s="610" t="s">
        <v>1368</v>
      </c>
      <c r="DV82" s="610" t="s">
        <v>1368</v>
      </c>
      <c r="DW82" s="609" t="s">
        <v>1368</v>
      </c>
      <c r="DX82" s="609" t="s">
        <v>1368</v>
      </c>
      <c r="DY82" s="609" t="s">
        <v>1368</v>
      </c>
      <c r="DZ82" s="609" t="s">
        <v>1368</v>
      </c>
      <c r="EA82" s="609" t="s">
        <v>1368</v>
      </c>
      <c r="EB82" s="609" t="s">
        <v>1368</v>
      </c>
      <c r="EC82" s="609" t="s">
        <v>1368</v>
      </c>
      <c r="ED82" s="609" t="s">
        <v>1368</v>
      </c>
      <c r="EE82" s="609" t="s">
        <v>1368</v>
      </c>
      <c r="EF82" s="609" t="s">
        <v>1368</v>
      </c>
      <c r="EG82" s="609" t="s">
        <v>1368</v>
      </c>
      <c r="EH82" s="609" t="s">
        <v>1368</v>
      </c>
      <c r="EI82" s="610" t="s">
        <v>1707</v>
      </c>
      <c r="EJ82" s="610" t="s">
        <v>1707</v>
      </c>
      <c r="EK82" s="610" t="s">
        <v>1707</v>
      </c>
      <c r="EL82" s="610" t="s">
        <v>1707</v>
      </c>
      <c r="EM82" s="610" t="s">
        <v>1707</v>
      </c>
      <c r="EN82" s="610" t="s">
        <v>1707</v>
      </c>
      <c r="EO82" s="610" t="s">
        <v>1707</v>
      </c>
      <c r="EP82" s="610" t="s">
        <v>1707</v>
      </c>
      <c r="EQ82" s="610" t="s">
        <v>1707</v>
      </c>
      <c r="ER82" s="610" t="s">
        <v>1707</v>
      </c>
      <c r="ES82" s="610" t="s">
        <v>1707</v>
      </c>
      <c r="ET82" s="610" t="s">
        <v>1707</v>
      </c>
      <c r="EU82" s="610">
        <v>4070</v>
      </c>
      <c r="EV82" s="610" t="s">
        <v>1707</v>
      </c>
      <c r="EW82" s="610" t="s">
        <v>1707</v>
      </c>
      <c r="EX82" s="610" t="s">
        <v>1707</v>
      </c>
      <c r="EY82" s="610" t="s">
        <v>1707</v>
      </c>
      <c r="EZ82" s="610" t="s">
        <v>1707</v>
      </c>
      <c r="FA82" s="610" t="s">
        <v>1707</v>
      </c>
      <c r="FB82" s="610" t="s">
        <v>1707</v>
      </c>
      <c r="FC82" s="610" t="s">
        <v>1707</v>
      </c>
      <c r="FD82" s="610" t="s">
        <v>1707</v>
      </c>
      <c r="FE82" s="610" t="s">
        <v>1707</v>
      </c>
      <c r="FF82" s="610" t="s">
        <v>1707</v>
      </c>
      <c r="FG82" s="610" t="s">
        <v>1707</v>
      </c>
      <c r="FH82" s="610">
        <v>11</v>
      </c>
      <c r="FI82" s="610">
        <v>11</v>
      </c>
      <c r="FJ82" s="610">
        <v>12</v>
      </c>
      <c r="FK82" s="610">
        <v>12</v>
      </c>
      <c r="FL82" s="610">
        <v>12</v>
      </c>
      <c r="FM82" s="610">
        <v>12</v>
      </c>
      <c r="FN82" s="610">
        <v>11</v>
      </c>
      <c r="FO82" s="610">
        <v>11</v>
      </c>
      <c r="FP82" s="610">
        <v>11</v>
      </c>
      <c r="FQ82" s="610">
        <v>11</v>
      </c>
      <c r="FR82" s="610" t="s">
        <v>2487</v>
      </c>
      <c r="FS82" s="610" t="s">
        <v>2487</v>
      </c>
      <c r="FT82" s="610" t="s">
        <v>2487</v>
      </c>
      <c r="FU82" s="610" t="s">
        <v>2487</v>
      </c>
      <c r="FV82" s="610" t="s">
        <v>2487</v>
      </c>
      <c r="FW82" s="610" t="s">
        <v>2487</v>
      </c>
      <c r="FX82" s="610" t="s">
        <v>2487</v>
      </c>
      <c r="FY82" s="610" t="s">
        <v>2487</v>
      </c>
      <c r="FZ82" s="610" t="s">
        <v>2487</v>
      </c>
      <c r="GA82" s="610" t="s">
        <v>2487</v>
      </c>
      <c r="GB82" s="610" t="s">
        <v>2487</v>
      </c>
      <c r="GC82" s="610" t="s">
        <v>2487</v>
      </c>
      <c r="GD82" s="564">
        <f t="shared" si="18"/>
        <v>79950</v>
      </c>
      <c r="GE82" s="564">
        <f t="shared" si="19"/>
        <v>79950</v>
      </c>
      <c r="GF82" s="564">
        <f t="shared" si="20"/>
        <v>79950</v>
      </c>
      <c r="GG82" s="564">
        <f t="shared" si="21"/>
        <v>79950</v>
      </c>
      <c r="GH82" s="564">
        <f t="shared" si="22"/>
        <v>79950</v>
      </c>
      <c r="GI82" s="564">
        <f t="shared" si="23"/>
        <v>79950</v>
      </c>
      <c r="GJ82" s="564">
        <f t="shared" si="24"/>
        <v>79950</v>
      </c>
      <c r="GK82" s="564">
        <f t="shared" si="25"/>
        <v>79950</v>
      </c>
      <c r="GL82" s="564">
        <f t="shared" si="26"/>
        <v>79950</v>
      </c>
      <c r="GM82" s="564">
        <f t="shared" si="27"/>
        <v>79950</v>
      </c>
      <c r="GN82" s="564">
        <f t="shared" si="28"/>
        <v>79950</v>
      </c>
      <c r="GO82" s="564">
        <f t="shared" si="29"/>
        <v>79950</v>
      </c>
      <c r="GP82" s="564"/>
      <c r="GS82" s="375" t="s">
        <v>1481</v>
      </c>
      <c r="GT82" s="374" t="str">
        <f t="shared" si="16"/>
        <v>〇</v>
      </c>
    </row>
    <row r="83" spans="2:202">
      <c r="B83" s="371">
        <v>79</v>
      </c>
      <c r="C83" s="378">
        <v>79</v>
      </c>
      <c r="D83" s="373" t="s">
        <v>1482</v>
      </c>
      <c r="E83" s="373" t="s">
        <v>14</v>
      </c>
      <c r="F83" s="603">
        <f t="shared" si="17"/>
        <v>50</v>
      </c>
      <c r="G83" s="603"/>
      <c r="H83" s="603">
        <v>27</v>
      </c>
      <c r="I83" s="603">
        <v>23</v>
      </c>
      <c r="J83" s="603"/>
      <c r="K83" s="603"/>
      <c r="L83" s="603"/>
      <c r="M83" s="603"/>
      <c r="N83" s="608"/>
      <c r="O83" s="603">
        <v>1577000</v>
      </c>
      <c r="P83" s="603">
        <v>2721000</v>
      </c>
      <c r="Q83" s="603">
        <v>2721000</v>
      </c>
      <c r="R83" s="603">
        <v>1791000</v>
      </c>
      <c r="S83" s="603">
        <v>0</v>
      </c>
      <c r="T83" s="603">
        <v>2181000</v>
      </c>
      <c r="U83" s="603">
        <v>0</v>
      </c>
      <c r="V83" s="603">
        <v>1051000</v>
      </c>
      <c r="W83" s="603">
        <v>1814000</v>
      </c>
      <c r="X83" s="603">
        <v>1814000</v>
      </c>
      <c r="Y83" s="603">
        <v>1194000</v>
      </c>
      <c r="Z83" s="603">
        <v>0</v>
      </c>
      <c r="AA83" s="603">
        <v>1454000</v>
      </c>
      <c r="AB83" s="603">
        <v>0</v>
      </c>
      <c r="AC83" s="603">
        <v>526000</v>
      </c>
      <c r="AD83" s="603">
        <v>907000</v>
      </c>
      <c r="AE83" s="603">
        <v>907000</v>
      </c>
      <c r="AF83" s="603">
        <v>597000</v>
      </c>
      <c r="AG83" s="603">
        <v>0</v>
      </c>
      <c r="AH83" s="603">
        <v>727000</v>
      </c>
      <c r="AI83" s="603">
        <v>0</v>
      </c>
      <c r="AJ83" s="604" t="s">
        <v>2377</v>
      </c>
      <c r="AK83" s="605" t="s">
        <v>2378</v>
      </c>
      <c r="AL83" s="605" t="s">
        <v>2490</v>
      </c>
      <c r="AM83" s="606" t="s">
        <v>2079</v>
      </c>
      <c r="AN83" s="609" t="s">
        <v>12</v>
      </c>
      <c r="AO83" s="610" t="s">
        <v>2486</v>
      </c>
      <c r="AP83" s="610" t="s">
        <v>2486</v>
      </c>
      <c r="AQ83" s="610" t="s">
        <v>2486</v>
      </c>
      <c r="AR83" s="610" t="s">
        <v>2486</v>
      </c>
      <c r="AS83" s="610" t="s">
        <v>2486</v>
      </c>
      <c r="AT83" s="610" t="s">
        <v>2486</v>
      </c>
      <c r="AU83" s="610" t="s">
        <v>2486</v>
      </c>
      <c r="AV83" s="610" t="s">
        <v>2486</v>
      </c>
      <c r="AW83" s="610" t="s">
        <v>2486</v>
      </c>
      <c r="AX83" s="610" t="s">
        <v>2486</v>
      </c>
      <c r="AY83" s="610" t="s">
        <v>2486</v>
      </c>
      <c r="AZ83" s="610" t="s">
        <v>2486</v>
      </c>
      <c r="BA83" s="610" t="s">
        <v>1368</v>
      </c>
      <c r="BB83" s="610" t="s">
        <v>1368</v>
      </c>
      <c r="BC83" s="610" t="s">
        <v>1368</v>
      </c>
      <c r="BD83" s="610" t="s">
        <v>1368</v>
      </c>
      <c r="BE83" s="610" t="s">
        <v>1368</v>
      </c>
      <c r="BF83" s="610" t="s">
        <v>1368</v>
      </c>
      <c r="BG83" s="610" t="s">
        <v>1368</v>
      </c>
      <c r="BH83" s="610" t="s">
        <v>1368</v>
      </c>
      <c r="BI83" s="610" t="s">
        <v>1368</v>
      </c>
      <c r="BJ83" s="610" t="s">
        <v>1368</v>
      </c>
      <c r="BK83" s="610" t="s">
        <v>1368</v>
      </c>
      <c r="BL83" s="610" t="s">
        <v>1368</v>
      </c>
      <c r="BM83" s="610">
        <v>1</v>
      </c>
      <c r="BN83" s="610">
        <v>1</v>
      </c>
      <c r="BO83" s="610">
        <v>1</v>
      </c>
      <c r="BP83" s="610">
        <v>1</v>
      </c>
      <c r="BQ83" s="610">
        <v>1</v>
      </c>
      <c r="BR83" s="610">
        <v>1</v>
      </c>
      <c r="BS83" s="610">
        <v>1</v>
      </c>
      <c r="BT83" s="610">
        <v>1</v>
      </c>
      <c r="BU83" s="610">
        <v>1</v>
      </c>
      <c r="BV83" s="610">
        <v>1</v>
      </c>
      <c r="BW83" s="610">
        <v>1</v>
      </c>
      <c r="BX83" s="610">
        <v>1</v>
      </c>
      <c r="BY83" s="610">
        <v>0</v>
      </c>
      <c r="BZ83" s="610">
        <v>0</v>
      </c>
      <c r="CA83" s="610">
        <v>0</v>
      </c>
      <c r="CB83" s="610">
        <v>0</v>
      </c>
      <c r="CC83" s="610">
        <v>0</v>
      </c>
      <c r="CD83" s="610">
        <v>0</v>
      </c>
      <c r="CE83" s="610">
        <v>0</v>
      </c>
      <c r="CF83" s="610">
        <v>0</v>
      </c>
      <c r="CG83" s="610">
        <v>0</v>
      </c>
      <c r="CH83" s="610">
        <v>0</v>
      </c>
      <c r="CI83" s="610">
        <v>0</v>
      </c>
      <c r="CJ83" s="610">
        <v>0</v>
      </c>
      <c r="CK83" s="610">
        <v>0</v>
      </c>
      <c r="CL83" s="610">
        <v>0</v>
      </c>
      <c r="CM83" s="610">
        <v>0</v>
      </c>
      <c r="CN83" s="610">
        <v>0</v>
      </c>
      <c r="CO83" s="610">
        <v>0</v>
      </c>
      <c r="CP83" s="610">
        <v>0</v>
      </c>
      <c r="CQ83" s="610">
        <v>0</v>
      </c>
      <c r="CR83" s="610">
        <v>0</v>
      </c>
      <c r="CS83" s="610">
        <v>0</v>
      </c>
      <c r="CT83" s="610">
        <v>0</v>
      </c>
      <c r="CU83" s="610">
        <v>0</v>
      </c>
      <c r="CV83" s="610">
        <v>0</v>
      </c>
      <c r="CW83" s="610" t="s">
        <v>14</v>
      </c>
      <c r="CX83" s="610">
        <v>0</v>
      </c>
      <c r="CY83" s="610" t="s">
        <v>1707</v>
      </c>
      <c r="CZ83" s="610" t="s">
        <v>1707</v>
      </c>
      <c r="DA83" s="610" t="s">
        <v>1707</v>
      </c>
      <c r="DB83" s="610" t="s">
        <v>1707</v>
      </c>
      <c r="DC83" s="610" t="s">
        <v>1707</v>
      </c>
      <c r="DD83" s="610" t="s">
        <v>1707</v>
      </c>
      <c r="DE83" s="610" t="s">
        <v>1707</v>
      </c>
      <c r="DF83" s="610" t="s">
        <v>1707</v>
      </c>
      <c r="DG83" s="610" t="s">
        <v>1707</v>
      </c>
      <c r="DH83" s="610" t="s">
        <v>1707</v>
      </c>
      <c r="DI83" s="610" t="s">
        <v>1707</v>
      </c>
      <c r="DJ83" s="610" t="s">
        <v>1707</v>
      </c>
      <c r="DK83" s="610" t="s">
        <v>1368</v>
      </c>
      <c r="DL83" s="610" t="s">
        <v>1368</v>
      </c>
      <c r="DM83" s="610" t="s">
        <v>1368</v>
      </c>
      <c r="DN83" s="610" t="s">
        <v>1368</v>
      </c>
      <c r="DO83" s="610" t="s">
        <v>1368</v>
      </c>
      <c r="DP83" s="610" t="s">
        <v>1368</v>
      </c>
      <c r="DQ83" s="610" t="s">
        <v>1368</v>
      </c>
      <c r="DR83" s="610" t="s">
        <v>1368</v>
      </c>
      <c r="DS83" s="610" t="s">
        <v>1368</v>
      </c>
      <c r="DT83" s="610" t="s">
        <v>1368</v>
      </c>
      <c r="DU83" s="610" t="s">
        <v>1368</v>
      </c>
      <c r="DV83" s="610" t="s">
        <v>1368</v>
      </c>
      <c r="DW83" s="609" t="s">
        <v>1368</v>
      </c>
      <c r="DX83" s="609" t="s">
        <v>1368</v>
      </c>
      <c r="DY83" s="609" t="s">
        <v>1368</v>
      </c>
      <c r="DZ83" s="609" t="s">
        <v>1368</v>
      </c>
      <c r="EA83" s="609" t="s">
        <v>1368</v>
      </c>
      <c r="EB83" s="609" t="s">
        <v>1368</v>
      </c>
      <c r="EC83" s="609" t="s">
        <v>1368</v>
      </c>
      <c r="ED83" s="609" t="s">
        <v>1368</v>
      </c>
      <c r="EE83" s="609" t="s">
        <v>1368</v>
      </c>
      <c r="EF83" s="609" t="s">
        <v>1368</v>
      </c>
      <c r="EG83" s="609" t="s">
        <v>1368</v>
      </c>
      <c r="EH83" s="609" t="s">
        <v>1368</v>
      </c>
      <c r="EI83" s="610" t="s">
        <v>1707</v>
      </c>
      <c r="EJ83" s="610" t="s">
        <v>1707</v>
      </c>
      <c r="EK83" s="610" t="s">
        <v>1707</v>
      </c>
      <c r="EL83" s="610" t="s">
        <v>1707</v>
      </c>
      <c r="EM83" s="610" t="s">
        <v>1707</v>
      </c>
      <c r="EN83" s="610" t="s">
        <v>1707</v>
      </c>
      <c r="EO83" s="610" t="s">
        <v>1707</v>
      </c>
      <c r="EP83" s="610" t="s">
        <v>1707</v>
      </c>
      <c r="EQ83" s="610" t="s">
        <v>1707</v>
      </c>
      <c r="ER83" s="610" t="s">
        <v>1707</v>
      </c>
      <c r="ES83" s="610" t="s">
        <v>1707</v>
      </c>
      <c r="ET83" s="610" t="s">
        <v>1707</v>
      </c>
      <c r="EU83" s="610">
        <v>3980</v>
      </c>
      <c r="EV83" s="610" t="s">
        <v>1707</v>
      </c>
      <c r="EW83" s="610" t="s">
        <v>1707</v>
      </c>
      <c r="EX83" s="610" t="s">
        <v>1707</v>
      </c>
      <c r="EY83" s="610" t="s">
        <v>1707</v>
      </c>
      <c r="EZ83" s="610" t="s">
        <v>1707</v>
      </c>
      <c r="FA83" s="610" t="s">
        <v>1707</v>
      </c>
      <c r="FB83" s="610" t="s">
        <v>1707</v>
      </c>
      <c r="FC83" s="610" t="s">
        <v>1707</v>
      </c>
      <c r="FD83" s="610" t="s">
        <v>1707</v>
      </c>
      <c r="FE83" s="610" t="s">
        <v>1707</v>
      </c>
      <c r="FF83" s="610" t="s">
        <v>1707</v>
      </c>
      <c r="FG83" s="610" t="s">
        <v>1707</v>
      </c>
      <c r="FH83" s="610">
        <v>23</v>
      </c>
      <c r="FI83" s="610">
        <v>23</v>
      </c>
      <c r="FJ83" s="610">
        <v>23</v>
      </c>
      <c r="FK83" s="610">
        <v>23</v>
      </c>
      <c r="FL83" s="610">
        <v>23</v>
      </c>
      <c r="FM83" s="610">
        <v>23</v>
      </c>
      <c r="FN83" s="610">
        <v>23</v>
      </c>
      <c r="FO83" s="610">
        <v>23</v>
      </c>
      <c r="FP83" s="610">
        <v>23</v>
      </c>
      <c r="FQ83" s="610">
        <v>23</v>
      </c>
      <c r="FR83" s="610" t="s">
        <v>2487</v>
      </c>
      <c r="FS83" s="610" t="s">
        <v>2487</v>
      </c>
      <c r="FT83" s="610" t="s">
        <v>2487</v>
      </c>
      <c r="FU83" s="610" t="s">
        <v>2487</v>
      </c>
      <c r="FV83" s="610" t="s">
        <v>2487</v>
      </c>
      <c r="FW83" s="610" t="s">
        <v>2487</v>
      </c>
      <c r="FX83" s="610" t="s">
        <v>2487</v>
      </c>
      <c r="FY83" s="610" t="s">
        <v>2487</v>
      </c>
      <c r="FZ83" s="610" t="s">
        <v>2487</v>
      </c>
      <c r="GA83" s="610" t="s">
        <v>2487</v>
      </c>
      <c r="GB83" s="610" t="s">
        <v>2487</v>
      </c>
      <c r="GC83" s="610" t="s">
        <v>2487</v>
      </c>
      <c r="GD83" s="564">
        <f t="shared" si="18"/>
        <v>79950</v>
      </c>
      <c r="GE83" s="564">
        <f t="shared" si="19"/>
        <v>79950</v>
      </c>
      <c r="GF83" s="564">
        <f t="shared" si="20"/>
        <v>79950</v>
      </c>
      <c r="GG83" s="564">
        <f t="shared" si="21"/>
        <v>79950</v>
      </c>
      <c r="GH83" s="564">
        <f t="shared" si="22"/>
        <v>79950</v>
      </c>
      <c r="GI83" s="564">
        <f t="shared" si="23"/>
        <v>79950</v>
      </c>
      <c r="GJ83" s="564">
        <f t="shared" si="24"/>
        <v>79950</v>
      </c>
      <c r="GK83" s="564">
        <f t="shared" si="25"/>
        <v>79950</v>
      </c>
      <c r="GL83" s="564">
        <f t="shared" si="26"/>
        <v>79950</v>
      </c>
      <c r="GM83" s="564">
        <f t="shared" si="27"/>
        <v>79950</v>
      </c>
      <c r="GN83" s="564">
        <f t="shared" si="28"/>
        <v>79950</v>
      </c>
      <c r="GO83" s="564">
        <f t="shared" si="29"/>
        <v>79950</v>
      </c>
      <c r="GP83" s="564"/>
      <c r="GS83" s="375" t="s">
        <v>1482</v>
      </c>
      <c r="GT83" s="374" t="str">
        <f t="shared" si="16"/>
        <v>〇</v>
      </c>
    </row>
    <row r="84" spans="2:202">
      <c r="B84" s="371">
        <v>80</v>
      </c>
      <c r="C84" s="378">
        <v>80</v>
      </c>
      <c r="D84" s="373" t="s">
        <v>1483</v>
      </c>
      <c r="E84" s="373" t="s">
        <v>14</v>
      </c>
      <c r="F84" s="603">
        <f t="shared" si="17"/>
        <v>20</v>
      </c>
      <c r="G84" s="603"/>
      <c r="H84" s="603">
        <v>11</v>
      </c>
      <c r="I84" s="603">
        <v>9</v>
      </c>
      <c r="J84" s="603"/>
      <c r="K84" s="603"/>
      <c r="L84" s="603"/>
      <c r="M84" s="603"/>
      <c r="N84" s="608"/>
      <c r="O84" s="603">
        <v>1577000</v>
      </c>
      <c r="P84" s="603">
        <v>2721000</v>
      </c>
      <c r="Q84" s="603">
        <v>2721000</v>
      </c>
      <c r="R84" s="603">
        <v>0</v>
      </c>
      <c r="S84" s="603">
        <v>0</v>
      </c>
      <c r="T84" s="603">
        <v>0</v>
      </c>
      <c r="U84" s="603">
        <v>0</v>
      </c>
      <c r="V84" s="603">
        <v>1051000</v>
      </c>
      <c r="W84" s="603">
        <v>1814000</v>
      </c>
      <c r="X84" s="603">
        <v>1814000</v>
      </c>
      <c r="Y84" s="603">
        <v>0</v>
      </c>
      <c r="Z84" s="603">
        <v>0</v>
      </c>
      <c r="AA84" s="603">
        <v>0</v>
      </c>
      <c r="AB84" s="603">
        <v>0</v>
      </c>
      <c r="AC84" s="603">
        <v>0</v>
      </c>
      <c r="AD84" s="603">
        <v>0</v>
      </c>
      <c r="AE84" s="603">
        <v>0</v>
      </c>
      <c r="AF84" s="603">
        <v>0</v>
      </c>
      <c r="AG84" s="603">
        <v>0</v>
      </c>
      <c r="AH84" s="603">
        <v>0</v>
      </c>
      <c r="AI84" s="603">
        <v>0</v>
      </c>
      <c r="AJ84" s="604" t="s">
        <v>2377</v>
      </c>
      <c r="AK84" s="605" t="s">
        <v>2378</v>
      </c>
      <c r="AL84" s="605" t="s">
        <v>1545</v>
      </c>
      <c r="AM84" s="606" t="s">
        <v>2080</v>
      </c>
      <c r="AN84" s="609" t="s">
        <v>12</v>
      </c>
      <c r="AO84" s="610" t="s">
        <v>2485</v>
      </c>
      <c r="AP84" s="610" t="s">
        <v>2485</v>
      </c>
      <c r="AQ84" s="610" t="s">
        <v>2485</v>
      </c>
      <c r="AR84" s="610" t="s">
        <v>2485</v>
      </c>
      <c r="AS84" s="610" t="s">
        <v>2485</v>
      </c>
      <c r="AT84" s="610" t="s">
        <v>2485</v>
      </c>
      <c r="AU84" s="610" t="s">
        <v>2485</v>
      </c>
      <c r="AV84" s="610" t="s">
        <v>2485</v>
      </c>
      <c r="AW84" s="610" t="s">
        <v>2485</v>
      </c>
      <c r="AX84" s="610" t="s">
        <v>2485</v>
      </c>
      <c r="AY84" s="610" t="s">
        <v>2485</v>
      </c>
      <c r="AZ84" s="610" t="s">
        <v>2485</v>
      </c>
      <c r="BA84" s="610" t="s">
        <v>1368</v>
      </c>
      <c r="BB84" s="610" t="s">
        <v>1368</v>
      </c>
      <c r="BC84" s="610" t="s">
        <v>1368</v>
      </c>
      <c r="BD84" s="610" t="s">
        <v>1368</v>
      </c>
      <c r="BE84" s="610" t="s">
        <v>1368</v>
      </c>
      <c r="BF84" s="610" t="s">
        <v>1368</v>
      </c>
      <c r="BG84" s="610" t="s">
        <v>1368</v>
      </c>
      <c r="BH84" s="610" t="s">
        <v>1368</v>
      </c>
      <c r="BI84" s="610" t="s">
        <v>1368</v>
      </c>
      <c r="BJ84" s="610" t="s">
        <v>1368</v>
      </c>
      <c r="BK84" s="610" t="s">
        <v>1368</v>
      </c>
      <c r="BL84" s="610" t="s">
        <v>1368</v>
      </c>
      <c r="BM84" s="610">
        <v>0</v>
      </c>
      <c r="BN84" s="610">
        <v>0</v>
      </c>
      <c r="BO84" s="610">
        <v>0</v>
      </c>
      <c r="BP84" s="610">
        <v>0</v>
      </c>
      <c r="BQ84" s="610">
        <v>0</v>
      </c>
      <c r="BR84" s="610">
        <v>0</v>
      </c>
      <c r="BS84" s="610">
        <v>0</v>
      </c>
      <c r="BT84" s="610">
        <v>0</v>
      </c>
      <c r="BU84" s="610">
        <v>0</v>
      </c>
      <c r="BV84" s="610">
        <v>0</v>
      </c>
      <c r="BW84" s="610">
        <v>0</v>
      </c>
      <c r="BX84" s="610">
        <v>0</v>
      </c>
      <c r="BY84" s="610">
        <v>0</v>
      </c>
      <c r="BZ84" s="610">
        <v>0</v>
      </c>
      <c r="CA84" s="610">
        <v>0</v>
      </c>
      <c r="CB84" s="610">
        <v>0</v>
      </c>
      <c r="CC84" s="610">
        <v>0</v>
      </c>
      <c r="CD84" s="610">
        <v>0</v>
      </c>
      <c r="CE84" s="610">
        <v>0</v>
      </c>
      <c r="CF84" s="610">
        <v>0</v>
      </c>
      <c r="CG84" s="610">
        <v>0</v>
      </c>
      <c r="CH84" s="610">
        <v>0</v>
      </c>
      <c r="CI84" s="610">
        <v>0</v>
      </c>
      <c r="CJ84" s="610">
        <v>0</v>
      </c>
      <c r="CK84" s="610">
        <v>0</v>
      </c>
      <c r="CL84" s="610">
        <v>0</v>
      </c>
      <c r="CM84" s="610">
        <v>0</v>
      </c>
      <c r="CN84" s="610">
        <v>0</v>
      </c>
      <c r="CO84" s="610">
        <v>0</v>
      </c>
      <c r="CP84" s="610">
        <v>0</v>
      </c>
      <c r="CQ84" s="610">
        <v>0</v>
      </c>
      <c r="CR84" s="610">
        <v>0</v>
      </c>
      <c r="CS84" s="610">
        <v>0</v>
      </c>
      <c r="CT84" s="610">
        <v>0</v>
      </c>
      <c r="CU84" s="610">
        <v>0</v>
      </c>
      <c r="CV84" s="610">
        <v>0</v>
      </c>
      <c r="CW84" s="610" t="s">
        <v>14</v>
      </c>
      <c r="CX84" s="610">
        <v>0</v>
      </c>
      <c r="CY84" s="610" t="s">
        <v>1707</v>
      </c>
      <c r="CZ84" s="610" t="s">
        <v>1707</v>
      </c>
      <c r="DA84" s="610" t="s">
        <v>1707</v>
      </c>
      <c r="DB84" s="610" t="s">
        <v>1707</v>
      </c>
      <c r="DC84" s="610" t="s">
        <v>1707</v>
      </c>
      <c r="DD84" s="610" t="s">
        <v>1707</v>
      </c>
      <c r="DE84" s="610" t="s">
        <v>1707</v>
      </c>
      <c r="DF84" s="610" t="s">
        <v>1707</v>
      </c>
      <c r="DG84" s="610" t="s">
        <v>1707</v>
      </c>
      <c r="DH84" s="610" t="s">
        <v>1707</v>
      </c>
      <c r="DI84" s="610" t="s">
        <v>1707</v>
      </c>
      <c r="DJ84" s="610" t="s">
        <v>1707</v>
      </c>
      <c r="DK84" s="610" t="s">
        <v>1368</v>
      </c>
      <c r="DL84" s="610" t="s">
        <v>1368</v>
      </c>
      <c r="DM84" s="610" t="s">
        <v>1368</v>
      </c>
      <c r="DN84" s="610" t="s">
        <v>1368</v>
      </c>
      <c r="DO84" s="610" t="s">
        <v>1368</v>
      </c>
      <c r="DP84" s="610" t="s">
        <v>1368</v>
      </c>
      <c r="DQ84" s="610" t="s">
        <v>1368</v>
      </c>
      <c r="DR84" s="610" t="s">
        <v>1368</v>
      </c>
      <c r="DS84" s="610" t="s">
        <v>1368</v>
      </c>
      <c r="DT84" s="610" t="s">
        <v>1368</v>
      </c>
      <c r="DU84" s="610" t="s">
        <v>1368</v>
      </c>
      <c r="DV84" s="610" t="s">
        <v>1368</v>
      </c>
      <c r="DW84" s="609" t="s">
        <v>1368</v>
      </c>
      <c r="DX84" s="609" t="s">
        <v>1368</v>
      </c>
      <c r="DY84" s="609" t="s">
        <v>1368</v>
      </c>
      <c r="DZ84" s="609" t="s">
        <v>1368</v>
      </c>
      <c r="EA84" s="609" t="s">
        <v>1368</v>
      </c>
      <c r="EB84" s="609" t="s">
        <v>1368</v>
      </c>
      <c r="EC84" s="609" t="s">
        <v>1368</v>
      </c>
      <c r="ED84" s="609" t="s">
        <v>1368</v>
      </c>
      <c r="EE84" s="609" t="s">
        <v>1368</v>
      </c>
      <c r="EF84" s="609" t="s">
        <v>1368</v>
      </c>
      <c r="EG84" s="609" t="s">
        <v>1368</v>
      </c>
      <c r="EH84" s="609" t="s">
        <v>1368</v>
      </c>
      <c r="EI84" s="610" t="s">
        <v>1707</v>
      </c>
      <c r="EJ84" s="610" t="s">
        <v>1707</v>
      </c>
      <c r="EK84" s="610" t="s">
        <v>1707</v>
      </c>
      <c r="EL84" s="610" t="s">
        <v>1707</v>
      </c>
      <c r="EM84" s="610" t="s">
        <v>1707</v>
      </c>
      <c r="EN84" s="610" t="s">
        <v>1707</v>
      </c>
      <c r="EO84" s="610" t="s">
        <v>1707</v>
      </c>
      <c r="EP84" s="610" t="s">
        <v>1707</v>
      </c>
      <c r="EQ84" s="610" t="s">
        <v>1707</v>
      </c>
      <c r="ER84" s="610" t="s">
        <v>1707</v>
      </c>
      <c r="ES84" s="610" t="s">
        <v>1707</v>
      </c>
      <c r="ET84" s="610" t="s">
        <v>1707</v>
      </c>
      <c r="EU84" s="610">
        <v>4040</v>
      </c>
      <c r="EV84" s="610" t="s">
        <v>1707</v>
      </c>
      <c r="EW84" s="610" t="s">
        <v>1707</v>
      </c>
      <c r="EX84" s="610" t="s">
        <v>1707</v>
      </c>
      <c r="EY84" s="610" t="s">
        <v>1707</v>
      </c>
      <c r="EZ84" s="610" t="s">
        <v>1707</v>
      </c>
      <c r="FA84" s="610" t="s">
        <v>1707</v>
      </c>
      <c r="FB84" s="610" t="s">
        <v>1707</v>
      </c>
      <c r="FC84" s="610" t="s">
        <v>1707</v>
      </c>
      <c r="FD84" s="610" t="s">
        <v>1707</v>
      </c>
      <c r="FE84" s="610" t="s">
        <v>1707</v>
      </c>
      <c r="FF84" s="610" t="s">
        <v>1707</v>
      </c>
      <c r="FG84" s="610" t="s">
        <v>1707</v>
      </c>
      <c r="FH84" s="610">
        <v>6</v>
      </c>
      <c r="FI84" s="610">
        <v>6</v>
      </c>
      <c r="FJ84" s="610">
        <v>6</v>
      </c>
      <c r="FK84" s="610">
        <v>6</v>
      </c>
      <c r="FL84" s="610">
        <v>6</v>
      </c>
      <c r="FM84" s="610">
        <v>6</v>
      </c>
      <c r="FN84" s="610">
        <v>6</v>
      </c>
      <c r="FO84" s="610">
        <v>6</v>
      </c>
      <c r="FP84" s="610">
        <v>6</v>
      </c>
      <c r="FQ84" s="610">
        <v>6</v>
      </c>
      <c r="FR84" s="610" t="s">
        <v>2489</v>
      </c>
      <c r="FS84" s="610" t="s">
        <v>2489</v>
      </c>
      <c r="FT84" s="610" t="s">
        <v>2489</v>
      </c>
      <c r="FU84" s="610" t="s">
        <v>2489</v>
      </c>
      <c r="FV84" s="610" t="s">
        <v>2489</v>
      </c>
      <c r="FW84" s="610" t="s">
        <v>2489</v>
      </c>
      <c r="FX84" s="610" t="s">
        <v>2489</v>
      </c>
      <c r="FY84" s="610" t="s">
        <v>2489</v>
      </c>
      <c r="FZ84" s="610" t="s">
        <v>2489</v>
      </c>
      <c r="GA84" s="610" t="s">
        <v>2489</v>
      </c>
      <c r="GB84" s="610" t="s">
        <v>2489</v>
      </c>
      <c r="GC84" s="610" t="s">
        <v>2489</v>
      </c>
      <c r="GD84" s="564" t="str">
        <f t="shared" si="18"/>
        <v/>
      </c>
      <c r="GE84" s="564" t="str">
        <f t="shared" si="19"/>
        <v/>
      </c>
      <c r="GF84" s="564" t="str">
        <f t="shared" si="20"/>
        <v/>
      </c>
      <c r="GG84" s="564" t="str">
        <f t="shared" si="21"/>
        <v/>
      </c>
      <c r="GH84" s="564" t="str">
        <f t="shared" si="22"/>
        <v/>
      </c>
      <c r="GI84" s="564" t="str">
        <f t="shared" si="23"/>
        <v/>
      </c>
      <c r="GJ84" s="564" t="str">
        <f t="shared" si="24"/>
        <v/>
      </c>
      <c r="GK84" s="564" t="str">
        <f t="shared" si="25"/>
        <v/>
      </c>
      <c r="GL84" s="564" t="str">
        <f t="shared" si="26"/>
        <v/>
      </c>
      <c r="GM84" s="564" t="str">
        <f t="shared" si="27"/>
        <v/>
      </c>
      <c r="GN84" s="564" t="str">
        <f t="shared" si="28"/>
        <v/>
      </c>
      <c r="GO84" s="564" t="str">
        <f t="shared" si="29"/>
        <v/>
      </c>
      <c r="GP84" s="564"/>
      <c r="GS84" s="375" t="s">
        <v>1483</v>
      </c>
      <c r="GT84" s="374" t="str">
        <f t="shared" si="16"/>
        <v>〇</v>
      </c>
    </row>
    <row r="85" spans="2:202">
      <c r="B85" s="371">
        <v>81</v>
      </c>
      <c r="C85" s="378">
        <v>81</v>
      </c>
      <c r="D85" s="373" t="s">
        <v>1484</v>
      </c>
      <c r="E85" s="613" t="s">
        <v>12</v>
      </c>
      <c r="F85" s="613">
        <f t="shared" si="17"/>
        <v>20</v>
      </c>
      <c r="G85" s="613"/>
      <c r="H85" s="613">
        <v>0</v>
      </c>
      <c r="I85" s="613">
        <v>20</v>
      </c>
      <c r="J85" s="613">
        <v>40</v>
      </c>
      <c r="K85" s="613"/>
      <c r="L85" s="565">
        <v>30</v>
      </c>
      <c r="M85" s="565">
        <v>10</v>
      </c>
      <c r="N85" s="608"/>
      <c r="O85" s="603">
        <v>1577000</v>
      </c>
      <c r="P85" s="603">
        <v>2721000</v>
      </c>
      <c r="Q85" s="603">
        <v>2721000</v>
      </c>
      <c r="R85" s="603">
        <v>1791000</v>
      </c>
      <c r="S85" s="603">
        <v>0</v>
      </c>
      <c r="T85" s="603">
        <v>0</v>
      </c>
      <c r="U85" s="603">
        <v>0</v>
      </c>
      <c r="V85" s="603">
        <v>1051000</v>
      </c>
      <c r="W85" s="603">
        <v>1814000</v>
      </c>
      <c r="X85" s="603">
        <v>1814000</v>
      </c>
      <c r="Y85" s="603">
        <v>1194000</v>
      </c>
      <c r="Z85" s="603">
        <v>0</v>
      </c>
      <c r="AA85" s="603">
        <v>0</v>
      </c>
      <c r="AB85" s="603">
        <v>0</v>
      </c>
      <c r="AC85" s="603">
        <v>526000</v>
      </c>
      <c r="AD85" s="603">
        <v>907000</v>
      </c>
      <c r="AE85" s="603">
        <v>907000</v>
      </c>
      <c r="AF85" s="603">
        <v>597000</v>
      </c>
      <c r="AG85" s="603">
        <v>0</v>
      </c>
      <c r="AH85" s="603">
        <v>0</v>
      </c>
      <c r="AI85" s="603">
        <v>0</v>
      </c>
      <c r="AJ85" s="604" t="s">
        <v>2377</v>
      </c>
      <c r="AK85" s="605" t="s">
        <v>2378</v>
      </c>
      <c r="AL85" s="605" t="s">
        <v>2490</v>
      </c>
      <c r="AM85" s="606" t="s">
        <v>2381</v>
      </c>
      <c r="AN85" s="609" t="s">
        <v>12</v>
      </c>
      <c r="AO85" s="610" t="s">
        <v>1368</v>
      </c>
      <c r="AP85" s="610" t="s">
        <v>1368</v>
      </c>
      <c r="AQ85" s="610" t="s">
        <v>1368</v>
      </c>
      <c r="AR85" s="610" t="s">
        <v>1368</v>
      </c>
      <c r="AS85" s="610" t="s">
        <v>1368</v>
      </c>
      <c r="AT85" s="610" t="s">
        <v>1368</v>
      </c>
      <c r="AU85" s="610" t="s">
        <v>1368</v>
      </c>
      <c r="AV85" s="610" t="s">
        <v>1368</v>
      </c>
      <c r="AW85" s="610" t="s">
        <v>1368</v>
      </c>
      <c r="AX85" s="610" t="s">
        <v>1368</v>
      </c>
      <c r="AY85" s="610" t="s">
        <v>1368</v>
      </c>
      <c r="AZ85" s="610" t="s">
        <v>1368</v>
      </c>
      <c r="BA85" s="610" t="s">
        <v>1368</v>
      </c>
      <c r="BB85" s="610" t="s">
        <v>1368</v>
      </c>
      <c r="BC85" s="610" t="s">
        <v>1368</v>
      </c>
      <c r="BD85" s="610" t="s">
        <v>1368</v>
      </c>
      <c r="BE85" s="610" t="s">
        <v>1368</v>
      </c>
      <c r="BF85" s="610" t="s">
        <v>1368</v>
      </c>
      <c r="BG85" s="610" t="s">
        <v>1368</v>
      </c>
      <c r="BH85" s="610" t="s">
        <v>1368</v>
      </c>
      <c r="BI85" s="610" t="s">
        <v>1368</v>
      </c>
      <c r="BJ85" s="610" t="s">
        <v>1368</v>
      </c>
      <c r="BK85" s="610" t="s">
        <v>1368</v>
      </c>
      <c r="BL85" s="610" t="s">
        <v>1368</v>
      </c>
      <c r="BM85" s="610">
        <v>0</v>
      </c>
      <c r="BN85" s="610">
        <v>0</v>
      </c>
      <c r="BO85" s="610">
        <v>1</v>
      </c>
      <c r="BP85" s="610">
        <v>1</v>
      </c>
      <c r="BQ85" s="610">
        <v>1</v>
      </c>
      <c r="BR85" s="610">
        <v>2</v>
      </c>
      <c r="BS85" s="610">
        <v>2</v>
      </c>
      <c r="BT85" s="610">
        <v>2</v>
      </c>
      <c r="BU85" s="610">
        <v>2</v>
      </c>
      <c r="BV85" s="610">
        <v>2</v>
      </c>
      <c r="BW85" s="610">
        <v>2</v>
      </c>
      <c r="BX85" s="610">
        <v>2</v>
      </c>
      <c r="BY85" s="610">
        <v>0</v>
      </c>
      <c r="BZ85" s="610">
        <v>0</v>
      </c>
      <c r="CA85" s="610">
        <v>0</v>
      </c>
      <c r="CB85" s="610">
        <v>0</v>
      </c>
      <c r="CC85" s="610">
        <v>0</v>
      </c>
      <c r="CD85" s="610">
        <v>0</v>
      </c>
      <c r="CE85" s="610">
        <v>0</v>
      </c>
      <c r="CF85" s="610">
        <v>0</v>
      </c>
      <c r="CG85" s="610">
        <v>0</v>
      </c>
      <c r="CH85" s="610">
        <v>0</v>
      </c>
      <c r="CI85" s="610">
        <v>0</v>
      </c>
      <c r="CJ85" s="610">
        <v>0</v>
      </c>
      <c r="CK85" s="610">
        <v>0</v>
      </c>
      <c r="CL85" s="610">
        <v>0</v>
      </c>
      <c r="CM85" s="610">
        <v>0</v>
      </c>
      <c r="CN85" s="610">
        <v>0</v>
      </c>
      <c r="CO85" s="610">
        <v>0</v>
      </c>
      <c r="CP85" s="610">
        <v>0</v>
      </c>
      <c r="CQ85" s="610">
        <v>0</v>
      </c>
      <c r="CR85" s="610">
        <v>0</v>
      </c>
      <c r="CS85" s="610">
        <v>0</v>
      </c>
      <c r="CT85" s="610">
        <v>0</v>
      </c>
      <c r="CU85" s="610">
        <v>0</v>
      </c>
      <c r="CV85" s="610">
        <v>0</v>
      </c>
      <c r="CW85" s="610" t="s">
        <v>14</v>
      </c>
      <c r="CX85" s="610">
        <v>0</v>
      </c>
      <c r="CY85" s="610" t="s">
        <v>1707</v>
      </c>
      <c r="CZ85" s="610" t="s">
        <v>1707</v>
      </c>
      <c r="DA85" s="610" t="s">
        <v>1707</v>
      </c>
      <c r="DB85" s="610" t="s">
        <v>1707</v>
      </c>
      <c r="DC85" s="610" t="s">
        <v>1707</v>
      </c>
      <c r="DD85" s="610" t="s">
        <v>1707</v>
      </c>
      <c r="DE85" s="610" t="s">
        <v>1707</v>
      </c>
      <c r="DF85" s="610" t="s">
        <v>1707</v>
      </c>
      <c r="DG85" s="610" t="s">
        <v>1707</v>
      </c>
      <c r="DH85" s="610" t="s">
        <v>1707</v>
      </c>
      <c r="DI85" s="610" t="s">
        <v>1707</v>
      </c>
      <c r="DJ85" s="610" t="s">
        <v>1707</v>
      </c>
      <c r="DK85" s="610" t="s">
        <v>1368</v>
      </c>
      <c r="DL85" s="610" t="s">
        <v>1368</v>
      </c>
      <c r="DM85" s="610" t="s">
        <v>1368</v>
      </c>
      <c r="DN85" s="610" t="s">
        <v>1368</v>
      </c>
      <c r="DO85" s="610" t="s">
        <v>1368</v>
      </c>
      <c r="DP85" s="610" t="s">
        <v>1368</v>
      </c>
      <c r="DQ85" s="610" t="s">
        <v>1368</v>
      </c>
      <c r="DR85" s="610" t="s">
        <v>1368</v>
      </c>
      <c r="DS85" s="610" t="s">
        <v>1368</v>
      </c>
      <c r="DT85" s="610" t="s">
        <v>1368</v>
      </c>
      <c r="DU85" s="610" t="s">
        <v>1368</v>
      </c>
      <c r="DV85" s="610" t="s">
        <v>1368</v>
      </c>
      <c r="DW85" s="609" t="s">
        <v>1368</v>
      </c>
      <c r="DX85" s="609" t="s">
        <v>1368</v>
      </c>
      <c r="DY85" s="609" t="s">
        <v>1368</v>
      </c>
      <c r="DZ85" s="609" t="s">
        <v>1368</v>
      </c>
      <c r="EA85" s="609" t="s">
        <v>1368</v>
      </c>
      <c r="EB85" s="609" t="s">
        <v>1368</v>
      </c>
      <c r="EC85" s="609" t="s">
        <v>1368</v>
      </c>
      <c r="ED85" s="609" t="s">
        <v>1368</v>
      </c>
      <c r="EE85" s="609" t="s">
        <v>1368</v>
      </c>
      <c r="EF85" s="609" t="s">
        <v>1368</v>
      </c>
      <c r="EG85" s="609" t="s">
        <v>1368</v>
      </c>
      <c r="EH85" s="609" t="s">
        <v>1368</v>
      </c>
      <c r="EI85" s="610" t="s">
        <v>1707</v>
      </c>
      <c r="EJ85" s="610" t="s">
        <v>1707</v>
      </c>
      <c r="EK85" s="610" t="s">
        <v>1707</v>
      </c>
      <c r="EL85" s="610" t="s">
        <v>1707</v>
      </c>
      <c r="EM85" s="610" t="s">
        <v>1707</v>
      </c>
      <c r="EN85" s="610" t="s">
        <v>1707</v>
      </c>
      <c r="EO85" s="610" t="s">
        <v>1707</v>
      </c>
      <c r="EP85" s="610" t="s">
        <v>1707</v>
      </c>
      <c r="EQ85" s="610" t="s">
        <v>1707</v>
      </c>
      <c r="ER85" s="610" t="s">
        <v>1707</v>
      </c>
      <c r="ES85" s="610" t="s">
        <v>1707</v>
      </c>
      <c r="ET85" s="610" t="s">
        <v>1707</v>
      </c>
      <c r="EU85" s="610">
        <v>4070</v>
      </c>
      <c r="EV85" s="610" t="s">
        <v>1707</v>
      </c>
      <c r="EW85" s="610" t="s">
        <v>1707</v>
      </c>
      <c r="EX85" s="610" t="s">
        <v>1707</v>
      </c>
      <c r="EY85" s="610" t="s">
        <v>1707</v>
      </c>
      <c r="EZ85" s="610" t="s">
        <v>1707</v>
      </c>
      <c r="FA85" s="610" t="s">
        <v>1707</v>
      </c>
      <c r="FB85" s="610" t="s">
        <v>1707</v>
      </c>
      <c r="FC85" s="610" t="s">
        <v>1707</v>
      </c>
      <c r="FD85" s="610" t="s">
        <v>1707</v>
      </c>
      <c r="FE85" s="610" t="s">
        <v>1707</v>
      </c>
      <c r="FF85" s="610" t="s">
        <v>1707</v>
      </c>
      <c r="FG85" s="610" t="s">
        <v>1707</v>
      </c>
      <c r="FH85" s="610">
        <v>11</v>
      </c>
      <c r="FI85" s="610">
        <v>11</v>
      </c>
      <c r="FJ85" s="610">
        <v>11</v>
      </c>
      <c r="FK85" s="610">
        <v>11</v>
      </c>
      <c r="FL85" s="610">
        <v>11</v>
      </c>
      <c r="FM85" s="610">
        <v>11</v>
      </c>
      <c r="FN85" s="610">
        <v>11</v>
      </c>
      <c r="FO85" s="610">
        <v>11</v>
      </c>
      <c r="FP85" s="610">
        <v>13</v>
      </c>
      <c r="FQ85" s="610">
        <v>13</v>
      </c>
      <c r="FR85" s="610" t="s">
        <v>2487</v>
      </c>
      <c r="FS85" s="610" t="s">
        <v>2487</v>
      </c>
      <c r="FT85" s="610" t="s">
        <v>2487</v>
      </c>
      <c r="FU85" s="610" t="s">
        <v>2487</v>
      </c>
      <c r="FV85" s="610" t="s">
        <v>2487</v>
      </c>
      <c r="FW85" s="610" t="s">
        <v>2487</v>
      </c>
      <c r="FX85" s="610" t="s">
        <v>2487</v>
      </c>
      <c r="FY85" s="610" t="s">
        <v>2487</v>
      </c>
      <c r="FZ85" s="610" t="s">
        <v>2487</v>
      </c>
      <c r="GA85" s="610" t="s">
        <v>2487</v>
      </c>
      <c r="GB85" s="610" t="s">
        <v>2487</v>
      </c>
      <c r="GC85" s="610" t="s">
        <v>2487</v>
      </c>
      <c r="GD85" s="564">
        <f t="shared" si="18"/>
        <v>79950</v>
      </c>
      <c r="GE85" s="564">
        <f t="shared" si="19"/>
        <v>79950</v>
      </c>
      <c r="GF85" s="564">
        <f t="shared" si="20"/>
        <v>79950</v>
      </c>
      <c r="GG85" s="564">
        <f t="shared" si="21"/>
        <v>79950</v>
      </c>
      <c r="GH85" s="564">
        <f t="shared" si="22"/>
        <v>79950</v>
      </c>
      <c r="GI85" s="564">
        <f t="shared" si="23"/>
        <v>79950</v>
      </c>
      <c r="GJ85" s="564">
        <f t="shared" si="24"/>
        <v>79950</v>
      </c>
      <c r="GK85" s="564">
        <f t="shared" si="25"/>
        <v>79950</v>
      </c>
      <c r="GL85" s="564">
        <f t="shared" si="26"/>
        <v>79950</v>
      </c>
      <c r="GM85" s="564">
        <f t="shared" si="27"/>
        <v>79950</v>
      </c>
      <c r="GN85" s="564">
        <f t="shared" si="28"/>
        <v>79950</v>
      </c>
      <c r="GO85" s="564">
        <f t="shared" si="29"/>
        <v>79950</v>
      </c>
      <c r="GP85" s="564"/>
      <c r="GS85" s="375" t="s">
        <v>1484</v>
      </c>
      <c r="GT85" s="374" t="str">
        <f t="shared" si="16"/>
        <v>〇</v>
      </c>
    </row>
    <row r="86" spans="2:202">
      <c r="B86" s="371">
        <v>82</v>
      </c>
      <c r="C86" s="378">
        <v>82</v>
      </c>
      <c r="D86" s="373" t="s">
        <v>1778</v>
      </c>
      <c r="E86" s="373" t="s">
        <v>14</v>
      </c>
      <c r="F86" s="603">
        <f t="shared" si="17"/>
        <v>58</v>
      </c>
      <c r="G86" s="603"/>
      <c r="H86" s="603">
        <v>33</v>
      </c>
      <c r="I86" s="603">
        <v>25</v>
      </c>
      <c r="J86" s="603"/>
      <c r="K86" s="603"/>
      <c r="L86" s="603"/>
      <c r="M86" s="603"/>
      <c r="N86" s="608"/>
      <c r="O86" s="603">
        <v>1577000</v>
      </c>
      <c r="P86" s="603">
        <v>2721000</v>
      </c>
      <c r="Q86" s="603">
        <v>2721000</v>
      </c>
      <c r="R86" s="603">
        <v>1791000</v>
      </c>
      <c r="S86" s="603">
        <v>0</v>
      </c>
      <c r="T86" s="603">
        <v>0</v>
      </c>
      <c r="U86" s="603">
        <v>0</v>
      </c>
      <c r="V86" s="603">
        <v>0</v>
      </c>
      <c r="W86" s="603">
        <v>0</v>
      </c>
      <c r="X86" s="603">
        <v>0</v>
      </c>
      <c r="Y86" s="603">
        <v>0</v>
      </c>
      <c r="Z86" s="603">
        <v>0</v>
      </c>
      <c r="AA86" s="603">
        <v>0</v>
      </c>
      <c r="AB86" s="603">
        <v>0</v>
      </c>
      <c r="AC86" s="603">
        <v>0</v>
      </c>
      <c r="AD86" s="603">
        <v>0</v>
      </c>
      <c r="AE86" s="603">
        <v>0</v>
      </c>
      <c r="AF86" s="603">
        <v>0</v>
      </c>
      <c r="AG86" s="603">
        <v>0</v>
      </c>
      <c r="AH86" s="603">
        <v>0</v>
      </c>
      <c r="AI86" s="603">
        <v>0</v>
      </c>
      <c r="AJ86" s="604" t="s">
        <v>2377</v>
      </c>
      <c r="AK86" s="605" t="s">
        <v>1545</v>
      </c>
      <c r="AL86" s="605" t="s">
        <v>1545</v>
      </c>
      <c r="AM86" s="606" t="s">
        <v>2382</v>
      </c>
      <c r="AN86" s="609" t="s">
        <v>12</v>
      </c>
      <c r="AO86" s="610" t="s">
        <v>1368</v>
      </c>
      <c r="AP86" s="610" t="s">
        <v>1368</v>
      </c>
      <c r="AQ86" s="610" t="s">
        <v>1368</v>
      </c>
      <c r="AR86" s="610" t="s">
        <v>1368</v>
      </c>
      <c r="AS86" s="610" t="s">
        <v>1368</v>
      </c>
      <c r="AT86" s="610" t="s">
        <v>1368</v>
      </c>
      <c r="AU86" s="610" t="s">
        <v>1368</v>
      </c>
      <c r="AV86" s="610" t="s">
        <v>1368</v>
      </c>
      <c r="AW86" s="610" t="s">
        <v>1368</v>
      </c>
      <c r="AX86" s="610" t="s">
        <v>1368</v>
      </c>
      <c r="AY86" s="610" t="s">
        <v>1368</v>
      </c>
      <c r="AZ86" s="610" t="s">
        <v>1368</v>
      </c>
      <c r="BA86" s="610" t="s">
        <v>1368</v>
      </c>
      <c r="BB86" s="610" t="s">
        <v>1368</v>
      </c>
      <c r="BC86" s="610" t="s">
        <v>1368</v>
      </c>
      <c r="BD86" s="610" t="s">
        <v>1368</v>
      </c>
      <c r="BE86" s="610" t="s">
        <v>1368</v>
      </c>
      <c r="BF86" s="610" t="s">
        <v>1368</v>
      </c>
      <c r="BG86" s="610" t="s">
        <v>1368</v>
      </c>
      <c r="BH86" s="610" t="s">
        <v>1368</v>
      </c>
      <c r="BI86" s="610" t="s">
        <v>1368</v>
      </c>
      <c r="BJ86" s="610" t="s">
        <v>1368</v>
      </c>
      <c r="BK86" s="610" t="s">
        <v>1368</v>
      </c>
      <c r="BL86" s="610" t="s">
        <v>1368</v>
      </c>
      <c r="BM86" s="610">
        <v>1</v>
      </c>
      <c r="BN86" s="610">
        <v>1</v>
      </c>
      <c r="BO86" s="610">
        <v>1</v>
      </c>
      <c r="BP86" s="610">
        <v>1</v>
      </c>
      <c r="BQ86" s="610">
        <v>1</v>
      </c>
      <c r="BR86" s="610">
        <v>1</v>
      </c>
      <c r="BS86" s="610">
        <v>1</v>
      </c>
      <c r="BT86" s="610">
        <v>1</v>
      </c>
      <c r="BU86" s="610">
        <v>2</v>
      </c>
      <c r="BV86" s="610">
        <v>2</v>
      </c>
      <c r="BW86" s="610">
        <v>2</v>
      </c>
      <c r="BX86" s="610">
        <v>2</v>
      </c>
      <c r="BY86" s="610">
        <v>0</v>
      </c>
      <c r="BZ86" s="610">
        <v>0</v>
      </c>
      <c r="CA86" s="610">
        <v>0</v>
      </c>
      <c r="CB86" s="610">
        <v>0</v>
      </c>
      <c r="CC86" s="610">
        <v>0</v>
      </c>
      <c r="CD86" s="610">
        <v>0</v>
      </c>
      <c r="CE86" s="610">
        <v>0</v>
      </c>
      <c r="CF86" s="610">
        <v>0</v>
      </c>
      <c r="CG86" s="610">
        <v>0</v>
      </c>
      <c r="CH86" s="610">
        <v>0</v>
      </c>
      <c r="CI86" s="610">
        <v>0</v>
      </c>
      <c r="CJ86" s="610">
        <v>0</v>
      </c>
      <c r="CK86" s="610">
        <v>0</v>
      </c>
      <c r="CL86" s="610">
        <v>0</v>
      </c>
      <c r="CM86" s="610">
        <v>0</v>
      </c>
      <c r="CN86" s="610">
        <v>0</v>
      </c>
      <c r="CO86" s="610">
        <v>0</v>
      </c>
      <c r="CP86" s="610">
        <v>0</v>
      </c>
      <c r="CQ86" s="610">
        <v>0</v>
      </c>
      <c r="CR86" s="610">
        <v>0</v>
      </c>
      <c r="CS86" s="610">
        <v>0</v>
      </c>
      <c r="CT86" s="610">
        <v>0</v>
      </c>
      <c r="CU86" s="610">
        <v>0</v>
      </c>
      <c r="CV86" s="610">
        <v>0</v>
      </c>
      <c r="CW86" s="610" t="s">
        <v>14</v>
      </c>
      <c r="CX86" s="610">
        <v>0</v>
      </c>
      <c r="CY86" s="610" t="s">
        <v>1707</v>
      </c>
      <c r="CZ86" s="610" t="s">
        <v>1707</v>
      </c>
      <c r="DA86" s="610" t="s">
        <v>1707</v>
      </c>
      <c r="DB86" s="610" t="s">
        <v>1707</v>
      </c>
      <c r="DC86" s="610" t="s">
        <v>1707</v>
      </c>
      <c r="DD86" s="610" t="s">
        <v>1707</v>
      </c>
      <c r="DE86" s="610" t="s">
        <v>1707</v>
      </c>
      <c r="DF86" s="610" t="s">
        <v>1707</v>
      </c>
      <c r="DG86" s="610" t="s">
        <v>1707</v>
      </c>
      <c r="DH86" s="610" t="s">
        <v>1707</v>
      </c>
      <c r="DI86" s="610" t="s">
        <v>1707</v>
      </c>
      <c r="DJ86" s="610" t="s">
        <v>1707</v>
      </c>
      <c r="DK86" s="610" t="s">
        <v>1368</v>
      </c>
      <c r="DL86" s="610" t="s">
        <v>1368</v>
      </c>
      <c r="DM86" s="610" t="s">
        <v>1368</v>
      </c>
      <c r="DN86" s="610" t="s">
        <v>1368</v>
      </c>
      <c r="DO86" s="610" t="s">
        <v>1368</v>
      </c>
      <c r="DP86" s="610" t="s">
        <v>1368</v>
      </c>
      <c r="DQ86" s="610" t="s">
        <v>1368</v>
      </c>
      <c r="DR86" s="610" t="s">
        <v>1368</v>
      </c>
      <c r="DS86" s="610" t="s">
        <v>1368</v>
      </c>
      <c r="DT86" s="610" t="s">
        <v>1368</v>
      </c>
      <c r="DU86" s="610" t="s">
        <v>1368</v>
      </c>
      <c r="DV86" s="610" t="s">
        <v>1368</v>
      </c>
      <c r="DW86" s="609" t="s">
        <v>1368</v>
      </c>
      <c r="DX86" s="609" t="s">
        <v>1368</v>
      </c>
      <c r="DY86" s="609" t="s">
        <v>1368</v>
      </c>
      <c r="DZ86" s="609" t="s">
        <v>1368</v>
      </c>
      <c r="EA86" s="609" t="s">
        <v>1368</v>
      </c>
      <c r="EB86" s="609" t="s">
        <v>1368</v>
      </c>
      <c r="EC86" s="609" t="s">
        <v>1368</v>
      </c>
      <c r="ED86" s="609" t="s">
        <v>1368</v>
      </c>
      <c r="EE86" s="609" t="s">
        <v>1368</v>
      </c>
      <c r="EF86" s="609" t="s">
        <v>1368</v>
      </c>
      <c r="EG86" s="609" t="s">
        <v>1368</v>
      </c>
      <c r="EH86" s="609" t="s">
        <v>1368</v>
      </c>
      <c r="EI86" s="610" t="s">
        <v>1707</v>
      </c>
      <c r="EJ86" s="610" t="s">
        <v>1707</v>
      </c>
      <c r="EK86" s="610" t="s">
        <v>1707</v>
      </c>
      <c r="EL86" s="610" t="s">
        <v>1707</v>
      </c>
      <c r="EM86" s="610" t="s">
        <v>1707</v>
      </c>
      <c r="EN86" s="610" t="s">
        <v>1707</v>
      </c>
      <c r="EO86" s="610" t="s">
        <v>1707</v>
      </c>
      <c r="EP86" s="610" t="s">
        <v>1707</v>
      </c>
      <c r="EQ86" s="610" t="s">
        <v>1707</v>
      </c>
      <c r="ER86" s="610" t="s">
        <v>1707</v>
      </c>
      <c r="ES86" s="610" t="s">
        <v>1707</v>
      </c>
      <c r="ET86" s="610" t="s">
        <v>1707</v>
      </c>
      <c r="EU86" s="610">
        <v>3920</v>
      </c>
      <c r="EV86" s="610" t="s">
        <v>1707</v>
      </c>
      <c r="EW86" s="610" t="s">
        <v>1707</v>
      </c>
      <c r="EX86" s="610" t="s">
        <v>1707</v>
      </c>
      <c r="EY86" s="610" t="s">
        <v>1707</v>
      </c>
      <c r="EZ86" s="610" t="s">
        <v>1707</v>
      </c>
      <c r="FA86" s="610" t="s">
        <v>1707</v>
      </c>
      <c r="FB86" s="610" t="s">
        <v>1707</v>
      </c>
      <c r="FC86" s="610" t="s">
        <v>1707</v>
      </c>
      <c r="FD86" s="610" t="s">
        <v>1707</v>
      </c>
      <c r="FE86" s="610" t="s">
        <v>1707</v>
      </c>
      <c r="FF86" s="610" t="s">
        <v>1707</v>
      </c>
      <c r="FG86" s="610" t="s">
        <v>1707</v>
      </c>
      <c r="FH86" s="610">
        <v>22</v>
      </c>
      <c r="FI86" s="610">
        <v>22</v>
      </c>
      <c r="FJ86" s="610">
        <v>22</v>
      </c>
      <c r="FK86" s="610">
        <v>22</v>
      </c>
      <c r="FL86" s="610">
        <v>22</v>
      </c>
      <c r="FM86" s="610">
        <v>22</v>
      </c>
      <c r="FN86" s="610">
        <v>22</v>
      </c>
      <c r="FO86" s="610">
        <v>22</v>
      </c>
      <c r="FP86" s="610">
        <v>22</v>
      </c>
      <c r="FQ86" s="610">
        <v>22</v>
      </c>
      <c r="FR86" s="610" t="s">
        <v>2487</v>
      </c>
      <c r="FS86" s="610" t="s">
        <v>2487</v>
      </c>
      <c r="FT86" s="610" t="s">
        <v>2487</v>
      </c>
      <c r="FU86" s="610" t="s">
        <v>2487</v>
      </c>
      <c r="FV86" s="610" t="s">
        <v>2487</v>
      </c>
      <c r="FW86" s="610" t="s">
        <v>2487</v>
      </c>
      <c r="FX86" s="610" t="s">
        <v>2487</v>
      </c>
      <c r="FY86" s="610" t="s">
        <v>2487</v>
      </c>
      <c r="FZ86" s="610" t="s">
        <v>2487</v>
      </c>
      <c r="GA86" s="610" t="s">
        <v>2487</v>
      </c>
      <c r="GB86" s="610" t="s">
        <v>2487</v>
      </c>
      <c r="GC86" s="610" t="s">
        <v>2487</v>
      </c>
      <c r="GD86" s="564">
        <f t="shared" si="18"/>
        <v>79950</v>
      </c>
      <c r="GE86" s="564">
        <f t="shared" si="19"/>
        <v>79950</v>
      </c>
      <c r="GF86" s="564">
        <f t="shared" si="20"/>
        <v>79950</v>
      </c>
      <c r="GG86" s="564">
        <f t="shared" si="21"/>
        <v>79950</v>
      </c>
      <c r="GH86" s="564">
        <f t="shared" si="22"/>
        <v>79950</v>
      </c>
      <c r="GI86" s="564">
        <f t="shared" si="23"/>
        <v>79950</v>
      </c>
      <c r="GJ86" s="564">
        <f t="shared" si="24"/>
        <v>79950</v>
      </c>
      <c r="GK86" s="564">
        <f t="shared" si="25"/>
        <v>79950</v>
      </c>
      <c r="GL86" s="564">
        <f t="shared" si="26"/>
        <v>79950</v>
      </c>
      <c r="GM86" s="564">
        <f t="shared" si="27"/>
        <v>79950</v>
      </c>
      <c r="GN86" s="564">
        <f t="shared" si="28"/>
        <v>79950</v>
      </c>
      <c r="GO86" s="564">
        <f t="shared" si="29"/>
        <v>79950</v>
      </c>
      <c r="GP86" s="564"/>
      <c r="GS86" s="375" t="s">
        <v>1778</v>
      </c>
      <c r="GT86" s="374" t="str">
        <f t="shared" si="16"/>
        <v>〇</v>
      </c>
    </row>
    <row r="87" spans="2:202">
      <c r="B87" s="371">
        <v>83</v>
      </c>
      <c r="C87" s="378">
        <v>83</v>
      </c>
      <c r="D87" s="373" t="s">
        <v>1485</v>
      </c>
      <c r="E87" s="373" t="s">
        <v>14</v>
      </c>
      <c r="F87" s="603">
        <f t="shared" si="17"/>
        <v>59</v>
      </c>
      <c r="G87" s="603"/>
      <c r="H87" s="603">
        <v>35</v>
      </c>
      <c r="I87" s="603">
        <v>24</v>
      </c>
      <c r="J87" s="603"/>
      <c r="K87" s="603"/>
      <c r="L87" s="603"/>
      <c r="M87" s="603"/>
      <c r="N87" s="608"/>
      <c r="O87" s="603">
        <v>1577000</v>
      </c>
      <c r="P87" s="603">
        <v>2721000</v>
      </c>
      <c r="Q87" s="603">
        <v>2721000</v>
      </c>
      <c r="R87" s="603">
        <v>0</v>
      </c>
      <c r="S87" s="603">
        <v>0</v>
      </c>
      <c r="T87" s="603">
        <v>0</v>
      </c>
      <c r="U87" s="603">
        <v>0</v>
      </c>
      <c r="V87" s="603">
        <v>1051000</v>
      </c>
      <c r="W87" s="603">
        <v>1814000</v>
      </c>
      <c r="X87" s="603">
        <v>1814000</v>
      </c>
      <c r="Y87" s="603">
        <v>0</v>
      </c>
      <c r="Z87" s="603">
        <v>0</v>
      </c>
      <c r="AA87" s="603">
        <v>0</v>
      </c>
      <c r="AB87" s="603">
        <v>0</v>
      </c>
      <c r="AC87" s="603">
        <v>0</v>
      </c>
      <c r="AD87" s="603">
        <v>0</v>
      </c>
      <c r="AE87" s="603">
        <v>0</v>
      </c>
      <c r="AF87" s="603">
        <v>0</v>
      </c>
      <c r="AG87" s="603">
        <v>0</v>
      </c>
      <c r="AH87" s="603">
        <v>0</v>
      </c>
      <c r="AI87" s="603">
        <v>0</v>
      </c>
      <c r="AJ87" s="604" t="s">
        <v>2377</v>
      </c>
      <c r="AK87" s="605" t="s">
        <v>2378</v>
      </c>
      <c r="AL87" s="605" t="s">
        <v>1545</v>
      </c>
      <c r="AM87" s="606" t="s">
        <v>2383</v>
      </c>
      <c r="AN87" s="609" t="s">
        <v>12</v>
      </c>
      <c r="AO87" s="610" t="s">
        <v>1368</v>
      </c>
      <c r="AP87" s="610" t="s">
        <v>1368</v>
      </c>
      <c r="AQ87" s="610" t="s">
        <v>1368</v>
      </c>
      <c r="AR87" s="610" t="s">
        <v>1368</v>
      </c>
      <c r="AS87" s="610" t="s">
        <v>1368</v>
      </c>
      <c r="AT87" s="610" t="s">
        <v>1368</v>
      </c>
      <c r="AU87" s="610" t="s">
        <v>1368</v>
      </c>
      <c r="AV87" s="610" t="s">
        <v>1368</v>
      </c>
      <c r="AW87" s="610" t="s">
        <v>1368</v>
      </c>
      <c r="AX87" s="610" t="s">
        <v>1368</v>
      </c>
      <c r="AY87" s="610" t="s">
        <v>1368</v>
      </c>
      <c r="AZ87" s="610" t="s">
        <v>1368</v>
      </c>
      <c r="BA87" s="610" t="s">
        <v>1368</v>
      </c>
      <c r="BB87" s="610" t="s">
        <v>1368</v>
      </c>
      <c r="BC87" s="610" t="s">
        <v>1368</v>
      </c>
      <c r="BD87" s="610" t="s">
        <v>1368</v>
      </c>
      <c r="BE87" s="610" t="s">
        <v>1368</v>
      </c>
      <c r="BF87" s="610" t="s">
        <v>1368</v>
      </c>
      <c r="BG87" s="610" t="s">
        <v>1368</v>
      </c>
      <c r="BH87" s="610" t="s">
        <v>1368</v>
      </c>
      <c r="BI87" s="610" t="s">
        <v>1368</v>
      </c>
      <c r="BJ87" s="610" t="s">
        <v>1368</v>
      </c>
      <c r="BK87" s="610" t="s">
        <v>1368</v>
      </c>
      <c r="BL87" s="610" t="s">
        <v>1368</v>
      </c>
      <c r="BM87" s="610">
        <v>1</v>
      </c>
      <c r="BN87" s="610">
        <v>1</v>
      </c>
      <c r="BO87" s="610">
        <v>1</v>
      </c>
      <c r="BP87" s="610">
        <v>1</v>
      </c>
      <c r="BQ87" s="610">
        <v>1</v>
      </c>
      <c r="BR87" s="610">
        <v>1</v>
      </c>
      <c r="BS87" s="610">
        <v>1</v>
      </c>
      <c r="BT87" s="610">
        <v>1</v>
      </c>
      <c r="BU87" s="610">
        <v>1</v>
      </c>
      <c r="BV87" s="610">
        <v>1</v>
      </c>
      <c r="BW87" s="610">
        <v>1</v>
      </c>
      <c r="BX87" s="610">
        <v>1</v>
      </c>
      <c r="BY87" s="610">
        <v>0</v>
      </c>
      <c r="BZ87" s="610">
        <v>0</v>
      </c>
      <c r="CA87" s="610">
        <v>0</v>
      </c>
      <c r="CB87" s="610">
        <v>0</v>
      </c>
      <c r="CC87" s="610">
        <v>0</v>
      </c>
      <c r="CD87" s="610">
        <v>0</v>
      </c>
      <c r="CE87" s="610">
        <v>0</v>
      </c>
      <c r="CF87" s="610">
        <v>0</v>
      </c>
      <c r="CG87" s="610">
        <v>0</v>
      </c>
      <c r="CH87" s="610">
        <v>0</v>
      </c>
      <c r="CI87" s="610">
        <v>0</v>
      </c>
      <c r="CJ87" s="610">
        <v>0</v>
      </c>
      <c r="CK87" s="610">
        <v>0</v>
      </c>
      <c r="CL87" s="610">
        <v>0</v>
      </c>
      <c r="CM87" s="610">
        <v>0</v>
      </c>
      <c r="CN87" s="610">
        <v>0</v>
      </c>
      <c r="CO87" s="610">
        <v>0</v>
      </c>
      <c r="CP87" s="610">
        <v>0</v>
      </c>
      <c r="CQ87" s="610">
        <v>0</v>
      </c>
      <c r="CR87" s="610">
        <v>0</v>
      </c>
      <c r="CS87" s="610">
        <v>0</v>
      </c>
      <c r="CT87" s="610">
        <v>0</v>
      </c>
      <c r="CU87" s="610">
        <v>0</v>
      </c>
      <c r="CV87" s="610">
        <v>0</v>
      </c>
      <c r="CW87" s="610" t="s">
        <v>14</v>
      </c>
      <c r="CX87" s="610">
        <v>0</v>
      </c>
      <c r="CY87" s="610" t="s">
        <v>1707</v>
      </c>
      <c r="CZ87" s="610" t="s">
        <v>1707</v>
      </c>
      <c r="DA87" s="610" t="s">
        <v>1707</v>
      </c>
      <c r="DB87" s="610" t="s">
        <v>1707</v>
      </c>
      <c r="DC87" s="610" t="s">
        <v>1707</v>
      </c>
      <c r="DD87" s="610" t="s">
        <v>1707</v>
      </c>
      <c r="DE87" s="610" t="s">
        <v>1707</v>
      </c>
      <c r="DF87" s="610" t="s">
        <v>1707</v>
      </c>
      <c r="DG87" s="610" t="s">
        <v>1707</v>
      </c>
      <c r="DH87" s="610" t="s">
        <v>1707</v>
      </c>
      <c r="DI87" s="610" t="s">
        <v>1707</v>
      </c>
      <c r="DJ87" s="610" t="s">
        <v>1707</v>
      </c>
      <c r="DK87" s="610" t="s">
        <v>1368</v>
      </c>
      <c r="DL87" s="610" t="s">
        <v>1368</v>
      </c>
      <c r="DM87" s="610" t="s">
        <v>1368</v>
      </c>
      <c r="DN87" s="610" t="s">
        <v>1368</v>
      </c>
      <c r="DO87" s="610" t="s">
        <v>1368</v>
      </c>
      <c r="DP87" s="610" t="s">
        <v>1368</v>
      </c>
      <c r="DQ87" s="610" t="s">
        <v>1368</v>
      </c>
      <c r="DR87" s="610" t="s">
        <v>1368</v>
      </c>
      <c r="DS87" s="610" t="s">
        <v>1368</v>
      </c>
      <c r="DT87" s="610" t="s">
        <v>1368</v>
      </c>
      <c r="DU87" s="610" t="s">
        <v>1368</v>
      </c>
      <c r="DV87" s="610" t="s">
        <v>1368</v>
      </c>
      <c r="DW87" s="609" t="s">
        <v>1368</v>
      </c>
      <c r="DX87" s="609" t="s">
        <v>1368</v>
      </c>
      <c r="DY87" s="609" t="s">
        <v>1368</v>
      </c>
      <c r="DZ87" s="609" t="s">
        <v>1368</v>
      </c>
      <c r="EA87" s="609" t="s">
        <v>1368</v>
      </c>
      <c r="EB87" s="609" t="s">
        <v>1368</v>
      </c>
      <c r="EC87" s="609" t="s">
        <v>1368</v>
      </c>
      <c r="ED87" s="609" t="s">
        <v>1368</v>
      </c>
      <c r="EE87" s="609" t="s">
        <v>1368</v>
      </c>
      <c r="EF87" s="609" t="s">
        <v>1368</v>
      </c>
      <c r="EG87" s="609" t="s">
        <v>1368</v>
      </c>
      <c r="EH87" s="609" t="s">
        <v>1368</v>
      </c>
      <c r="EI87" s="610" t="s">
        <v>1707</v>
      </c>
      <c r="EJ87" s="610" t="s">
        <v>1707</v>
      </c>
      <c r="EK87" s="610" t="s">
        <v>1707</v>
      </c>
      <c r="EL87" s="610" t="s">
        <v>1707</v>
      </c>
      <c r="EM87" s="610" t="s">
        <v>1707</v>
      </c>
      <c r="EN87" s="610" t="s">
        <v>1707</v>
      </c>
      <c r="EO87" s="610" t="s">
        <v>1707</v>
      </c>
      <c r="EP87" s="610" t="s">
        <v>1707</v>
      </c>
      <c r="EQ87" s="610" t="s">
        <v>1707</v>
      </c>
      <c r="ER87" s="610" t="s">
        <v>1707</v>
      </c>
      <c r="ES87" s="610" t="s">
        <v>1707</v>
      </c>
      <c r="ET87" s="610" t="s">
        <v>1707</v>
      </c>
      <c r="EU87" s="610">
        <v>3890</v>
      </c>
      <c r="EV87" s="610" t="s">
        <v>1707</v>
      </c>
      <c r="EW87" s="610" t="s">
        <v>1707</v>
      </c>
      <c r="EX87" s="610" t="s">
        <v>1707</v>
      </c>
      <c r="EY87" s="610" t="s">
        <v>1707</v>
      </c>
      <c r="EZ87" s="610" t="s">
        <v>1707</v>
      </c>
      <c r="FA87" s="610" t="s">
        <v>1707</v>
      </c>
      <c r="FB87" s="610" t="s">
        <v>1707</v>
      </c>
      <c r="FC87" s="610" t="s">
        <v>1707</v>
      </c>
      <c r="FD87" s="610" t="s">
        <v>1707</v>
      </c>
      <c r="FE87" s="610" t="s">
        <v>1707</v>
      </c>
      <c r="FF87" s="610" t="s">
        <v>1707</v>
      </c>
      <c r="FG87" s="610" t="s">
        <v>1707</v>
      </c>
      <c r="FH87" s="610">
        <v>22</v>
      </c>
      <c r="FI87" s="610">
        <v>22</v>
      </c>
      <c r="FJ87" s="610">
        <v>22</v>
      </c>
      <c r="FK87" s="610">
        <v>20</v>
      </c>
      <c r="FL87" s="610">
        <v>20</v>
      </c>
      <c r="FM87" s="610">
        <v>20</v>
      </c>
      <c r="FN87" s="610">
        <v>20</v>
      </c>
      <c r="FO87" s="610">
        <v>20</v>
      </c>
      <c r="FP87" s="610">
        <v>19</v>
      </c>
      <c r="FQ87" s="610">
        <v>19</v>
      </c>
      <c r="FR87" s="610" t="s">
        <v>2487</v>
      </c>
      <c r="FS87" s="610" t="s">
        <v>2487</v>
      </c>
      <c r="FT87" s="610" t="s">
        <v>2487</v>
      </c>
      <c r="FU87" s="610" t="s">
        <v>2487</v>
      </c>
      <c r="FV87" s="610" t="s">
        <v>2487</v>
      </c>
      <c r="FW87" s="610" t="s">
        <v>2487</v>
      </c>
      <c r="FX87" s="610" t="s">
        <v>2487</v>
      </c>
      <c r="FY87" s="610" t="s">
        <v>2487</v>
      </c>
      <c r="FZ87" s="610" t="s">
        <v>2487</v>
      </c>
      <c r="GA87" s="610" t="s">
        <v>2487</v>
      </c>
      <c r="GB87" s="610" t="s">
        <v>2487</v>
      </c>
      <c r="GC87" s="610" t="s">
        <v>2487</v>
      </c>
      <c r="GD87" s="564">
        <f t="shared" si="18"/>
        <v>79950</v>
      </c>
      <c r="GE87" s="564">
        <f t="shared" si="19"/>
        <v>79950</v>
      </c>
      <c r="GF87" s="564">
        <f t="shared" si="20"/>
        <v>79950</v>
      </c>
      <c r="GG87" s="564">
        <f t="shared" si="21"/>
        <v>79950</v>
      </c>
      <c r="GH87" s="564">
        <f t="shared" si="22"/>
        <v>79950</v>
      </c>
      <c r="GI87" s="564">
        <f t="shared" si="23"/>
        <v>79950</v>
      </c>
      <c r="GJ87" s="564">
        <f t="shared" si="24"/>
        <v>79950</v>
      </c>
      <c r="GK87" s="564">
        <f t="shared" si="25"/>
        <v>79950</v>
      </c>
      <c r="GL87" s="564">
        <f t="shared" si="26"/>
        <v>79950</v>
      </c>
      <c r="GM87" s="564">
        <f t="shared" si="27"/>
        <v>79950</v>
      </c>
      <c r="GN87" s="564">
        <f t="shared" si="28"/>
        <v>79950</v>
      </c>
      <c r="GO87" s="564">
        <f t="shared" si="29"/>
        <v>79950</v>
      </c>
      <c r="GP87" s="564"/>
      <c r="GS87" s="375" t="s">
        <v>1485</v>
      </c>
      <c r="GT87" s="374" t="str">
        <f t="shared" si="16"/>
        <v>〇</v>
      </c>
    </row>
    <row r="88" spans="2:202">
      <c r="B88" s="371">
        <v>84</v>
      </c>
      <c r="C88" s="378">
        <v>84</v>
      </c>
      <c r="D88" s="373" t="s">
        <v>1486</v>
      </c>
      <c r="E88" s="373" t="s">
        <v>14</v>
      </c>
      <c r="F88" s="603">
        <f t="shared" si="17"/>
        <v>28</v>
      </c>
      <c r="G88" s="603"/>
      <c r="H88" s="603">
        <v>15</v>
      </c>
      <c r="I88" s="603">
        <v>13</v>
      </c>
      <c r="J88" s="603"/>
      <c r="K88" s="603"/>
      <c r="L88" s="603"/>
      <c r="M88" s="603"/>
      <c r="N88" s="608"/>
      <c r="O88" s="603">
        <v>1577000</v>
      </c>
      <c r="P88" s="603">
        <v>2721000</v>
      </c>
      <c r="Q88" s="603">
        <v>2721000</v>
      </c>
      <c r="R88" s="603">
        <v>1791000</v>
      </c>
      <c r="S88" s="603">
        <v>0</v>
      </c>
      <c r="T88" s="603">
        <v>0</v>
      </c>
      <c r="U88" s="603">
        <v>0</v>
      </c>
      <c r="V88" s="603">
        <v>1051000</v>
      </c>
      <c r="W88" s="603">
        <v>1814000</v>
      </c>
      <c r="X88" s="603">
        <v>1814000</v>
      </c>
      <c r="Y88" s="603">
        <v>1194000</v>
      </c>
      <c r="Z88" s="603">
        <v>0</v>
      </c>
      <c r="AA88" s="603">
        <v>0</v>
      </c>
      <c r="AB88" s="603">
        <v>0</v>
      </c>
      <c r="AC88" s="603">
        <v>526000</v>
      </c>
      <c r="AD88" s="603">
        <v>907000</v>
      </c>
      <c r="AE88" s="603">
        <v>907000</v>
      </c>
      <c r="AF88" s="603">
        <v>597000</v>
      </c>
      <c r="AG88" s="603">
        <v>0</v>
      </c>
      <c r="AH88" s="603">
        <v>0</v>
      </c>
      <c r="AI88" s="603">
        <v>0</v>
      </c>
      <c r="AJ88" s="604" t="s">
        <v>2377</v>
      </c>
      <c r="AK88" s="605" t="s">
        <v>2378</v>
      </c>
      <c r="AL88" s="605" t="s">
        <v>2490</v>
      </c>
      <c r="AM88" s="606" t="s">
        <v>2384</v>
      </c>
      <c r="AN88" s="609" t="s">
        <v>12</v>
      </c>
      <c r="AO88" s="610" t="s">
        <v>1368</v>
      </c>
      <c r="AP88" s="610" t="s">
        <v>1368</v>
      </c>
      <c r="AQ88" s="610" t="s">
        <v>1368</v>
      </c>
      <c r="AR88" s="610" t="s">
        <v>1368</v>
      </c>
      <c r="AS88" s="610" t="s">
        <v>1368</v>
      </c>
      <c r="AT88" s="610" t="s">
        <v>1368</v>
      </c>
      <c r="AU88" s="610" t="s">
        <v>1368</v>
      </c>
      <c r="AV88" s="610" t="s">
        <v>1368</v>
      </c>
      <c r="AW88" s="610" t="s">
        <v>1368</v>
      </c>
      <c r="AX88" s="610" t="s">
        <v>1368</v>
      </c>
      <c r="AY88" s="610" t="s">
        <v>1368</v>
      </c>
      <c r="AZ88" s="610" t="s">
        <v>1368</v>
      </c>
      <c r="BA88" s="610" t="s">
        <v>1368</v>
      </c>
      <c r="BB88" s="610" t="s">
        <v>1368</v>
      </c>
      <c r="BC88" s="610" t="s">
        <v>1368</v>
      </c>
      <c r="BD88" s="610" t="s">
        <v>1368</v>
      </c>
      <c r="BE88" s="610" t="s">
        <v>1368</v>
      </c>
      <c r="BF88" s="610" t="s">
        <v>1368</v>
      </c>
      <c r="BG88" s="610" t="s">
        <v>1368</v>
      </c>
      <c r="BH88" s="610" t="s">
        <v>1368</v>
      </c>
      <c r="BI88" s="610" t="s">
        <v>1368</v>
      </c>
      <c r="BJ88" s="610" t="s">
        <v>1368</v>
      </c>
      <c r="BK88" s="610" t="s">
        <v>1368</v>
      </c>
      <c r="BL88" s="610" t="s">
        <v>1368</v>
      </c>
      <c r="BM88" s="610">
        <v>0</v>
      </c>
      <c r="BN88" s="610">
        <v>0</v>
      </c>
      <c r="BO88" s="610">
        <v>0</v>
      </c>
      <c r="BP88" s="610">
        <v>0</v>
      </c>
      <c r="BQ88" s="610">
        <v>0</v>
      </c>
      <c r="BR88" s="610">
        <v>0</v>
      </c>
      <c r="BS88" s="610">
        <v>0</v>
      </c>
      <c r="BT88" s="610">
        <v>0</v>
      </c>
      <c r="BU88" s="610">
        <v>0</v>
      </c>
      <c r="BV88" s="610">
        <v>0</v>
      </c>
      <c r="BW88" s="610">
        <v>0</v>
      </c>
      <c r="BX88" s="610">
        <v>0</v>
      </c>
      <c r="BY88" s="610">
        <v>0</v>
      </c>
      <c r="BZ88" s="610">
        <v>0</v>
      </c>
      <c r="CA88" s="610">
        <v>0</v>
      </c>
      <c r="CB88" s="610">
        <v>0</v>
      </c>
      <c r="CC88" s="610">
        <v>0</v>
      </c>
      <c r="CD88" s="610">
        <v>0</v>
      </c>
      <c r="CE88" s="610">
        <v>0</v>
      </c>
      <c r="CF88" s="610">
        <v>0</v>
      </c>
      <c r="CG88" s="610">
        <v>0</v>
      </c>
      <c r="CH88" s="610">
        <v>0</v>
      </c>
      <c r="CI88" s="610">
        <v>0</v>
      </c>
      <c r="CJ88" s="610">
        <v>0</v>
      </c>
      <c r="CK88" s="610">
        <v>0</v>
      </c>
      <c r="CL88" s="610">
        <v>0</v>
      </c>
      <c r="CM88" s="610">
        <v>0</v>
      </c>
      <c r="CN88" s="610">
        <v>0</v>
      </c>
      <c r="CO88" s="610">
        <v>0</v>
      </c>
      <c r="CP88" s="610">
        <v>0</v>
      </c>
      <c r="CQ88" s="610">
        <v>0</v>
      </c>
      <c r="CR88" s="610">
        <v>0</v>
      </c>
      <c r="CS88" s="610">
        <v>0</v>
      </c>
      <c r="CT88" s="610">
        <v>0</v>
      </c>
      <c r="CU88" s="610">
        <v>0</v>
      </c>
      <c r="CV88" s="610">
        <v>0</v>
      </c>
      <c r="CW88" s="610" t="s">
        <v>14</v>
      </c>
      <c r="CX88" s="610">
        <v>0</v>
      </c>
      <c r="CY88" s="610" t="s">
        <v>1707</v>
      </c>
      <c r="CZ88" s="610" t="s">
        <v>1707</v>
      </c>
      <c r="DA88" s="610" t="s">
        <v>1707</v>
      </c>
      <c r="DB88" s="610" t="s">
        <v>1707</v>
      </c>
      <c r="DC88" s="610" t="s">
        <v>1707</v>
      </c>
      <c r="DD88" s="610" t="s">
        <v>1707</v>
      </c>
      <c r="DE88" s="610" t="s">
        <v>1707</v>
      </c>
      <c r="DF88" s="610" t="s">
        <v>1707</v>
      </c>
      <c r="DG88" s="610" t="s">
        <v>1707</v>
      </c>
      <c r="DH88" s="610" t="s">
        <v>1707</v>
      </c>
      <c r="DI88" s="610" t="s">
        <v>1707</v>
      </c>
      <c r="DJ88" s="610" t="s">
        <v>1707</v>
      </c>
      <c r="DK88" s="610" t="s">
        <v>1368</v>
      </c>
      <c r="DL88" s="610" t="s">
        <v>1368</v>
      </c>
      <c r="DM88" s="610" t="s">
        <v>1368</v>
      </c>
      <c r="DN88" s="610" t="s">
        <v>1368</v>
      </c>
      <c r="DO88" s="610" t="s">
        <v>1368</v>
      </c>
      <c r="DP88" s="610" t="s">
        <v>1368</v>
      </c>
      <c r="DQ88" s="610" t="s">
        <v>1368</v>
      </c>
      <c r="DR88" s="610" t="s">
        <v>1368</v>
      </c>
      <c r="DS88" s="610" t="s">
        <v>1368</v>
      </c>
      <c r="DT88" s="610" t="s">
        <v>1368</v>
      </c>
      <c r="DU88" s="610" t="s">
        <v>1368</v>
      </c>
      <c r="DV88" s="610" t="s">
        <v>1368</v>
      </c>
      <c r="DW88" s="609" t="s">
        <v>1368</v>
      </c>
      <c r="DX88" s="609" t="s">
        <v>1368</v>
      </c>
      <c r="DY88" s="609" t="s">
        <v>1368</v>
      </c>
      <c r="DZ88" s="609" t="s">
        <v>1368</v>
      </c>
      <c r="EA88" s="609" t="s">
        <v>1368</v>
      </c>
      <c r="EB88" s="609" t="s">
        <v>1368</v>
      </c>
      <c r="EC88" s="609" t="s">
        <v>1368</v>
      </c>
      <c r="ED88" s="609" t="s">
        <v>1368</v>
      </c>
      <c r="EE88" s="609" t="s">
        <v>1368</v>
      </c>
      <c r="EF88" s="609" t="s">
        <v>1368</v>
      </c>
      <c r="EG88" s="609" t="s">
        <v>1368</v>
      </c>
      <c r="EH88" s="609" t="s">
        <v>1368</v>
      </c>
      <c r="EI88" s="610" t="s">
        <v>1707</v>
      </c>
      <c r="EJ88" s="610" t="s">
        <v>1707</v>
      </c>
      <c r="EK88" s="610" t="s">
        <v>1707</v>
      </c>
      <c r="EL88" s="610" t="s">
        <v>1707</v>
      </c>
      <c r="EM88" s="610" t="s">
        <v>1707</v>
      </c>
      <c r="EN88" s="610" t="s">
        <v>1707</v>
      </c>
      <c r="EO88" s="610" t="s">
        <v>1707</v>
      </c>
      <c r="EP88" s="610" t="s">
        <v>1707</v>
      </c>
      <c r="EQ88" s="610" t="s">
        <v>1707</v>
      </c>
      <c r="ER88" s="610" t="s">
        <v>1707</v>
      </c>
      <c r="ES88" s="610" t="s">
        <v>1707</v>
      </c>
      <c r="ET88" s="610" t="s">
        <v>1707</v>
      </c>
      <c r="EU88" s="610">
        <v>4070</v>
      </c>
      <c r="EV88" s="610" t="s">
        <v>1707</v>
      </c>
      <c r="EW88" s="610" t="s">
        <v>1707</v>
      </c>
      <c r="EX88" s="610" t="s">
        <v>1707</v>
      </c>
      <c r="EY88" s="610" t="s">
        <v>1707</v>
      </c>
      <c r="EZ88" s="610" t="s">
        <v>1707</v>
      </c>
      <c r="FA88" s="610" t="s">
        <v>1707</v>
      </c>
      <c r="FB88" s="610" t="s">
        <v>1707</v>
      </c>
      <c r="FC88" s="610" t="s">
        <v>1707</v>
      </c>
      <c r="FD88" s="610" t="s">
        <v>1707</v>
      </c>
      <c r="FE88" s="610" t="s">
        <v>1707</v>
      </c>
      <c r="FF88" s="610" t="s">
        <v>1707</v>
      </c>
      <c r="FG88" s="610" t="s">
        <v>1707</v>
      </c>
      <c r="FH88" s="610">
        <v>8</v>
      </c>
      <c r="FI88" s="610">
        <v>8</v>
      </c>
      <c r="FJ88" s="610">
        <v>8</v>
      </c>
      <c r="FK88" s="610">
        <v>8</v>
      </c>
      <c r="FL88" s="610">
        <v>8</v>
      </c>
      <c r="FM88" s="610">
        <v>8</v>
      </c>
      <c r="FN88" s="610">
        <v>8</v>
      </c>
      <c r="FO88" s="610">
        <v>7</v>
      </c>
      <c r="FP88" s="610">
        <v>7</v>
      </c>
      <c r="FQ88" s="610">
        <v>7</v>
      </c>
      <c r="FR88" s="610" t="s">
        <v>1368</v>
      </c>
      <c r="FS88" s="610" t="s">
        <v>1368</v>
      </c>
      <c r="FT88" s="610" t="s">
        <v>1368</v>
      </c>
      <c r="FU88" s="610" t="s">
        <v>1368</v>
      </c>
      <c r="FV88" s="610" t="s">
        <v>1368</v>
      </c>
      <c r="FW88" s="610" t="s">
        <v>1368</v>
      </c>
      <c r="FX88" s="610" t="s">
        <v>1368</v>
      </c>
      <c r="FY88" s="610" t="s">
        <v>1368</v>
      </c>
      <c r="FZ88" s="610" t="s">
        <v>1368</v>
      </c>
      <c r="GA88" s="610" t="s">
        <v>1368</v>
      </c>
      <c r="GB88" s="610" t="s">
        <v>1368</v>
      </c>
      <c r="GC88" s="610" t="s">
        <v>1368</v>
      </c>
      <c r="GD88" s="564" t="str">
        <f t="shared" si="18"/>
        <v/>
      </c>
      <c r="GE88" s="564" t="str">
        <f t="shared" si="19"/>
        <v/>
      </c>
      <c r="GF88" s="564" t="str">
        <f t="shared" si="20"/>
        <v/>
      </c>
      <c r="GG88" s="564" t="str">
        <f t="shared" si="21"/>
        <v/>
      </c>
      <c r="GH88" s="564" t="str">
        <f t="shared" si="22"/>
        <v/>
      </c>
      <c r="GI88" s="564" t="str">
        <f t="shared" si="23"/>
        <v/>
      </c>
      <c r="GJ88" s="564" t="str">
        <f t="shared" si="24"/>
        <v/>
      </c>
      <c r="GK88" s="564" t="str">
        <f t="shared" si="25"/>
        <v/>
      </c>
      <c r="GL88" s="564" t="str">
        <f t="shared" si="26"/>
        <v/>
      </c>
      <c r="GM88" s="564" t="str">
        <f t="shared" si="27"/>
        <v/>
      </c>
      <c r="GN88" s="564" t="str">
        <f t="shared" si="28"/>
        <v/>
      </c>
      <c r="GO88" s="564" t="str">
        <f t="shared" si="29"/>
        <v/>
      </c>
      <c r="GP88" s="564"/>
      <c r="GS88" s="375" t="s">
        <v>1486</v>
      </c>
      <c r="GT88" s="374" t="str">
        <f t="shared" si="16"/>
        <v>〇</v>
      </c>
    </row>
    <row r="89" spans="2:202">
      <c r="B89" s="371">
        <v>85</v>
      </c>
      <c r="C89" s="378">
        <v>85</v>
      </c>
      <c r="D89" s="373" t="s">
        <v>1487</v>
      </c>
      <c r="E89" s="373" t="s">
        <v>14</v>
      </c>
      <c r="F89" s="603">
        <f t="shared" si="17"/>
        <v>56</v>
      </c>
      <c r="G89" s="603"/>
      <c r="H89" s="603">
        <v>30</v>
      </c>
      <c r="I89" s="603">
        <v>26</v>
      </c>
      <c r="J89" s="603"/>
      <c r="K89" s="603"/>
      <c r="L89" s="603"/>
      <c r="M89" s="603"/>
      <c r="N89" s="608"/>
      <c r="O89" s="603">
        <v>1577000</v>
      </c>
      <c r="P89" s="603">
        <v>2721000</v>
      </c>
      <c r="Q89" s="603">
        <v>2721000</v>
      </c>
      <c r="R89" s="603">
        <v>1791000</v>
      </c>
      <c r="S89" s="603">
        <v>0</v>
      </c>
      <c r="T89" s="603">
        <v>2181000</v>
      </c>
      <c r="U89" s="603">
        <v>0</v>
      </c>
      <c r="V89" s="603">
        <v>1051000</v>
      </c>
      <c r="W89" s="603">
        <v>1814000</v>
      </c>
      <c r="X89" s="603">
        <v>1814000</v>
      </c>
      <c r="Y89" s="603">
        <v>1194000</v>
      </c>
      <c r="Z89" s="603">
        <v>0</v>
      </c>
      <c r="AA89" s="603">
        <v>1454000</v>
      </c>
      <c r="AB89" s="603">
        <v>0</v>
      </c>
      <c r="AC89" s="603">
        <v>526000</v>
      </c>
      <c r="AD89" s="603">
        <v>907000</v>
      </c>
      <c r="AE89" s="603">
        <v>907000</v>
      </c>
      <c r="AF89" s="603">
        <v>597000</v>
      </c>
      <c r="AG89" s="603">
        <v>0</v>
      </c>
      <c r="AH89" s="603">
        <v>727000</v>
      </c>
      <c r="AI89" s="603">
        <v>0</v>
      </c>
      <c r="AJ89" s="604" t="s">
        <v>2377</v>
      </c>
      <c r="AK89" s="605" t="s">
        <v>2378</v>
      </c>
      <c r="AL89" s="605" t="s">
        <v>2490</v>
      </c>
      <c r="AM89" s="606" t="s">
        <v>2385</v>
      </c>
      <c r="AN89" s="609" t="s">
        <v>12</v>
      </c>
      <c r="AO89" s="610" t="s">
        <v>1368</v>
      </c>
      <c r="AP89" s="610" t="s">
        <v>1368</v>
      </c>
      <c r="AQ89" s="610" t="s">
        <v>1368</v>
      </c>
      <c r="AR89" s="610" t="s">
        <v>1368</v>
      </c>
      <c r="AS89" s="610" t="s">
        <v>1368</v>
      </c>
      <c r="AT89" s="610" t="s">
        <v>1368</v>
      </c>
      <c r="AU89" s="610" t="s">
        <v>1368</v>
      </c>
      <c r="AV89" s="610" t="s">
        <v>1368</v>
      </c>
      <c r="AW89" s="610" t="s">
        <v>1368</v>
      </c>
      <c r="AX89" s="610" t="s">
        <v>1368</v>
      </c>
      <c r="AY89" s="610" t="s">
        <v>1368</v>
      </c>
      <c r="AZ89" s="610" t="s">
        <v>1368</v>
      </c>
      <c r="BA89" s="610" t="s">
        <v>1368</v>
      </c>
      <c r="BB89" s="610" t="s">
        <v>1368</v>
      </c>
      <c r="BC89" s="610" t="s">
        <v>1368</v>
      </c>
      <c r="BD89" s="610" t="s">
        <v>1368</v>
      </c>
      <c r="BE89" s="610" t="s">
        <v>1368</v>
      </c>
      <c r="BF89" s="610" t="s">
        <v>1368</v>
      </c>
      <c r="BG89" s="610" t="s">
        <v>1368</v>
      </c>
      <c r="BH89" s="610" t="s">
        <v>1368</v>
      </c>
      <c r="BI89" s="610" t="s">
        <v>1368</v>
      </c>
      <c r="BJ89" s="610" t="s">
        <v>1368</v>
      </c>
      <c r="BK89" s="610" t="s">
        <v>1368</v>
      </c>
      <c r="BL89" s="610" t="s">
        <v>1368</v>
      </c>
      <c r="BM89" s="610">
        <v>1</v>
      </c>
      <c r="BN89" s="610">
        <v>1</v>
      </c>
      <c r="BO89" s="610">
        <v>1</v>
      </c>
      <c r="BP89" s="610">
        <v>1</v>
      </c>
      <c r="BQ89" s="610">
        <v>1</v>
      </c>
      <c r="BR89" s="610">
        <v>1</v>
      </c>
      <c r="BS89" s="610">
        <v>1</v>
      </c>
      <c r="BT89" s="610">
        <v>1</v>
      </c>
      <c r="BU89" s="610">
        <v>1</v>
      </c>
      <c r="BV89" s="610">
        <v>1</v>
      </c>
      <c r="BW89" s="610">
        <v>1</v>
      </c>
      <c r="BX89" s="610">
        <v>1</v>
      </c>
      <c r="BY89" s="610">
        <v>0</v>
      </c>
      <c r="BZ89" s="610">
        <v>0</v>
      </c>
      <c r="CA89" s="610">
        <v>0</v>
      </c>
      <c r="CB89" s="610">
        <v>0</v>
      </c>
      <c r="CC89" s="610">
        <v>0</v>
      </c>
      <c r="CD89" s="610">
        <v>0</v>
      </c>
      <c r="CE89" s="610">
        <v>0</v>
      </c>
      <c r="CF89" s="610">
        <v>0</v>
      </c>
      <c r="CG89" s="610">
        <v>0</v>
      </c>
      <c r="CH89" s="610">
        <v>0</v>
      </c>
      <c r="CI89" s="610">
        <v>0</v>
      </c>
      <c r="CJ89" s="610">
        <v>0</v>
      </c>
      <c r="CK89" s="610">
        <v>0</v>
      </c>
      <c r="CL89" s="610">
        <v>0</v>
      </c>
      <c r="CM89" s="610">
        <v>0</v>
      </c>
      <c r="CN89" s="610">
        <v>0</v>
      </c>
      <c r="CO89" s="610">
        <v>0</v>
      </c>
      <c r="CP89" s="610">
        <v>0</v>
      </c>
      <c r="CQ89" s="610">
        <v>0</v>
      </c>
      <c r="CR89" s="610">
        <v>0</v>
      </c>
      <c r="CS89" s="610">
        <v>0</v>
      </c>
      <c r="CT89" s="610">
        <v>0</v>
      </c>
      <c r="CU89" s="610">
        <v>0</v>
      </c>
      <c r="CV89" s="610">
        <v>0</v>
      </c>
      <c r="CW89" s="610" t="s">
        <v>14</v>
      </c>
      <c r="CX89" s="610">
        <v>0</v>
      </c>
      <c r="CY89" s="610" t="s">
        <v>1707</v>
      </c>
      <c r="CZ89" s="610" t="s">
        <v>1707</v>
      </c>
      <c r="DA89" s="610" t="s">
        <v>1707</v>
      </c>
      <c r="DB89" s="610" t="s">
        <v>1707</v>
      </c>
      <c r="DC89" s="610" t="s">
        <v>1707</v>
      </c>
      <c r="DD89" s="610" t="s">
        <v>1707</v>
      </c>
      <c r="DE89" s="610" t="s">
        <v>1707</v>
      </c>
      <c r="DF89" s="610" t="s">
        <v>1707</v>
      </c>
      <c r="DG89" s="610" t="s">
        <v>1707</v>
      </c>
      <c r="DH89" s="610" t="s">
        <v>1707</v>
      </c>
      <c r="DI89" s="610" t="s">
        <v>1707</v>
      </c>
      <c r="DJ89" s="610" t="s">
        <v>1707</v>
      </c>
      <c r="DK89" s="610" t="s">
        <v>1368</v>
      </c>
      <c r="DL89" s="610" t="s">
        <v>1368</v>
      </c>
      <c r="DM89" s="610" t="s">
        <v>1368</v>
      </c>
      <c r="DN89" s="610" t="s">
        <v>1368</v>
      </c>
      <c r="DO89" s="610" t="s">
        <v>1368</v>
      </c>
      <c r="DP89" s="610" t="s">
        <v>1368</v>
      </c>
      <c r="DQ89" s="610" t="s">
        <v>1368</v>
      </c>
      <c r="DR89" s="610" t="s">
        <v>1368</v>
      </c>
      <c r="DS89" s="610" t="s">
        <v>1368</v>
      </c>
      <c r="DT89" s="610" t="s">
        <v>1368</v>
      </c>
      <c r="DU89" s="610" t="s">
        <v>1368</v>
      </c>
      <c r="DV89" s="610" t="s">
        <v>1368</v>
      </c>
      <c r="DW89" s="609" t="s">
        <v>1368</v>
      </c>
      <c r="DX89" s="609" t="s">
        <v>1368</v>
      </c>
      <c r="DY89" s="609" t="s">
        <v>1368</v>
      </c>
      <c r="DZ89" s="609" t="s">
        <v>1368</v>
      </c>
      <c r="EA89" s="609" t="s">
        <v>1368</v>
      </c>
      <c r="EB89" s="609" t="s">
        <v>1368</v>
      </c>
      <c r="EC89" s="609" t="s">
        <v>1368</v>
      </c>
      <c r="ED89" s="609" t="s">
        <v>1368</v>
      </c>
      <c r="EE89" s="609" t="s">
        <v>1368</v>
      </c>
      <c r="EF89" s="609" t="s">
        <v>1368</v>
      </c>
      <c r="EG89" s="609" t="s">
        <v>1368</v>
      </c>
      <c r="EH89" s="609" t="s">
        <v>1368</v>
      </c>
      <c r="EI89" s="610" t="s">
        <v>1707</v>
      </c>
      <c r="EJ89" s="610" t="s">
        <v>1707</v>
      </c>
      <c r="EK89" s="610" t="s">
        <v>1707</v>
      </c>
      <c r="EL89" s="610" t="s">
        <v>1707</v>
      </c>
      <c r="EM89" s="610" t="s">
        <v>1707</v>
      </c>
      <c r="EN89" s="610" t="s">
        <v>1707</v>
      </c>
      <c r="EO89" s="610" t="s">
        <v>1707</v>
      </c>
      <c r="EP89" s="610" t="s">
        <v>1707</v>
      </c>
      <c r="EQ89" s="610" t="s">
        <v>1707</v>
      </c>
      <c r="ER89" s="610" t="s">
        <v>1707</v>
      </c>
      <c r="ES89" s="610" t="s">
        <v>1707</v>
      </c>
      <c r="ET89" s="610" t="s">
        <v>1707</v>
      </c>
      <c r="EU89" s="610">
        <v>4070</v>
      </c>
      <c r="EV89" s="610" t="s">
        <v>1707</v>
      </c>
      <c r="EW89" s="610" t="s">
        <v>1707</v>
      </c>
      <c r="EX89" s="610" t="s">
        <v>1707</v>
      </c>
      <c r="EY89" s="610" t="s">
        <v>1707</v>
      </c>
      <c r="EZ89" s="610" t="s">
        <v>1707</v>
      </c>
      <c r="FA89" s="610" t="s">
        <v>1707</v>
      </c>
      <c r="FB89" s="610" t="s">
        <v>1707</v>
      </c>
      <c r="FC89" s="610" t="s">
        <v>1707</v>
      </c>
      <c r="FD89" s="610" t="s">
        <v>1707</v>
      </c>
      <c r="FE89" s="610" t="s">
        <v>1707</v>
      </c>
      <c r="FF89" s="610" t="s">
        <v>1707</v>
      </c>
      <c r="FG89" s="610" t="s">
        <v>1707</v>
      </c>
      <c r="FH89" s="610">
        <v>20</v>
      </c>
      <c r="FI89" s="610">
        <v>20</v>
      </c>
      <c r="FJ89" s="610">
        <v>20</v>
      </c>
      <c r="FK89" s="610">
        <v>20</v>
      </c>
      <c r="FL89" s="610">
        <v>20</v>
      </c>
      <c r="FM89" s="610">
        <v>20</v>
      </c>
      <c r="FN89" s="610">
        <v>20</v>
      </c>
      <c r="FO89" s="610">
        <v>20</v>
      </c>
      <c r="FP89" s="610">
        <v>20</v>
      </c>
      <c r="FQ89" s="610">
        <v>20</v>
      </c>
      <c r="FR89" s="610" t="s">
        <v>2488</v>
      </c>
      <c r="FS89" s="610" t="s">
        <v>2488</v>
      </c>
      <c r="FT89" s="610" t="s">
        <v>2488</v>
      </c>
      <c r="FU89" s="610" t="s">
        <v>2488</v>
      </c>
      <c r="FV89" s="610" t="s">
        <v>2488</v>
      </c>
      <c r="FW89" s="610" t="s">
        <v>2488</v>
      </c>
      <c r="FX89" s="610" t="s">
        <v>2488</v>
      </c>
      <c r="FY89" s="610" t="s">
        <v>2488</v>
      </c>
      <c r="FZ89" s="610" t="s">
        <v>2488</v>
      </c>
      <c r="GA89" s="610" t="s">
        <v>2488</v>
      </c>
      <c r="GB89" s="610" t="s">
        <v>2488</v>
      </c>
      <c r="GC89" s="610" t="s">
        <v>2488</v>
      </c>
      <c r="GD89" s="564" t="str">
        <f t="shared" si="18"/>
        <v/>
      </c>
      <c r="GE89" s="564" t="str">
        <f t="shared" si="19"/>
        <v/>
      </c>
      <c r="GF89" s="564" t="str">
        <f t="shared" si="20"/>
        <v/>
      </c>
      <c r="GG89" s="564" t="str">
        <f t="shared" si="21"/>
        <v/>
      </c>
      <c r="GH89" s="564" t="str">
        <f t="shared" si="22"/>
        <v/>
      </c>
      <c r="GI89" s="564" t="str">
        <f t="shared" si="23"/>
        <v/>
      </c>
      <c r="GJ89" s="564" t="str">
        <f t="shared" si="24"/>
        <v/>
      </c>
      <c r="GK89" s="564" t="str">
        <f t="shared" si="25"/>
        <v/>
      </c>
      <c r="GL89" s="564" t="str">
        <f t="shared" si="26"/>
        <v/>
      </c>
      <c r="GM89" s="564" t="str">
        <f t="shared" si="27"/>
        <v/>
      </c>
      <c r="GN89" s="564" t="str">
        <f t="shared" si="28"/>
        <v/>
      </c>
      <c r="GO89" s="564" t="str">
        <f t="shared" si="29"/>
        <v/>
      </c>
      <c r="GP89" s="564"/>
      <c r="GS89" s="375" t="s">
        <v>1487</v>
      </c>
      <c r="GT89" s="374" t="str">
        <f t="shared" si="16"/>
        <v>〇</v>
      </c>
    </row>
    <row r="90" spans="2:202">
      <c r="B90" s="371">
        <v>86</v>
      </c>
      <c r="C90" s="378">
        <v>86</v>
      </c>
      <c r="D90" s="373" t="s">
        <v>1488</v>
      </c>
      <c r="E90" s="373" t="s">
        <v>14</v>
      </c>
      <c r="F90" s="603">
        <f t="shared" si="17"/>
        <v>59</v>
      </c>
      <c r="G90" s="603"/>
      <c r="H90" s="603">
        <v>33</v>
      </c>
      <c r="I90" s="603">
        <v>26</v>
      </c>
      <c r="J90" s="603"/>
      <c r="K90" s="603"/>
      <c r="L90" s="603"/>
      <c r="M90" s="603"/>
      <c r="N90" s="608"/>
      <c r="O90" s="603">
        <v>1577000</v>
      </c>
      <c r="P90" s="603">
        <v>2721000</v>
      </c>
      <c r="Q90" s="603">
        <v>2721000</v>
      </c>
      <c r="R90" s="603">
        <v>1791000</v>
      </c>
      <c r="S90" s="603">
        <v>0</v>
      </c>
      <c r="T90" s="603">
        <v>2181000</v>
      </c>
      <c r="U90" s="603">
        <v>0</v>
      </c>
      <c r="V90" s="603">
        <v>1051000</v>
      </c>
      <c r="W90" s="603">
        <v>1814000</v>
      </c>
      <c r="X90" s="603">
        <v>1814000</v>
      </c>
      <c r="Y90" s="603">
        <v>1194000</v>
      </c>
      <c r="Z90" s="603">
        <v>0</v>
      </c>
      <c r="AA90" s="603">
        <v>1454000</v>
      </c>
      <c r="AB90" s="603">
        <v>0</v>
      </c>
      <c r="AC90" s="603">
        <v>526000</v>
      </c>
      <c r="AD90" s="603">
        <v>907000</v>
      </c>
      <c r="AE90" s="603">
        <v>907000</v>
      </c>
      <c r="AF90" s="603">
        <v>597000</v>
      </c>
      <c r="AG90" s="603">
        <v>0</v>
      </c>
      <c r="AH90" s="603">
        <v>727000</v>
      </c>
      <c r="AI90" s="603">
        <v>0</v>
      </c>
      <c r="AJ90" s="604" t="s">
        <v>2377</v>
      </c>
      <c r="AK90" s="605" t="s">
        <v>2378</v>
      </c>
      <c r="AL90" s="605" t="s">
        <v>2490</v>
      </c>
      <c r="AM90" s="606" t="s">
        <v>2386</v>
      </c>
      <c r="AN90" s="609" t="s">
        <v>12</v>
      </c>
      <c r="AO90" s="610" t="s">
        <v>1368</v>
      </c>
      <c r="AP90" s="610" t="s">
        <v>1368</v>
      </c>
      <c r="AQ90" s="610" t="s">
        <v>1368</v>
      </c>
      <c r="AR90" s="610" t="s">
        <v>1368</v>
      </c>
      <c r="AS90" s="610" t="s">
        <v>1368</v>
      </c>
      <c r="AT90" s="610" t="s">
        <v>1368</v>
      </c>
      <c r="AU90" s="610" t="s">
        <v>1368</v>
      </c>
      <c r="AV90" s="610" t="s">
        <v>1368</v>
      </c>
      <c r="AW90" s="610" t="s">
        <v>1368</v>
      </c>
      <c r="AX90" s="610" t="s">
        <v>1368</v>
      </c>
      <c r="AY90" s="610" t="s">
        <v>1368</v>
      </c>
      <c r="AZ90" s="610" t="s">
        <v>1368</v>
      </c>
      <c r="BA90" s="610" t="s">
        <v>1368</v>
      </c>
      <c r="BB90" s="610" t="s">
        <v>1368</v>
      </c>
      <c r="BC90" s="610" t="s">
        <v>1368</v>
      </c>
      <c r="BD90" s="610" t="s">
        <v>1368</v>
      </c>
      <c r="BE90" s="610" t="s">
        <v>1368</v>
      </c>
      <c r="BF90" s="610" t="s">
        <v>1368</v>
      </c>
      <c r="BG90" s="610" t="s">
        <v>1368</v>
      </c>
      <c r="BH90" s="610" t="s">
        <v>1368</v>
      </c>
      <c r="BI90" s="610" t="s">
        <v>1368</v>
      </c>
      <c r="BJ90" s="610" t="s">
        <v>1368</v>
      </c>
      <c r="BK90" s="610" t="s">
        <v>1368</v>
      </c>
      <c r="BL90" s="610" t="s">
        <v>1368</v>
      </c>
      <c r="BM90" s="610">
        <v>1</v>
      </c>
      <c r="BN90" s="610">
        <v>1</v>
      </c>
      <c r="BO90" s="610">
        <v>1</v>
      </c>
      <c r="BP90" s="610">
        <v>1</v>
      </c>
      <c r="BQ90" s="610">
        <v>1</v>
      </c>
      <c r="BR90" s="610">
        <v>1</v>
      </c>
      <c r="BS90" s="610">
        <v>1</v>
      </c>
      <c r="BT90" s="610">
        <v>1</v>
      </c>
      <c r="BU90" s="610">
        <v>1</v>
      </c>
      <c r="BV90" s="610">
        <v>1</v>
      </c>
      <c r="BW90" s="610">
        <v>1</v>
      </c>
      <c r="BX90" s="610">
        <v>1</v>
      </c>
      <c r="BY90" s="610">
        <v>0</v>
      </c>
      <c r="BZ90" s="610">
        <v>0</v>
      </c>
      <c r="CA90" s="610">
        <v>0</v>
      </c>
      <c r="CB90" s="610">
        <v>0</v>
      </c>
      <c r="CC90" s="610">
        <v>0</v>
      </c>
      <c r="CD90" s="610">
        <v>0</v>
      </c>
      <c r="CE90" s="610">
        <v>0</v>
      </c>
      <c r="CF90" s="610">
        <v>0</v>
      </c>
      <c r="CG90" s="610">
        <v>0</v>
      </c>
      <c r="CH90" s="610">
        <v>0</v>
      </c>
      <c r="CI90" s="610">
        <v>0</v>
      </c>
      <c r="CJ90" s="610">
        <v>0</v>
      </c>
      <c r="CK90" s="610">
        <v>0</v>
      </c>
      <c r="CL90" s="610">
        <v>0</v>
      </c>
      <c r="CM90" s="610">
        <v>0</v>
      </c>
      <c r="CN90" s="610">
        <v>0</v>
      </c>
      <c r="CO90" s="610">
        <v>0</v>
      </c>
      <c r="CP90" s="610">
        <v>0</v>
      </c>
      <c r="CQ90" s="610">
        <v>0</v>
      </c>
      <c r="CR90" s="610">
        <v>0</v>
      </c>
      <c r="CS90" s="610">
        <v>0</v>
      </c>
      <c r="CT90" s="610">
        <v>0</v>
      </c>
      <c r="CU90" s="610">
        <v>0</v>
      </c>
      <c r="CV90" s="610">
        <v>0</v>
      </c>
      <c r="CW90" s="610" t="s">
        <v>14</v>
      </c>
      <c r="CX90" s="610">
        <v>0</v>
      </c>
      <c r="CY90" s="610" t="s">
        <v>1707</v>
      </c>
      <c r="CZ90" s="610" t="s">
        <v>1707</v>
      </c>
      <c r="DA90" s="610" t="s">
        <v>1707</v>
      </c>
      <c r="DB90" s="610" t="s">
        <v>1707</v>
      </c>
      <c r="DC90" s="610" t="s">
        <v>1707</v>
      </c>
      <c r="DD90" s="610" t="s">
        <v>1707</v>
      </c>
      <c r="DE90" s="610" t="s">
        <v>1707</v>
      </c>
      <c r="DF90" s="610" t="s">
        <v>1707</v>
      </c>
      <c r="DG90" s="610" t="s">
        <v>1707</v>
      </c>
      <c r="DH90" s="610" t="s">
        <v>1707</v>
      </c>
      <c r="DI90" s="610" t="s">
        <v>1707</v>
      </c>
      <c r="DJ90" s="610" t="s">
        <v>1707</v>
      </c>
      <c r="DK90" s="610" t="s">
        <v>1368</v>
      </c>
      <c r="DL90" s="610" t="s">
        <v>1368</v>
      </c>
      <c r="DM90" s="610" t="s">
        <v>1368</v>
      </c>
      <c r="DN90" s="610" t="s">
        <v>1368</v>
      </c>
      <c r="DO90" s="610" t="s">
        <v>1368</v>
      </c>
      <c r="DP90" s="610" t="s">
        <v>1368</v>
      </c>
      <c r="DQ90" s="610" t="s">
        <v>1368</v>
      </c>
      <c r="DR90" s="610" t="s">
        <v>1368</v>
      </c>
      <c r="DS90" s="610" t="s">
        <v>1368</v>
      </c>
      <c r="DT90" s="610" t="s">
        <v>1368</v>
      </c>
      <c r="DU90" s="610" t="s">
        <v>1368</v>
      </c>
      <c r="DV90" s="610" t="s">
        <v>1368</v>
      </c>
      <c r="DW90" s="609" t="s">
        <v>1368</v>
      </c>
      <c r="DX90" s="609" t="s">
        <v>1368</v>
      </c>
      <c r="DY90" s="609" t="s">
        <v>1368</v>
      </c>
      <c r="DZ90" s="609" t="s">
        <v>1368</v>
      </c>
      <c r="EA90" s="609" t="s">
        <v>1368</v>
      </c>
      <c r="EB90" s="609" t="s">
        <v>1368</v>
      </c>
      <c r="EC90" s="609" t="s">
        <v>1368</v>
      </c>
      <c r="ED90" s="609" t="s">
        <v>1368</v>
      </c>
      <c r="EE90" s="609" t="s">
        <v>1368</v>
      </c>
      <c r="EF90" s="609" t="s">
        <v>1368</v>
      </c>
      <c r="EG90" s="609" t="s">
        <v>1368</v>
      </c>
      <c r="EH90" s="609" t="s">
        <v>1368</v>
      </c>
      <c r="EI90" s="610" t="s">
        <v>1707</v>
      </c>
      <c r="EJ90" s="610" t="s">
        <v>1707</v>
      </c>
      <c r="EK90" s="610" t="s">
        <v>1707</v>
      </c>
      <c r="EL90" s="610" t="s">
        <v>1707</v>
      </c>
      <c r="EM90" s="610" t="s">
        <v>1707</v>
      </c>
      <c r="EN90" s="610" t="s">
        <v>1707</v>
      </c>
      <c r="EO90" s="610" t="s">
        <v>1707</v>
      </c>
      <c r="EP90" s="610" t="s">
        <v>1707</v>
      </c>
      <c r="EQ90" s="610" t="s">
        <v>1707</v>
      </c>
      <c r="ER90" s="610" t="s">
        <v>1707</v>
      </c>
      <c r="ES90" s="610" t="s">
        <v>1707</v>
      </c>
      <c r="ET90" s="610" t="s">
        <v>1707</v>
      </c>
      <c r="EU90" s="610">
        <v>3950</v>
      </c>
      <c r="EV90" s="610" t="s">
        <v>1707</v>
      </c>
      <c r="EW90" s="610" t="s">
        <v>1707</v>
      </c>
      <c r="EX90" s="610" t="s">
        <v>1707</v>
      </c>
      <c r="EY90" s="610" t="s">
        <v>1707</v>
      </c>
      <c r="EZ90" s="610" t="s">
        <v>1707</v>
      </c>
      <c r="FA90" s="610" t="s">
        <v>1707</v>
      </c>
      <c r="FB90" s="610" t="s">
        <v>1707</v>
      </c>
      <c r="FC90" s="610" t="s">
        <v>1707</v>
      </c>
      <c r="FD90" s="610" t="s">
        <v>1707</v>
      </c>
      <c r="FE90" s="610" t="s">
        <v>1707</v>
      </c>
      <c r="FF90" s="610" t="s">
        <v>1707</v>
      </c>
      <c r="FG90" s="610" t="s">
        <v>1707</v>
      </c>
      <c r="FH90" s="610">
        <v>23</v>
      </c>
      <c r="FI90" s="610">
        <v>24</v>
      </c>
      <c r="FJ90" s="610">
        <v>24</v>
      </c>
      <c r="FK90" s="610">
        <v>24</v>
      </c>
      <c r="FL90" s="610">
        <v>24</v>
      </c>
      <c r="FM90" s="610">
        <v>24</v>
      </c>
      <c r="FN90" s="610">
        <v>24</v>
      </c>
      <c r="FO90" s="610">
        <v>24</v>
      </c>
      <c r="FP90" s="610">
        <v>24</v>
      </c>
      <c r="FQ90" s="610">
        <v>24</v>
      </c>
      <c r="FR90" s="610" t="s">
        <v>2488</v>
      </c>
      <c r="FS90" s="610" t="s">
        <v>2488</v>
      </c>
      <c r="FT90" s="610" t="s">
        <v>2488</v>
      </c>
      <c r="FU90" s="610" t="s">
        <v>2488</v>
      </c>
      <c r="FV90" s="610" t="s">
        <v>2488</v>
      </c>
      <c r="FW90" s="610" t="s">
        <v>2488</v>
      </c>
      <c r="FX90" s="610" t="s">
        <v>2488</v>
      </c>
      <c r="FY90" s="610" t="s">
        <v>2488</v>
      </c>
      <c r="FZ90" s="610" t="s">
        <v>2488</v>
      </c>
      <c r="GA90" s="610" t="s">
        <v>2488</v>
      </c>
      <c r="GB90" s="610" t="s">
        <v>2488</v>
      </c>
      <c r="GC90" s="610" t="s">
        <v>2488</v>
      </c>
      <c r="GD90" s="564" t="str">
        <f t="shared" si="18"/>
        <v/>
      </c>
      <c r="GE90" s="564" t="str">
        <f t="shared" si="19"/>
        <v/>
      </c>
      <c r="GF90" s="564" t="str">
        <f t="shared" si="20"/>
        <v/>
      </c>
      <c r="GG90" s="564" t="str">
        <f t="shared" si="21"/>
        <v/>
      </c>
      <c r="GH90" s="564" t="str">
        <f t="shared" si="22"/>
        <v/>
      </c>
      <c r="GI90" s="564" t="str">
        <f t="shared" si="23"/>
        <v/>
      </c>
      <c r="GJ90" s="564" t="str">
        <f t="shared" si="24"/>
        <v/>
      </c>
      <c r="GK90" s="564" t="str">
        <f t="shared" si="25"/>
        <v/>
      </c>
      <c r="GL90" s="564" t="str">
        <f t="shared" si="26"/>
        <v/>
      </c>
      <c r="GM90" s="564" t="str">
        <f t="shared" si="27"/>
        <v/>
      </c>
      <c r="GN90" s="564" t="str">
        <f t="shared" si="28"/>
        <v/>
      </c>
      <c r="GO90" s="564" t="str">
        <f t="shared" si="29"/>
        <v/>
      </c>
      <c r="GP90" s="564"/>
      <c r="GS90" s="375" t="s">
        <v>1488</v>
      </c>
      <c r="GT90" s="374" t="str">
        <f t="shared" si="16"/>
        <v>〇</v>
      </c>
    </row>
    <row r="91" spans="2:202">
      <c r="B91" s="371">
        <v>87</v>
      </c>
      <c r="C91" s="378">
        <v>87</v>
      </c>
      <c r="D91" s="373" t="s">
        <v>545</v>
      </c>
      <c r="E91" s="373" t="s">
        <v>14</v>
      </c>
      <c r="F91" s="603">
        <f t="shared" si="17"/>
        <v>60</v>
      </c>
      <c r="G91" s="603"/>
      <c r="H91" s="603">
        <v>34</v>
      </c>
      <c r="I91" s="603">
        <v>26</v>
      </c>
      <c r="J91" s="603"/>
      <c r="K91" s="603"/>
      <c r="L91" s="603"/>
      <c r="M91" s="603"/>
      <c r="N91" s="608"/>
      <c r="O91" s="603">
        <v>1577000</v>
      </c>
      <c r="P91" s="603">
        <v>2721000</v>
      </c>
      <c r="Q91" s="603">
        <v>2721000</v>
      </c>
      <c r="R91" s="603">
        <v>1791000</v>
      </c>
      <c r="S91" s="603">
        <v>0</v>
      </c>
      <c r="T91" s="603">
        <v>2181000</v>
      </c>
      <c r="U91" s="603">
        <v>0</v>
      </c>
      <c r="V91" s="603">
        <v>0</v>
      </c>
      <c r="W91" s="603">
        <v>0</v>
      </c>
      <c r="X91" s="603">
        <v>0</v>
      </c>
      <c r="Y91" s="603">
        <v>0</v>
      </c>
      <c r="Z91" s="603">
        <v>0</v>
      </c>
      <c r="AA91" s="603">
        <v>0</v>
      </c>
      <c r="AB91" s="603">
        <v>0</v>
      </c>
      <c r="AC91" s="603">
        <v>0</v>
      </c>
      <c r="AD91" s="603">
        <v>0</v>
      </c>
      <c r="AE91" s="603">
        <v>0</v>
      </c>
      <c r="AF91" s="603">
        <v>0</v>
      </c>
      <c r="AG91" s="603">
        <v>0</v>
      </c>
      <c r="AH91" s="603">
        <v>0</v>
      </c>
      <c r="AI91" s="603">
        <v>0</v>
      </c>
      <c r="AJ91" s="604" t="s">
        <v>2377</v>
      </c>
      <c r="AK91" s="605" t="s">
        <v>1545</v>
      </c>
      <c r="AL91" s="605" t="s">
        <v>1545</v>
      </c>
      <c r="AM91" s="606" t="s">
        <v>2387</v>
      </c>
      <c r="AN91" s="609" t="s">
        <v>12</v>
      </c>
      <c r="AO91" s="610" t="s">
        <v>1368</v>
      </c>
      <c r="AP91" s="610" t="s">
        <v>1368</v>
      </c>
      <c r="AQ91" s="610" t="s">
        <v>1368</v>
      </c>
      <c r="AR91" s="610" t="s">
        <v>1368</v>
      </c>
      <c r="AS91" s="610" t="s">
        <v>1368</v>
      </c>
      <c r="AT91" s="610" t="s">
        <v>1368</v>
      </c>
      <c r="AU91" s="610" t="s">
        <v>1368</v>
      </c>
      <c r="AV91" s="610" t="s">
        <v>1368</v>
      </c>
      <c r="AW91" s="610" t="s">
        <v>1368</v>
      </c>
      <c r="AX91" s="610" t="s">
        <v>1368</v>
      </c>
      <c r="AY91" s="610" t="s">
        <v>1368</v>
      </c>
      <c r="AZ91" s="610" t="s">
        <v>1368</v>
      </c>
      <c r="BA91" s="610" t="s">
        <v>1368</v>
      </c>
      <c r="BB91" s="610" t="s">
        <v>1368</v>
      </c>
      <c r="BC91" s="610" t="s">
        <v>1368</v>
      </c>
      <c r="BD91" s="610" t="s">
        <v>1368</v>
      </c>
      <c r="BE91" s="610" t="s">
        <v>1368</v>
      </c>
      <c r="BF91" s="610" t="s">
        <v>1368</v>
      </c>
      <c r="BG91" s="610" t="s">
        <v>1368</v>
      </c>
      <c r="BH91" s="610" t="s">
        <v>1368</v>
      </c>
      <c r="BI91" s="610" t="s">
        <v>1368</v>
      </c>
      <c r="BJ91" s="610" t="s">
        <v>1368</v>
      </c>
      <c r="BK91" s="610" t="s">
        <v>1368</v>
      </c>
      <c r="BL91" s="610" t="s">
        <v>1368</v>
      </c>
      <c r="BM91" s="610">
        <v>1</v>
      </c>
      <c r="BN91" s="610">
        <v>1</v>
      </c>
      <c r="BO91" s="610">
        <v>1</v>
      </c>
      <c r="BP91" s="610">
        <v>1</v>
      </c>
      <c r="BQ91" s="610">
        <v>1</v>
      </c>
      <c r="BR91" s="610">
        <v>1</v>
      </c>
      <c r="BS91" s="610">
        <v>1</v>
      </c>
      <c r="BT91" s="610">
        <v>1</v>
      </c>
      <c r="BU91" s="610">
        <v>1</v>
      </c>
      <c r="BV91" s="610">
        <v>1</v>
      </c>
      <c r="BW91" s="610">
        <v>1</v>
      </c>
      <c r="BX91" s="610">
        <v>1</v>
      </c>
      <c r="BY91" s="610">
        <v>0</v>
      </c>
      <c r="BZ91" s="610">
        <v>0</v>
      </c>
      <c r="CA91" s="610">
        <v>0</v>
      </c>
      <c r="CB91" s="610">
        <v>0</v>
      </c>
      <c r="CC91" s="610">
        <v>0</v>
      </c>
      <c r="CD91" s="610">
        <v>0</v>
      </c>
      <c r="CE91" s="610">
        <v>0</v>
      </c>
      <c r="CF91" s="610">
        <v>0</v>
      </c>
      <c r="CG91" s="610">
        <v>0</v>
      </c>
      <c r="CH91" s="610">
        <v>0</v>
      </c>
      <c r="CI91" s="610">
        <v>0</v>
      </c>
      <c r="CJ91" s="610">
        <v>0</v>
      </c>
      <c r="CK91" s="610">
        <v>0</v>
      </c>
      <c r="CL91" s="610">
        <v>0</v>
      </c>
      <c r="CM91" s="610">
        <v>0</v>
      </c>
      <c r="CN91" s="610">
        <v>0</v>
      </c>
      <c r="CO91" s="610">
        <v>0</v>
      </c>
      <c r="CP91" s="610">
        <v>0</v>
      </c>
      <c r="CQ91" s="610">
        <v>0</v>
      </c>
      <c r="CR91" s="610">
        <v>0</v>
      </c>
      <c r="CS91" s="610">
        <v>0</v>
      </c>
      <c r="CT91" s="610">
        <v>0</v>
      </c>
      <c r="CU91" s="610">
        <v>0</v>
      </c>
      <c r="CV91" s="610">
        <v>0</v>
      </c>
      <c r="CW91" s="610" t="s">
        <v>14</v>
      </c>
      <c r="CX91" s="610">
        <v>0</v>
      </c>
      <c r="CY91" s="610" t="s">
        <v>1707</v>
      </c>
      <c r="CZ91" s="610" t="s">
        <v>1707</v>
      </c>
      <c r="DA91" s="610" t="s">
        <v>1707</v>
      </c>
      <c r="DB91" s="610" t="s">
        <v>1707</v>
      </c>
      <c r="DC91" s="610" t="s">
        <v>1707</v>
      </c>
      <c r="DD91" s="610" t="s">
        <v>1707</v>
      </c>
      <c r="DE91" s="610" t="s">
        <v>1707</v>
      </c>
      <c r="DF91" s="610" t="s">
        <v>1707</v>
      </c>
      <c r="DG91" s="610" t="s">
        <v>1707</v>
      </c>
      <c r="DH91" s="610" t="s">
        <v>1707</v>
      </c>
      <c r="DI91" s="610" t="s">
        <v>1707</v>
      </c>
      <c r="DJ91" s="610" t="s">
        <v>1707</v>
      </c>
      <c r="DK91" s="610" t="s">
        <v>18</v>
      </c>
      <c r="DL91" s="610" t="s">
        <v>18</v>
      </c>
      <c r="DM91" s="610" t="s">
        <v>18</v>
      </c>
      <c r="DN91" s="610" t="s">
        <v>18</v>
      </c>
      <c r="DO91" s="610" t="s">
        <v>18</v>
      </c>
      <c r="DP91" s="610" t="s">
        <v>18</v>
      </c>
      <c r="DQ91" s="610" t="s">
        <v>18</v>
      </c>
      <c r="DR91" s="610" t="s">
        <v>18</v>
      </c>
      <c r="DS91" s="610" t="s">
        <v>18</v>
      </c>
      <c r="DT91" s="610" t="s">
        <v>18</v>
      </c>
      <c r="DU91" s="610" t="s">
        <v>18</v>
      </c>
      <c r="DV91" s="610" t="s">
        <v>18</v>
      </c>
      <c r="DW91" s="609" t="s">
        <v>1368</v>
      </c>
      <c r="DX91" s="609" t="s">
        <v>1368</v>
      </c>
      <c r="DY91" s="609" t="s">
        <v>1368</v>
      </c>
      <c r="DZ91" s="609" t="s">
        <v>1368</v>
      </c>
      <c r="EA91" s="609" t="s">
        <v>1368</v>
      </c>
      <c r="EB91" s="609" t="s">
        <v>1368</v>
      </c>
      <c r="EC91" s="609" t="s">
        <v>1368</v>
      </c>
      <c r="ED91" s="609" t="s">
        <v>1368</v>
      </c>
      <c r="EE91" s="609" t="s">
        <v>1368</v>
      </c>
      <c r="EF91" s="609" t="s">
        <v>1368</v>
      </c>
      <c r="EG91" s="609" t="s">
        <v>1368</v>
      </c>
      <c r="EH91" s="609" t="s">
        <v>1368</v>
      </c>
      <c r="EI91" s="610" t="s">
        <v>1707</v>
      </c>
      <c r="EJ91" s="610" t="s">
        <v>1707</v>
      </c>
      <c r="EK91" s="610" t="s">
        <v>1707</v>
      </c>
      <c r="EL91" s="610" t="s">
        <v>1707</v>
      </c>
      <c r="EM91" s="610" t="s">
        <v>1707</v>
      </c>
      <c r="EN91" s="610" t="s">
        <v>1707</v>
      </c>
      <c r="EO91" s="610" t="s">
        <v>1707</v>
      </c>
      <c r="EP91" s="610" t="s">
        <v>1707</v>
      </c>
      <c r="EQ91" s="610" t="s">
        <v>1707</v>
      </c>
      <c r="ER91" s="610" t="s">
        <v>1707</v>
      </c>
      <c r="ES91" s="610" t="s">
        <v>1707</v>
      </c>
      <c r="ET91" s="610" t="s">
        <v>1707</v>
      </c>
      <c r="EU91" s="610">
        <v>4070</v>
      </c>
      <c r="EV91" s="610" t="s">
        <v>2449</v>
      </c>
      <c r="EW91" s="610" t="s">
        <v>2449</v>
      </c>
      <c r="EX91" s="610" t="s">
        <v>2449</v>
      </c>
      <c r="EY91" s="610" t="s">
        <v>2449</v>
      </c>
      <c r="EZ91" s="610" t="s">
        <v>2449</v>
      </c>
      <c r="FA91" s="610" t="s">
        <v>2449</v>
      </c>
      <c r="FB91" s="610" t="s">
        <v>2449</v>
      </c>
      <c r="FC91" s="610" t="s">
        <v>2449</v>
      </c>
      <c r="FD91" s="610" t="s">
        <v>2449</v>
      </c>
      <c r="FE91" s="610" t="s">
        <v>2449</v>
      </c>
      <c r="FF91" s="610" t="s">
        <v>2449</v>
      </c>
      <c r="FG91" s="610" t="s">
        <v>2449</v>
      </c>
      <c r="FH91" s="610">
        <v>26</v>
      </c>
      <c r="FI91" s="610">
        <v>26</v>
      </c>
      <c r="FJ91" s="610">
        <v>26</v>
      </c>
      <c r="FK91" s="610">
        <v>26</v>
      </c>
      <c r="FL91" s="610">
        <v>26</v>
      </c>
      <c r="FM91" s="610">
        <v>26</v>
      </c>
      <c r="FN91" s="610">
        <v>26</v>
      </c>
      <c r="FO91" s="610">
        <v>26</v>
      </c>
      <c r="FP91" s="610">
        <v>26</v>
      </c>
      <c r="FQ91" s="610">
        <v>26</v>
      </c>
      <c r="FR91" s="610" t="s">
        <v>2488</v>
      </c>
      <c r="FS91" s="610" t="s">
        <v>2488</v>
      </c>
      <c r="FT91" s="610" t="s">
        <v>2488</v>
      </c>
      <c r="FU91" s="610" t="s">
        <v>2488</v>
      </c>
      <c r="FV91" s="610" t="s">
        <v>2488</v>
      </c>
      <c r="FW91" s="610" t="s">
        <v>2488</v>
      </c>
      <c r="FX91" s="610" t="s">
        <v>2488</v>
      </c>
      <c r="FY91" s="610" t="s">
        <v>2488</v>
      </c>
      <c r="FZ91" s="610" t="s">
        <v>2488</v>
      </c>
      <c r="GA91" s="610" t="s">
        <v>2488</v>
      </c>
      <c r="GB91" s="610" t="s">
        <v>2488</v>
      </c>
      <c r="GC91" s="610" t="s">
        <v>2488</v>
      </c>
      <c r="GD91" s="564" t="str">
        <f t="shared" si="18"/>
        <v/>
      </c>
      <c r="GE91" s="564" t="str">
        <f t="shared" si="19"/>
        <v/>
      </c>
      <c r="GF91" s="564" t="str">
        <f t="shared" si="20"/>
        <v/>
      </c>
      <c r="GG91" s="564" t="str">
        <f t="shared" si="21"/>
        <v/>
      </c>
      <c r="GH91" s="564" t="str">
        <f t="shared" si="22"/>
        <v/>
      </c>
      <c r="GI91" s="564" t="str">
        <f t="shared" si="23"/>
        <v/>
      </c>
      <c r="GJ91" s="564" t="str">
        <f t="shared" si="24"/>
        <v/>
      </c>
      <c r="GK91" s="564" t="str">
        <f t="shared" si="25"/>
        <v/>
      </c>
      <c r="GL91" s="564" t="str">
        <f t="shared" si="26"/>
        <v/>
      </c>
      <c r="GM91" s="564" t="str">
        <f t="shared" si="27"/>
        <v/>
      </c>
      <c r="GN91" s="564" t="str">
        <f t="shared" si="28"/>
        <v/>
      </c>
      <c r="GO91" s="564" t="str">
        <f t="shared" si="29"/>
        <v/>
      </c>
      <c r="GP91" s="564"/>
      <c r="GS91" s="375" t="s">
        <v>545</v>
      </c>
      <c r="GT91" s="374" t="str">
        <f t="shared" si="16"/>
        <v>〇</v>
      </c>
    </row>
    <row r="92" spans="2:202">
      <c r="B92" s="371">
        <v>88</v>
      </c>
      <c r="C92" s="378">
        <v>88</v>
      </c>
      <c r="D92" s="373" t="s">
        <v>580</v>
      </c>
      <c r="E92" s="373" t="s">
        <v>14</v>
      </c>
      <c r="F92" s="603">
        <f t="shared" si="17"/>
        <v>50</v>
      </c>
      <c r="G92" s="603"/>
      <c r="H92" s="603">
        <v>29</v>
      </c>
      <c r="I92" s="603">
        <v>21</v>
      </c>
      <c r="J92" s="603"/>
      <c r="K92" s="603"/>
      <c r="L92" s="603"/>
      <c r="M92" s="603"/>
      <c r="N92" s="608"/>
      <c r="O92" s="603">
        <v>1577000</v>
      </c>
      <c r="P92" s="603">
        <v>2721000</v>
      </c>
      <c r="Q92" s="603">
        <v>2721000</v>
      </c>
      <c r="R92" s="603">
        <v>1791000</v>
      </c>
      <c r="S92" s="603">
        <v>0</v>
      </c>
      <c r="T92" s="603">
        <v>0</v>
      </c>
      <c r="U92" s="603">
        <v>0</v>
      </c>
      <c r="V92" s="603">
        <v>0</v>
      </c>
      <c r="W92" s="603">
        <v>0</v>
      </c>
      <c r="X92" s="603">
        <v>0</v>
      </c>
      <c r="Y92" s="603">
        <v>0</v>
      </c>
      <c r="Z92" s="603">
        <v>0</v>
      </c>
      <c r="AA92" s="603">
        <v>0</v>
      </c>
      <c r="AB92" s="603">
        <v>0</v>
      </c>
      <c r="AC92" s="603">
        <v>0</v>
      </c>
      <c r="AD92" s="603">
        <v>0</v>
      </c>
      <c r="AE92" s="603">
        <v>0</v>
      </c>
      <c r="AF92" s="603">
        <v>0</v>
      </c>
      <c r="AG92" s="603">
        <v>0</v>
      </c>
      <c r="AH92" s="603">
        <v>0</v>
      </c>
      <c r="AI92" s="603">
        <v>0</v>
      </c>
      <c r="AJ92" s="604" t="s">
        <v>2377</v>
      </c>
      <c r="AK92" s="605" t="s">
        <v>1545</v>
      </c>
      <c r="AL92" s="605" t="s">
        <v>1545</v>
      </c>
      <c r="AM92" s="606" t="s">
        <v>2081</v>
      </c>
      <c r="AN92" s="609" t="s">
        <v>12</v>
      </c>
      <c r="AO92" s="610" t="s">
        <v>1368</v>
      </c>
      <c r="AP92" s="610" t="s">
        <v>1368</v>
      </c>
      <c r="AQ92" s="610" t="s">
        <v>1368</v>
      </c>
      <c r="AR92" s="610" t="s">
        <v>1368</v>
      </c>
      <c r="AS92" s="610" t="s">
        <v>1368</v>
      </c>
      <c r="AT92" s="610" t="s">
        <v>1368</v>
      </c>
      <c r="AU92" s="610" t="s">
        <v>1368</v>
      </c>
      <c r="AV92" s="610" t="s">
        <v>1368</v>
      </c>
      <c r="AW92" s="610" t="s">
        <v>1368</v>
      </c>
      <c r="AX92" s="610" t="s">
        <v>1368</v>
      </c>
      <c r="AY92" s="610" t="s">
        <v>1368</v>
      </c>
      <c r="AZ92" s="610" t="s">
        <v>1368</v>
      </c>
      <c r="BA92" s="610" t="s">
        <v>1368</v>
      </c>
      <c r="BB92" s="610" t="s">
        <v>1368</v>
      </c>
      <c r="BC92" s="610" t="s">
        <v>1368</v>
      </c>
      <c r="BD92" s="610" t="s">
        <v>1368</v>
      </c>
      <c r="BE92" s="610" t="s">
        <v>1368</v>
      </c>
      <c r="BF92" s="610" t="s">
        <v>1368</v>
      </c>
      <c r="BG92" s="610" t="s">
        <v>1368</v>
      </c>
      <c r="BH92" s="610" t="s">
        <v>1368</v>
      </c>
      <c r="BI92" s="610" t="s">
        <v>1368</v>
      </c>
      <c r="BJ92" s="610" t="s">
        <v>1368</v>
      </c>
      <c r="BK92" s="610" t="s">
        <v>1368</v>
      </c>
      <c r="BL92" s="610" t="s">
        <v>1368</v>
      </c>
      <c r="BM92" s="610">
        <v>0</v>
      </c>
      <c r="BN92" s="610">
        <v>0</v>
      </c>
      <c r="BO92" s="610">
        <v>0</v>
      </c>
      <c r="BP92" s="610">
        <v>0</v>
      </c>
      <c r="BQ92" s="610">
        <v>0</v>
      </c>
      <c r="BR92" s="610">
        <v>0</v>
      </c>
      <c r="BS92" s="610">
        <v>0</v>
      </c>
      <c r="BT92" s="610">
        <v>0</v>
      </c>
      <c r="BU92" s="610">
        <v>0</v>
      </c>
      <c r="BV92" s="610">
        <v>0</v>
      </c>
      <c r="BW92" s="610">
        <v>0</v>
      </c>
      <c r="BX92" s="610">
        <v>0</v>
      </c>
      <c r="BY92" s="610">
        <v>0</v>
      </c>
      <c r="BZ92" s="610">
        <v>0</v>
      </c>
      <c r="CA92" s="610">
        <v>0</v>
      </c>
      <c r="CB92" s="610">
        <v>0</v>
      </c>
      <c r="CC92" s="610">
        <v>0</v>
      </c>
      <c r="CD92" s="610">
        <v>0</v>
      </c>
      <c r="CE92" s="610">
        <v>0</v>
      </c>
      <c r="CF92" s="610">
        <v>0</v>
      </c>
      <c r="CG92" s="610">
        <v>0</v>
      </c>
      <c r="CH92" s="610">
        <v>0</v>
      </c>
      <c r="CI92" s="610">
        <v>0</v>
      </c>
      <c r="CJ92" s="610">
        <v>0</v>
      </c>
      <c r="CK92" s="610">
        <v>0</v>
      </c>
      <c r="CL92" s="610">
        <v>0</v>
      </c>
      <c r="CM92" s="610">
        <v>0</v>
      </c>
      <c r="CN92" s="610">
        <v>0</v>
      </c>
      <c r="CO92" s="610">
        <v>0</v>
      </c>
      <c r="CP92" s="610">
        <v>0</v>
      </c>
      <c r="CQ92" s="610">
        <v>0</v>
      </c>
      <c r="CR92" s="610">
        <v>0</v>
      </c>
      <c r="CS92" s="610">
        <v>0</v>
      </c>
      <c r="CT92" s="610">
        <v>0</v>
      </c>
      <c r="CU92" s="610">
        <v>0</v>
      </c>
      <c r="CV92" s="610">
        <v>0</v>
      </c>
      <c r="CW92" s="610" t="s">
        <v>14</v>
      </c>
      <c r="CX92" s="610">
        <v>0</v>
      </c>
      <c r="CY92" s="610" t="s">
        <v>1707</v>
      </c>
      <c r="CZ92" s="610" t="s">
        <v>1707</v>
      </c>
      <c r="DA92" s="610" t="s">
        <v>1707</v>
      </c>
      <c r="DB92" s="610" t="s">
        <v>1707</v>
      </c>
      <c r="DC92" s="610" t="s">
        <v>1707</v>
      </c>
      <c r="DD92" s="610" t="s">
        <v>1707</v>
      </c>
      <c r="DE92" s="610" t="s">
        <v>1707</v>
      </c>
      <c r="DF92" s="610" t="s">
        <v>1707</v>
      </c>
      <c r="DG92" s="610" t="s">
        <v>1707</v>
      </c>
      <c r="DH92" s="610" t="s">
        <v>1707</v>
      </c>
      <c r="DI92" s="610" t="s">
        <v>1707</v>
      </c>
      <c r="DJ92" s="610" t="s">
        <v>1707</v>
      </c>
      <c r="DK92" s="610" t="s">
        <v>1368</v>
      </c>
      <c r="DL92" s="610" t="s">
        <v>1368</v>
      </c>
      <c r="DM92" s="610" t="s">
        <v>1368</v>
      </c>
      <c r="DN92" s="610" t="s">
        <v>1368</v>
      </c>
      <c r="DO92" s="610" t="s">
        <v>1368</v>
      </c>
      <c r="DP92" s="610" t="s">
        <v>1368</v>
      </c>
      <c r="DQ92" s="610" t="s">
        <v>1368</v>
      </c>
      <c r="DR92" s="610" t="s">
        <v>1368</v>
      </c>
      <c r="DS92" s="610" t="s">
        <v>1368</v>
      </c>
      <c r="DT92" s="610" t="s">
        <v>1368</v>
      </c>
      <c r="DU92" s="610" t="s">
        <v>1368</v>
      </c>
      <c r="DV92" s="610" t="s">
        <v>1368</v>
      </c>
      <c r="DW92" s="609" t="s">
        <v>1368</v>
      </c>
      <c r="DX92" s="609" t="s">
        <v>1368</v>
      </c>
      <c r="DY92" s="609" t="s">
        <v>1368</v>
      </c>
      <c r="DZ92" s="609" t="s">
        <v>1368</v>
      </c>
      <c r="EA92" s="609" t="s">
        <v>1368</v>
      </c>
      <c r="EB92" s="609" t="s">
        <v>1368</v>
      </c>
      <c r="EC92" s="609" t="s">
        <v>1368</v>
      </c>
      <c r="ED92" s="609" t="s">
        <v>1368</v>
      </c>
      <c r="EE92" s="609" t="s">
        <v>1368</v>
      </c>
      <c r="EF92" s="609" t="s">
        <v>1368</v>
      </c>
      <c r="EG92" s="609" t="s">
        <v>1368</v>
      </c>
      <c r="EH92" s="609" t="s">
        <v>1368</v>
      </c>
      <c r="EI92" s="610" t="s">
        <v>1707</v>
      </c>
      <c r="EJ92" s="610" t="s">
        <v>1707</v>
      </c>
      <c r="EK92" s="610" t="s">
        <v>1707</v>
      </c>
      <c r="EL92" s="610" t="s">
        <v>1707</v>
      </c>
      <c r="EM92" s="610" t="s">
        <v>1707</v>
      </c>
      <c r="EN92" s="610" t="s">
        <v>1707</v>
      </c>
      <c r="EO92" s="610" t="s">
        <v>1707</v>
      </c>
      <c r="EP92" s="610" t="s">
        <v>1707</v>
      </c>
      <c r="EQ92" s="610" t="s">
        <v>1707</v>
      </c>
      <c r="ER92" s="610" t="s">
        <v>1707</v>
      </c>
      <c r="ES92" s="610" t="s">
        <v>1707</v>
      </c>
      <c r="ET92" s="610" t="s">
        <v>1707</v>
      </c>
      <c r="EU92" s="610">
        <v>4040</v>
      </c>
      <c r="EV92" s="610" t="s">
        <v>1707</v>
      </c>
      <c r="EW92" s="610" t="s">
        <v>1707</v>
      </c>
      <c r="EX92" s="610" t="s">
        <v>1707</v>
      </c>
      <c r="EY92" s="610" t="s">
        <v>1707</v>
      </c>
      <c r="EZ92" s="610" t="s">
        <v>1707</v>
      </c>
      <c r="FA92" s="610" t="s">
        <v>1707</v>
      </c>
      <c r="FB92" s="610" t="s">
        <v>1707</v>
      </c>
      <c r="FC92" s="610" t="s">
        <v>1707</v>
      </c>
      <c r="FD92" s="610" t="s">
        <v>1707</v>
      </c>
      <c r="FE92" s="610" t="s">
        <v>1707</v>
      </c>
      <c r="FF92" s="610" t="s">
        <v>1707</v>
      </c>
      <c r="FG92" s="610" t="s">
        <v>1707</v>
      </c>
      <c r="FH92" s="610">
        <v>19</v>
      </c>
      <c r="FI92" s="610">
        <v>18</v>
      </c>
      <c r="FJ92" s="610">
        <v>18</v>
      </c>
      <c r="FK92" s="610">
        <v>19</v>
      </c>
      <c r="FL92" s="610">
        <v>19</v>
      </c>
      <c r="FM92" s="610">
        <v>19</v>
      </c>
      <c r="FN92" s="610">
        <v>19</v>
      </c>
      <c r="FO92" s="610">
        <v>19</v>
      </c>
      <c r="FP92" s="610">
        <v>19</v>
      </c>
      <c r="FQ92" s="610">
        <v>19</v>
      </c>
      <c r="FR92" s="610" t="s">
        <v>2487</v>
      </c>
      <c r="FS92" s="610" t="s">
        <v>2487</v>
      </c>
      <c r="FT92" s="610" t="s">
        <v>2487</v>
      </c>
      <c r="FU92" s="610" t="s">
        <v>2487</v>
      </c>
      <c r="FV92" s="610" t="s">
        <v>2487</v>
      </c>
      <c r="FW92" s="610" t="s">
        <v>2487</v>
      </c>
      <c r="FX92" s="610" t="s">
        <v>2487</v>
      </c>
      <c r="FY92" s="610" t="s">
        <v>2487</v>
      </c>
      <c r="FZ92" s="610" t="s">
        <v>2487</v>
      </c>
      <c r="GA92" s="610" t="s">
        <v>2487</v>
      </c>
      <c r="GB92" s="610" t="s">
        <v>2487</v>
      </c>
      <c r="GC92" s="610" t="s">
        <v>2487</v>
      </c>
      <c r="GD92" s="564">
        <f t="shared" si="18"/>
        <v>79950</v>
      </c>
      <c r="GE92" s="564">
        <f t="shared" si="19"/>
        <v>79950</v>
      </c>
      <c r="GF92" s="564">
        <f t="shared" si="20"/>
        <v>79950</v>
      </c>
      <c r="GG92" s="564">
        <f t="shared" si="21"/>
        <v>79950</v>
      </c>
      <c r="GH92" s="564">
        <f t="shared" si="22"/>
        <v>79950</v>
      </c>
      <c r="GI92" s="564">
        <f t="shared" si="23"/>
        <v>79950</v>
      </c>
      <c r="GJ92" s="564">
        <f t="shared" si="24"/>
        <v>79950</v>
      </c>
      <c r="GK92" s="564">
        <f t="shared" si="25"/>
        <v>79950</v>
      </c>
      <c r="GL92" s="564">
        <f t="shared" si="26"/>
        <v>79950</v>
      </c>
      <c r="GM92" s="564">
        <f t="shared" si="27"/>
        <v>79950</v>
      </c>
      <c r="GN92" s="564">
        <f t="shared" si="28"/>
        <v>79950</v>
      </c>
      <c r="GO92" s="564">
        <f t="shared" si="29"/>
        <v>79950</v>
      </c>
      <c r="GP92" s="564"/>
      <c r="GS92" s="375" t="s">
        <v>580</v>
      </c>
      <c r="GT92" s="374" t="str">
        <f t="shared" si="16"/>
        <v>〇</v>
      </c>
    </row>
    <row r="93" spans="2:202">
      <c r="B93" s="371">
        <v>89</v>
      </c>
      <c r="C93" s="378">
        <v>89</v>
      </c>
      <c r="D93" s="373" t="s">
        <v>584</v>
      </c>
      <c r="E93" s="373" t="s">
        <v>1707</v>
      </c>
      <c r="F93" s="603">
        <f t="shared" si="17"/>
        <v>90</v>
      </c>
      <c r="G93" s="603"/>
      <c r="H93" s="603">
        <v>51</v>
      </c>
      <c r="I93" s="603">
        <v>39</v>
      </c>
      <c r="J93" s="603">
        <v>6</v>
      </c>
      <c r="K93" s="603"/>
      <c r="L93" s="603">
        <v>0</v>
      </c>
      <c r="M93" s="603">
        <v>6</v>
      </c>
      <c r="N93" s="608"/>
      <c r="O93" s="603">
        <v>1577000</v>
      </c>
      <c r="P93" s="603">
        <v>2721000</v>
      </c>
      <c r="Q93" s="603">
        <v>2721000</v>
      </c>
      <c r="R93" s="603">
        <v>1791000</v>
      </c>
      <c r="S93" s="603">
        <v>0</v>
      </c>
      <c r="T93" s="603">
        <v>2181000</v>
      </c>
      <c r="U93" s="603">
        <v>0</v>
      </c>
      <c r="V93" s="603">
        <v>0</v>
      </c>
      <c r="W93" s="603">
        <v>0</v>
      </c>
      <c r="X93" s="603">
        <v>0</v>
      </c>
      <c r="Y93" s="603">
        <v>0</v>
      </c>
      <c r="Z93" s="603">
        <v>0</v>
      </c>
      <c r="AA93" s="603">
        <v>0</v>
      </c>
      <c r="AB93" s="603">
        <v>0</v>
      </c>
      <c r="AC93" s="603">
        <v>0</v>
      </c>
      <c r="AD93" s="603">
        <v>0</v>
      </c>
      <c r="AE93" s="603">
        <v>0</v>
      </c>
      <c r="AF93" s="603">
        <v>0</v>
      </c>
      <c r="AG93" s="603">
        <v>0</v>
      </c>
      <c r="AH93" s="603">
        <v>0</v>
      </c>
      <c r="AI93" s="603">
        <v>0</v>
      </c>
      <c r="AJ93" s="604" t="s">
        <v>2377</v>
      </c>
      <c r="AK93" s="605" t="s">
        <v>1545</v>
      </c>
      <c r="AL93" s="605" t="s">
        <v>1545</v>
      </c>
      <c r="AM93" s="606" t="s">
        <v>2082</v>
      </c>
      <c r="AN93" s="609" t="s">
        <v>12</v>
      </c>
      <c r="AO93" s="610" t="s">
        <v>1368</v>
      </c>
      <c r="AP93" s="610" t="s">
        <v>1368</v>
      </c>
      <c r="AQ93" s="610" t="s">
        <v>1368</v>
      </c>
      <c r="AR93" s="610" t="s">
        <v>1368</v>
      </c>
      <c r="AS93" s="610" t="s">
        <v>1368</v>
      </c>
      <c r="AT93" s="610" t="s">
        <v>1368</v>
      </c>
      <c r="AU93" s="610" t="s">
        <v>1368</v>
      </c>
      <c r="AV93" s="610" t="s">
        <v>1368</v>
      </c>
      <c r="AW93" s="610" t="s">
        <v>1368</v>
      </c>
      <c r="AX93" s="610" t="s">
        <v>1368</v>
      </c>
      <c r="AY93" s="610" t="s">
        <v>1368</v>
      </c>
      <c r="AZ93" s="610" t="s">
        <v>1368</v>
      </c>
      <c r="BA93" s="610" t="s">
        <v>1368</v>
      </c>
      <c r="BB93" s="610" t="s">
        <v>1368</v>
      </c>
      <c r="BC93" s="610" t="s">
        <v>1368</v>
      </c>
      <c r="BD93" s="610" t="s">
        <v>1368</v>
      </c>
      <c r="BE93" s="610" t="s">
        <v>1368</v>
      </c>
      <c r="BF93" s="610" t="s">
        <v>1368</v>
      </c>
      <c r="BG93" s="610" t="s">
        <v>1368</v>
      </c>
      <c r="BH93" s="610" t="s">
        <v>1368</v>
      </c>
      <c r="BI93" s="610" t="s">
        <v>1368</v>
      </c>
      <c r="BJ93" s="610" t="s">
        <v>1368</v>
      </c>
      <c r="BK93" s="610" t="s">
        <v>1368</v>
      </c>
      <c r="BL93" s="610" t="s">
        <v>1368</v>
      </c>
      <c r="BM93" s="610">
        <v>1</v>
      </c>
      <c r="BN93" s="610">
        <v>1</v>
      </c>
      <c r="BO93" s="610">
        <v>1</v>
      </c>
      <c r="BP93" s="610">
        <v>1</v>
      </c>
      <c r="BQ93" s="610">
        <v>1</v>
      </c>
      <c r="BR93" s="610">
        <v>2</v>
      </c>
      <c r="BS93" s="610">
        <v>2</v>
      </c>
      <c r="BT93" s="610">
        <v>2</v>
      </c>
      <c r="BU93" s="610">
        <v>2</v>
      </c>
      <c r="BV93" s="610">
        <v>2</v>
      </c>
      <c r="BW93" s="610">
        <v>2</v>
      </c>
      <c r="BX93" s="610">
        <v>2</v>
      </c>
      <c r="BY93" s="610">
        <v>0</v>
      </c>
      <c r="BZ93" s="610">
        <v>0</v>
      </c>
      <c r="CA93" s="610">
        <v>0</v>
      </c>
      <c r="CB93" s="610">
        <v>0</v>
      </c>
      <c r="CC93" s="610">
        <v>0</v>
      </c>
      <c r="CD93" s="610">
        <v>0</v>
      </c>
      <c r="CE93" s="610">
        <v>0</v>
      </c>
      <c r="CF93" s="610">
        <v>0</v>
      </c>
      <c r="CG93" s="610">
        <v>0</v>
      </c>
      <c r="CH93" s="610">
        <v>0</v>
      </c>
      <c r="CI93" s="610">
        <v>0</v>
      </c>
      <c r="CJ93" s="610">
        <v>0</v>
      </c>
      <c r="CK93" s="610">
        <v>0</v>
      </c>
      <c r="CL93" s="610">
        <v>0</v>
      </c>
      <c r="CM93" s="610">
        <v>0</v>
      </c>
      <c r="CN93" s="610">
        <v>0</v>
      </c>
      <c r="CO93" s="610">
        <v>0</v>
      </c>
      <c r="CP93" s="610">
        <v>0</v>
      </c>
      <c r="CQ93" s="610">
        <v>0</v>
      </c>
      <c r="CR93" s="610">
        <v>0</v>
      </c>
      <c r="CS93" s="610">
        <v>0</v>
      </c>
      <c r="CT93" s="610">
        <v>0</v>
      </c>
      <c r="CU93" s="610">
        <v>0</v>
      </c>
      <c r="CV93" s="610">
        <v>0</v>
      </c>
      <c r="CW93" s="610" t="s">
        <v>14</v>
      </c>
      <c r="CX93" s="610">
        <v>0</v>
      </c>
      <c r="CY93" s="610" t="s">
        <v>1707</v>
      </c>
      <c r="CZ93" s="610" t="s">
        <v>1707</v>
      </c>
      <c r="DA93" s="610" t="s">
        <v>1707</v>
      </c>
      <c r="DB93" s="610" t="s">
        <v>1707</v>
      </c>
      <c r="DC93" s="610" t="s">
        <v>1707</v>
      </c>
      <c r="DD93" s="610" t="s">
        <v>1707</v>
      </c>
      <c r="DE93" s="610" t="s">
        <v>1707</v>
      </c>
      <c r="DF93" s="610" t="s">
        <v>1707</v>
      </c>
      <c r="DG93" s="610" t="s">
        <v>1707</v>
      </c>
      <c r="DH93" s="610" t="s">
        <v>1707</v>
      </c>
      <c r="DI93" s="610" t="s">
        <v>1707</v>
      </c>
      <c r="DJ93" s="610" t="s">
        <v>1707</v>
      </c>
      <c r="DK93" s="610" t="s">
        <v>1368</v>
      </c>
      <c r="DL93" s="610" t="s">
        <v>1368</v>
      </c>
      <c r="DM93" s="610" t="s">
        <v>1368</v>
      </c>
      <c r="DN93" s="610" t="s">
        <v>1368</v>
      </c>
      <c r="DO93" s="610" t="s">
        <v>1368</v>
      </c>
      <c r="DP93" s="610" t="s">
        <v>1368</v>
      </c>
      <c r="DQ93" s="610" t="s">
        <v>1368</v>
      </c>
      <c r="DR93" s="610" t="s">
        <v>1368</v>
      </c>
      <c r="DS93" s="610" t="s">
        <v>1368</v>
      </c>
      <c r="DT93" s="610" t="s">
        <v>1368</v>
      </c>
      <c r="DU93" s="610" t="s">
        <v>1368</v>
      </c>
      <c r="DV93" s="610" t="s">
        <v>1368</v>
      </c>
      <c r="DW93" s="609" t="s">
        <v>1368</v>
      </c>
      <c r="DX93" s="609" t="s">
        <v>1368</v>
      </c>
      <c r="DY93" s="609" t="s">
        <v>1368</v>
      </c>
      <c r="DZ93" s="609" t="s">
        <v>1368</v>
      </c>
      <c r="EA93" s="609" t="s">
        <v>1368</v>
      </c>
      <c r="EB93" s="609" t="s">
        <v>1368</v>
      </c>
      <c r="EC93" s="609" t="s">
        <v>1368</v>
      </c>
      <c r="ED93" s="609" t="s">
        <v>1368</v>
      </c>
      <c r="EE93" s="609" t="s">
        <v>1368</v>
      </c>
      <c r="EF93" s="609" t="s">
        <v>1368</v>
      </c>
      <c r="EG93" s="609" t="s">
        <v>1368</v>
      </c>
      <c r="EH93" s="609" t="s">
        <v>1368</v>
      </c>
      <c r="EI93" s="610" t="s">
        <v>1707</v>
      </c>
      <c r="EJ93" s="610" t="s">
        <v>1707</v>
      </c>
      <c r="EK93" s="610" t="s">
        <v>1707</v>
      </c>
      <c r="EL93" s="610" t="s">
        <v>1707</v>
      </c>
      <c r="EM93" s="610" t="s">
        <v>1707</v>
      </c>
      <c r="EN93" s="610" t="s">
        <v>1707</v>
      </c>
      <c r="EO93" s="610" t="s">
        <v>1707</v>
      </c>
      <c r="EP93" s="610" t="s">
        <v>1707</v>
      </c>
      <c r="EQ93" s="610" t="s">
        <v>1707</v>
      </c>
      <c r="ER93" s="610" t="s">
        <v>1707</v>
      </c>
      <c r="ES93" s="610" t="s">
        <v>1707</v>
      </c>
      <c r="ET93" s="610" t="s">
        <v>1707</v>
      </c>
      <c r="EU93" s="610">
        <v>3950</v>
      </c>
      <c r="EV93" s="610" t="s">
        <v>1707</v>
      </c>
      <c r="EW93" s="610" t="s">
        <v>1707</v>
      </c>
      <c r="EX93" s="610" t="s">
        <v>1707</v>
      </c>
      <c r="EY93" s="610" t="s">
        <v>1707</v>
      </c>
      <c r="EZ93" s="610" t="s">
        <v>1707</v>
      </c>
      <c r="FA93" s="610" t="s">
        <v>1707</v>
      </c>
      <c r="FB93" s="610" t="s">
        <v>1707</v>
      </c>
      <c r="FC93" s="610" t="s">
        <v>1707</v>
      </c>
      <c r="FD93" s="610" t="s">
        <v>1707</v>
      </c>
      <c r="FE93" s="610" t="s">
        <v>1707</v>
      </c>
      <c r="FF93" s="610" t="s">
        <v>1707</v>
      </c>
      <c r="FG93" s="610" t="s">
        <v>1707</v>
      </c>
      <c r="FH93" s="610">
        <v>31</v>
      </c>
      <c r="FI93" s="610">
        <v>32</v>
      </c>
      <c r="FJ93" s="610">
        <v>32</v>
      </c>
      <c r="FK93" s="610">
        <v>32</v>
      </c>
      <c r="FL93" s="610">
        <v>32</v>
      </c>
      <c r="FM93" s="610">
        <v>32</v>
      </c>
      <c r="FN93" s="610">
        <v>32</v>
      </c>
      <c r="FO93" s="610">
        <v>32</v>
      </c>
      <c r="FP93" s="610">
        <v>32</v>
      </c>
      <c r="FQ93" s="610">
        <v>32</v>
      </c>
      <c r="FR93" s="610" t="s">
        <v>2487</v>
      </c>
      <c r="FS93" s="610" t="s">
        <v>2487</v>
      </c>
      <c r="FT93" s="610" t="s">
        <v>2487</v>
      </c>
      <c r="FU93" s="610" t="s">
        <v>2487</v>
      </c>
      <c r="FV93" s="610" t="s">
        <v>2487</v>
      </c>
      <c r="FW93" s="610" t="s">
        <v>2487</v>
      </c>
      <c r="FX93" s="610" t="s">
        <v>2487</v>
      </c>
      <c r="FY93" s="610" t="s">
        <v>2487</v>
      </c>
      <c r="FZ93" s="610" t="s">
        <v>2487</v>
      </c>
      <c r="GA93" s="610" t="s">
        <v>2487</v>
      </c>
      <c r="GB93" s="610" t="s">
        <v>2487</v>
      </c>
      <c r="GC93" s="610" t="s">
        <v>2487</v>
      </c>
      <c r="GD93" s="564">
        <f t="shared" si="18"/>
        <v>79950</v>
      </c>
      <c r="GE93" s="564">
        <f t="shared" si="19"/>
        <v>79950</v>
      </c>
      <c r="GF93" s="564">
        <f t="shared" si="20"/>
        <v>79950</v>
      </c>
      <c r="GG93" s="564">
        <f t="shared" si="21"/>
        <v>79950</v>
      </c>
      <c r="GH93" s="564">
        <f t="shared" si="22"/>
        <v>79950</v>
      </c>
      <c r="GI93" s="564">
        <f t="shared" si="23"/>
        <v>79950</v>
      </c>
      <c r="GJ93" s="564">
        <f t="shared" si="24"/>
        <v>79950</v>
      </c>
      <c r="GK93" s="564">
        <f t="shared" si="25"/>
        <v>79950</v>
      </c>
      <c r="GL93" s="564">
        <f t="shared" si="26"/>
        <v>79950</v>
      </c>
      <c r="GM93" s="564">
        <f t="shared" si="27"/>
        <v>79950</v>
      </c>
      <c r="GN93" s="564">
        <f t="shared" si="28"/>
        <v>79950</v>
      </c>
      <c r="GO93" s="564">
        <f t="shared" si="29"/>
        <v>79950</v>
      </c>
      <c r="GP93" s="564"/>
      <c r="GS93" s="375" t="s">
        <v>584</v>
      </c>
      <c r="GT93" s="374" t="str">
        <f t="shared" si="16"/>
        <v>〇</v>
      </c>
    </row>
    <row r="94" spans="2:202">
      <c r="B94" s="371">
        <v>90</v>
      </c>
      <c r="C94" s="378">
        <v>90</v>
      </c>
      <c r="D94" s="373" t="s">
        <v>588</v>
      </c>
      <c r="E94" s="373" t="s">
        <v>14</v>
      </c>
      <c r="F94" s="603">
        <f t="shared" si="17"/>
        <v>36</v>
      </c>
      <c r="G94" s="603"/>
      <c r="H94" s="603">
        <v>18</v>
      </c>
      <c r="I94" s="603">
        <v>18</v>
      </c>
      <c r="J94" s="603"/>
      <c r="K94" s="603"/>
      <c r="L94" s="603"/>
      <c r="M94" s="603"/>
      <c r="N94" s="608"/>
      <c r="O94" s="603">
        <v>1577000</v>
      </c>
      <c r="P94" s="603">
        <v>2721000</v>
      </c>
      <c r="Q94" s="603">
        <v>0</v>
      </c>
      <c r="R94" s="603">
        <v>1791000</v>
      </c>
      <c r="S94" s="603">
        <v>0</v>
      </c>
      <c r="T94" s="603">
        <v>0</v>
      </c>
      <c r="U94" s="603">
        <v>0</v>
      </c>
      <c r="V94" s="603">
        <v>0</v>
      </c>
      <c r="W94" s="603">
        <v>0</v>
      </c>
      <c r="X94" s="603">
        <v>0</v>
      </c>
      <c r="Y94" s="603">
        <v>0</v>
      </c>
      <c r="Z94" s="603">
        <v>0</v>
      </c>
      <c r="AA94" s="603">
        <v>0</v>
      </c>
      <c r="AB94" s="603">
        <v>0</v>
      </c>
      <c r="AC94" s="603">
        <v>0</v>
      </c>
      <c r="AD94" s="603">
        <v>0</v>
      </c>
      <c r="AE94" s="603">
        <v>0</v>
      </c>
      <c r="AF94" s="603">
        <v>0</v>
      </c>
      <c r="AG94" s="603">
        <v>0</v>
      </c>
      <c r="AH94" s="603">
        <v>0</v>
      </c>
      <c r="AI94" s="603">
        <v>0</v>
      </c>
      <c r="AJ94" s="604" t="s">
        <v>2377</v>
      </c>
      <c r="AK94" s="605" t="s">
        <v>1545</v>
      </c>
      <c r="AL94" s="605" t="s">
        <v>1545</v>
      </c>
      <c r="AM94" s="606" t="s">
        <v>2083</v>
      </c>
      <c r="AN94" s="609" t="s">
        <v>12</v>
      </c>
      <c r="AO94" s="610" t="s">
        <v>1368</v>
      </c>
      <c r="AP94" s="610" t="s">
        <v>1368</v>
      </c>
      <c r="AQ94" s="610" t="s">
        <v>1368</v>
      </c>
      <c r="AR94" s="610" t="s">
        <v>1368</v>
      </c>
      <c r="AS94" s="610" t="s">
        <v>1368</v>
      </c>
      <c r="AT94" s="610" t="s">
        <v>1368</v>
      </c>
      <c r="AU94" s="610" t="s">
        <v>1368</v>
      </c>
      <c r="AV94" s="610" t="s">
        <v>1368</v>
      </c>
      <c r="AW94" s="610" t="s">
        <v>1368</v>
      </c>
      <c r="AX94" s="610" t="s">
        <v>1368</v>
      </c>
      <c r="AY94" s="610" t="s">
        <v>1368</v>
      </c>
      <c r="AZ94" s="610" t="s">
        <v>1368</v>
      </c>
      <c r="BA94" s="610" t="s">
        <v>1368</v>
      </c>
      <c r="BB94" s="610" t="s">
        <v>1368</v>
      </c>
      <c r="BC94" s="610" t="s">
        <v>1368</v>
      </c>
      <c r="BD94" s="610" t="s">
        <v>1368</v>
      </c>
      <c r="BE94" s="610" t="s">
        <v>1368</v>
      </c>
      <c r="BF94" s="610" t="s">
        <v>1368</v>
      </c>
      <c r="BG94" s="610" t="s">
        <v>1368</v>
      </c>
      <c r="BH94" s="610" t="s">
        <v>1368</v>
      </c>
      <c r="BI94" s="610" t="s">
        <v>1368</v>
      </c>
      <c r="BJ94" s="610" t="s">
        <v>1368</v>
      </c>
      <c r="BK94" s="610" t="s">
        <v>1368</v>
      </c>
      <c r="BL94" s="610" t="s">
        <v>1368</v>
      </c>
      <c r="BM94" s="610">
        <v>1</v>
      </c>
      <c r="BN94" s="610">
        <v>1</v>
      </c>
      <c r="BO94" s="610">
        <v>1</v>
      </c>
      <c r="BP94" s="610">
        <v>1</v>
      </c>
      <c r="BQ94" s="610">
        <v>1</v>
      </c>
      <c r="BR94" s="610">
        <v>1</v>
      </c>
      <c r="BS94" s="610">
        <v>1</v>
      </c>
      <c r="BT94" s="610">
        <v>1</v>
      </c>
      <c r="BU94" s="610">
        <v>1</v>
      </c>
      <c r="BV94" s="610">
        <v>1</v>
      </c>
      <c r="BW94" s="610">
        <v>1</v>
      </c>
      <c r="BX94" s="610">
        <v>1</v>
      </c>
      <c r="BY94" s="610">
        <v>0</v>
      </c>
      <c r="BZ94" s="610">
        <v>0</v>
      </c>
      <c r="CA94" s="610">
        <v>0</v>
      </c>
      <c r="CB94" s="610">
        <v>0</v>
      </c>
      <c r="CC94" s="610">
        <v>0</v>
      </c>
      <c r="CD94" s="610">
        <v>0</v>
      </c>
      <c r="CE94" s="610">
        <v>0</v>
      </c>
      <c r="CF94" s="610">
        <v>0</v>
      </c>
      <c r="CG94" s="610">
        <v>0</v>
      </c>
      <c r="CH94" s="610">
        <v>0</v>
      </c>
      <c r="CI94" s="610">
        <v>0</v>
      </c>
      <c r="CJ94" s="610">
        <v>0</v>
      </c>
      <c r="CK94" s="610">
        <v>0</v>
      </c>
      <c r="CL94" s="610">
        <v>0</v>
      </c>
      <c r="CM94" s="610">
        <v>0</v>
      </c>
      <c r="CN94" s="610">
        <v>0</v>
      </c>
      <c r="CO94" s="610">
        <v>0</v>
      </c>
      <c r="CP94" s="610">
        <v>0</v>
      </c>
      <c r="CQ94" s="610">
        <v>0</v>
      </c>
      <c r="CR94" s="610">
        <v>0</v>
      </c>
      <c r="CS94" s="610">
        <v>0</v>
      </c>
      <c r="CT94" s="610">
        <v>0</v>
      </c>
      <c r="CU94" s="610">
        <v>0</v>
      </c>
      <c r="CV94" s="610">
        <v>0</v>
      </c>
      <c r="CW94" s="610" t="s">
        <v>14</v>
      </c>
      <c r="CX94" s="610">
        <v>0</v>
      </c>
      <c r="CY94" s="610" t="s">
        <v>1707</v>
      </c>
      <c r="CZ94" s="610" t="s">
        <v>1707</v>
      </c>
      <c r="DA94" s="610" t="s">
        <v>1707</v>
      </c>
      <c r="DB94" s="610" t="s">
        <v>1707</v>
      </c>
      <c r="DC94" s="610" t="s">
        <v>1707</v>
      </c>
      <c r="DD94" s="610" t="s">
        <v>1707</v>
      </c>
      <c r="DE94" s="610" t="s">
        <v>1707</v>
      </c>
      <c r="DF94" s="610" t="s">
        <v>1707</v>
      </c>
      <c r="DG94" s="610" t="s">
        <v>1707</v>
      </c>
      <c r="DH94" s="610" t="s">
        <v>1707</v>
      </c>
      <c r="DI94" s="610" t="s">
        <v>1707</v>
      </c>
      <c r="DJ94" s="610" t="s">
        <v>1707</v>
      </c>
      <c r="DK94" s="610" t="s">
        <v>1368</v>
      </c>
      <c r="DL94" s="610" t="s">
        <v>1368</v>
      </c>
      <c r="DM94" s="610" t="s">
        <v>1368</v>
      </c>
      <c r="DN94" s="610" t="s">
        <v>1368</v>
      </c>
      <c r="DO94" s="610" t="s">
        <v>1368</v>
      </c>
      <c r="DP94" s="610" t="s">
        <v>1368</v>
      </c>
      <c r="DQ94" s="610" t="s">
        <v>1368</v>
      </c>
      <c r="DR94" s="610" t="s">
        <v>1368</v>
      </c>
      <c r="DS94" s="610" t="s">
        <v>1368</v>
      </c>
      <c r="DT94" s="610" t="s">
        <v>1368</v>
      </c>
      <c r="DU94" s="610" t="s">
        <v>1368</v>
      </c>
      <c r="DV94" s="610" t="s">
        <v>1368</v>
      </c>
      <c r="DW94" s="609" t="s">
        <v>1368</v>
      </c>
      <c r="DX94" s="609" t="s">
        <v>1368</v>
      </c>
      <c r="DY94" s="609" t="s">
        <v>1368</v>
      </c>
      <c r="DZ94" s="609" t="s">
        <v>1368</v>
      </c>
      <c r="EA94" s="609" t="s">
        <v>1368</v>
      </c>
      <c r="EB94" s="609" t="s">
        <v>1368</v>
      </c>
      <c r="EC94" s="609" t="s">
        <v>1368</v>
      </c>
      <c r="ED94" s="609" t="s">
        <v>1368</v>
      </c>
      <c r="EE94" s="609" t="s">
        <v>1368</v>
      </c>
      <c r="EF94" s="609" t="s">
        <v>1368</v>
      </c>
      <c r="EG94" s="609" t="s">
        <v>1368</v>
      </c>
      <c r="EH94" s="609" t="s">
        <v>1368</v>
      </c>
      <c r="EI94" s="610" t="s">
        <v>1707</v>
      </c>
      <c r="EJ94" s="610" t="s">
        <v>1707</v>
      </c>
      <c r="EK94" s="610" t="s">
        <v>1707</v>
      </c>
      <c r="EL94" s="610" t="s">
        <v>1707</v>
      </c>
      <c r="EM94" s="610" t="s">
        <v>1707</v>
      </c>
      <c r="EN94" s="610" t="s">
        <v>1707</v>
      </c>
      <c r="EO94" s="610" t="s">
        <v>1707</v>
      </c>
      <c r="EP94" s="610" t="s">
        <v>1707</v>
      </c>
      <c r="EQ94" s="610" t="s">
        <v>1707</v>
      </c>
      <c r="ER94" s="610" t="s">
        <v>1707</v>
      </c>
      <c r="ES94" s="610" t="s">
        <v>1707</v>
      </c>
      <c r="ET94" s="610" t="s">
        <v>1707</v>
      </c>
      <c r="EU94" s="610">
        <v>3980</v>
      </c>
      <c r="EV94" s="610" t="s">
        <v>1707</v>
      </c>
      <c r="EW94" s="610" t="s">
        <v>1707</v>
      </c>
      <c r="EX94" s="610" t="s">
        <v>1707</v>
      </c>
      <c r="EY94" s="610" t="s">
        <v>1707</v>
      </c>
      <c r="EZ94" s="610" t="s">
        <v>1707</v>
      </c>
      <c r="FA94" s="610" t="s">
        <v>1707</v>
      </c>
      <c r="FB94" s="610" t="s">
        <v>1707</v>
      </c>
      <c r="FC94" s="610" t="s">
        <v>1707</v>
      </c>
      <c r="FD94" s="610" t="s">
        <v>1707</v>
      </c>
      <c r="FE94" s="610" t="s">
        <v>1707</v>
      </c>
      <c r="FF94" s="610" t="s">
        <v>1707</v>
      </c>
      <c r="FG94" s="610" t="s">
        <v>1707</v>
      </c>
      <c r="FH94" s="610">
        <v>12</v>
      </c>
      <c r="FI94" s="610">
        <v>12</v>
      </c>
      <c r="FJ94" s="610">
        <v>12</v>
      </c>
      <c r="FK94" s="610">
        <v>12</v>
      </c>
      <c r="FL94" s="610">
        <v>12</v>
      </c>
      <c r="FM94" s="610">
        <v>12</v>
      </c>
      <c r="FN94" s="610">
        <v>12</v>
      </c>
      <c r="FO94" s="610">
        <v>12</v>
      </c>
      <c r="FP94" s="610">
        <v>12</v>
      </c>
      <c r="FQ94" s="610">
        <v>12</v>
      </c>
      <c r="FR94" s="610" t="s">
        <v>2487</v>
      </c>
      <c r="FS94" s="610" t="s">
        <v>2487</v>
      </c>
      <c r="FT94" s="610" t="s">
        <v>2487</v>
      </c>
      <c r="FU94" s="610" t="s">
        <v>2487</v>
      </c>
      <c r="FV94" s="610" t="s">
        <v>2487</v>
      </c>
      <c r="FW94" s="610" t="s">
        <v>2487</v>
      </c>
      <c r="FX94" s="610" t="s">
        <v>2487</v>
      </c>
      <c r="FY94" s="610" t="s">
        <v>2487</v>
      </c>
      <c r="FZ94" s="610" t="s">
        <v>2487</v>
      </c>
      <c r="GA94" s="610" t="s">
        <v>2487</v>
      </c>
      <c r="GB94" s="610" t="s">
        <v>2487</v>
      </c>
      <c r="GC94" s="610" t="s">
        <v>2487</v>
      </c>
      <c r="GD94" s="564">
        <f t="shared" si="18"/>
        <v>79950</v>
      </c>
      <c r="GE94" s="564">
        <f t="shared" si="19"/>
        <v>79950</v>
      </c>
      <c r="GF94" s="564">
        <f t="shared" si="20"/>
        <v>79950</v>
      </c>
      <c r="GG94" s="564">
        <f t="shared" si="21"/>
        <v>79950</v>
      </c>
      <c r="GH94" s="564">
        <f t="shared" si="22"/>
        <v>79950</v>
      </c>
      <c r="GI94" s="564">
        <f t="shared" si="23"/>
        <v>79950</v>
      </c>
      <c r="GJ94" s="564">
        <f t="shared" si="24"/>
        <v>79950</v>
      </c>
      <c r="GK94" s="564">
        <f t="shared" si="25"/>
        <v>79950</v>
      </c>
      <c r="GL94" s="564">
        <f t="shared" si="26"/>
        <v>79950</v>
      </c>
      <c r="GM94" s="564">
        <f t="shared" si="27"/>
        <v>79950</v>
      </c>
      <c r="GN94" s="564">
        <f t="shared" si="28"/>
        <v>79950</v>
      </c>
      <c r="GO94" s="564">
        <f t="shared" si="29"/>
        <v>79950</v>
      </c>
      <c r="GP94" s="564"/>
      <c r="GS94" s="375" t="s">
        <v>588</v>
      </c>
      <c r="GT94" s="374" t="str">
        <f t="shared" si="16"/>
        <v>〇</v>
      </c>
    </row>
    <row r="95" spans="2:202">
      <c r="B95" s="371">
        <v>91</v>
      </c>
      <c r="C95" s="378">
        <v>91</v>
      </c>
      <c r="D95" s="373" t="s">
        <v>592</v>
      </c>
      <c r="E95" s="373" t="s">
        <v>14</v>
      </c>
      <c r="F95" s="603">
        <f t="shared" si="17"/>
        <v>40</v>
      </c>
      <c r="G95" s="603"/>
      <c r="H95" s="603">
        <v>21</v>
      </c>
      <c r="I95" s="603">
        <v>19</v>
      </c>
      <c r="J95" s="603"/>
      <c r="K95" s="603"/>
      <c r="L95" s="603"/>
      <c r="M95" s="603"/>
      <c r="N95" s="608"/>
      <c r="O95" s="603">
        <v>1577000</v>
      </c>
      <c r="P95" s="603">
        <v>2721000</v>
      </c>
      <c r="Q95" s="603">
        <v>2721000</v>
      </c>
      <c r="R95" s="603">
        <v>1791000</v>
      </c>
      <c r="S95" s="603">
        <v>0</v>
      </c>
      <c r="T95" s="603">
        <v>4362000</v>
      </c>
      <c r="U95" s="603">
        <v>0</v>
      </c>
      <c r="V95" s="603">
        <v>1051000</v>
      </c>
      <c r="W95" s="603">
        <v>1814000</v>
      </c>
      <c r="X95" s="603">
        <v>1814000</v>
      </c>
      <c r="Y95" s="603">
        <v>1194000</v>
      </c>
      <c r="Z95" s="603">
        <v>0</v>
      </c>
      <c r="AA95" s="603">
        <v>2908000</v>
      </c>
      <c r="AB95" s="603">
        <v>0</v>
      </c>
      <c r="AC95" s="603">
        <v>0</v>
      </c>
      <c r="AD95" s="603">
        <v>0</v>
      </c>
      <c r="AE95" s="603">
        <v>0</v>
      </c>
      <c r="AF95" s="603">
        <v>0</v>
      </c>
      <c r="AG95" s="603">
        <v>0</v>
      </c>
      <c r="AH95" s="603">
        <v>0</v>
      </c>
      <c r="AI95" s="603">
        <v>0</v>
      </c>
      <c r="AJ95" s="604" t="s">
        <v>2377</v>
      </c>
      <c r="AK95" s="605" t="s">
        <v>2378</v>
      </c>
      <c r="AL95" s="605" t="s">
        <v>1545</v>
      </c>
      <c r="AM95" s="606" t="s">
        <v>2084</v>
      </c>
      <c r="AN95" s="609" t="s">
        <v>12</v>
      </c>
      <c r="AO95" s="610" t="s">
        <v>13</v>
      </c>
      <c r="AP95" s="610" t="s">
        <v>13</v>
      </c>
      <c r="AQ95" s="610" t="s">
        <v>13</v>
      </c>
      <c r="AR95" s="610" t="s">
        <v>13</v>
      </c>
      <c r="AS95" s="610" t="s">
        <v>13</v>
      </c>
      <c r="AT95" s="610" t="s">
        <v>13</v>
      </c>
      <c r="AU95" s="610" t="s">
        <v>13</v>
      </c>
      <c r="AV95" s="610" t="s">
        <v>13</v>
      </c>
      <c r="AW95" s="610" t="s">
        <v>13</v>
      </c>
      <c r="AX95" s="610" t="s">
        <v>13</v>
      </c>
      <c r="AY95" s="610" t="s">
        <v>13</v>
      </c>
      <c r="AZ95" s="610" t="s">
        <v>13</v>
      </c>
      <c r="BA95" s="610" t="s">
        <v>12</v>
      </c>
      <c r="BB95" s="610" t="s">
        <v>12</v>
      </c>
      <c r="BC95" s="610" t="s">
        <v>12</v>
      </c>
      <c r="BD95" s="610" t="s">
        <v>12</v>
      </c>
      <c r="BE95" s="610" t="s">
        <v>12</v>
      </c>
      <c r="BF95" s="610" t="s">
        <v>12</v>
      </c>
      <c r="BG95" s="610" t="s">
        <v>12</v>
      </c>
      <c r="BH95" s="610" t="s">
        <v>12</v>
      </c>
      <c r="BI95" s="610" t="s">
        <v>12</v>
      </c>
      <c r="BJ95" s="610" t="s">
        <v>12</v>
      </c>
      <c r="BK95" s="610" t="s">
        <v>12</v>
      </c>
      <c r="BL95" s="610" t="s">
        <v>12</v>
      </c>
      <c r="BM95" s="610">
        <v>2</v>
      </c>
      <c r="BN95" s="610">
        <v>2</v>
      </c>
      <c r="BO95" s="610">
        <v>2</v>
      </c>
      <c r="BP95" s="610">
        <v>3</v>
      </c>
      <c r="BQ95" s="610">
        <v>3</v>
      </c>
      <c r="BR95" s="610">
        <v>3</v>
      </c>
      <c r="BS95" s="610">
        <v>3</v>
      </c>
      <c r="BT95" s="610">
        <v>3</v>
      </c>
      <c r="BU95" s="610">
        <v>3</v>
      </c>
      <c r="BV95" s="610">
        <v>3</v>
      </c>
      <c r="BW95" s="610">
        <v>3</v>
      </c>
      <c r="BX95" s="610">
        <v>3</v>
      </c>
      <c r="BY95" s="610">
        <v>0</v>
      </c>
      <c r="BZ95" s="610">
        <v>0</v>
      </c>
      <c r="CA95" s="610">
        <v>0</v>
      </c>
      <c r="CB95" s="610">
        <v>0</v>
      </c>
      <c r="CC95" s="610">
        <v>0</v>
      </c>
      <c r="CD95" s="610">
        <v>0</v>
      </c>
      <c r="CE95" s="610">
        <v>0</v>
      </c>
      <c r="CF95" s="610">
        <v>0</v>
      </c>
      <c r="CG95" s="610">
        <v>0</v>
      </c>
      <c r="CH95" s="610">
        <v>0</v>
      </c>
      <c r="CI95" s="610">
        <v>0</v>
      </c>
      <c r="CJ95" s="610">
        <v>0</v>
      </c>
      <c r="CK95" s="610">
        <v>0</v>
      </c>
      <c r="CL95" s="610">
        <v>0</v>
      </c>
      <c r="CM95" s="610">
        <v>0</v>
      </c>
      <c r="CN95" s="610">
        <v>0</v>
      </c>
      <c r="CO95" s="610">
        <v>0</v>
      </c>
      <c r="CP95" s="610">
        <v>0</v>
      </c>
      <c r="CQ95" s="610">
        <v>0</v>
      </c>
      <c r="CR95" s="610">
        <v>0</v>
      </c>
      <c r="CS95" s="610">
        <v>0</v>
      </c>
      <c r="CT95" s="610">
        <v>0</v>
      </c>
      <c r="CU95" s="610">
        <v>0</v>
      </c>
      <c r="CV95" s="610">
        <v>0</v>
      </c>
      <c r="CW95" s="610" t="s">
        <v>14</v>
      </c>
      <c r="CX95" s="610">
        <v>0</v>
      </c>
      <c r="CY95" s="610" t="s">
        <v>1707</v>
      </c>
      <c r="CZ95" s="610" t="s">
        <v>1707</v>
      </c>
      <c r="DA95" s="610" t="s">
        <v>1707</v>
      </c>
      <c r="DB95" s="610" t="s">
        <v>1707</v>
      </c>
      <c r="DC95" s="610" t="s">
        <v>1707</v>
      </c>
      <c r="DD95" s="610" t="s">
        <v>1707</v>
      </c>
      <c r="DE95" s="610" t="s">
        <v>1707</v>
      </c>
      <c r="DF95" s="610" t="s">
        <v>1707</v>
      </c>
      <c r="DG95" s="610" t="s">
        <v>1707</v>
      </c>
      <c r="DH95" s="610" t="s">
        <v>1707</v>
      </c>
      <c r="DI95" s="610" t="s">
        <v>1707</v>
      </c>
      <c r="DJ95" s="610" t="s">
        <v>1707</v>
      </c>
      <c r="DK95" s="610" t="s">
        <v>1368</v>
      </c>
      <c r="DL95" s="610" t="s">
        <v>1368</v>
      </c>
      <c r="DM95" s="610" t="s">
        <v>1368</v>
      </c>
      <c r="DN95" s="610" t="s">
        <v>1368</v>
      </c>
      <c r="DO95" s="610" t="s">
        <v>1368</v>
      </c>
      <c r="DP95" s="610" t="s">
        <v>1368</v>
      </c>
      <c r="DQ95" s="610" t="s">
        <v>1368</v>
      </c>
      <c r="DR95" s="610" t="s">
        <v>1368</v>
      </c>
      <c r="DS95" s="610" t="s">
        <v>1368</v>
      </c>
      <c r="DT95" s="610" t="s">
        <v>1368</v>
      </c>
      <c r="DU95" s="610" t="s">
        <v>1368</v>
      </c>
      <c r="DV95" s="610" t="s">
        <v>1368</v>
      </c>
      <c r="DW95" s="609" t="s">
        <v>1368</v>
      </c>
      <c r="DX95" s="609" t="s">
        <v>1368</v>
      </c>
      <c r="DY95" s="609" t="s">
        <v>1368</v>
      </c>
      <c r="DZ95" s="609" t="s">
        <v>1368</v>
      </c>
      <c r="EA95" s="609" t="s">
        <v>1368</v>
      </c>
      <c r="EB95" s="609" t="s">
        <v>1368</v>
      </c>
      <c r="EC95" s="609" t="s">
        <v>1368</v>
      </c>
      <c r="ED95" s="609" t="s">
        <v>1368</v>
      </c>
      <c r="EE95" s="609" t="s">
        <v>1368</v>
      </c>
      <c r="EF95" s="609" t="s">
        <v>1368</v>
      </c>
      <c r="EG95" s="609" t="s">
        <v>1368</v>
      </c>
      <c r="EH95" s="609" t="s">
        <v>1368</v>
      </c>
      <c r="EI95" s="610" t="s">
        <v>1707</v>
      </c>
      <c r="EJ95" s="610" t="s">
        <v>1707</v>
      </c>
      <c r="EK95" s="610" t="s">
        <v>1707</v>
      </c>
      <c r="EL95" s="610" t="s">
        <v>1707</v>
      </c>
      <c r="EM95" s="610" t="s">
        <v>1707</v>
      </c>
      <c r="EN95" s="610" t="s">
        <v>1707</v>
      </c>
      <c r="EO95" s="610" t="s">
        <v>1707</v>
      </c>
      <c r="EP95" s="610" t="s">
        <v>1707</v>
      </c>
      <c r="EQ95" s="610" t="s">
        <v>1707</v>
      </c>
      <c r="ER95" s="610" t="s">
        <v>1707</v>
      </c>
      <c r="ES95" s="610" t="s">
        <v>1707</v>
      </c>
      <c r="ET95" s="610" t="s">
        <v>1707</v>
      </c>
      <c r="EU95" s="610">
        <v>3980</v>
      </c>
      <c r="EV95" s="610" t="s">
        <v>1707</v>
      </c>
      <c r="EW95" s="610" t="s">
        <v>1707</v>
      </c>
      <c r="EX95" s="610" t="s">
        <v>1707</v>
      </c>
      <c r="EY95" s="610" t="s">
        <v>1707</v>
      </c>
      <c r="EZ95" s="610" t="s">
        <v>1707</v>
      </c>
      <c r="FA95" s="610" t="s">
        <v>1707</v>
      </c>
      <c r="FB95" s="610" t="s">
        <v>1707</v>
      </c>
      <c r="FC95" s="610" t="s">
        <v>1707</v>
      </c>
      <c r="FD95" s="610" t="s">
        <v>1707</v>
      </c>
      <c r="FE95" s="610" t="s">
        <v>1707</v>
      </c>
      <c r="FF95" s="610" t="s">
        <v>1707</v>
      </c>
      <c r="FG95" s="610" t="s">
        <v>1707</v>
      </c>
      <c r="FH95" s="610">
        <v>13</v>
      </c>
      <c r="FI95" s="610">
        <v>13</v>
      </c>
      <c r="FJ95" s="610">
        <v>13</v>
      </c>
      <c r="FK95" s="610">
        <v>13</v>
      </c>
      <c r="FL95" s="610">
        <v>13</v>
      </c>
      <c r="FM95" s="610">
        <v>13</v>
      </c>
      <c r="FN95" s="610">
        <v>13</v>
      </c>
      <c r="FO95" s="610">
        <v>13</v>
      </c>
      <c r="FP95" s="610">
        <v>13</v>
      </c>
      <c r="FQ95" s="610">
        <v>13</v>
      </c>
      <c r="FR95" s="610" t="s">
        <v>2487</v>
      </c>
      <c r="FS95" s="610" t="s">
        <v>2487</v>
      </c>
      <c r="FT95" s="610" t="s">
        <v>2487</v>
      </c>
      <c r="FU95" s="610" t="s">
        <v>2487</v>
      </c>
      <c r="FV95" s="610" t="s">
        <v>2487</v>
      </c>
      <c r="FW95" s="610" t="s">
        <v>2487</v>
      </c>
      <c r="FX95" s="610" t="s">
        <v>2487</v>
      </c>
      <c r="FY95" s="610" t="s">
        <v>2487</v>
      </c>
      <c r="FZ95" s="610" t="s">
        <v>2487</v>
      </c>
      <c r="GA95" s="610" t="s">
        <v>2487</v>
      </c>
      <c r="GB95" s="610" t="s">
        <v>2487</v>
      </c>
      <c r="GC95" s="610" t="s">
        <v>2487</v>
      </c>
      <c r="GD95" s="564">
        <f t="shared" si="18"/>
        <v>79950</v>
      </c>
      <c r="GE95" s="564">
        <f t="shared" si="19"/>
        <v>79950</v>
      </c>
      <c r="GF95" s="564">
        <f t="shared" si="20"/>
        <v>79950</v>
      </c>
      <c r="GG95" s="564">
        <f t="shared" si="21"/>
        <v>79950</v>
      </c>
      <c r="GH95" s="564">
        <f t="shared" si="22"/>
        <v>79950</v>
      </c>
      <c r="GI95" s="564">
        <f t="shared" si="23"/>
        <v>79950</v>
      </c>
      <c r="GJ95" s="564">
        <f t="shared" si="24"/>
        <v>79950</v>
      </c>
      <c r="GK95" s="564">
        <f t="shared" si="25"/>
        <v>79950</v>
      </c>
      <c r="GL95" s="564">
        <f t="shared" si="26"/>
        <v>79950</v>
      </c>
      <c r="GM95" s="564">
        <f t="shared" si="27"/>
        <v>79950</v>
      </c>
      <c r="GN95" s="564">
        <f t="shared" si="28"/>
        <v>79950</v>
      </c>
      <c r="GO95" s="564">
        <f t="shared" si="29"/>
        <v>79950</v>
      </c>
      <c r="GP95" s="564"/>
      <c r="GS95" s="375" t="s">
        <v>592</v>
      </c>
      <c r="GT95" s="374" t="str">
        <f t="shared" si="16"/>
        <v>〇</v>
      </c>
    </row>
    <row r="96" spans="2:202">
      <c r="B96" s="371">
        <v>92</v>
      </c>
      <c r="C96" s="378">
        <v>92</v>
      </c>
      <c r="D96" s="373" t="s">
        <v>551</v>
      </c>
      <c r="E96" s="373" t="s">
        <v>14</v>
      </c>
      <c r="F96" s="603">
        <f t="shared" si="17"/>
        <v>36</v>
      </c>
      <c r="G96" s="603"/>
      <c r="H96" s="603">
        <v>18</v>
      </c>
      <c r="I96" s="603">
        <v>18</v>
      </c>
      <c r="J96" s="603"/>
      <c r="K96" s="603"/>
      <c r="L96" s="603"/>
      <c r="M96" s="603"/>
      <c r="N96" s="608"/>
      <c r="O96" s="603">
        <v>1577000</v>
      </c>
      <c r="P96" s="603">
        <v>2721000</v>
      </c>
      <c r="Q96" s="603">
        <v>0</v>
      </c>
      <c r="R96" s="603">
        <v>1188000</v>
      </c>
      <c r="S96" s="603">
        <v>1791000</v>
      </c>
      <c r="T96" s="603">
        <v>0</v>
      </c>
      <c r="U96" s="603">
        <v>0</v>
      </c>
      <c r="V96" s="603">
        <v>1051000</v>
      </c>
      <c r="W96" s="603">
        <v>1814000</v>
      </c>
      <c r="X96" s="603">
        <v>0</v>
      </c>
      <c r="Y96" s="603">
        <v>792000</v>
      </c>
      <c r="Z96" s="603">
        <v>1194000</v>
      </c>
      <c r="AA96" s="603">
        <v>0</v>
      </c>
      <c r="AB96" s="603">
        <v>0</v>
      </c>
      <c r="AC96" s="603">
        <v>0</v>
      </c>
      <c r="AD96" s="603">
        <v>0</v>
      </c>
      <c r="AE96" s="603">
        <v>0</v>
      </c>
      <c r="AF96" s="603">
        <v>0</v>
      </c>
      <c r="AG96" s="603">
        <v>0</v>
      </c>
      <c r="AH96" s="603">
        <v>0</v>
      </c>
      <c r="AI96" s="603">
        <v>0</v>
      </c>
      <c r="AJ96" s="604" t="s">
        <v>2377</v>
      </c>
      <c r="AK96" s="605" t="s">
        <v>2378</v>
      </c>
      <c r="AL96" s="605" t="s">
        <v>1545</v>
      </c>
      <c r="AM96" s="606" t="s">
        <v>2085</v>
      </c>
      <c r="AN96" s="609" t="s">
        <v>12</v>
      </c>
      <c r="AO96" s="610" t="s">
        <v>1368</v>
      </c>
      <c r="AP96" s="610" t="s">
        <v>1368</v>
      </c>
      <c r="AQ96" s="610" t="s">
        <v>1368</v>
      </c>
      <c r="AR96" s="610" t="s">
        <v>1368</v>
      </c>
      <c r="AS96" s="610" t="s">
        <v>1368</v>
      </c>
      <c r="AT96" s="610" t="s">
        <v>1368</v>
      </c>
      <c r="AU96" s="610" t="s">
        <v>1368</v>
      </c>
      <c r="AV96" s="610" t="s">
        <v>1368</v>
      </c>
      <c r="AW96" s="610" t="s">
        <v>1368</v>
      </c>
      <c r="AX96" s="610" t="s">
        <v>1368</v>
      </c>
      <c r="AY96" s="610" t="s">
        <v>1368</v>
      </c>
      <c r="AZ96" s="610" t="s">
        <v>1368</v>
      </c>
      <c r="BA96" s="610" t="s">
        <v>1368</v>
      </c>
      <c r="BB96" s="610" t="s">
        <v>1368</v>
      </c>
      <c r="BC96" s="610" t="s">
        <v>1368</v>
      </c>
      <c r="BD96" s="610" t="s">
        <v>1368</v>
      </c>
      <c r="BE96" s="610" t="s">
        <v>1368</v>
      </c>
      <c r="BF96" s="610" t="s">
        <v>1368</v>
      </c>
      <c r="BG96" s="610" t="s">
        <v>1368</v>
      </c>
      <c r="BH96" s="610" t="s">
        <v>1368</v>
      </c>
      <c r="BI96" s="610" t="s">
        <v>1368</v>
      </c>
      <c r="BJ96" s="610" t="s">
        <v>1368</v>
      </c>
      <c r="BK96" s="610" t="s">
        <v>1368</v>
      </c>
      <c r="BL96" s="610" t="s">
        <v>1368</v>
      </c>
      <c r="BM96" s="610">
        <v>0</v>
      </c>
      <c r="BN96" s="610">
        <v>0</v>
      </c>
      <c r="BO96" s="610">
        <v>0</v>
      </c>
      <c r="BP96" s="610">
        <v>0</v>
      </c>
      <c r="BQ96" s="610">
        <v>0</v>
      </c>
      <c r="BR96" s="610">
        <v>0</v>
      </c>
      <c r="BS96" s="610">
        <v>0</v>
      </c>
      <c r="BT96" s="610">
        <v>0</v>
      </c>
      <c r="BU96" s="610">
        <v>0</v>
      </c>
      <c r="BV96" s="610">
        <v>0</v>
      </c>
      <c r="BW96" s="610">
        <v>0</v>
      </c>
      <c r="BX96" s="610">
        <v>0</v>
      </c>
      <c r="BY96" s="610">
        <v>0</v>
      </c>
      <c r="BZ96" s="610">
        <v>0</v>
      </c>
      <c r="CA96" s="610">
        <v>0</v>
      </c>
      <c r="CB96" s="610">
        <v>0</v>
      </c>
      <c r="CC96" s="610">
        <v>0</v>
      </c>
      <c r="CD96" s="610">
        <v>0</v>
      </c>
      <c r="CE96" s="610">
        <v>0</v>
      </c>
      <c r="CF96" s="610">
        <v>0</v>
      </c>
      <c r="CG96" s="610">
        <v>0</v>
      </c>
      <c r="CH96" s="610">
        <v>0</v>
      </c>
      <c r="CI96" s="610">
        <v>0</v>
      </c>
      <c r="CJ96" s="610">
        <v>0</v>
      </c>
      <c r="CK96" s="610">
        <v>0</v>
      </c>
      <c r="CL96" s="610">
        <v>0</v>
      </c>
      <c r="CM96" s="610">
        <v>0</v>
      </c>
      <c r="CN96" s="610">
        <v>0</v>
      </c>
      <c r="CO96" s="610">
        <v>0</v>
      </c>
      <c r="CP96" s="610">
        <v>0</v>
      </c>
      <c r="CQ96" s="610">
        <v>0</v>
      </c>
      <c r="CR96" s="610">
        <v>0</v>
      </c>
      <c r="CS96" s="610">
        <v>0</v>
      </c>
      <c r="CT96" s="610">
        <v>0</v>
      </c>
      <c r="CU96" s="610">
        <v>0</v>
      </c>
      <c r="CV96" s="610">
        <v>0</v>
      </c>
      <c r="CW96" s="610" t="s">
        <v>14</v>
      </c>
      <c r="CX96" s="610">
        <v>0</v>
      </c>
      <c r="CY96" s="610" t="s">
        <v>1707</v>
      </c>
      <c r="CZ96" s="610" t="s">
        <v>1707</v>
      </c>
      <c r="DA96" s="610" t="s">
        <v>1707</v>
      </c>
      <c r="DB96" s="610" t="s">
        <v>1707</v>
      </c>
      <c r="DC96" s="610" t="s">
        <v>1707</v>
      </c>
      <c r="DD96" s="610" t="s">
        <v>1707</v>
      </c>
      <c r="DE96" s="610" t="s">
        <v>1707</v>
      </c>
      <c r="DF96" s="610" t="s">
        <v>1707</v>
      </c>
      <c r="DG96" s="610" t="s">
        <v>1707</v>
      </c>
      <c r="DH96" s="610" t="s">
        <v>1707</v>
      </c>
      <c r="DI96" s="610" t="s">
        <v>1707</v>
      </c>
      <c r="DJ96" s="610" t="s">
        <v>1707</v>
      </c>
      <c r="DK96" s="610" t="s">
        <v>1368</v>
      </c>
      <c r="DL96" s="610" t="s">
        <v>1368</v>
      </c>
      <c r="DM96" s="610" t="s">
        <v>1368</v>
      </c>
      <c r="DN96" s="610" t="s">
        <v>1368</v>
      </c>
      <c r="DO96" s="610" t="s">
        <v>1368</v>
      </c>
      <c r="DP96" s="610" t="s">
        <v>1368</v>
      </c>
      <c r="DQ96" s="610" t="s">
        <v>1368</v>
      </c>
      <c r="DR96" s="610" t="s">
        <v>1368</v>
      </c>
      <c r="DS96" s="610" t="s">
        <v>1368</v>
      </c>
      <c r="DT96" s="610" t="s">
        <v>1368</v>
      </c>
      <c r="DU96" s="610" t="s">
        <v>1368</v>
      </c>
      <c r="DV96" s="610" t="s">
        <v>1368</v>
      </c>
      <c r="DW96" s="609" t="s">
        <v>1368</v>
      </c>
      <c r="DX96" s="609" t="s">
        <v>1368</v>
      </c>
      <c r="DY96" s="609" t="s">
        <v>1368</v>
      </c>
      <c r="DZ96" s="609" t="s">
        <v>1368</v>
      </c>
      <c r="EA96" s="609" t="s">
        <v>1368</v>
      </c>
      <c r="EB96" s="609" t="s">
        <v>1368</v>
      </c>
      <c r="EC96" s="609" t="s">
        <v>1368</v>
      </c>
      <c r="ED96" s="609" t="s">
        <v>1368</v>
      </c>
      <c r="EE96" s="609" t="s">
        <v>1368</v>
      </c>
      <c r="EF96" s="609" t="s">
        <v>1368</v>
      </c>
      <c r="EG96" s="609" t="s">
        <v>1368</v>
      </c>
      <c r="EH96" s="609" t="s">
        <v>1368</v>
      </c>
      <c r="EI96" s="610" t="s">
        <v>1707</v>
      </c>
      <c r="EJ96" s="610" t="s">
        <v>1707</v>
      </c>
      <c r="EK96" s="610" t="s">
        <v>1707</v>
      </c>
      <c r="EL96" s="610" t="s">
        <v>1707</v>
      </c>
      <c r="EM96" s="610" t="s">
        <v>1707</v>
      </c>
      <c r="EN96" s="610" t="s">
        <v>1707</v>
      </c>
      <c r="EO96" s="610" t="s">
        <v>1707</v>
      </c>
      <c r="EP96" s="610" t="s">
        <v>1707</v>
      </c>
      <c r="EQ96" s="610" t="s">
        <v>1707</v>
      </c>
      <c r="ER96" s="610" t="s">
        <v>1707</v>
      </c>
      <c r="ES96" s="610" t="s">
        <v>1707</v>
      </c>
      <c r="ET96" s="610" t="s">
        <v>1707</v>
      </c>
      <c r="EU96" s="610">
        <v>3920</v>
      </c>
      <c r="EV96" s="610" t="s">
        <v>2449</v>
      </c>
      <c r="EW96" s="610" t="s">
        <v>2449</v>
      </c>
      <c r="EX96" s="610" t="s">
        <v>2449</v>
      </c>
      <c r="EY96" s="610" t="s">
        <v>2449</v>
      </c>
      <c r="EZ96" s="610" t="s">
        <v>2449</v>
      </c>
      <c r="FA96" s="610" t="s">
        <v>2449</v>
      </c>
      <c r="FB96" s="610" t="s">
        <v>2449</v>
      </c>
      <c r="FC96" s="610" t="s">
        <v>2449</v>
      </c>
      <c r="FD96" s="610" t="s">
        <v>2449</v>
      </c>
      <c r="FE96" s="610" t="s">
        <v>2449</v>
      </c>
      <c r="FF96" s="610" t="s">
        <v>2449</v>
      </c>
      <c r="FG96" s="610" t="s">
        <v>2449</v>
      </c>
      <c r="FH96" s="610">
        <v>17</v>
      </c>
      <c r="FI96" s="610">
        <v>17</v>
      </c>
      <c r="FJ96" s="610">
        <v>17</v>
      </c>
      <c r="FK96" s="610">
        <v>17</v>
      </c>
      <c r="FL96" s="610">
        <v>17</v>
      </c>
      <c r="FM96" s="610">
        <v>17</v>
      </c>
      <c r="FN96" s="610">
        <v>17</v>
      </c>
      <c r="FO96" s="610">
        <v>17</v>
      </c>
      <c r="FP96" s="610">
        <v>17</v>
      </c>
      <c r="FQ96" s="610">
        <v>17</v>
      </c>
      <c r="FR96" s="610" t="s">
        <v>2487</v>
      </c>
      <c r="FS96" s="610" t="s">
        <v>2487</v>
      </c>
      <c r="FT96" s="610" t="s">
        <v>2487</v>
      </c>
      <c r="FU96" s="610" t="s">
        <v>2487</v>
      </c>
      <c r="FV96" s="610" t="s">
        <v>2487</v>
      </c>
      <c r="FW96" s="610" t="s">
        <v>2487</v>
      </c>
      <c r="FX96" s="610" t="s">
        <v>2487</v>
      </c>
      <c r="FY96" s="610" t="s">
        <v>2487</v>
      </c>
      <c r="FZ96" s="610" t="s">
        <v>2487</v>
      </c>
      <c r="GA96" s="610" t="s">
        <v>2487</v>
      </c>
      <c r="GB96" s="610" t="s">
        <v>2487</v>
      </c>
      <c r="GC96" s="610" t="s">
        <v>2487</v>
      </c>
      <c r="GD96" s="564">
        <f t="shared" si="18"/>
        <v>79950</v>
      </c>
      <c r="GE96" s="564">
        <f t="shared" si="19"/>
        <v>79950</v>
      </c>
      <c r="GF96" s="564">
        <f t="shared" si="20"/>
        <v>79950</v>
      </c>
      <c r="GG96" s="564">
        <f t="shared" si="21"/>
        <v>79950</v>
      </c>
      <c r="GH96" s="564">
        <f t="shared" si="22"/>
        <v>79950</v>
      </c>
      <c r="GI96" s="564">
        <f t="shared" si="23"/>
        <v>79950</v>
      </c>
      <c r="GJ96" s="564">
        <f t="shared" si="24"/>
        <v>79950</v>
      </c>
      <c r="GK96" s="564">
        <f t="shared" si="25"/>
        <v>79950</v>
      </c>
      <c r="GL96" s="564">
        <f t="shared" si="26"/>
        <v>79950</v>
      </c>
      <c r="GM96" s="564">
        <f t="shared" si="27"/>
        <v>79950</v>
      </c>
      <c r="GN96" s="564">
        <f t="shared" si="28"/>
        <v>79950</v>
      </c>
      <c r="GO96" s="564">
        <f t="shared" si="29"/>
        <v>79950</v>
      </c>
      <c r="GP96" s="564"/>
      <c r="GS96" s="375" t="s">
        <v>551</v>
      </c>
      <c r="GT96" s="374" t="str">
        <f t="shared" si="16"/>
        <v>〇</v>
      </c>
    </row>
    <row r="97" spans="2:202">
      <c r="B97" s="371">
        <v>93</v>
      </c>
      <c r="C97" s="378">
        <v>93</v>
      </c>
      <c r="D97" s="373" t="s">
        <v>552</v>
      </c>
      <c r="E97" s="373" t="s">
        <v>14</v>
      </c>
      <c r="F97" s="603">
        <f t="shared" si="17"/>
        <v>30</v>
      </c>
      <c r="G97" s="603"/>
      <c r="H97" s="603">
        <v>17</v>
      </c>
      <c r="I97" s="603">
        <v>13</v>
      </c>
      <c r="J97" s="603"/>
      <c r="K97" s="603"/>
      <c r="L97" s="603"/>
      <c r="M97" s="603"/>
      <c r="N97" s="608"/>
      <c r="O97" s="603">
        <v>1577000</v>
      </c>
      <c r="P97" s="603">
        <v>2721000</v>
      </c>
      <c r="Q97" s="603">
        <v>2721000</v>
      </c>
      <c r="R97" s="603">
        <v>1188000</v>
      </c>
      <c r="S97" s="603">
        <v>0</v>
      </c>
      <c r="T97" s="603">
        <v>0</v>
      </c>
      <c r="U97" s="603">
        <v>0</v>
      </c>
      <c r="V97" s="603">
        <v>0</v>
      </c>
      <c r="W97" s="603">
        <v>0</v>
      </c>
      <c r="X97" s="603">
        <v>0</v>
      </c>
      <c r="Y97" s="603">
        <v>0</v>
      </c>
      <c r="Z97" s="603">
        <v>0</v>
      </c>
      <c r="AA97" s="603">
        <v>0</v>
      </c>
      <c r="AB97" s="603">
        <v>0</v>
      </c>
      <c r="AC97" s="603">
        <v>0</v>
      </c>
      <c r="AD97" s="603">
        <v>0</v>
      </c>
      <c r="AE97" s="603">
        <v>0</v>
      </c>
      <c r="AF97" s="603">
        <v>0</v>
      </c>
      <c r="AG97" s="603">
        <v>0</v>
      </c>
      <c r="AH97" s="603">
        <v>0</v>
      </c>
      <c r="AI97" s="603">
        <v>0</v>
      </c>
      <c r="AJ97" s="604" t="s">
        <v>2377</v>
      </c>
      <c r="AK97" s="605" t="s">
        <v>1545</v>
      </c>
      <c r="AL97" s="605" t="s">
        <v>1545</v>
      </c>
      <c r="AM97" s="606" t="s">
        <v>2086</v>
      </c>
      <c r="AN97" s="609" t="s">
        <v>12</v>
      </c>
      <c r="AO97" s="610" t="s">
        <v>1368</v>
      </c>
      <c r="AP97" s="610" t="s">
        <v>1368</v>
      </c>
      <c r="AQ97" s="610" t="s">
        <v>1368</v>
      </c>
      <c r="AR97" s="610" t="s">
        <v>1368</v>
      </c>
      <c r="AS97" s="610" t="s">
        <v>1368</v>
      </c>
      <c r="AT97" s="610" t="s">
        <v>1368</v>
      </c>
      <c r="AU97" s="610" t="s">
        <v>1368</v>
      </c>
      <c r="AV97" s="610" t="s">
        <v>1368</v>
      </c>
      <c r="AW97" s="610" t="s">
        <v>1368</v>
      </c>
      <c r="AX97" s="610" t="s">
        <v>1368</v>
      </c>
      <c r="AY97" s="610" t="s">
        <v>1368</v>
      </c>
      <c r="AZ97" s="610" t="s">
        <v>1368</v>
      </c>
      <c r="BA97" s="610" t="s">
        <v>1368</v>
      </c>
      <c r="BB97" s="610" t="s">
        <v>1368</v>
      </c>
      <c r="BC97" s="610" t="s">
        <v>1368</v>
      </c>
      <c r="BD97" s="610" t="s">
        <v>1368</v>
      </c>
      <c r="BE97" s="610" t="s">
        <v>1368</v>
      </c>
      <c r="BF97" s="610" t="s">
        <v>1368</v>
      </c>
      <c r="BG97" s="610" t="s">
        <v>1368</v>
      </c>
      <c r="BH97" s="610" t="s">
        <v>1368</v>
      </c>
      <c r="BI97" s="610" t="s">
        <v>1368</v>
      </c>
      <c r="BJ97" s="610" t="s">
        <v>1368</v>
      </c>
      <c r="BK97" s="610" t="s">
        <v>1368</v>
      </c>
      <c r="BL97" s="610" t="s">
        <v>1368</v>
      </c>
      <c r="BM97" s="610">
        <v>2</v>
      </c>
      <c r="BN97" s="610">
        <v>2</v>
      </c>
      <c r="BO97" s="610">
        <v>2</v>
      </c>
      <c r="BP97" s="610">
        <v>2</v>
      </c>
      <c r="BQ97" s="610">
        <v>2</v>
      </c>
      <c r="BR97" s="610">
        <v>2</v>
      </c>
      <c r="BS97" s="610">
        <v>2</v>
      </c>
      <c r="BT97" s="610">
        <v>2</v>
      </c>
      <c r="BU97" s="610">
        <v>2</v>
      </c>
      <c r="BV97" s="610">
        <v>2</v>
      </c>
      <c r="BW97" s="610">
        <v>2</v>
      </c>
      <c r="BX97" s="610">
        <v>2</v>
      </c>
      <c r="BY97" s="610">
        <v>0</v>
      </c>
      <c r="BZ97" s="610">
        <v>0</v>
      </c>
      <c r="CA97" s="610">
        <v>0</v>
      </c>
      <c r="CB97" s="610">
        <v>0</v>
      </c>
      <c r="CC97" s="610">
        <v>0</v>
      </c>
      <c r="CD97" s="610">
        <v>0</v>
      </c>
      <c r="CE97" s="610">
        <v>0</v>
      </c>
      <c r="CF97" s="610">
        <v>0</v>
      </c>
      <c r="CG97" s="610">
        <v>0</v>
      </c>
      <c r="CH97" s="610">
        <v>0</v>
      </c>
      <c r="CI97" s="610">
        <v>0</v>
      </c>
      <c r="CJ97" s="610">
        <v>0</v>
      </c>
      <c r="CK97" s="610">
        <v>0</v>
      </c>
      <c r="CL97" s="610">
        <v>0</v>
      </c>
      <c r="CM97" s="610">
        <v>0</v>
      </c>
      <c r="CN97" s="610">
        <v>0</v>
      </c>
      <c r="CO97" s="610">
        <v>0</v>
      </c>
      <c r="CP97" s="610">
        <v>0</v>
      </c>
      <c r="CQ97" s="610">
        <v>0</v>
      </c>
      <c r="CR97" s="610">
        <v>0</v>
      </c>
      <c r="CS97" s="610">
        <v>0</v>
      </c>
      <c r="CT97" s="610">
        <v>0</v>
      </c>
      <c r="CU97" s="610">
        <v>0</v>
      </c>
      <c r="CV97" s="610">
        <v>0</v>
      </c>
      <c r="CW97" s="610" t="s">
        <v>14</v>
      </c>
      <c r="CX97" s="610">
        <v>0</v>
      </c>
      <c r="CY97" s="610" t="s">
        <v>1707</v>
      </c>
      <c r="CZ97" s="610" t="s">
        <v>1707</v>
      </c>
      <c r="DA97" s="610" t="s">
        <v>1707</v>
      </c>
      <c r="DB97" s="610" t="s">
        <v>1707</v>
      </c>
      <c r="DC97" s="610" t="s">
        <v>1707</v>
      </c>
      <c r="DD97" s="610" t="s">
        <v>1707</v>
      </c>
      <c r="DE97" s="610" t="s">
        <v>1707</v>
      </c>
      <c r="DF97" s="610" t="s">
        <v>1707</v>
      </c>
      <c r="DG97" s="610" t="s">
        <v>1707</v>
      </c>
      <c r="DH97" s="610" t="s">
        <v>1707</v>
      </c>
      <c r="DI97" s="610" t="s">
        <v>1707</v>
      </c>
      <c r="DJ97" s="610" t="s">
        <v>1707</v>
      </c>
      <c r="DK97" s="610" t="s">
        <v>1368</v>
      </c>
      <c r="DL97" s="610" t="s">
        <v>1368</v>
      </c>
      <c r="DM97" s="610" t="s">
        <v>1368</v>
      </c>
      <c r="DN97" s="610" t="s">
        <v>1368</v>
      </c>
      <c r="DO97" s="610" t="s">
        <v>1368</v>
      </c>
      <c r="DP97" s="610" t="s">
        <v>1368</v>
      </c>
      <c r="DQ97" s="610" t="s">
        <v>1368</v>
      </c>
      <c r="DR97" s="610" t="s">
        <v>1368</v>
      </c>
      <c r="DS97" s="610" t="s">
        <v>1368</v>
      </c>
      <c r="DT97" s="610" t="s">
        <v>1368</v>
      </c>
      <c r="DU97" s="610" t="s">
        <v>1368</v>
      </c>
      <c r="DV97" s="610" t="s">
        <v>1368</v>
      </c>
      <c r="DW97" s="609" t="s">
        <v>1368</v>
      </c>
      <c r="DX97" s="609" t="s">
        <v>1368</v>
      </c>
      <c r="DY97" s="609" t="s">
        <v>1368</v>
      </c>
      <c r="DZ97" s="609" t="s">
        <v>1368</v>
      </c>
      <c r="EA97" s="609" t="s">
        <v>1368</v>
      </c>
      <c r="EB97" s="609" t="s">
        <v>1368</v>
      </c>
      <c r="EC97" s="609" t="s">
        <v>1368</v>
      </c>
      <c r="ED97" s="609" t="s">
        <v>1368</v>
      </c>
      <c r="EE97" s="609" t="s">
        <v>1368</v>
      </c>
      <c r="EF97" s="609" t="s">
        <v>1368</v>
      </c>
      <c r="EG97" s="609" t="s">
        <v>1368</v>
      </c>
      <c r="EH97" s="609" t="s">
        <v>1368</v>
      </c>
      <c r="EI97" s="610" t="s">
        <v>1707</v>
      </c>
      <c r="EJ97" s="610" t="s">
        <v>1707</v>
      </c>
      <c r="EK97" s="610" t="s">
        <v>1707</v>
      </c>
      <c r="EL97" s="610" t="s">
        <v>1707</v>
      </c>
      <c r="EM97" s="610" t="s">
        <v>1707</v>
      </c>
      <c r="EN97" s="610" t="s">
        <v>1707</v>
      </c>
      <c r="EO97" s="610" t="s">
        <v>1707</v>
      </c>
      <c r="EP97" s="610" t="s">
        <v>1707</v>
      </c>
      <c r="EQ97" s="610" t="s">
        <v>1707</v>
      </c>
      <c r="ER97" s="610" t="s">
        <v>1707</v>
      </c>
      <c r="ES97" s="610" t="s">
        <v>1707</v>
      </c>
      <c r="ET97" s="610" t="s">
        <v>1707</v>
      </c>
      <c r="EU97" s="610">
        <v>3980</v>
      </c>
      <c r="EV97" s="610" t="s">
        <v>1707</v>
      </c>
      <c r="EW97" s="610" t="s">
        <v>1707</v>
      </c>
      <c r="EX97" s="610" t="s">
        <v>1707</v>
      </c>
      <c r="EY97" s="610" t="s">
        <v>1707</v>
      </c>
      <c r="EZ97" s="610" t="s">
        <v>1707</v>
      </c>
      <c r="FA97" s="610" t="s">
        <v>1707</v>
      </c>
      <c r="FB97" s="610" t="s">
        <v>1707</v>
      </c>
      <c r="FC97" s="610" t="s">
        <v>1707</v>
      </c>
      <c r="FD97" s="610" t="s">
        <v>1707</v>
      </c>
      <c r="FE97" s="610" t="s">
        <v>1707</v>
      </c>
      <c r="FF97" s="610" t="s">
        <v>1707</v>
      </c>
      <c r="FG97" s="610" t="s">
        <v>1707</v>
      </c>
      <c r="FH97" s="610">
        <v>9</v>
      </c>
      <c r="FI97" s="610">
        <v>9</v>
      </c>
      <c r="FJ97" s="610">
        <v>9</v>
      </c>
      <c r="FK97" s="610">
        <v>9</v>
      </c>
      <c r="FL97" s="610">
        <v>9</v>
      </c>
      <c r="FM97" s="610">
        <v>9</v>
      </c>
      <c r="FN97" s="610">
        <v>9</v>
      </c>
      <c r="FO97" s="610">
        <v>9</v>
      </c>
      <c r="FP97" s="610">
        <v>9</v>
      </c>
      <c r="FQ97" s="610">
        <v>9</v>
      </c>
      <c r="FR97" s="610" t="s">
        <v>2487</v>
      </c>
      <c r="FS97" s="610" t="s">
        <v>2487</v>
      </c>
      <c r="FT97" s="610" t="s">
        <v>2487</v>
      </c>
      <c r="FU97" s="610" t="s">
        <v>2487</v>
      </c>
      <c r="FV97" s="610" t="s">
        <v>2487</v>
      </c>
      <c r="FW97" s="610" t="s">
        <v>2487</v>
      </c>
      <c r="FX97" s="610" t="s">
        <v>2487</v>
      </c>
      <c r="FY97" s="610" t="s">
        <v>2487</v>
      </c>
      <c r="FZ97" s="610" t="s">
        <v>2487</v>
      </c>
      <c r="GA97" s="610" t="s">
        <v>2487</v>
      </c>
      <c r="GB97" s="610" t="s">
        <v>2487</v>
      </c>
      <c r="GC97" s="610" t="s">
        <v>2487</v>
      </c>
      <c r="GD97" s="564">
        <f t="shared" si="18"/>
        <v>79950</v>
      </c>
      <c r="GE97" s="564">
        <f t="shared" si="19"/>
        <v>79950</v>
      </c>
      <c r="GF97" s="564">
        <f t="shared" si="20"/>
        <v>79950</v>
      </c>
      <c r="GG97" s="564">
        <f t="shared" si="21"/>
        <v>79950</v>
      </c>
      <c r="GH97" s="564">
        <f t="shared" si="22"/>
        <v>79950</v>
      </c>
      <c r="GI97" s="564">
        <f t="shared" si="23"/>
        <v>79950</v>
      </c>
      <c r="GJ97" s="564">
        <f t="shared" si="24"/>
        <v>79950</v>
      </c>
      <c r="GK97" s="564">
        <f t="shared" si="25"/>
        <v>79950</v>
      </c>
      <c r="GL97" s="564">
        <f t="shared" si="26"/>
        <v>79950</v>
      </c>
      <c r="GM97" s="564">
        <f t="shared" si="27"/>
        <v>79950</v>
      </c>
      <c r="GN97" s="564">
        <f t="shared" si="28"/>
        <v>79950</v>
      </c>
      <c r="GO97" s="564">
        <f t="shared" si="29"/>
        <v>79950</v>
      </c>
      <c r="GP97" s="564"/>
      <c r="GS97" s="375" t="s">
        <v>552</v>
      </c>
      <c r="GT97" s="374" t="str">
        <f t="shared" si="16"/>
        <v>〇</v>
      </c>
    </row>
    <row r="98" spans="2:202">
      <c r="B98" s="371">
        <v>94</v>
      </c>
      <c r="C98" s="378">
        <v>94</v>
      </c>
      <c r="D98" s="373" t="s">
        <v>558</v>
      </c>
      <c r="E98" s="373" t="s">
        <v>14</v>
      </c>
      <c r="F98" s="603">
        <f t="shared" si="17"/>
        <v>36</v>
      </c>
      <c r="G98" s="603"/>
      <c r="H98" s="603">
        <v>21</v>
      </c>
      <c r="I98" s="603">
        <v>15</v>
      </c>
      <c r="J98" s="603"/>
      <c r="K98" s="603"/>
      <c r="L98" s="603"/>
      <c r="M98" s="603"/>
      <c r="N98" s="608"/>
      <c r="O98" s="603">
        <v>1577000</v>
      </c>
      <c r="P98" s="603">
        <v>0</v>
      </c>
      <c r="Q98" s="603">
        <v>0</v>
      </c>
      <c r="R98" s="603">
        <v>1188000</v>
      </c>
      <c r="S98" s="603">
        <v>1791000</v>
      </c>
      <c r="T98" s="603">
        <v>0</v>
      </c>
      <c r="U98" s="603">
        <v>0</v>
      </c>
      <c r="V98" s="603">
        <v>0</v>
      </c>
      <c r="W98" s="603">
        <v>0</v>
      </c>
      <c r="X98" s="603">
        <v>0</v>
      </c>
      <c r="Y98" s="603">
        <v>0</v>
      </c>
      <c r="Z98" s="603">
        <v>0</v>
      </c>
      <c r="AA98" s="603">
        <v>0</v>
      </c>
      <c r="AB98" s="603">
        <v>0</v>
      </c>
      <c r="AC98" s="603">
        <v>0</v>
      </c>
      <c r="AD98" s="603">
        <v>0</v>
      </c>
      <c r="AE98" s="603">
        <v>0</v>
      </c>
      <c r="AF98" s="603">
        <v>0</v>
      </c>
      <c r="AG98" s="603">
        <v>0</v>
      </c>
      <c r="AH98" s="603">
        <v>0</v>
      </c>
      <c r="AI98" s="603">
        <v>0</v>
      </c>
      <c r="AJ98" s="604" t="s">
        <v>2377</v>
      </c>
      <c r="AK98" s="605" t="s">
        <v>1545</v>
      </c>
      <c r="AL98" s="605" t="s">
        <v>1545</v>
      </c>
      <c r="AM98" s="606" t="s">
        <v>2087</v>
      </c>
      <c r="AN98" s="609" t="s">
        <v>12</v>
      </c>
      <c r="AO98" s="610" t="s">
        <v>1368</v>
      </c>
      <c r="AP98" s="610" t="s">
        <v>1368</v>
      </c>
      <c r="AQ98" s="610" t="s">
        <v>1368</v>
      </c>
      <c r="AR98" s="610" t="s">
        <v>1368</v>
      </c>
      <c r="AS98" s="610" t="s">
        <v>1368</v>
      </c>
      <c r="AT98" s="610" t="s">
        <v>1368</v>
      </c>
      <c r="AU98" s="610" t="s">
        <v>1368</v>
      </c>
      <c r="AV98" s="610" t="s">
        <v>1368</v>
      </c>
      <c r="AW98" s="610" t="s">
        <v>1368</v>
      </c>
      <c r="AX98" s="610" t="s">
        <v>1368</v>
      </c>
      <c r="AY98" s="610" t="s">
        <v>1368</v>
      </c>
      <c r="AZ98" s="610" t="s">
        <v>1368</v>
      </c>
      <c r="BA98" s="610" t="s">
        <v>1368</v>
      </c>
      <c r="BB98" s="610" t="s">
        <v>1368</v>
      </c>
      <c r="BC98" s="610" t="s">
        <v>1368</v>
      </c>
      <c r="BD98" s="610" t="s">
        <v>1368</v>
      </c>
      <c r="BE98" s="610" t="s">
        <v>1368</v>
      </c>
      <c r="BF98" s="610" t="s">
        <v>1368</v>
      </c>
      <c r="BG98" s="610" t="s">
        <v>1368</v>
      </c>
      <c r="BH98" s="610" t="s">
        <v>1368</v>
      </c>
      <c r="BI98" s="610" t="s">
        <v>1368</v>
      </c>
      <c r="BJ98" s="610" t="s">
        <v>1368</v>
      </c>
      <c r="BK98" s="610" t="s">
        <v>1368</v>
      </c>
      <c r="BL98" s="610" t="s">
        <v>1368</v>
      </c>
      <c r="BM98" s="610">
        <v>2</v>
      </c>
      <c r="BN98" s="610">
        <v>2</v>
      </c>
      <c r="BO98" s="610">
        <v>2</v>
      </c>
      <c r="BP98" s="610">
        <v>2</v>
      </c>
      <c r="BQ98" s="610">
        <v>2</v>
      </c>
      <c r="BR98" s="610">
        <v>2</v>
      </c>
      <c r="BS98" s="610">
        <v>2</v>
      </c>
      <c r="BT98" s="610">
        <v>2</v>
      </c>
      <c r="BU98" s="610">
        <v>2</v>
      </c>
      <c r="BV98" s="610">
        <v>2</v>
      </c>
      <c r="BW98" s="610">
        <v>2</v>
      </c>
      <c r="BX98" s="610">
        <v>2</v>
      </c>
      <c r="BY98" s="610">
        <v>0</v>
      </c>
      <c r="BZ98" s="610">
        <v>0</v>
      </c>
      <c r="CA98" s="610">
        <v>0</v>
      </c>
      <c r="CB98" s="610">
        <v>0</v>
      </c>
      <c r="CC98" s="610">
        <v>0</v>
      </c>
      <c r="CD98" s="610">
        <v>0</v>
      </c>
      <c r="CE98" s="610">
        <v>0</v>
      </c>
      <c r="CF98" s="610">
        <v>0</v>
      </c>
      <c r="CG98" s="610">
        <v>0</v>
      </c>
      <c r="CH98" s="610">
        <v>0</v>
      </c>
      <c r="CI98" s="610">
        <v>0</v>
      </c>
      <c r="CJ98" s="610">
        <v>0</v>
      </c>
      <c r="CK98" s="610">
        <v>0</v>
      </c>
      <c r="CL98" s="610">
        <v>0</v>
      </c>
      <c r="CM98" s="610">
        <v>0</v>
      </c>
      <c r="CN98" s="610">
        <v>0</v>
      </c>
      <c r="CO98" s="610">
        <v>0</v>
      </c>
      <c r="CP98" s="610">
        <v>0</v>
      </c>
      <c r="CQ98" s="610">
        <v>0</v>
      </c>
      <c r="CR98" s="610">
        <v>0</v>
      </c>
      <c r="CS98" s="610">
        <v>0</v>
      </c>
      <c r="CT98" s="610">
        <v>0</v>
      </c>
      <c r="CU98" s="610">
        <v>0</v>
      </c>
      <c r="CV98" s="610">
        <v>0</v>
      </c>
      <c r="CW98" s="610" t="s">
        <v>14</v>
      </c>
      <c r="CX98" s="610">
        <v>0</v>
      </c>
      <c r="CY98" s="610" t="s">
        <v>1707</v>
      </c>
      <c r="CZ98" s="610" t="s">
        <v>1707</v>
      </c>
      <c r="DA98" s="610" t="s">
        <v>1707</v>
      </c>
      <c r="DB98" s="610" t="s">
        <v>1707</v>
      </c>
      <c r="DC98" s="610" t="s">
        <v>1707</v>
      </c>
      <c r="DD98" s="610" t="s">
        <v>1707</v>
      </c>
      <c r="DE98" s="610" t="s">
        <v>1707</v>
      </c>
      <c r="DF98" s="610" t="s">
        <v>1707</v>
      </c>
      <c r="DG98" s="610" t="s">
        <v>1707</v>
      </c>
      <c r="DH98" s="610" t="s">
        <v>1707</v>
      </c>
      <c r="DI98" s="610" t="s">
        <v>1707</v>
      </c>
      <c r="DJ98" s="610" t="s">
        <v>1707</v>
      </c>
      <c r="DK98" s="610" t="s">
        <v>18</v>
      </c>
      <c r="DL98" s="610" t="s">
        <v>18</v>
      </c>
      <c r="DM98" s="610" t="s">
        <v>18</v>
      </c>
      <c r="DN98" s="610" t="s">
        <v>18</v>
      </c>
      <c r="DO98" s="610" t="s">
        <v>18</v>
      </c>
      <c r="DP98" s="610" t="s">
        <v>18</v>
      </c>
      <c r="DQ98" s="610" t="s">
        <v>18</v>
      </c>
      <c r="DR98" s="610" t="s">
        <v>18</v>
      </c>
      <c r="DS98" s="610" t="s">
        <v>18</v>
      </c>
      <c r="DT98" s="610" t="s">
        <v>18</v>
      </c>
      <c r="DU98" s="610" t="s">
        <v>18</v>
      </c>
      <c r="DV98" s="610" t="s">
        <v>18</v>
      </c>
      <c r="DW98" s="609" t="s">
        <v>1368</v>
      </c>
      <c r="DX98" s="609" t="s">
        <v>1368</v>
      </c>
      <c r="DY98" s="609" t="s">
        <v>1368</v>
      </c>
      <c r="DZ98" s="609" t="s">
        <v>1368</v>
      </c>
      <c r="EA98" s="609" t="s">
        <v>1368</v>
      </c>
      <c r="EB98" s="609" t="s">
        <v>1368</v>
      </c>
      <c r="EC98" s="609" t="s">
        <v>1368</v>
      </c>
      <c r="ED98" s="609" t="s">
        <v>1368</v>
      </c>
      <c r="EE98" s="609" t="s">
        <v>1368</v>
      </c>
      <c r="EF98" s="609" t="s">
        <v>1368</v>
      </c>
      <c r="EG98" s="609" t="s">
        <v>1368</v>
      </c>
      <c r="EH98" s="609" t="s">
        <v>1368</v>
      </c>
      <c r="EI98" s="610" t="s">
        <v>1707</v>
      </c>
      <c r="EJ98" s="610" t="s">
        <v>1707</v>
      </c>
      <c r="EK98" s="610" t="s">
        <v>1707</v>
      </c>
      <c r="EL98" s="610" t="s">
        <v>1707</v>
      </c>
      <c r="EM98" s="610" t="s">
        <v>1707</v>
      </c>
      <c r="EN98" s="610" t="s">
        <v>1707</v>
      </c>
      <c r="EO98" s="610" t="s">
        <v>1707</v>
      </c>
      <c r="EP98" s="610" t="s">
        <v>1707</v>
      </c>
      <c r="EQ98" s="610" t="s">
        <v>1707</v>
      </c>
      <c r="ER98" s="610" t="s">
        <v>1707</v>
      </c>
      <c r="ES98" s="610" t="s">
        <v>1707</v>
      </c>
      <c r="ET98" s="610" t="s">
        <v>1707</v>
      </c>
      <c r="EU98" s="610">
        <v>4070</v>
      </c>
      <c r="EV98" s="610" t="s">
        <v>2449</v>
      </c>
      <c r="EW98" s="610" t="s">
        <v>2449</v>
      </c>
      <c r="EX98" s="610" t="s">
        <v>2449</v>
      </c>
      <c r="EY98" s="610" t="s">
        <v>2449</v>
      </c>
      <c r="EZ98" s="610" t="s">
        <v>2449</v>
      </c>
      <c r="FA98" s="610" t="s">
        <v>2449</v>
      </c>
      <c r="FB98" s="610" t="s">
        <v>2449</v>
      </c>
      <c r="FC98" s="610" t="s">
        <v>2449</v>
      </c>
      <c r="FD98" s="610" t="s">
        <v>2449</v>
      </c>
      <c r="FE98" s="610" t="s">
        <v>2449</v>
      </c>
      <c r="FF98" s="610" t="s">
        <v>2449</v>
      </c>
      <c r="FG98" s="610" t="s">
        <v>2449</v>
      </c>
      <c r="FH98" s="610">
        <v>15</v>
      </c>
      <c r="FI98" s="610">
        <v>15</v>
      </c>
      <c r="FJ98" s="610">
        <v>15</v>
      </c>
      <c r="FK98" s="610">
        <v>15</v>
      </c>
      <c r="FL98" s="610">
        <v>15</v>
      </c>
      <c r="FM98" s="610">
        <v>15</v>
      </c>
      <c r="FN98" s="610">
        <v>15</v>
      </c>
      <c r="FO98" s="610">
        <v>15</v>
      </c>
      <c r="FP98" s="610">
        <v>15</v>
      </c>
      <c r="FQ98" s="610">
        <v>15</v>
      </c>
      <c r="FR98" s="610" t="s">
        <v>2487</v>
      </c>
      <c r="FS98" s="610" t="s">
        <v>2487</v>
      </c>
      <c r="FT98" s="610" t="s">
        <v>2487</v>
      </c>
      <c r="FU98" s="610" t="s">
        <v>2487</v>
      </c>
      <c r="FV98" s="610" t="s">
        <v>2487</v>
      </c>
      <c r="FW98" s="610" t="s">
        <v>2487</v>
      </c>
      <c r="FX98" s="610" t="s">
        <v>2487</v>
      </c>
      <c r="FY98" s="610" t="s">
        <v>2487</v>
      </c>
      <c r="FZ98" s="610" t="s">
        <v>2487</v>
      </c>
      <c r="GA98" s="610" t="s">
        <v>2487</v>
      </c>
      <c r="GB98" s="610" t="s">
        <v>2487</v>
      </c>
      <c r="GC98" s="610" t="s">
        <v>2487</v>
      </c>
      <c r="GD98" s="564">
        <f t="shared" si="18"/>
        <v>79950</v>
      </c>
      <c r="GE98" s="564">
        <f t="shared" si="19"/>
        <v>79950</v>
      </c>
      <c r="GF98" s="564">
        <f t="shared" si="20"/>
        <v>79950</v>
      </c>
      <c r="GG98" s="564">
        <f t="shared" si="21"/>
        <v>79950</v>
      </c>
      <c r="GH98" s="564">
        <f t="shared" si="22"/>
        <v>79950</v>
      </c>
      <c r="GI98" s="564">
        <f t="shared" si="23"/>
        <v>79950</v>
      </c>
      <c r="GJ98" s="564">
        <f t="shared" si="24"/>
        <v>79950</v>
      </c>
      <c r="GK98" s="564">
        <f t="shared" si="25"/>
        <v>79950</v>
      </c>
      <c r="GL98" s="564">
        <f t="shared" si="26"/>
        <v>79950</v>
      </c>
      <c r="GM98" s="564">
        <f t="shared" si="27"/>
        <v>79950</v>
      </c>
      <c r="GN98" s="564">
        <f t="shared" si="28"/>
        <v>79950</v>
      </c>
      <c r="GO98" s="564">
        <f t="shared" si="29"/>
        <v>79950</v>
      </c>
      <c r="GP98" s="564"/>
      <c r="GS98" s="375" t="s">
        <v>558</v>
      </c>
      <c r="GT98" s="374" t="str">
        <f t="shared" si="16"/>
        <v>〇</v>
      </c>
    </row>
    <row r="99" spans="2:202">
      <c r="B99" s="371">
        <v>95</v>
      </c>
      <c r="C99" s="378">
        <v>95</v>
      </c>
      <c r="D99" s="373" t="s">
        <v>547</v>
      </c>
      <c r="E99" s="373" t="s">
        <v>14</v>
      </c>
      <c r="F99" s="603">
        <f t="shared" si="17"/>
        <v>20</v>
      </c>
      <c r="G99" s="603"/>
      <c r="H99" s="603">
        <v>11</v>
      </c>
      <c r="I99" s="603">
        <v>9</v>
      </c>
      <c r="J99" s="603"/>
      <c r="K99" s="603"/>
      <c r="L99" s="603"/>
      <c r="M99" s="603"/>
      <c r="N99" s="608"/>
      <c r="O99" s="603">
        <v>1577000</v>
      </c>
      <c r="P99" s="603">
        <v>2721000</v>
      </c>
      <c r="Q99" s="603">
        <v>2721000</v>
      </c>
      <c r="R99" s="603">
        <v>0</v>
      </c>
      <c r="S99" s="603">
        <v>0</v>
      </c>
      <c r="T99" s="603">
        <v>0</v>
      </c>
      <c r="U99" s="603">
        <v>0</v>
      </c>
      <c r="V99" s="603">
        <v>1051000</v>
      </c>
      <c r="W99" s="603">
        <v>1814000</v>
      </c>
      <c r="X99" s="603">
        <v>1814000</v>
      </c>
      <c r="Y99" s="603">
        <v>0</v>
      </c>
      <c r="Z99" s="603">
        <v>0</v>
      </c>
      <c r="AA99" s="603">
        <v>0</v>
      </c>
      <c r="AB99" s="603">
        <v>0</v>
      </c>
      <c r="AC99" s="603">
        <v>526000</v>
      </c>
      <c r="AD99" s="603">
        <v>907000</v>
      </c>
      <c r="AE99" s="603">
        <v>907000</v>
      </c>
      <c r="AF99" s="603">
        <v>0</v>
      </c>
      <c r="AG99" s="603">
        <v>0</v>
      </c>
      <c r="AH99" s="603">
        <v>0</v>
      </c>
      <c r="AI99" s="603">
        <v>0</v>
      </c>
      <c r="AJ99" s="604" t="s">
        <v>2377</v>
      </c>
      <c r="AK99" s="605" t="s">
        <v>2378</v>
      </c>
      <c r="AL99" s="605" t="s">
        <v>2490</v>
      </c>
      <c r="AM99" s="606" t="s">
        <v>2088</v>
      </c>
      <c r="AN99" s="609" t="s">
        <v>12</v>
      </c>
      <c r="AO99" s="610" t="s">
        <v>1368</v>
      </c>
      <c r="AP99" s="610" t="s">
        <v>1368</v>
      </c>
      <c r="AQ99" s="610" t="s">
        <v>1368</v>
      </c>
      <c r="AR99" s="610" t="s">
        <v>1368</v>
      </c>
      <c r="AS99" s="610" t="s">
        <v>1368</v>
      </c>
      <c r="AT99" s="610" t="s">
        <v>1368</v>
      </c>
      <c r="AU99" s="610" t="s">
        <v>1368</v>
      </c>
      <c r="AV99" s="610" t="s">
        <v>1368</v>
      </c>
      <c r="AW99" s="610" t="s">
        <v>1368</v>
      </c>
      <c r="AX99" s="610" t="s">
        <v>1368</v>
      </c>
      <c r="AY99" s="610" t="s">
        <v>1368</v>
      </c>
      <c r="AZ99" s="610" t="s">
        <v>1368</v>
      </c>
      <c r="BA99" s="610" t="s">
        <v>1368</v>
      </c>
      <c r="BB99" s="610" t="s">
        <v>1368</v>
      </c>
      <c r="BC99" s="610" t="s">
        <v>1368</v>
      </c>
      <c r="BD99" s="610" t="s">
        <v>1368</v>
      </c>
      <c r="BE99" s="610" t="s">
        <v>1368</v>
      </c>
      <c r="BF99" s="610" t="s">
        <v>1368</v>
      </c>
      <c r="BG99" s="610" t="s">
        <v>1368</v>
      </c>
      <c r="BH99" s="610" t="s">
        <v>1368</v>
      </c>
      <c r="BI99" s="610" t="s">
        <v>1368</v>
      </c>
      <c r="BJ99" s="610" t="s">
        <v>1368</v>
      </c>
      <c r="BK99" s="610" t="s">
        <v>1368</v>
      </c>
      <c r="BL99" s="610" t="s">
        <v>1368</v>
      </c>
      <c r="BM99" s="610">
        <v>1</v>
      </c>
      <c r="BN99" s="610">
        <v>1</v>
      </c>
      <c r="BO99" s="610">
        <v>1</v>
      </c>
      <c r="BP99" s="610">
        <v>1</v>
      </c>
      <c r="BQ99" s="610">
        <v>1</v>
      </c>
      <c r="BR99" s="610">
        <v>1</v>
      </c>
      <c r="BS99" s="610">
        <v>1</v>
      </c>
      <c r="BT99" s="610">
        <v>1</v>
      </c>
      <c r="BU99" s="610">
        <v>1</v>
      </c>
      <c r="BV99" s="610">
        <v>1</v>
      </c>
      <c r="BW99" s="610">
        <v>1</v>
      </c>
      <c r="BX99" s="610">
        <v>1</v>
      </c>
      <c r="BY99" s="610">
        <v>0</v>
      </c>
      <c r="BZ99" s="610">
        <v>0</v>
      </c>
      <c r="CA99" s="610">
        <v>0</v>
      </c>
      <c r="CB99" s="610">
        <v>0</v>
      </c>
      <c r="CC99" s="610">
        <v>0</v>
      </c>
      <c r="CD99" s="610">
        <v>0</v>
      </c>
      <c r="CE99" s="610">
        <v>0</v>
      </c>
      <c r="CF99" s="610">
        <v>0</v>
      </c>
      <c r="CG99" s="610">
        <v>0</v>
      </c>
      <c r="CH99" s="610">
        <v>0</v>
      </c>
      <c r="CI99" s="610">
        <v>0</v>
      </c>
      <c r="CJ99" s="610">
        <v>0</v>
      </c>
      <c r="CK99" s="610">
        <v>0</v>
      </c>
      <c r="CL99" s="610">
        <v>0</v>
      </c>
      <c r="CM99" s="610">
        <v>0</v>
      </c>
      <c r="CN99" s="610">
        <v>0</v>
      </c>
      <c r="CO99" s="610">
        <v>0</v>
      </c>
      <c r="CP99" s="610">
        <v>0</v>
      </c>
      <c r="CQ99" s="610">
        <v>0</v>
      </c>
      <c r="CR99" s="610">
        <v>0</v>
      </c>
      <c r="CS99" s="610">
        <v>0</v>
      </c>
      <c r="CT99" s="610">
        <v>0</v>
      </c>
      <c r="CU99" s="610">
        <v>0</v>
      </c>
      <c r="CV99" s="610">
        <v>0</v>
      </c>
      <c r="CW99" s="610" t="s">
        <v>14</v>
      </c>
      <c r="CX99" s="610">
        <v>0</v>
      </c>
      <c r="CY99" s="610" t="s">
        <v>1707</v>
      </c>
      <c r="CZ99" s="610" t="s">
        <v>1707</v>
      </c>
      <c r="DA99" s="610" t="s">
        <v>1707</v>
      </c>
      <c r="DB99" s="610" t="s">
        <v>1707</v>
      </c>
      <c r="DC99" s="610" t="s">
        <v>1707</v>
      </c>
      <c r="DD99" s="610" t="s">
        <v>1707</v>
      </c>
      <c r="DE99" s="610" t="s">
        <v>1707</v>
      </c>
      <c r="DF99" s="610" t="s">
        <v>1707</v>
      </c>
      <c r="DG99" s="610" t="s">
        <v>1707</v>
      </c>
      <c r="DH99" s="610" t="s">
        <v>1707</v>
      </c>
      <c r="DI99" s="610" t="s">
        <v>1707</v>
      </c>
      <c r="DJ99" s="610" t="s">
        <v>1707</v>
      </c>
      <c r="DK99" s="610" t="s">
        <v>1368</v>
      </c>
      <c r="DL99" s="610" t="s">
        <v>1368</v>
      </c>
      <c r="DM99" s="610" t="s">
        <v>1368</v>
      </c>
      <c r="DN99" s="610" t="s">
        <v>1368</v>
      </c>
      <c r="DO99" s="610" t="s">
        <v>1368</v>
      </c>
      <c r="DP99" s="610" t="s">
        <v>1368</v>
      </c>
      <c r="DQ99" s="610" t="s">
        <v>1368</v>
      </c>
      <c r="DR99" s="610" t="s">
        <v>1368</v>
      </c>
      <c r="DS99" s="610" t="s">
        <v>1368</v>
      </c>
      <c r="DT99" s="610" t="s">
        <v>1368</v>
      </c>
      <c r="DU99" s="610" t="s">
        <v>1368</v>
      </c>
      <c r="DV99" s="610" t="s">
        <v>1368</v>
      </c>
      <c r="DW99" s="609" t="s">
        <v>1368</v>
      </c>
      <c r="DX99" s="609" t="s">
        <v>1368</v>
      </c>
      <c r="DY99" s="609" t="s">
        <v>1368</v>
      </c>
      <c r="DZ99" s="609" t="s">
        <v>1368</v>
      </c>
      <c r="EA99" s="609" t="s">
        <v>1368</v>
      </c>
      <c r="EB99" s="609" t="s">
        <v>1368</v>
      </c>
      <c r="EC99" s="609" t="s">
        <v>1368</v>
      </c>
      <c r="ED99" s="609" t="s">
        <v>1368</v>
      </c>
      <c r="EE99" s="609" t="s">
        <v>1368</v>
      </c>
      <c r="EF99" s="609" t="s">
        <v>1368</v>
      </c>
      <c r="EG99" s="609" t="s">
        <v>1368</v>
      </c>
      <c r="EH99" s="609" t="s">
        <v>1368</v>
      </c>
      <c r="EI99" s="610" t="s">
        <v>1707</v>
      </c>
      <c r="EJ99" s="610" t="s">
        <v>1707</v>
      </c>
      <c r="EK99" s="610" t="s">
        <v>1707</v>
      </c>
      <c r="EL99" s="610" t="s">
        <v>1707</v>
      </c>
      <c r="EM99" s="610" t="s">
        <v>1707</v>
      </c>
      <c r="EN99" s="610" t="s">
        <v>1707</v>
      </c>
      <c r="EO99" s="610" t="s">
        <v>1707</v>
      </c>
      <c r="EP99" s="610" t="s">
        <v>1707</v>
      </c>
      <c r="EQ99" s="610" t="s">
        <v>1707</v>
      </c>
      <c r="ER99" s="610" t="s">
        <v>1707</v>
      </c>
      <c r="ES99" s="610" t="s">
        <v>1707</v>
      </c>
      <c r="ET99" s="610" t="s">
        <v>1707</v>
      </c>
      <c r="EU99" s="610">
        <v>3950</v>
      </c>
      <c r="EV99" s="610" t="s">
        <v>1707</v>
      </c>
      <c r="EW99" s="610" t="s">
        <v>1707</v>
      </c>
      <c r="EX99" s="610" t="s">
        <v>1707</v>
      </c>
      <c r="EY99" s="610" t="s">
        <v>1707</v>
      </c>
      <c r="EZ99" s="610" t="s">
        <v>1707</v>
      </c>
      <c r="FA99" s="610" t="s">
        <v>1707</v>
      </c>
      <c r="FB99" s="610" t="s">
        <v>1707</v>
      </c>
      <c r="FC99" s="610" t="s">
        <v>1707</v>
      </c>
      <c r="FD99" s="610" t="s">
        <v>1707</v>
      </c>
      <c r="FE99" s="610" t="s">
        <v>1707</v>
      </c>
      <c r="FF99" s="610" t="s">
        <v>1707</v>
      </c>
      <c r="FG99" s="610" t="s">
        <v>1707</v>
      </c>
      <c r="FH99" s="610">
        <v>4</v>
      </c>
      <c r="FI99" s="610">
        <v>4</v>
      </c>
      <c r="FJ99" s="610">
        <v>4</v>
      </c>
      <c r="FK99" s="610">
        <v>4</v>
      </c>
      <c r="FL99" s="610">
        <v>4</v>
      </c>
      <c r="FM99" s="610">
        <v>4</v>
      </c>
      <c r="FN99" s="610">
        <v>4</v>
      </c>
      <c r="FO99" s="610">
        <v>4</v>
      </c>
      <c r="FP99" s="610">
        <v>4</v>
      </c>
      <c r="FQ99" s="610">
        <v>4</v>
      </c>
      <c r="FR99" s="610" t="s">
        <v>2488</v>
      </c>
      <c r="FS99" s="610" t="s">
        <v>2488</v>
      </c>
      <c r="FT99" s="610" t="s">
        <v>2488</v>
      </c>
      <c r="FU99" s="610" t="s">
        <v>2488</v>
      </c>
      <c r="FV99" s="610" t="s">
        <v>2488</v>
      </c>
      <c r="FW99" s="610" t="s">
        <v>2488</v>
      </c>
      <c r="FX99" s="610" t="s">
        <v>2488</v>
      </c>
      <c r="FY99" s="610" t="s">
        <v>2488</v>
      </c>
      <c r="FZ99" s="610" t="s">
        <v>2488</v>
      </c>
      <c r="GA99" s="610" t="s">
        <v>2488</v>
      </c>
      <c r="GB99" s="610" t="s">
        <v>2488</v>
      </c>
      <c r="GC99" s="610" t="s">
        <v>2488</v>
      </c>
      <c r="GD99" s="564" t="str">
        <f t="shared" si="18"/>
        <v/>
      </c>
      <c r="GE99" s="564" t="str">
        <f t="shared" si="19"/>
        <v/>
      </c>
      <c r="GF99" s="564" t="str">
        <f t="shared" si="20"/>
        <v/>
      </c>
      <c r="GG99" s="564" t="str">
        <f t="shared" si="21"/>
        <v/>
      </c>
      <c r="GH99" s="564" t="str">
        <f t="shared" si="22"/>
        <v/>
      </c>
      <c r="GI99" s="564" t="str">
        <f t="shared" si="23"/>
        <v/>
      </c>
      <c r="GJ99" s="564" t="str">
        <f t="shared" si="24"/>
        <v/>
      </c>
      <c r="GK99" s="564" t="str">
        <f t="shared" si="25"/>
        <v/>
      </c>
      <c r="GL99" s="564" t="str">
        <f t="shared" si="26"/>
        <v/>
      </c>
      <c r="GM99" s="564" t="str">
        <f t="shared" si="27"/>
        <v/>
      </c>
      <c r="GN99" s="564" t="str">
        <f t="shared" si="28"/>
        <v/>
      </c>
      <c r="GO99" s="564" t="str">
        <f t="shared" si="29"/>
        <v/>
      </c>
      <c r="GP99" s="564"/>
      <c r="GS99" s="375" t="s">
        <v>547</v>
      </c>
      <c r="GT99" s="374" t="str">
        <f t="shared" si="16"/>
        <v>〇</v>
      </c>
    </row>
    <row r="100" spans="2:202">
      <c r="B100" s="371">
        <v>96</v>
      </c>
      <c r="C100" s="378">
        <v>96</v>
      </c>
      <c r="D100" s="373" t="s">
        <v>553</v>
      </c>
      <c r="E100" s="373" t="s">
        <v>14</v>
      </c>
      <c r="F100" s="603">
        <f t="shared" si="17"/>
        <v>59</v>
      </c>
      <c r="G100" s="603"/>
      <c r="H100" s="603">
        <v>33</v>
      </c>
      <c r="I100" s="603">
        <v>26</v>
      </c>
      <c r="J100" s="603"/>
      <c r="K100" s="603"/>
      <c r="L100" s="603"/>
      <c r="M100" s="603"/>
      <c r="N100" s="608"/>
      <c r="O100" s="603">
        <v>1577000</v>
      </c>
      <c r="P100" s="603">
        <v>1584000</v>
      </c>
      <c r="Q100" s="603">
        <v>2721000</v>
      </c>
      <c r="R100" s="603">
        <v>1791000</v>
      </c>
      <c r="S100" s="603">
        <v>0</v>
      </c>
      <c r="T100" s="603">
        <v>4362000</v>
      </c>
      <c r="U100" s="603">
        <v>0</v>
      </c>
      <c r="V100" s="603">
        <v>1051000</v>
      </c>
      <c r="W100" s="603">
        <v>1056000</v>
      </c>
      <c r="X100" s="603">
        <v>1814000</v>
      </c>
      <c r="Y100" s="603">
        <v>1194000</v>
      </c>
      <c r="Z100" s="603">
        <v>0</v>
      </c>
      <c r="AA100" s="603">
        <v>2908000</v>
      </c>
      <c r="AB100" s="603">
        <v>0</v>
      </c>
      <c r="AC100" s="603">
        <v>0</v>
      </c>
      <c r="AD100" s="603">
        <v>0</v>
      </c>
      <c r="AE100" s="603">
        <v>0</v>
      </c>
      <c r="AF100" s="603">
        <v>0</v>
      </c>
      <c r="AG100" s="603">
        <v>0</v>
      </c>
      <c r="AH100" s="603">
        <v>0</v>
      </c>
      <c r="AI100" s="603">
        <v>0</v>
      </c>
      <c r="AJ100" s="604" t="s">
        <v>2377</v>
      </c>
      <c r="AK100" s="605" t="s">
        <v>2378</v>
      </c>
      <c r="AL100" s="605" t="s">
        <v>1545</v>
      </c>
      <c r="AM100" s="606" t="s">
        <v>2089</v>
      </c>
      <c r="AN100" s="609" t="s">
        <v>12</v>
      </c>
      <c r="AO100" s="610" t="s">
        <v>1368</v>
      </c>
      <c r="AP100" s="610" t="s">
        <v>1368</v>
      </c>
      <c r="AQ100" s="610" t="s">
        <v>1368</v>
      </c>
      <c r="AR100" s="610" t="s">
        <v>1368</v>
      </c>
      <c r="AS100" s="610" t="s">
        <v>1368</v>
      </c>
      <c r="AT100" s="610" t="s">
        <v>1368</v>
      </c>
      <c r="AU100" s="610" t="s">
        <v>1368</v>
      </c>
      <c r="AV100" s="610" t="s">
        <v>1368</v>
      </c>
      <c r="AW100" s="610" t="s">
        <v>1368</v>
      </c>
      <c r="AX100" s="610" t="s">
        <v>1368</v>
      </c>
      <c r="AY100" s="610" t="s">
        <v>1368</v>
      </c>
      <c r="AZ100" s="610" t="s">
        <v>1368</v>
      </c>
      <c r="BA100" s="610" t="s">
        <v>1368</v>
      </c>
      <c r="BB100" s="610" t="s">
        <v>1368</v>
      </c>
      <c r="BC100" s="610" t="s">
        <v>1368</v>
      </c>
      <c r="BD100" s="610" t="s">
        <v>1368</v>
      </c>
      <c r="BE100" s="610" t="s">
        <v>1368</v>
      </c>
      <c r="BF100" s="610" t="s">
        <v>1368</v>
      </c>
      <c r="BG100" s="610" t="s">
        <v>1368</v>
      </c>
      <c r="BH100" s="610" t="s">
        <v>1368</v>
      </c>
      <c r="BI100" s="610" t="s">
        <v>1368</v>
      </c>
      <c r="BJ100" s="610" t="s">
        <v>1368</v>
      </c>
      <c r="BK100" s="610" t="s">
        <v>1368</v>
      </c>
      <c r="BL100" s="610" t="s">
        <v>1368</v>
      </c>
      <c r="BM100" s="610">
        <v>2</v>
      </c>
      <c r="BN100" s="610">
        <v>2</v>
      </c>
      <c r="BO100" s="610">
        <v>2</v>
      </c>
      <c r="BP100" s="610">
        <v>2</v>
      </c>
      <c r="BQ100" s="610">
        <v>2</v>
      </c>
      <c r="BR100" s="610">
        <v>2</v>
      </c>
      <c r="BS100" s="610">
        <v>2</v>
      </c>
      <c r="BT100" s="610">
        <v>2</v>
      </c>
      <c r="BU100" s="610">
        <v>2</v>
      </c>
      <c r="BV100" s="610">
        <v>2</v>
      </c>
      <c r="BW100" s="610">
        <v>2</v>
      </c>
      <c r="BX100" s="610">
        <v>2</v>
      </c>
      <c r="BY100" s="610">
        <v>0</v>
      </c>
      <c r="BZ100" s="610">
        <v>0</v>
      </c>
      <c r="CA100" s="610">
        <v>0</v>
      </c>
      <c r="CB100" s="610">
        <v>0</v>
      </c>
      <c r="CC100" s="610">
        <v>0</v>
      </c>
      <c r="CD100" s="610">
        <v>0</v>
      </c>
      <c r="CE100" s="610">
        <v>0</v>
      </c>
      <c r="CF100" s="610">
        <v>0</v>
      </c>
      <c r="CG100" s="610">
        <v>0</v>
      </c>
      <c r="CH100" s="610">
        <v>0</v>
      </c>
      <c r="CI100" s="610">
        <v>0</v>
      </c>
      <c r="CJ100" s="610">
        <v>0</v>
      </c>
      <c r="CK100" s="610">
        <v>0</v>
      </c>
      <c r="CL100" s="610">
        <v>0</v>
      </c>
      <c r="CM100" s="610">
        <v>0</v>
      </c>
      <c r="CN100" s="610">
        <v>0</v>
      </c>
      <c r="CO100" s="610">
        <v>0</v>
      </c>
      <c r="CP100" s="610">
        <v>0</v>
      </c>
      <c r="CQ100" s="610">
        <v>0</v>
      </c>
      <c r="CR100" s="610">
        <v>0</v>
      </c>
      <c r="CS100" s="610">
        <v>0</v>
      </c>
      <c r="CT100" s="610">
        <v>0</v>
      </c>
      <c r="CU100" s="610">
        <v>0</v>
      </c>
      <c r="CV100" s="610">
        <v>0</v>
      </c>
      <c r="CW100" s="610" t="s">
        <v>14</v>
      </c>
      <c r="CX100" s="610">
        <v>0</v>
      </c>
      <c r="CY100" s="610" t="s">
        <v>1707</v>
      </c>
      <c r="CZ100" s="610" t="s">
        <v>1707</v>
      </c>
      <c r="DA100" s="610" t="s">
        <v>1707</v>
      </c>
      <c r="DB100" s="610" t="s">
        <v>1707</v>
      </c>
      <c r="DC100" s="610" t="s">
        <v>1707</v>
      </c>
      <c r="DD100" s="610" t="s">
        <v>1707</v>
      </c>
      <c r="DE100" s="610" t="s">
        <v>1707</v>
      </c>
      <c r="DF100" s="610" t="s">
        <v>1707</v>
      </c>
      <c r="DG100" s="610" t="s">
        <v>1707</v>
      </c>
      <c r="DH100" s="610" t="s">
        <v>1707</v>
      </c>
      <c r="DI100" s="610" t="s">
        <v>1707</v>
      </c>
      <c r="DJ100" s="610" t="s">
        <v>1707</v>
      </c>
      <c r="DK100" s="610" t="s">
        <v>1368</v>
      </c>
      <c r="DL100" s="610" t="s">
        <v>1368</v>
      </c>
      <c r="DM100" s="610" t="s">
        <v>1368</v>
      </c>
      <c r="DN100" s="610" t="s">
        <v>1368</v>
      </c>
      <c r="DO100" s="610" t="s">
        <v>1368</v>
      </c>
      <c r="DP100" s="610" t="s">
        <v>1368</v>
      </c>
      <c r="DQ100" s="610" t="s">
        <v>1368</v>
      </c>
      <c r="DR100" s="610" t="s">
        <v>1368</v>
      </c>
      <c r="DS100" s="610" t="s">
        <v>1368</v>
      </c>
      <c r="DT100" s="610" t="s">
        <v>1368</v>
      </c>
      <c r="DU100" s="610" t="s">
        <v>1368</v>
      </c>
      <c r="DV100" s="610" t="s">
        <v>1368</v>
      </c>
      <c r="DW100" s="609" t="s">
        <v>1368</v>
      </c>
      <c r="DX100" s="609" t="s">
        <v>1368</v>
      </c>
      <c r="DY100" s="609" t="s">
        <v>1368</v>
      </c>
      <c r="DZ100" s="609" t="s">
        <v>1368</v>
      </c>
      <c r="EA100" s="609" t="s">
        <v>1368</v>
      </c>
      <c r="EB100" s="609" t="s">
        <v>1368</v>
      </c>
      <c r="EC100" s="609" t="s">
        <v>1368</v>
      </c>
      <c r="ED100" s="609" t="s">
        <v>1368</v>
      </c>
      <c r="EE100" s="609" t="s">
        <v>1368</v>
      </c>
      <c r="EF100" s="609" t="s">
        <v>1368</v>
      </c>
      <c r="EG100" s="609" t="s">
        <v>1368</v>
      </c>
      <c r="EH100" s="609" t="s">
        <v>1368</v>
      </c>
      <c r="EI100" s="610" t="s">
        <v>1707</v>
      </c>
      <c r="EJ100" s="610" t="s">
        <v>1707</v>
      </c>
      <c r="EK100" s="610" t="s">
        <v>1707</v>
      </c>
      <c r="EL100" s="610" t="s">
        <v>1707</v>
      </c>
      <c r="EM100" s="610" t="s">
        <v>1707</v>
      </c>
      <c r="EN100" s="610" t="s">
        <v>1707</v>
      </c>
      <c r="EO100" s="610" t="s">
        <v>1707</v>
      </c>
      <c r="EP100" s="610" t="s">
        <v>1707</v>
      </c>
      <c r="EQ100" s="610" t="s">
        <v>1707</v>
      </c>
      <c r="ER100" s="610" t="s">
        <v>1707</v>
      </c>
      <c r="ES100" s="610" t="s">
        <v>1707</v>
      </c>
      <c r="ET100" s="610" t="s">
        <v>1707</v>
      </c>
      <c r="EU100" s="610">
        <v>3950</v>
      </c>
      <c r="EV100" s="610" t="s">
        <v>1707</v>
      </c>
      <c r="EW100" s="610" t="s">
        <v>1707</v>
      </c>
      <c r="EX100" s="610" t="s">
        <v>1707</v>
      </c>
      <c r="EY100" s="610" t="s">
        <v>1707</v>
      </c>
      <c r="EZ100" s="610" t="s">
        <v>1707</v>
      </c>
      <c r="FA100" s="610" t="s">
        <v>1707</v>
      </c>
      <c r="FB100" s="610" t="s">
        <v>1707</v>
      </c>
      <c r="FC100" s="610" t="s">
        <v>1707</v>
      </c>
      <c r="FD100" s="610" t="s">
        <v>1707</v>
      </c>
      <c r="FE100" s="610" t="s">
        <v>1707</v>
      </c>
      <c r="FF100" s="610" t="s">
        <v>1707</v>
      </c>
      <c r="FG100" s="610" t="s">
        <v>1707</v>
      </c>
      <c r="FH100" s="610">
        <v>20</v>
      </c>
      <c r="FI100" s="610">
        <v>21</v>
      </c>
      <c r="FJ100" s="610">
        <v>21</v>
      </c>
      <c r="FK100" s="610">
        <v>20</v>
      </c>
      <c r="FL100" s="610">
        <v>20</v>
      </c>
      <c r="FM100" s="610">
        <v>20</v>
      </c>
      <c r="FN100" s="610">
        <v>20</v>
      </c>
      <c r="FO100" s="610">
        <v>20</v>
      </c>
      <c r="FP100" s="610">
        <v>23</v>
      </c>
      <c r="FQ100" s="610">
        <v>23</v>
      </c>
      <c r="FR100" s="610" t="s">
        <v>2488</v>
      </c>
      <c r="FS100" s="610" t="s">
        <v>2488</v>
      </c>
      <c r="FT100" s="610" t="s">
        <v>2488</v>
      </c>
      <c r="FU100" s="610" t="s">
        <v>2488</v>
      </c>
      <c r="FV100" s="610" t="s">
        <v>2488</v>
      </c>
      <c r="FW100" s="610" t="s">
        <v>2488</v>
      </c>
      <c r="FX100" s="610" t="s">
        <v>2488</v>
      </c>
      <c r="FY100" s="610" t="s">
        <v>2488</v>
      </c>
      <c r="FZ100" s="610" t="s">
        <v>2488</v>
      </c>
      <c r="GA100" s="610" t="s">
        <v>2488</v>
      </c>
      <c r="GB100" s="610" t="s">
        <v>2488</v>
      </c>
      <c r="GC100" s="610" t="s">
        <v>2488</v>
      </c>
      <c r="GD100" s="564" t="str">
        <f t="shared" si="18"/>
        <v/>
      </c>
      <c r="GE100" s="564" t="str">
        <f t="shared" si="19"/>
        <v/>
      </c>
      <c r="GF100" s="564" t="str">
        <f t="shared" si="20"/>
        <v/>
      </c>
      <c r="GG100" s="564" t="str">
        <f t="shared" si="21"/>
        <v/>
      </c>
      <c r="GH100" s="564" t="str">
        <f t="shared" si="22"/>
        <v/>
      </c>
      <c r="GI100" s="564" t="str">
        <f t="shared" si="23"/>
        <v/>
      </c>
      <c r="GJ100" s="564" t="str">
        <f t="shared" si="24"/>
        <v/>
      </c>
      <c r="GK100" s="564" t="str">
        <f t="shared" si="25"/>
        <v/>
      </c>
      <c r="GL100" s="564" t="str">
        <f t="shared" si="26"/>
        <v/>
      </c>
      <c r="GM100" s="564" t="str">
        <f t="shared" si="27"/>
        <v/>
      </c>
      <c r="GN100" s="564" t="str">
        <f t="shared" si="28"/>
        <v/>
      </c>
      <c r="GO100" s="564" t="str">
        <f t="shared" si="29"/>
        <v/>
      </c>
      <c r="GP100" s="564"/>
      <c r="GS100" s="375" t="s">
        <v>553</v>
      </c>
      <c r="GT100" s="374" t="str">
        <f t="shared" si="16"/>
        <v>〇</v>
      </c>
    </row>
    <row r="101" spans="2:202">
      <c r="B101" s="371">
        <v>97</v>
      </c>
      <c r="C101" s="378">
        <v>97</v>
      </c>
      <c r="D101" s="373" t="s">
        <v>559</v>
      </c>
      <c r="E101" s="373" t="s">
        <v>14</v>
      </c>
      <c r="F101" s="603">
        <f t="shared" si="17"/>
        <v>20</v>
      </c>
      <c r="G101" s="603"/>
      <c r="H101" s="603">
        <v>0</v>
      </c>
      <c r="I101" s="603">
        <v>20</v>
      </c>
      <c r="J101" s="603"/>
      <c r="K101" s="603"/>
      <c r="L101" s="603"/>
      <c r="M101" s="603"/>
      <c r="N101" s="608"/>
      <c r="O101" s="603">
        <v>1577000</v>
      </c>
      <c r="P101" s="603">
        <v>2721000</v>
      </c>
      <c r="Q101" s="603">
        <v>0</v>
      </c>
      <c r="R101" s="603">
        <v>1791000</v>
      </c>
      <c r="S101" s="603">
        <v>0</v>
      </c>
      <c r="T101" s="603">
        <v>0</v>
      </c>
      <c r="U101" s="603">
        <v>0</v>
      </c>
      <c r="V101" s="603">
        <v>1051000</v>
      </c>
      <c r="W101" s="603">
        <v>1814000</v>
      </c>
      <c r="X101" s="603">
        <v>0</v>
      </c>
      <c r="Y101" s="603">
        <v>1194000</v>
      </c>
      <c r="Z101" s="603">
        <v>0</v>
      </c>
      <c r="AA101" s="603">
        <v>0</v>
      </c>
      <c r="AB101" s="603">
        <v>0</v>
      </c>
      <c r="AC101" s="603">
        <v>0</v>
      </c>
      <c r="AD101" s="603">
        <v>0</v>
      </c>
      <c r="AE101" s="603">
        <v>0</v>
      </c>
      <c r="AF101" s="603">
        <v>0</v>
      </c>
      <c r="AG101" s="603">
        <v>0</v>
      </c>
      <c r="AH101" s="603">
        <v>0</v>
      </c>
      <c r="AI101" s="603">
        <v>0</v>
      </c>
      <c r="AJ101" s="604" t="s">
        <v>2377</v>
      </c>
      <c r="AK101" s="605" t="s">
        <v>2378</v>
      </c>
      <c r="AL101" s="605" t="s">
        <v>1545</v>
      </c>
      <c r="AM101" s="606" t="s">
        <v>2090</v>
      </c>
      <c r="AN101" s="609" t="s">
        <v>12</v>
      </c>
      <c r="AO101" s="610" t="s">
        <v>1368</v>
      </c>
      <c r="AP101" s="610" t="s">
        <v>1368</v>
      </c>
      <c r="AQ101" s="610" t="s">
        <v>1368</v>
      </c>
      <c r="AR101" s="610" t="s">
        <v>1368</v>
      </c>
      <c r="AS101" s="610" t="s">
        <v>1368</v>
      </c>
      <c r="AT101" s="610" t="s">
        <v>1368</v>
      </c>
      <c r="AU101" s="610" t="s">
        <v>1368</v>
      </c>
      <c r="AV101" s="610" t="s">
        <v>1368</v>
      </c>
      <c r="AW101" s="610" t="s">
        <v>1368</v>
      </c>
      <c r="AX101" s="610" t="s">
        <v>1368</v>
      </c>
      <c r="AY101" s="610" t="s">
        <v>1368</v>
      </c>
      <c r="AZ101" s="610" t="s">
        <v>1368</v>
      </c>
      <c r="BA101" s="610" t="s">
        <v>1368</v>
      </c>
      <c r="BB101" s="610" t="s">
        <v>1368</v>
      </c>
      <c r="BC101" s="610" t="s">
        <v>1368</v>
      </c>
      <c r="BD101" s="610" t="s">
        <v>1368</v>
      </c>
      <c r="BE101" s="610" t="s">
        <v>1368</v>
      </c>
      <c r="BF101" s="610" t="s">
        <v>1368</v>
      </c>
      <c r="BG101" s="610" t="s">
        <v>1368</v>
      </c>
      <c r="BH101" s="610" t="s">
        <v>1368</v>
      </c>
      <c r="BI101" s="610" t="s">
        <v>1368</v>
      </c>
      <c r="BJ101" s="610" t="s">
        <v>1368</v>
      </c>
      <c r="BK101" s="610" t="s">
        <v>1368</v>
      </c>
      <c r="BL101" s="610" t="s">
        <v>1368</v>
      </c>
      <c r="BM101" s="610">
        <v>0</v>
      </c>
      <c r="BN101" s="610">
        <v>0</v>
      </c>
      <c r="BO101" s="610">
        <v>0</v>
      </c>
      <c r="BP101" s="610">
        <v>0</v>
      </c>
      <c r="BQ101" s="610">
        <v>0</v>
      </c>
      <c r="BR101" s="610">
        <v>0</v>
      </c>
      <c r="BS101" s="610">
        <v>0</v>
      </c>
      <c r="BT101" s="610">
        <v>0</v>
      </c>
      <c r="BU101" s="610">
        <v>0</v>
      </c>
      <c r="BV101" s="610">
        <v>0</v>
      </c>
      <c r="BW101" s="610">
        <v>0</v>
      </c>
      <c r="BX101" s="610">
        <v>0</v>
      </c>
      <c r="BY101" s="610">
        <v>0</v>
      </c>
      <c r="BZ101" s="610">
        <v>0</v>
      </c>
      <c r="CA101" s="610">
        <v>0</v>
      </c>
      <c r="CB101" s="610">
        <v>0</v>
      </c>
      <c r="CC101" s="610">
        <v>0</v>
      </c>
      <c r="CD101" s="610">
        <v>0</v>
      </c>
      <c r="CE101" s="610">
        <v>0</v>
      </c>
      <c r="CF101" s="610">
        <v>0</v>
      </c>
      <c r="CG101" s="610">
        <v>0</v>
      </c>
      <c r="CH101" s="610">
        <v>0</v>
      </c>
      <c r="CI101" s="610">
        <v>0</v>
      </c>
      <c r="CJ101" s="610">
        <v>0</v>
      </c>
      <c r="CK101" s="610">
        <v>0</v>
      </c>
      <c r="CL101" s="610">
        <v>0</v>
      </c>
      <c r="CM101" s="610">
        <v>0</v>
      </c>
      <c r="CN101" s="610">
        <v>0</v>
      </c>
      <c r="CO101" s="610">
        <v>0</v>
      </c>
      <c r="CP101" s="610">
        <v>0</v>
      </c>
      <c r="CQ101" s="610">
        <v>0</v>
      </c>
      <c r="CR101" s="610">
        <v>0</v>
      </c>
      <c r="CS101" s="610">
        <v>0</v>
      </c>
      <c r="CT101" s="610">
        <v>0</v>
      </c>
      <c r="CU101" s="610">
        <v>0</v>
      </c>
      <c r="CV101" s="610">
        <v>0</v>
      </c>
      <c r="CW101" s="610" t="s">
        <v>14</v>
      </c>
      <c r="CX101" s="610">
        <v>0</v>
      </c>
      <c r="CY101" s="610" t="s">
        <v>2449</v>
      </c>
      <c r="CZ101" s="610" t="s">
        <v>2449</v>
      </c>
      <c r="DA101" s="610" t="s">
        <v>2449</v>
      </c>
      <c r="DB101" s="610" t="s">
        <v>2449</v>
      </c>
      <c r="DC101" s="610" t="s">
        <v>2449</v>
      </c>
      <c r="DD101" s="610" t="s">
        <v>2449</v>
      </c>
      <c r="DE101" s="610" t="s">
        <v>2449</v>
      </c>
      <c r="DF101" s="610" t="s">
        <v>2449</v>
      </c>
      <c r="DG101" s="610" t="s">
        <v>2449</v>
      </c>
      <c r="DH101" s="610" t="s">
        <v>2449</v>
      </c>
      <c r="DI101" s="610" t="s">
        <v>2449</v>
      </c>
      <c r="DJ101" s="610" t="s">
        <v>2449</v>
      </c>
      <c r="DK101" s="610" t="s">
        <v>1368</v>
      </c>
      <c r="DL101" s="610" t="s">
        <v>1368</v>
      </c>
      <c r="DM101" s="610" t="s">
        <v>1368</v>
      </c>
      <c r="DN101" s="610" t="s">
        <v>1368</v>
      </c>
      <c r="DO101" s="610" t="s">
        <v>1368</v>
      </c>
      <c r="DP101" s="610" t="s">
        <v>1368</v>
      </c>
      <c r="DQ101" s="610" t="s">
        <v>1368</v>
      </c>
      <c r="DR101" s="610" t="s">
        <v>1368</v>
      </c>
      <c r="DS101" s="610" t="s">
        <v>1368</v>
      </c>
      <c r="DT101" s="610" t="s">
        <v>1368</v>
      </c>
      <c r="DU101" s="610" t="s">
        <v>1368</v>
      </c>
      <c r="DV101" s="610" t="s">
        <v>1368</v>
      </c>
      <c r="DW101" s="609" t="s">
        <v>1368</v>
      </c>
      <c r="DX101" s="609" t="s">
        <v>1368</v>
      </c>
      <c r="DY101" s="609" t="s">
        <v>1368</v>
      </c>
      <c r="DZ101" s="609" t="s">
        <v>1368</v>
      </c>
      <c r="EA101" s="609" t="s">
        <v>1368</v>
      </c>
      <c r="EB101" s="609" t="s">
        <v>1368</v>
      </c>
      <c r="EC101" s="609" t="s">
        <v>1368</v>
      </c>
      <c r="ED101" s="609" t="s">
        <v>1368</v>
      </c>
      <c r="EE101" s="609" t="s">
        <v>1368</v>
      </c>
      <c r="EF101" s="609" t="s">
        <v>1368</v>
      </c>
      <c r="EG101" s="609" t="s">
        <v>1368</v>
      </c>
      <c r="EH101" s="609" t="s">
        <v>1368</v>
      </c>
      <c r="EI101" s="610" t="s">
        <v>2449</v>
      </c>
      <c r="EJ101" s="610" t="s">
        <v>2449</v>
      </c>
      <c r="EK101" s="610" t="s">
        <v>2449</v>
      </c>
      <c r="EL101" s="610" t="s">
        <v>2449</v>
      </c>
      <c r="EM101" s="610" t="s">
        <v>2449</v>
      </c>
      <c r="EN101" s="610" t="s">
        <v>2449</v>
      </c>
      <c r="EO101" s="610" t="s">
        <v>2449</v>
      </c>
      <c r="EP101" s="610" t="s">
        <v>2449</v>
      </c>
      <c r="EQ101" s="610" t="s">
        <v>2449</v>
      </c>
      <c r="ER101" s="610" t="s">
        <v>2449</v>
      </c>
      <c r="ES101" s="610" t="s">
        <v>2449</v>
      </c>
      <c r="ET101" s="610" t="s">
        <v>2449</v>
      </c>
      <c r="EU101" s="610">
        <v>4070</v>
      </c>
      <c r="EV101" s="610" t="s">
        <v>2449</v>
      </c>
      <c r="EW101" s="610" t="s">
        <v>2449</v>
      </c>
      <c r="EX101" s="610" t="s">
        <v>2449</v>
      </c>
      <c r="EY101" s="610" t="s">
        <v>2449</v>
      </c>
      <c r="EZ101" s="610" t="s">
        <v>2449</v>
      </c>
      <c r="FA101" s="610" t="s">
        <v>2449</v>
      </c>
      <c r="FB101" s="610" t="s">
        <v>2449</v>
      </c>
      <c r="FC101" s="610" t="s">
        <v>2449</v>
      </c>
      <c r="FD101" s="610" t="s">
        <v>2449</v>
      </c>
      <c r="FE101" s="610" t="s">
        <v>2449</v>
      </c>
      <c r="FF101" s="610" t="s">
        <v>2449</v>
      </c>
      <c r="FG101" s="610" t="s">
        <v>2449</v>
      </c>
      <c r="FH101" s="610">
        <v>0</v>
      </c>
      <c r="FI101" s="610">
        <v>0</v>
      </c>
      <c r="FJ101" s="610">
        <v>0</v>
      </c>
      <c r="FK101" s="610">
        <v>0</v>
      </c>
      <c r="FL101" s="610">
        <v>0</v>
      </c>
      <c r="FM101" s="610">
        <v>0</v>
      </c>
      <c r="FN101" s="610">
        <v>0</v>
      </c>
      <c r="FO101" s="610">
        <v>0</v>
      </c>
      <c r="FP101" s="610">
        <v>0</v>
      </c>
      <c r="FQ101" s="610">
        <v>0</v>
      </c>
      <c r="FR101" s="610" t="s">
        <v>2488</v>
      </c>
      <c r="FS101" s="610" t="s">
        <v>2488</v>
      </c>
      <c r="FT101" s="610" t="s">
        <v>2488</v>
      </c>
      <c r="FU101" s="610" t="s">
        <v>2488</v>
      </c>
      <c r="FV101" s="610" t="s">
        <v>2488</v>
      </c>
      <c r="FW101" s="610" t="s">
        <v>2488</v>
      </c>
      <c r="FX101" s="610" t="s">
        <v>2488</v>
      </c>
      <c r="FY101" s="610" t="s">
        <v>2488</v>
      </c>
      <c r="FZ101" s="610" t="s">
        <v>2488</v>
      </c>
      <c r="GA101" s="610" t="s">
        <v>2488</v>
      </c>
      <c r="GB101" s="610" t="s">
        <v>2488</v>
      </c>
      <c r="GC101" s="610" t="s">
        <v>2488</v>
      </c>
      <c r="GD101" s="564" t="str">
        <f t="shared" si="18"/>
        <v/>
      </c>
      <c r="GE101" s="564" t="str">
        <f t="shared" si="19"/>
        <v/>
      </c>
      <c r="GF101" s="564" t="str">
        <f t="shared" si="20"/>
        <v/>
      </c>
      <c r="GG101" s="564" t="str">
        <f t="shared" si="21"/>
        <v/>
      </c>
      <c r="GH101" s="564" t="str">
        <f t="shared" si="22"/>
        <v/>
      </c>
      <c r="GI101" s="564" t="str">
        <f t="shared" si="23"/>
        <v/>
      </c>
      <c r="GJ101" s="564" t="str">
        <f t="shared" si="24"/>
        <v/>
      </c>
      <c r="GK101" s="564" t="str">
        <f t="shared" si="25"/>
        <v/>
      </c>
      <c r="GL101" s="564" t="str">
        <f t="shared" si="26"/>
        <v/>
      </c>
      <c r="GM101" s="564" t="str">
        <f t="shared" si="27"/>
        <v/>
      </c>
      <c r="GN101" s="564" t="str">
        <f t="shared" si="28"/>
        <v/>
      </c>
      <c r="GO101" s="564" t="str">
        <f t="shared" si="29"/>
        <v/>
      </c>
      <c r="GP101" s="564"/>
      <c r="GS101" s="375" t="s">
        <v>559</v>
      </c>
      <c r="GT101" s="374" t="str">
        <f t="shared" ref="GT101:GT132" si="30">IF(D101=GS101,"〇","✕")</f>
        <v>〇</v>
      </c>
    </row>
    <row r="102" spans="2:202">
      <c r="B102" s="371">
        <v>98</v>
      </c>
      <c r="C102" s="378">
        <v>98</v>
      </c>
      <c r="D102" s="373" t="s">
        <v>564</v>
      </c>
      <c r="E102" s="373" t="s">
        <v>14</v>
      </c>
      <c r="F102" s="603">
        <f t="shared" si="17"/>
        <v>36</v>
      </c>
      <c r="G102" s="603"/>
      <c r="H102" s="603">
        <v>18</v>
      </c>
      <c r="I102" s="603">
        <v>18</v>
      </c>
      <c r="J102" s="603"/>
      <c r="K102" s="603"/>
      <c r="L102" s="603"/>
      <c r="M102" s="603"/>
      <c r="N102" s="608"/>
      <c r="O102" s="603">
        <v>1577000</v>
      </c>
      <c r="P102" s="603">
        <v>0</v>
      </c>
      <c r="Q102" s="603">
        <v>0</v>
      </c>
      <c r="R102" s="603">
        <v>1188000</v>
      </c>
      <c r="S102" s="603">
        <v>0</v>
      </c>
      <c r="T102" s="603">
        <v>0</v>
      </c>
      <c r="U102" s="603">
        <v>0</v>
      </c>
      <c r="V102" s="603">
        <v>1051000</v>
      </c>
      <c r="W102" s="603">
        <v>0</v>
      </c>
      <c r="X102" s="603">
        <v>0</v>
      </c>
      <c r="Y102" s="603">
        <v>792000</v>
      </c>
      <c r="Z102" s="603">
        <v>0</v>
      </c>
      <c r="AA102" s="603">
        <v>0</v>
      </c>
      <c r="AB102" s="603">
        <v>0</v>
      </c>
      <c r="AC102" s="603">
        <v>526000</v>
      </c>
      <c r="AD102" s="603">
        <v>0</v>
      </c>
      <c r="AE102" s="603">
        <v>0</v>
      </c>
      <c r="AF102" s="603">
        <v>396000</v>
      </c>
      <c r="AG102" s="603">
        <v>0</v>
      </c>
      <c r="AH102" s="603">
        <v>0</v>
      </c>
      <c r="AI102" s="603">
        <v>0</v>
      </c>
      <c r="AJ102" s="604" t="s">
        <v>2377</v>
      </c>
      <c r="AK102" s="605" t="s">
        <v>2378</v>
      </c>
      <c r="AL102" s="605" t="s">
        <v>2490</v>
      </c>
      <c r="AM102" s="606" t="s">
        <v>2091</v>
      </c>
      <c r="AN102" s="609" t="s">
        <v>12</v>
      </c>
      <c r="AO102" s="610" t="s">
        <v>1368</v>
      </c>
      <c r="AP102" s="610" t="s">
        <v>1368</v>
      </c>
      <c r="AQ102" s="610" t="s">
        <v>1368</v>
      </c>
      <c r="AR102" s="610" t="s">
        <v>1368</v>
      </c>
      <c r="AS102" s="610" t="s">
        <v>1368</v>
      </c>
      <c r="AT102" s="610" t="s">
        <v>1368</v>
      </c>
      <c r="AU102" s="610" t="s">
        <v>1368</v>
      </c>
      <c r="AV102" s="610" t="s">
        <v>1368</v>
      </c>
      <c r="AW102" s="610" t="s">
        <v>1368</v>
      </c>
      <c r="AX102" s="610" t="s">
        <v>1368</v>
      </c>
      <c r="AY102" s="610" t="s">
        <v>1368</v>
      </c>
      <c r="AZ102" s="610" t="s">
        <v>1368</v>
      </c>
      <c r="BA102" s="610" t="s">
        <v>1368</v>
      </c>
      <c r="BB102" s="610" t="s">
        <v>1368</v>
      </c>
      <c r="BC102" s="610" t="s">
        <v>1368</v>
      </c>
      <c r="BD102" s="610" t="s">
        <v>1368</v>
      </c>
      <c r="BE102" s="610" t="s">
        <v>1368</v>
      </c>
      <c r="BF102" s="610" t="s">
        <v>1368</v>
      </c>
      <c r="BG102" s="610" t="s">
        <v>1368</v>
      </c>
      <c r="BH102" s="610" t="s">
        <v>1368</v>
      </c>
      <c r="BI102" s="610" t="s">
        <v>1368</v>
      </c>
      <c r="BJ102" s="610" t="s">
        <v>1368</v>
      </c>
      <c r="BK102" s="610" t="s">
        <v>1368</v>
      </c>
      <c r="BL102" s="610" t="s">
        <v>1368</v>
      </c>
      <c r="BM102" s="610">
        <v>0</v>
      </c>
      <c r="BN102" s="610">
        <v>0</v>
      </c>
      <c r="BO102" s="610">
        <v>0</v>
      </c>
      <c r="BP102" s="610">
        <v>0</v>
      </c>
      <c r="BQ102" s="610">
        <v>0</v>
      </c>
      <c r="BR102" s="610">
        <v>0</v>
      </c>
      <c r="BS102" s="610">
        <v>0</v>
      </c>
      <c r="BT102" s="610">
        <v>0</v>
      </c>
      <c r="BU102" s="610">
        <v>0</v>
      </c>
      <c r="BV102" s="610">
        <v>0</v>
      </c>
      <c r="BW102" s="610">
        <v>0</v>
      </c>
      <c r="BX102" s="610">
        <v>0</v>
      </c>
      <c r="BY102" s="610">
        <v>0</v>
      </c>
      <c r="BZ102" s="610">
        <v>0</v>
      </c>
      <c r="CA102" s="610">
        <v>0</v>
      </c>
      <c r="CB102" s="610">
        <v>0</v>
      </c>
      <c r="CC102" s="610">
        <v>0</v>
      </c>
      <c r="CD102" s="610">
        <v>0</v>
      </c>
      <c r="CE102" s="610">
        <v>0</v>
      </c>
      <c r="CF102" s="610">
        <v>0</v>
      </c>
      <c r="CG102" s="610">
        <v>0</v>
      </c>
      <c r="CH102" s="610">
        <v>0</v>
      </c>
      <c r="CI102" s="610">
        <v>0</v>
      </c>
      <c r="CJ102" s="610">
        <v>0</v>
      </c>
      <c r="CK102" s="610">
        <v>0</v>
      </c>
      <c r="CL102" s="610">
        <v>0</v>
      </c>
      <c r="CM102" s="610">
        <v>0</v>
      </c>
      <c r="CN102" s="610">
        <v>0</v>
      </c>
      <c r="CO102" s="610">
        <v>0</v>
      </c>
      <c r="CP102" s="610">
        <v>0</v>
      </c>
      <c r="CQ102" s="610">
        <v>0</v>
      </c>
      <c r="CR102" s="610">
        <v>0</v>
      </c>
      <c r="CS102" s="610">
        <v>0</v>
      </c>
      <c r="CT102" s="610">
        <v>0</v>
      </c>
      <c r="CU102" s="610">
        <v>0</v>
      </c>
      <c r="CV102" s="610">
        <v>0</v>
      </c>
      <c r="CW102" s="610" t="s">
        <v>14</v>
      </c>
      <c r="CX102" s="610">
        <v>0</v>
      </c>
      <c r="CY102" s="610" t="s">
        <v>1707</v>
      </c>
      <c r="CZ102" s="610" t="s">
        <v>1707</v>
      </c>
      <c r="DA102" s="610" t="s">
        <v>1707</v>
      </c>
      <c r="DB102" s="610" t="s">
        <v>1707</v>
      </c>
      <c r="DC102" s="610" t="s">
        <v>1707</v>
      </c>
      <c r="DD102" s="610" t="s">
        <v>1707</v>
      </c>
      <c r="DE102" s="610" t="s">
        <v>1707</v>
      </c>
      <c r="DF102" s="610" t="s">
        <v>1707</v>
      </c>
      <c r="DG102" s="610" t="s">
        <v>1707</v>
      </c>
      <c r="DH102" s="610" t="s">
        <v>1707</v>
      </c>
      <c r="DI102" s="610" t="s">
        <v>1707</v>
      </c>
      <c r="DJ102" s="610" t="s">
        <v>1707</v>
      </c>
      <c r="DK102" s="610" t="s">
        <v>1368</v>
      </c>
      <c r="DL102" s="610" t="s">
        <v>1368</v>
      </c>
      <c r="DM102" s="610" t="s">
        <v>1368</v>
      </c>
      <c r="DN102" s="610" t="s">
        <v>1368</v>
      </c>
      <c r="DO102" s="610" t="s">
        <v>1368</v>
      </c>
      <c r="DP102" s="610" t="s">
        <v>1368</v>
      </c>
      <c r="DQ102" s="610" t="s">
        <v>1368</v>
      </c>
      <c r="DR102" s="610" t="s">
        <v>1368</v>
      </c>
      <c r="DS102" s="610" t="s">
        <v>1368</v>
      </c>
      <c r="DT102" s="610" t="s">
        <v>1368</v>
      </c>
      <c r="DU102" s="610" t="s">
        <v>1368</v>
      </c>
      <c r="DV102" s="610" t="s">
        <v>1368</v>
      </c>
      <c r="DW102" s="609" t="s">
        <v>1368</v>
      </c>
      <c r="DX102" s="609" t="s">
        <v>1368</v>
      </c>
      <c r="DY102" s="609" t="s">
        <v>1368</v>
      </c>
      <c r="DZ102" s="609" t="s">
        <v>1368</v>
      </c>
      <c r="EA102" s="609" t="s">
        <v>1368</v>
      </c>
      <c r="EB102" s="609" t="s">
        <v>1368</v>
      </c>
      <c r="EC102" s="609" t="s">
        <v>1368</v>
      </c>
      <c r="ED102" s="609" t="s">
        <v>1368</v>
      </c>
      <c r="EE102" s="609" t="s">
        <v>1368</v>
      </c>
      <c r="EF102" s="609" t="s">
        <v>1368</v>
      </c>
      <c r="EG102" s="609" t="s">
        <v>1368</v>
      </c>
      <c r="EH102" s="609" t="s">
        <v>1368</v>
      </c>
      <c r="EI102" s="610" t="s">
        <v>1707</v>
      </c>
      <c r="EJ102" s="610" t="s">
        <v>1707</v>
      </c>
      <c r="EK102" s="610" t="s">
        <v>1707</v>
      </c>
      <c r="EL102" s="610" t="s">
        <v>1707</v>
      </c>
      <c r="EM102" s="610" t="s">
        <v>1707</v>
      </c>
      <c r="EN102" s="610" t="s">
        <v>1707</v>
      </c>
      <c r="EO102" s="610" t="s">
        <v>1707</v>
      </c>
      <c r="EP102" s="610" t="s">
        <v>1707</v>
      </c>
      <c r="EQ102" s="610" t="s">
        <v>1707</v>
      </c>
      <c r="ER102" s="610" t="s">
        <v>1707</v>
      </c>
      <c r="ES102" s="610" t="s">
        <v>1707</v>
      </c>
      <c r="ET102" s="610" t="s">
        <v>1707</v>
      </c>
      <c r="EU102" s="610">
        <v>4070</v>
      </c>
      <c r="EV102" s="610" t="s">
        <v>1707</v>
      </c>
      <c r="EW102" s="610" t="s">
        <v>1707</v>
      </c>
      <c r="EX102" s="610" t="s">
        <v>1707</v>
      </c>
      <c r="EY102" s="610" t="s">
        <v>1707</v>
      </c>
      <c r="EZ102" s="610" t="s">
        <v>1707</v>
      </c>
      <c r="FA102" s="610" t="s">
        <v>1707</v>
      </c>
      <c r="FB102" s="610" t="s">
        <v>1707</v>
      </c>
      <c r="FC102" s="610" t="s">
        <v>1707</v>
      </c>
      <c r="FD102" s="610" t="s">
        <v>1707</v>
      </c>
      <c r="FE102" s="610" t="s">
        <v>1707</v>
      </c>
      <c r="FF102" s="610" t="s">
        <v>1707</v>
      </c>
      <c r="FG102" s="610" t="s">
        <v>1707</v>
      </c>
      <c r="FH102" s="610">
        <v>6</v>
      </c>
      <c r="FI102" s="610">
        <v>6</v>
      </c>
      <c r="FJ102" s="610">
        <v>6</v>
      </c>
      <c r="FK102" s="610">
        <v>6</v>
      </c>
      <c r="FL102" s="610">
        <v>6</v>
      </c>
      <c r="FM102" s="610">
        <v>7</v>
      </c>
      <c r="FN102" s="610">
        <v>7</v>
      </c>
      <c r="FO102" s="610">
        <v>7</v>
      </c>
      <c r="FP102" s="610">
        <v>8</v>
      </c>
      <c r="FQ102" s="610">
        <v>8</v>
      </c>
      <c r="FR102" s="610" t="s">
        <v>2487</v>
      </c>
      <c r="FS102" s="610" t="s">
        <v>2487</v>
      </c>
      <c r="FT102" s="610" t="s">
        <v>2487</v>
      </c>
      <c r="FU102" s="610" t="s">
        <v>2487</v>
      </c>
      <c r="FV102" s="610" t="s">
        <v>2487</v>
      </c>
      <c r="FW102" s="610" t="s">
        <v>2487</v>
      </c>
      <c r="FX102" s="610" t="s">
        <v>2487</v>
      </c>
      <c r="FY102" s="610" t="s">
        <v>2487</v>
      </c>
      <c r="FZ102" s="610" t="s">
        <v>2487</v>
      </c>
      <c r="GA102" s="610" t="s">
        <v>2487</v>
      </c>
      <c r="GB102" s="610" t="s">
        <v>2487</v>
      </c>
      <c r="GC102" s="610" t="s">
        <v>2487</v>
      </c>
      <c r="GD102" s="564">
        <f t="shared" si="18"/>
        <v>79950</v>
      </c>
      <c r="GE102" s="564">
        <f t="shared" si="19"/>
        <v>79950</v>
      </c>
      <c r="GF102" s="564">
        <f t="shared" si="20"/>
        <v>79950</v>
      </c>
      <c r="GG102" s="564">
        <f t="shared" si="21"/>
        <v>79950</v>
      </c>
      <c r="GH102" s="564">
        <f t="shared" si="22"/>
        <v>79950</v>
      </c>
      <c r="GI102" s="564">
        <f t="shared" si="23"/>
        <v>79950</v>
      </c>
      <c r="GJ102" s="564">
        <f t="shared" si="24"/>
        <v>79950</v>
      </c>
      <c r="GK102" s="564">
        <f t="shared" si="25"/>
        <v>79950</v>
      </c>
      <c r="GL102" s="564">
        <f t="shared" si="26"/>
        <v>79950</v>
      </c>
      <c r="GM102" s="564">
        <f t="shared" si="27"/>
        <v>79950</v>
      </c>
      <c r="GN102" s="564">
        <f t="shared" si="28"/>
        <v>79950</v>
      </c>
      <c r="GO102" s="564">
        <f t="shared" si="29"/>
        <v>79950</v>
      </c>
      <c r="GP102" s="564"/>
      <c r="GS102" s="375" t="s">
        <v>564</v>
      </c>
      <c r="GT102" s="374" t="str">
        <f t="shared" si="30"/>
        <v>〇</v>
      </c>
    </row>
    <row r="103" spans="2:202">
      <c r="B103" s="371">
        <v>99</v>
      </c>
      <c r="C103" s="378">
        <v>99</v>
      </c>
      <c r="D103" s="373" t="s">
        <v>583</v>
      </c>
      <c r="E103" s="373" t="s">
        <v>14</v>
      </c>
      <c r="F103" s="603">
        <f t="shared" si="17"/>
        <v>28</v>
      </c>
      <c r="G103" s="603"/>
      <c r="H103" s="603">
        <v>15</v>
      </c>
      <c r="I103" s="603">
        <v>13</v>
      </c>
      <c r="J103" s="603"/>
      <c r="K103" s="603"/>
      <c r="L103" s="603"/>
      <c r="M103" s="603"/>
      <c r="N103" s="608"/>
      <c r="O103" s="603">
        <v>1577000</v>
      </c>
      <c r="P103" s="603">
        <v>2721000</v>
      </c>
      <c r="Q103" s="603">
        <v>0</v>
      </c>
      <c r="R103" s="603">
        <v>1791000</v>
      </c>
      <c r="S103" s="603">
        <v>1791000</v>
      </c>
      <c r="T103" s="603">
        <v>0</v>
      </c>
      <c r="U103" s="603">
        <v>0</v>
      </c>
      <c r="V103" s="603">
        <v>0</v>
      </c>
      <c r="W103" s="603">
        <v>0</v>
      </c>
      <c r="X103" s="603">
        <v>0</v>
      </c>
      <c r="Y103" s="603">
        <v>0</v>
      </c>
      <c r="Z103" s="603">
        <v>0</v>
      </c>
      <c r="AA103" s="603">
        <v>0</v>
      </c>
      <c r="AB103" s="603">
        <v>0</v>
      </c>
      <c r="AC103" s="603">
        <v>0</v>
      </c>
      <c r="AD103" s="603">
        <v>0</v>
      </c>
      <c r="AE103" s="603">
        <v>0</v>
      </c>
      <c r="AF103" s="603">
        <v>0</v>
      </c>
      <c r="AG103" s="603">
        <v>0</v>
      </c>
      <c r="AH103" s="603">
        <v>0</v>
      </c>
      <c r="AI103" s="603">
        <v>0</v>
      </c>
      <c r="AJ103" s="604" t="s">
        <v>2377</v>
      </c>
      <c r="AK103" s="605" t="s">
        <v>1545</v>
      </c>
      <c r="AL103" s="605" t="s">
        <v>1545</v>
      </c>
      <c r="AM103" s="606" t="s">
        <v>2092</v>
      </c>
      <c r="AN103" s="609" t="s">
        <v>12</v>
      </c>
      <c r="AO103" s="610" t="s">
        <v>1368</v>
      </c>
      <c r="AP103" s="610" t="s">
        <v>1368</v>
      </c>
      <c r="AQ103" s="610" t="s">
        <v>1368</v>
      </c>
      <c r="AR103" s="610" t="s">
        <v>1368</v>
      </c>
      <c r="AS103" s="610" t="s">
        <v>1368</v>
      </c>
      <c r="AT103" s="610" t="s">
        <v>1368</v>
      </c>
      <c r="AU103" s="610" t="s">
        <v>1368</v>
      </c>
      <c r="AV103" s="610" t="s">
        <v>1368</v>
      </c>
      <c r="AW103" s="610" t="s">
        <v>1368</v>
      </c>
      <c r="AX103" s="610" t="s">
        <v>1368</v>
      </c>
      <c r="AY103" s="610" t="s">
        <v>1368</v>
      </c>
      <c r="AZ103" s="610" t="s">
        <v>1368</v>
      </c>
      <c r="BA103" s="610" t="s">
        <v>1368</v>
      </c>
      <c r="BB103" s="610" t="s">
        <v>1368</v>
      </c>
      <c r="BC103" s="610" t="s">
        <v>1368</v>
      </c>
      <c r="BD103" s="610" t="s">
        <v>1368</v>
      </c>
      <c r="BE103" s="610" t="s">
        <v>1368</v>
      </c>
      <c r="BF103" s="610" t="s">
        <v>1368</v>
      </c>
      <c r="BG103" s="610" t="s">
        <v>1368</v>
      </c>
      <c r="BH103" s="610" t="s">
        <v>1368</v>
      </c>
      <c r="BI103" s="610" t="s">
        <v>1368</v>
      </c>
      <c r="BJ103" s="610" t="s">
        <v>1368</v>
      </c>
      <c r="BK103" s="610" t="s">
        <v>1368</v>
      </c>
      <c r="BL103" s="610" t="s">
        <v>1368</v>
      </c>
      <c r="BM103" s="610">
        <v>0</v>
      </c>
      <c r="BN103" s="610">
        <v>0</v>
      </c>
      <c r="BO103" s="610">
        <v>0</v>
      </c>
      <c r="BP103" s="610">
        <v>0</v>
      </c>
      <c r="BQ103" s="610">
        <v>0</v>
      </c>
      <c r="BR103" s="610">
        <v>0</v>
      </c>
      <c r="BS103" s="610">
        <v>0</v>
      </c>
      <c r="BT103" s="610">
        <v>0</v>
      </c>
      <c r="BU103" s="610">
        <v>0</v>
      </c>
      <c r="BV103" s="610">
        <v>0</v>
      </c>
      <c r="BW103" s="610">
        <v>0</v>
      </c>
      <c r="BX103" s="610">
        <v>0</v>
      </c>
      <c r="BY103" s="610">
        <v>0</v>
      </c>
      <c r="BZ103" s="610">
        <v>0</v>
      </c>
      <c r="CA103" s="610">
        <v>0</v>
      </c>
      <c r="CB103" s="610">
        <v>0</v>
      </c>
      <c r="CC103" s="610">
        <v>0</v>
      </c>
      <c r="CD103" s="610">
        <v>0</v>
      </c>
      <c r="CE103" s="610">
        <v>0</v>
      </c>
      <c r="CF103" s="610">
        <v>0</v>
      </c>
      <c r="CG103" s="610">
        <v>0</v>
      </c>
      <c r="CH103" s="610">
        <v>0</v>
      </c>
      <c r="CI103" s="610">
        <v>0</v>
      </c>
      <c r="CJ103" s="610">
        <v>0</v>
      </c>
      <c r="CK103" s="610">
        <v>0</v>
      </c>
      <c r="CL103" s="610">
        <v>0</v>
      </c>
      <c r="CM103" s="610">
        <v>0</v>
      </c>
      <c r="CN103" s="610">
        <v>0</v>
      </c>
      <c r="CO103" s="610">
        <v>0</v>
      </c>
      <c r="CP103" s="610">
        <v>0</v>
      </c>
      <c r="CQ103" s="610">
        <v>0</v>
      </c>
      <c r="CR103" s="610">
        <v>0</v>
      </c>
      <c r="CS103" s="610">
        <v>0</v>
      </c>
      <c r="CT103" s="610">
        <v>0</v>
      </c>
      <c r="CU103" s="610">
        <v>0</v>
      </c>
      <c r="CV103" s="610">
        <v>0</v>
      </c>
      <c r="CW103" s="610" t="s">
        <v>14</v>
      </c>
      <c r="CX103" s="610">
        <v>0</v>
      </c>
      <c r="CY103" s="610" t="s">
        <v>2449</v>
      </c>
      <c r="CZ103" s="610" t="s">
        <v>2449</v>
      </c>
      <c r="DA103" s="610" t="s">
        <v>2449</v>
      </c>
      <c r="DB103" s="610" t="s">
        <v>2449</v>
      </c>
      <c r="DC103" s="610" t="s">
        <v>2449</v>
      </c>
      <c r="DD103" s="610" t="s">
        <v>2449</v>
      </c>
      <c r="DE103" s="610" t="s">
        <v>2449</v>
      </c>
      <c r="DF103" s="610" t="s">
        <v>2449</v>
      </c>
      <c r="DG103" s="610" t="s">
        <v>2449</v>
      </c>
      <c r="DH103" s="610" t="s">
        <v>2449</v>
      </c>
      <c r="DI103" s="610" t="s">
        <v>2449</v>
      </c>
      <c r="DJ103" s="610" t="s">
        <v>2449</v>
      </c>
      <c r="DK103" s="610" t="s">
        <v>1368</v>
      </c>
      <c r="DL103" s="610" t="s">
        <v>1368</v>
      </c>
      <c r="DM103" s="610" t="s">
        <v>1368</v>
      </c>
      <c r="DN103" s="610" t="s">
        <v>1368</v>
      </c>
      <c r="DO103" s="610" t="s">
        <v>1368</v>
      </c>
      <c r="DP103" s="610" t="s">
        <v>1368</v>
      </c>
      <c r="DQ103" s="610" t="s">
        <v>1368</v>
      </c>
      <c r="DR103" s="610" t="s">
        <v>1368</v>
      </c>
      <c r="DS103" s="610" t="s">
        <v>1368</v>
      </c>
      <c r="DT103" s="610" t="s">
        <v>1368</v>
      </c>
      <c r="DU103" s="610" t="s">
        <v>1368</v>
      </c>
      <c r="DV103" s="610" t="s">
        <v>1368</v>
      </c>
      <c r="DW103" s="609" t="s">
        <v>1368</v>
      </c>
      <c r="DX103" s="609" t="s">
        <v>1368</v>
      </c>
      <c r="DY103" s="609" t="s">
        <v>1368</v>
      </c>
      <c r="DZ103" s="609" t="s">
        <v>1368</v>
      </c>
      <c r="EA103" s="609" t="s">
        <v>1368</v>
      </c>
      <c r="EB103" s="609" t="s">
        <v>1368</v>
      </c>
      <c r="EC103" s="609" t="s">
        <v>1368</v>
      </c>
      <c r="ED103" s="609" t="s">
        <v>1368</v>
      </c>
      <c r="EE103" s="609" t="s">
        <v>1368</v>
      </c>
      <c r="EF103" s="609" t="s">
        <v>1368</v>
      </c>
      <c r="EG103" s="609" t="s">
        <v>1368</v>
      </c>
      <c r="EH103" s="609" t="s">
        <v>1368</v>
      </c>
      <c r="EI103" s="610" t="s">
        <v>1707</v>
      </c>
      <c r="EJ103" s="610" t="s">
        <v>1707</v>
      </c>
      <c r="EK103" s="610" t="s">
        <v>1707</v>
      </c>
      <c r="EL103" s="610" t="s">
        <v>1707</v>
      </c>
      <c r="EM103" s="610" t="s">
        <v>1707</v>
      </c>
      <c r="EN103" s="610" t="s">
        <v>1707</v>
      </c>
      <c r="EO103" s="610" t="s">
        <v>1707</v>
      </c>
      <c r="EP103" s="610" t="s">
        <v>1707</v>
      </c>
      <c r="EQ103" s="610" t="s">
        <v>1707</v>
      </c>
      <c r="ER103" s="610" t="s">
        <v>1707</v>
      </c>
      <c r="ES103" s="610" t="s">
        <v>1707</v>
      </c>
      <c r="ET103" s="610" t="s">
        <v>1707</v>
      </c>
      <c r="EU103" s="610">
        <v>3890</v>
      </c>
      <c r="EV103" s="610" t="s">
        <v>1707</v>
      </c>
      <c r="EW103" s="610" t="s">
        <v>1707</v>
      </c>
      <c r="EX103" s="610" t="s">
        <v>1707</v>
      </c>
      <c r="EY103" s="610" t="s">
        <v>1707</v>
      </c>
      <c r="EZ103" s="610" t="s">
        <v>1707</v>
      </c>
      <c r="FA103" s="610" t="s">
        <v>1707</v>
      </c>
      <c r="FB103" s="610" t="s">
        <v>1707</v>
      </c>
      <c r="FC103" s="610" t="s">
        <v>1707</v>
      </c>
      <c r="FD103" s="610" t="s">
        <v>1707</v>
      </c>
      <c r="FE103" s="610" t="s">
        <v>1707</v>
      </c>
      <c r="FF103" s="610" t="s">
        <v>1707</v>
      </c>
      <c r="FG103" s="610" t="s">
        <v>1707</v>
      </c>
      <c r="FH103" s="610">
        <v>12</v>
      </c>
      <c r="FI103" s="610">
        <v>12</v>
      </c>
      <c r="FJ103" s="610">
        <v>12</v>
      </c>
      <c r="FK103" s="610">
        <v>12</v>
      </c>
      <c r="FL103" s="610">
        <v>12</v>
      </c>
      <c r="FM103" s="610">
        <v>12</v>
      </c>
      <c r="FN103" s="610">
        <v>12</v>
      </c>
      <c r="FO103" s="610">
        <v>12</v>
      </c>
      <c r="FP103" s="610">
        <v>12</v>
      </c>
      <c r="FQ103" s="610">
        <v>12</v>
      </c>
      <c r="FR103" s="610" t="s">
        <v>1368</v>
      </c>
      <c r="FS103" s="610" t="s">
        <v>1368</v>
      </c>
      <c r="FT103" s="610" t="s">
        <v>1368</v>
      </c>
      <c r="FU103" s="610" t="s">
        <v>1368</v>
      </c>
      <c r="FV103" s="610" t="s">
        <v>1368</v>
      </c>
      <c r="FW103" s="610" t="s">
        <v>1368</v>
      </c>
      <c r="FX103" s="610" t="s">
        <v>1368</v>
      </c>
      <c r="FY103" s="610" t="s">
        <v>1368</v>
      </c>
      <c r="FZ103" s="610" t="s">
        <v>1368</v>
      </c>
      <c r="GA103" s="610" t="s">
        <v>1368</v>
      </c>
      <c r="GB103" s="610" t="s">
        <v>1368</v>
      </c>
      <c r="GC103" s="610" t="s">
        <v>1368</v>
      </c>
      <c r="GD103" s="564" t="str">
        <f t="shared" si="18"/>
        <v/>
      </c>
      <c r="GE103" s="564" t="str">
        <f t="shared" si="19"/>
        <v/>
      </c>
      <c r="GF103" s="564" t="str">
        <f t="shared" si="20"/>
        <v/>
      </c>
      <c r="GG103" s="564" t="str">
        <f t="shared" si="21"/>
        <v/>
      </c>
      <c r="GH103" s="564" t="str">
        <f t="shared" si="22"/>
        <v/>
      </c>
      <c r="GI103" s="564" t="str">
        <f t="shared" si="23"/>
        <v/>
      </c>
      <c r="GJ103" s="564" t="str">
        <f t="shared" si="24"/>
        <v/>
      </c>
      <c r="GK103" s="564" t="str">
        <f t="shared" si="25"/>
        <v/>
      </c>
      <c r="GL103" s="564" t="str">
        <f t="shared" si="26"/>
        <v/>
      </c>
      <c r="GM103" s="564" t="str">
        <f t="shared" si="27"/>
        <v/>
      </c>
      <c r="GN103" s="564" t="str">
        <f t="shared" si="28"/>
        <v/>
      </c>
      <c r="GO103" s="564" t="str">
        <f t="shared" si="29"/>
        <v/>
      </c>
      <c r="GP103" s="564"/>
      <c r="GS103" s="375" t="s">
        <v>583</v>
      </c>
      <c r="GT103" s="374" t="str">
        <f t="shared" si="30"/>
        <v>〇</v>
      </c>
    </row>
    <row r="104" spans="2:202">
      <c r="B104" s="371">
        <v>100</v>
      </c>
      <c r="C104" s="378">
        <v>100</v>
      </c>
      <c r="D104" s="373" t="s">
        <v>549</v>
      </c>
      <c r="E104" s="373" t="s">
        <v>14</v>
      </c>
      <c r="F104" s="603">
        <f t="shared" si="17"/>
        <v>55</v>
      </c>
      <c r="G104" s="603"/>
      <c r="H104" s="603">
        <v>33</v>
      </c>
      <c r="I104" s="603">
        <v>22</v>
      </c>
      <c r="J104" s="603"/>
      <c r="K104" s="603"/>
      <c r="L104" s="603"/>
      <c r="M104" s="603"/>
      <c r="N104" s="608"/>
      <c r="O104" s="603">
        <v>1577000</v>
      </c>
      <c r="P104" s="603">
        <v>2721000</v>
      </c>
      <c r="Q104" s="603">
        <v>0</v>
      </c>
      <c r="R104" s="603">
        <v>1791000</v>
      </c>
      <c r="S104" s="603">
        <v>0</v>
      </c>
      <c r="T104" s="603">
        <v>0</v>
      </c>
      <c r="U104" s="603">
        <v>0</v>
      </c>
      <c r="V104" s="603">
        <v>1051000</v>
      </c>
      <c r="W104" s="603">
        <v>1814000</v>
      </c>
      <c r="X104" s="603">
        <v>0</v>
      </c>
      <c r="Y104" s="603">
        <v>1194000</v>
      </c>
      <c r="Z104" s="603">
        <v>0</v>
      </c>
      <c r="AA104" s="603">
        <v>0</v>
      </c>
      <c r="AB104" s="603">
        <v>0</v>
      </c>
      <c r="AC104" s="603">
        <v>0</v>
      </c>
      <c r="AD104" s="603">
        <v>0</v>
      </c>
      <c r="AE104" s="603">
        <v>0</v>
      </c>
      <c r="AF104" s="603">
        <v>0</v>
      </c>
      <c r="AG104" s="603">
        <v>0</v>
      </c>
      <c r="AH104" s="603">
        <v>0</v>
      </c>
      <c r="AI104" s="603">
        <v>0</v>
      </c>
      <c r="AJ104" s="604" t="s">
        <v>2377</v>
      </c>
      <c r="AK104" s="605" t="s">
        <v>2378</v>
      </c>
      <c r="AL104" s="605" t="s">
        <v>1545</v>
      </c>
      <c r="AM104" s="606" t="s">
        <v>2093</v>
      </c>
      <c r="AN104" s="609" t="s">
        <v>12</v>
      </c>
      <c r="AO104" s="610" t="s">
        <v>1368</v>
      </c>
      <c r="AP104" s="610" t="s">
        <v>1368</v>
      </c>
      <c r="AQ104" s="610" t="s">
        <v>1368</v>
      </c>
      <c r="AR104" s="610" t="s">
        <v>1368</v>
      </c>
      <c r="AS104" s="610" t="s">
        <v>1368</v>
      </c>
      <c r="AT104" s="610" t="s">
        <v>1368</v>
      </c>
      <c r="AU104" s="610" t="s">
        <v>1368</v>
      </c>
      <c r="AV104" s="610" t="s">
        <v>1368</v>
      </c>
      <c r="AW104" s="610" t="s">
        <v>1368</v>
      </c>
      <c r="AX104" s="610" t="s">
        <v>1368</v>
      </c>
      <c r="AY104" s="610" t="s">
        <v>1368</v>
      </c>
      <c r="AZ104" s="610" t="s">
        <v>1368</v>
      </c>
      <c r="BA104" s="610" t="s">
        <v>1368</v>
      </c>
      <c r="BB104" s="610" t="s">
        <v>1368</v>
      </c>
      <c r="BC104" s="610" t="s">
        <v>1368</v>
      </c>
      <c r="BD104" s="610" t="s">
        <v>1368</v>
      </c>
      <c r="BE104" s="610" t="s">
        <v>1368</v>
      </c>
      <c r="BF104" s="610" t="s">
        <v>1368</v>
      </c>
      <c r="BG104" s="610" t="s">
        <v>1368</v>
      </c>
      <c r="BH104" s="610" t="s">
        <v>1368</v>
      </c>
      <c r="BI104" s="610" t="s">
        <v>1368</v>
      </c>
      <c r="BJ104" s="610" t="s">
        <v>1368</v>
      </c>
      <c r="BK104" s="610" t="s">
        <v>1368</v>
      </c>
      <c r="BL104" s="610" t="s">
        <v>1368</v>
      </c>
      <c r="BM104" s="610">
        <v>0</v>
      </c>
      <c r="BN104" s="610">
        <v>0</v>
      </c>
      <c r="BO104" s="610">
        <v>0</v>
      </c>
      <c r="BP104" s="610">
        <v>0</v>
      </c>
      <c r="BQ104" s="610">
        <v>0</v>
      </c>
      <c r="BR104" s="610">
        <v>0</v>
      </c>
      <c r="BS104" s="610">
        <v>0</v>
      </c>
      <c r="BT104" s="610">
        <v>0</v>
      </c>
      <c r="BU104" s="610">
        <v>0</v>
      </c>
      <c r="BV104" s="610">
        <v>0</v>
      </c>
      <c r="BW104" s="610">
        <v>0</v>
      </c>
      <c r="BX104" s="610">
        <v>0</v>
      </c>
      <c r="BY104" s="610">
        <v>0</v>
      </c>
      <c r="BZ104" s="610">
        <v>0</v>
      </c>
      <c r="CA104" s="610">
        <v>0</v>
      </c>
      <c r="CB104" s="610">
        <v>0</v>
      </c>
      <c r="CC104" s="610">
        <v>0</v>
      </c>
      <c r="CD104" s="610">
        <v>0</v>
      </c>
      <c r="CE104" s="610">
        <v>0</v>
      </c>
      <c r="CF104" s="610">
        <v>0</v>
      </c>
      <c r="CG104" s="610">
        <v>0</v>
      </c>
      <c r="CH104" s="610">
        <v>0</v>
      </c>
      <c r="CI104" s="610">
        <v>0</v>
      </c>
      <c r="CJ104" s="610">
        <v>0</v>
      </c>
      <c r="CK104" s="610">
        <v>0</v>
      </c>
      <c r="CL104" s="610">
        <v>0</v>
      </c>
      <c r="CM104" s="610">
        <v>0</v>
      </c>
      <c r="CN104" s="610">
        <v>0</v>
      </c>
      <c r="CO104" s="610">
        <v>0</v>
      </c>
      <c r="CP104" s="610">
        <v>0</v>
      </c>
      <c r="CQ104" s="610">
        <v>0</v>
      </c>
      <c r="CR104" s="610">
        <v>0</v>
      </c>
      <c r="CS104" s="610">
        <v>0</v>
      </c>
      <c r="CT104" s="610">
        <v>0</v>
      </c>
      <c r="CU104" s="610">
        <v>0</v>
      </c>
      <c r="CV104" s="610">
        <v>0</v>
      </c>
      <c r="CW104" s="610" t="s">
        <v>14</v>
      </c>
      <c r="CX104" s="610">
        <v>0</v>
      </c>
      <c r="CY104" s="610" t="s">
        <v>2449</v>
      </c>
      <c r="CZ104" s="610" t="s">
        <v>2449</v>
      </c>
      <c r="DA104" s="610" t="s">
        <v>2449</v>
      </c>
      <c r="DB104" s="610" t="s">
        <v>2449</v>
      </c>
      <c r="DC104" s="610" t="s">
        <v>2449</v>
      </c>
      <c r="DD104" s="610" t="s">
        <v>2449</v>
      </c>
      <c r="DE104" s="610" t="s">
        <v>2449</v>
      </c>
      <c r="DF104" s="610" t="s">
        <v>2449</v>
      </c>
      <c r="DG104" s="610" t="s">
        <v>2449</v>
      </c>
      <c r="DH104" s="610" t="s">
        <v>2449</v>
      </c>
      <c r="DI104" s="610" t="s">
        <v>2449</v>
      </c>
      <c r="DJ104" s="610" t="s">
        <v>2449</v>
      </c>
      <c r="DK104" s="610" t="s">
        <v>1368</v>
      </c>
      <c r="DL104" s="610" t="s">
        <v>1368</v>
      </c>
      <c r="DM104" s="610" t="s">
        <v>1368</v>
      </c>
      <c r="DN104" s="610" t="s">
        <v>1368</v>
      </c>
      <c r="DO104" s="610" t="s">
        <v>1368</v>
      </c>
      <c r="DP104" s="610" t="s">
        <v>1368</v>
      </c>
      <c r="DQ104" s="610" t="s">
        <v>1368</v>
      </c>
      <c r="DR104" s="610" t="s">
        <v>1368</v>
      </c>
      <c r="DS104" s="610" t="s">
        <v>1368</v>
      </c>
      <c r="DT104" s="610" t="s">
        <v>1368</v>
      </c>
      <c r="DU104" s="610" t="s">
        <v>1368</v>
      </c>
      <c r="DV104" s="610" t="s">
        <v>1368</v>
      </c>
      <c r="DW104" s="609" t="s">
        <v>1368</v>
      </c>
      <c r="DX104" s="609" t="s">
        <v>1368</v>
      </c>
      <c r="DY104" s="609" t="s">
        <v>1368</v>
      </c>
      <c r="DZ104" s="609" t="s">
        <v>1368</v>
      </c>
      <c r="EA104" s="609" t="s">
        <v>1368</v>
      </c>
      <c r="EB104" s="609" t="s">
        <v>1368</v>
      </c>
      <c r="EC104" s="609" t="s">
        <v>1368</v>
      </c>
      <c r="ED104" s="609" t="s">
        <v>1368</v>
      </c>
      <c r="EE104" s="609" t="s">
        <v>1368</v>
      </c>
      <c r="EF104" s="609" t="s">
        <v>1368</v>
      </c>
      <c r="EG104" s="609" t="s">
        <v>1368</v>
      </c>
      <c r="EH104" s="609" t="s">
        <v>1368</v>
      </c>
      <c r="EI104" s="610" t="s">
        <v>1707</v>
      </c>
      <c r="EJ104" s="610" t="s">
        <v>1707</v>
      </c>
      <c r="EK104" s="610" t="s">
        <v>1707</v>
      </c>
      <c r="EL104" s="610" t="s">
        <v>1707</v>
      </c>
      <c r="EM104" s="610" t="s">
        <v>1707</v>
      </c>
      <c r="EN104" s="610" t="s">
        <v>1707</v>
      </c>
      <c r="EO104" s="610" t="s">
        <v>1707</v>
      </c>
      <c r="EP104" s="610" t="s">
        <v>1707</v>
      </c>
      <c r="EQ104" s="610" t="s">
        <v>1707</v>
      </c>
      <c r="ER104" s="610" t="s">
        <v>1707</v>
      </c>
      <c r="ES104" s="610" t="s">
        <v>1707</v>
      </c>
      <c r="ET104" s="610" t="s">
        <v>1707</v>
      </c>
      <c r="EU104" s="610">
        <v>3980</v>
      </c>
      <c r="EV104" s="610" t="s">
        <v>1707</v>
      </c>
      <c r="EW104" s="610" t="s">
        <v>1707</v>
      </c>
      <c r="EX104" s="610" t="s">
        <v>1707</v>
      </c>
      <c r="EY104" s="610" t="s">
        <v>1707</v>
      </c>
      <c r="EZ104" s="610" t="s">
        <v>1707</v>
      </c>
      <c r="FA104" s="610" t="s">
        <v>1707</v>
      </c>
      <c r="FB104" s="610" t="s">
        <v>1707</v>
      </c>
      <c r="FC104" s="610" t="s">
        <v>1707</v>
      </c>
      <c r="FD104" s="610" t="s">
        <v>1707</v>
      </c>
      <c r="FE104" s="610" t="s">
        <v>1707</v>
      </c>
      <c r="FF104" s="610" t="s">
        <v>1707</v>
      </c>
      <c r="FG104" s="610" t="s">
        <v>1707</v>
      </c>
      <c r="FH104" s="610">
        <v>13</v>
      </c>
      <c r="FI104" s="610">
        <v>13</v>
      </c>
      <c r="FJ104" s="610">
        <v>14</v>
      </c>
      <c r="FK104" s="610">
        <v>14</v>
      </c>
      <c r="FL104" s="610">
        <v>14</v>
      </c>
      <c r="FM104" s="610">
        <v>13</v>
      </c>
      <c r="FN104" s="610">
        <v>13</v>
      </c>
      <c r="FO104" s="610">
        <v>13</v>
      </c>
      <c r="FP104" s="610">
        <v>13</v>
      </c>
      <c r="FQ104" s="610">
        <v>13</v>
      </c>
      <c r="FR104" s="610" t="s">
        <v>1368</v>
      </c>
      <c r="FS104" s="610" t="s">
        <v>1368</v>
      </c>
      <c r="FT104" s="610" t="s">
        <v>1368</v>
      </c>
      <c r="FU104" s="610" t="s">
        <v>1368</v>
      </c>
      <c r="FV104" s="610" t="s">
        <v>1368</v>
      </c>
      <c r="FW104" s="610" t="s">
        <v>1368</v>
      </c>
      <c r="FX104" s="610" t="s">
        <v>1368</v>
      </c>
      <c r="FY104" s="610" t="s">
        <v>1368</v>
      </c>
      <c r="FZ104" s="610" t="s">
        <v>1368</v>
      </c>
      <c r="GA104" s="610" t="s">
        <v>1368</v>
      </c>
      <c r="GB104" s="610" t="s">
        <v>1368</v>
      </c>
      <c r="GC104" s="610" t="s">
        <v>1368</v>
      </c>
      <c r="GD104" s="564" t="str">
        <f t="shared" si="18"/>
        <v/>
      </c>
      <c r="GE104" s="564" t="str">
        <f t="shared" si="19"/>
        <v/>
      </c>
      <c r="GF104" s="564" t="str">
        <f t="shared" si="20"/>
        <v/>
      </c>
      <c r="GG104" s="564" t="str">
        <f t="shared" si="21"/>
        <v/>
      </c>
      <c r="GH104" s="564" t="str">
        <f t="shared" si="22"/>
        <v/>
      </c>
      <c r="GI104" s="564" t="str">
        <f t="shared" si="23"/>
        <v/>
      </c>
      <c r="GJ104" s="564" t="str">
        <f t="shared" si="24"/>
        <v/>
      </c>
      <c r="GK104" s="564" t="str">
        <f t="shared" si="25"/>
        <v/>
      </c>
      <c r="GL104" s="564" t="str">
        <f t="shared" si="26"/>
        <v/>
      </c>
      <c r="GM104" s="564" t="str">
        <f t="shared" si="27"/>
        <v/>
      </c>
      <c r="GN104" s="564" t="str">
        <f t="shared" si="28"/>
        <v/>
      </c>
      <c r="GO104" s="564" t="str">
        <f t="shared" si="29"/>
        <v/>
      </c>
      <c r="GP104" s="564"/>
      <c r="GS104" s="375" t="s">
        <v>549</v>
      </c>
      <c r="GT104" s="374" t="str">
        <f t="shared" si="30"/>
        <v>〇</v>
      </c>
    </row>
    <row r="105" spans="2:202">
      <c r="B105" s="371">
        <v>101</v>
      </c>
      <c r="C105" s="378">
        <v>101</v>
      </c>
      <c r="D105" s="373" t="s">
        <v>1489</v>
      </c>
      <c r="E105" s="373" t="s">
        <v>14</v>
      </c>
      <c r="F105" s="603">
        <f t="shared" si="17"/>
        <v>30</v>
      </c>
      <c r="G105" s="603"/>
      <c r="H105" s="603">
        <v>17</v>
      </c>
      <c r="I105" s="603">
        <v>13</v>
      </c>
      <c r="J105" s="603"/>
      <c r="K105" s="603"/>
      <c r="L105" s="603"/>
      <c r="M105" s="603"/>
      <c r="N105" s="608"/>
      <c r="O105" s="603">
        <v>1577000</v>
      </c>
      <c r="P105" s="603">
        <v>2721000</v>
      </c>
      <c r="Q105" s="603">
        <v>0</v>
      </c>
      <c r="R105" s="603">
        <v>0</v>
      </c>
      <c r="S105" s="603">
        <v>0</v>
      </c>
      <c r="T105" s="603">
        <v>0</v>
      </c>
      <c r="U105" s="603">
        <v>0</v>
      </c>
      <c r="V105" s="603">
        <v>0</v>
      </c>
      <c r="W105" s="603">
        <v>0</v>
      </c>
      <c r="X105" s="603">
        <v>0</v>
      </c>
      <c r="Y105" s="603">
        <v>0</v>
      </c>
      <c r="Z105" s="603">
        <v>0</v>
      </c>
      <c r="AA105" s="603">
        <v>0</v>
      </c>
      <c r="AB105" s="603">
        <v>0</v>
      </c>
      <c r="AC105" s="603">
        <v>0</v>
      </c>
      <c r="AD105" s="603">
        <v>0</v>
      </c>
      <c r="AE105" s="603">
        <v>0</v>
      </c>
      <c r="AF105" s="603">
        <v>0</v>
      </c>
      <c r="AG105" s="603">
        <v>0</v>
      </c>
      <c r="AH105" s="603">
        <v>0</v>
      </c>
      <c r="AI105" s="603">
        <v>0</v>
      </c>
      <c r="AJ105" s="604" t="s">
        <v>2377</v>
      </c>
      <c r="AK105" s="605" t="s">
        <v>1545</v>
      </c>
      <c r="AL105" s="605" t="s">
        <v>1545</v>
      </c>
      <c r="AM105" s="606" t="s">
        <v>2094</v>
      </c>
      <c r="AN105" s="609" t="s">
        <v>12</v>
      </c>
      <c r="AO105" s="610" t="s">
        <v>1368</v>
      </c>
      <c r="AP105" s="610" t="s">
        <v>1368</v>
      </c>
      <c r="AQ105" s="610" t="s">
        <v>1368</v>
      </c>
      <c r="AR105" s="610" t="s">
        <v>1368</v>
      </c>
      <c r="AS105" s="610" t="s">
        <v>1368</v>
      </c>
      <c r="AT105" s="610" t="s">
        <v>1368</v>
      </c>
      <c r="AU105" s="610" t="s">
        <v>1368</v>
      </c>
      <c r="AV105" s="610" t="s">
        <v>1368</v>
      </c>
      <c r="AW105" s="610" t="s">
        <v>1368</v>
      </c>
      <c r="AX105" s="610" t="s">
        <v>1368</v>
      </c>
      <c r="AY105" s="610" t="s">
        <v>1368</v>
      </c>
      <c r="AZ105" s="610" t="s">
        <v>1368</v>
      </c>
      <c r="BA105" s="610" t="s">
        <v>1368</v>
      </c>
      <c r="BB105" s="610" t="s">
        <v>1368</v>
      </c>
      <c r="BC105" s="610" t="s">
        <v>1368</v>
      </c>
      <c r="BD105" s="610" t="s">
        <v>1368</v>
      </c>
      <c r="BE105" s="610" t="s">
        <v>1368</v>
      </c>
      <c r="BF105" s="610" t="s">
        <v>1368</v>
      </c>
      <c r="BG105" s="610" t="s">
        <v>1368</v>
      </c>
      <c r="BH105" s="610" t="s">
        <v>1368</v>
      </c>
      <c r="BI105" s="610" t="s">
        <v>1368</v>
      </c>
      <c r="BJ105" s="610" t="s">
        <v>1368</v>
      </c>
      <c r="BK105" s="610" t="s">
        <v>1368</v>
      </c>
      <c r="BL105" s="610" t="s">
        <v>1368</v>
      </c>
      <c r="BM105" s="610">
        <v>0</v>
      </c>
      <c r="BN105" s="610">
        <v>0</v>
      </c>
      <c r="BO105" s="610">
        <v>0</v>
      </c>
      <c r="BP105" s="610">
        <v>0</v>
      </c>
      <c r="BQ105" s="610">
        <v>0</v>
      </c>
      <c r="BR105" s="610">
        <v>0</v>
      </c>
      <c r="BS105" s="610">
        <v>0</v>
      </c>
      <c r="BT105" s="610">
        <v>0</v>
      </c>
      <c r="BU105" s="610">
        <v>0</v>
      </c>
      <c r="BV105" s="610">
        <v>0</v>
      </c>
      <c r="BW105" s="610">
        <v>0</v>
      </c>
      <c r="BX105" s="610">
        <v>0</v>
      </c>
      <c r="BY105" s="610">
        <v>0</v>
      </c>
      <c r="BZ105" s="610">
        <v>0</v>
      </c>
      <c r="CA105" s="610">
        <v>0</v>
      </c>
      <c r="CB105" s="610">
        <v>0</v>
      </c>
      <c r="CC105" s="610">
        <v>0</v>
      </c>
      <c r="CD105" s="610">
        <v>0</v>
      </c>
      <c r="CE105" s="610">
        <v>0</v>
      </c>
      <c r="CF105" s="610">
        <v>0</v>
      </c>
      <c r="CG105" s="610">
        <v>0</v>
      </c>
      <c r="CH105" s="610">
        <v>0</v>
      </c>
      <c r="CI105" s="610">
        <v>0</v>
      </c>
      <c r="CJ105" s="610">
        <v>0</v>
      </c>
      <c r="CK105" s="610">
        <v>0</v>
      </c>
      <c r="CL105" s="610">
        <v>0</v>
      </c>
      <c r="CM105" s="610">
        <v>0</v>
      </c>
      <c r="CN105" s="610">
        <v>0</v>
      </c>
      <c r="CO105" s="610">
        <v>0</v>
      </c>
      <c r="CP105" s="610">
        <v>0</v>
      </c>
      <c r="CQ105" s="610">
        <v>0</v>
      </c>
      <c r="CR105" s="610">
        <v>0</v>
      </c>
      <c r="CS105" s="610">
        <v>0</v>
      </c>
      <c r="CT105" s="610">
        <v>0</v>
      </c>
      <c r="CU105" s="610">
        <v>0</v>
      </c>
      <c r="CV105" s="610">
        <v>0</v>
      </c>
      <c r="CW105" s="610" t="s">
        <v>14</v>
      </c>
      <c r="CX105" s="610">
        <v>0</v>
      </c>
      <c r="CY105" s="610" t="s">
        <v>1707</v>
      </c>
      <c r="CZ105" s="610" t="s">
        <v>1707</v>
      </c>
      <c r="DA105" s="610" t="s">
        <v>1707</v>
      </c>
      <c r="DB105" s="610" t="s">
        <v>1707</v>
      </c>
      <c r="DC105" s="610" t="s">
        <v>1707</v>
      </c>
      <c r="DD105" s="610" t="s">
        <v>1707</v>
      </c>
      <c r="DE105" s="610" t="s">
        <v>1707</v>
      </c>
      <c r="DF105" s="610" t="s">
        <v>1707</v>
      </c>
      <c r="DG105" s="610" t="s">
        <v>1707</v>
      </c>
      <c r="DH105" s="610" t="s">
        <v>1707</v>
      </c>
      <c r="DI105" s="610" t="s">
        <v>1707</v>
      </c>
      <c r="DJ105" s="610" t="s">
        <v>1707</v>
      </c>
      <c r="DK105" s="610" t="s">
        <v>1368</v>
      </c>
      <c r="DL105" s="610" t="s">
        <v>1368</v>
      </c>
      <c r="DM105" s="610" t="s">
        <v>1368</v>
      </c>
      <c r="DN105" s="610" t="s">
        <v>1368</v>
      </c>
      <c r="DO105" s="610" t="s">
        <v>1368</v>
      </c>
      <c r="DP105" s="610" t="s">
        <v>1368</v>
      </c>
      <c r="DQ105" s="610" t="s">
        <v>1368</v>
      </c>
      <c r="DR105" s="610" t="s">
        <v>1368</v>
      </c>
      <c r="DS105" s="610" t="s">
        <v>1368</v>
      </c>
      <c r="DT105" s="610" t="s">
        <v>1368</v>
      </c>
      <c r="DU105" s="610" t="s">
        <v>1368</v>
      </c>
      <c r="DV105" s="610" t="s">
        <v>1368</v>
      </c>
      <c r="DW105" s="609" t="s">
        <v>1368</v>
      </c>
      <c r="DX105" s="609" t="s">
        <v>1368</v>
      </c>
      <c r="DY105" s="609" t="s">
        <v>1368</v>
      </c>
      <c r="DZ105" s="609" t="s">
        <v>1368</v>
      </c>
      <c r="EA105" s="609" t="s">
        <v>1368</v>
      </c>
      <c r="EB105" s="609" t="s">
        <v>1368</v>
      </c>
      <c r="EC105" s="609" t="s">
        <v>1368</v>
      </c>
      <c r="ED105" s="609" t="s">
        <v>1368</v>
      </c>
      <c r="EE105" s="609" t="s">
        <v>1368</v>
      </c>
      <c r="EF105" s="609" t="s">
        <v>1368</v>
      </c>
      <c r="EG105" s="609" t="s">
        <v>1368</v>
      </c>
      <c r="EH105" s="609" t="s">
        <v>1368</v>
      </c>
      <c r="EI105" s="610" t="s">
        <v>1707</v>
      </c>
      <c r="EJ105" s="610" t="s">
        <v>1707</v>
      </c>
      <c r="EK105" s="610" t="s">
        <v>1707</v>
      </c>
      <c r="EL105" s="610" t="s">
        <v>1707</v>
      </c>
      <c r="EM105" s="610" t="s">
        <v>1707</v>
      </c>
      <c r="EN105" s="610" t="s">
        <v>1707</v>
      </c>
      <c r="EO105" s="610" t="s">
        <v>1707</v>
      </c>
      <c r="EP105" s="610" t="s">
        <v>1707</v>
      </c>
      <c r="EQ105" s="610" t="s">
        <v>1707</v>
      </c>
      <c r="ER105" s="610" t="s">
        <v>1707</v>
      </c>
      <c r="ES105" s="610" t="s">
        <v>1707</v>
      </c>
      <c r="ET105" s="610" t="s">
        <v>1707</v>
      </c>
      <c r="EU105" s="610">
        <v>4040</v>
      </c>
      <c r="EV105" s="610" t="s">
        <v>1707</v>
      </c>
      <c r="EW105" s="610" t="s">
        <v>1707</v>
      </c>
      <c r="EX105" s="610" t="s">
        <v>1707</v>
      </c>
      <c r="EY105" s="610" t="s">
        <v>1707</v>
      </c>
      <c r="EZ105" s="610" t="s">
        <v>1707</v>
      </c>
      <c r="FA105" s="610" t="s">
        <v>1707</v>
      </c>
      <c r="FB105" s="610" t="s">
        <v>1707</v>
      </c>
      <c r="FC105" s="610" t="s">
        <v>1707</v>
      </c>
      <c r="FD105" s="610" t="s">
        <v>1707</v>
      </c>
      <c r="FE105" s="610" t="s">
        <v>1707</v>
      </c>
      <c r="FF105" s="610" t="s">
        <v>1707</v>
      </c>
      <c r="FG105" s="610" t="s">
        <v>1707</v>
      </c>
      <c r="FH105" s="610">
        <v>11</v>
      </c>
      <c r="FI105" s="610">
        <v>11</v>
      </c>
      <c r="FJ105" s="610">
        <v>11</v>
      </c>
      <c r="FK105" s="610">
        <v>11</v>
      </c>
      <c r="FL105" s="610">
        <v>11</v>
      </c>
      <c r="FM105" s="610">
        <v>11</v>
      </c>
      <c r="FN105" s="610">
        <v>11</v>
      </c>
      <c r="FO105" s="610">
        <v>11</v>
      </c>
      <c r="FP105" s="610">
        <v>11</v>
      </c>
      <c r="FQ105" s="610">
        <v>11</v>
      </c>
      <c r="FR105" s="610" t="s">
        <v>2488</v>
      </c>
      <c r="FS105" s="610" t="s">
        <v>2488</v>
      </c>
      <c r="FT105" s="610" t="s">
        <v>2488</v>
      </c>
      <c r="FU105" s="610" t="s">
        <v>2488</v>
      </c>
      <c r="FV105" s="610" t="s">
        <v>2488</v>
      </c>
      <c r="FW105" s="610" t="s">
        <v>2488</v>
      </c>
      <c r="FX105" s="610" t="s">
        <v>2488</v>
      </c>
      <c r="FY105" s="610" t="s">
        <v>2488</v>
      </c>
      <c r="FZ105" s="610" t="s">
        <v>2488</v>
      </c>
      <c r="GA105" s="610" t="s">
        <v>2488</v>
      </c>
      <c r="GB105" s="610" t="s">
        <v>2488</v>
      </c>
      <c r="GC105" s="610" t="s">
        <v>2488</v>
      </c>
      <c r="GD105" s="564" t="str">
        <f t="shared" si="18"/>
        <v/>
      </c>
      <c r="GE105" s="564" t="str">
        <f t="shared" si="19"/>
        <v/>
      </c>
      <c r="GF105" s="564" t="str">
        <f t="shared" si="20"/>
        <v/>
      </c>
      <c r="GG105" s="564" t="str">
        <f t="shared" si="21"/>
        <v/>
      </c>
      <c r="GH105" s="564" t="str">
        <f t="shared" si="22"/>
        <v/>
      </c>
      <c r="GI105" s="564" t="str">
        <f t="shared" si="23"/>
        <v/>
      </c>
      <c r="GJ105" s="564" t="str">
        <f t="shared" si="24"/>
        <v/>
      </c>
      <c r="GK105" s="564" t="str">
        <f t="shared" si="25"/>
        <v/>
      </c>
      <c r="GL105" s="564" t="str">
        <f t="shared" si="26"/>
        <v/>
      </c>
      <c r="GM105" s="564" t="str">
        <f t="shared" si="27"/>
        <v/>
      </c>
      <c r="GN105" s="564" t="str">
        <f t="shared" si="28"/>
        <v/>
      </c>
      <c r="GO105" s="564" t="str">
        <f t="shared" si="29"/>
        <v/>
      </c>
      <c r="GP105" s="564"/>
      <c r="GS105" s="375" t="s">
        <v>1489</v>
      </c>
      <c r="GT105" s="374" t="str">
        <f t="shared" si="30"/>
        <v>〇</v>
      </c>
    </row>
    <row r="106" spans="2:202">
      <c r="B106" s="371">
        <v>102</v>
      </c>
      <c r="C106" s="378">
        <v>102</v>
      </c>
      <c r="D106" s="373" t="s">
        <v>1490</v>
      </c>
      <c r="E106" s="373" t="s">
        <v>14</v>
      </c>
      <c r="F106" s="603">
        <f t="shared" si="17"/>
        <v>56</v>
      </c>
      <c r="G106" s="603"/>
      <c r="H106" s="603">
        <v>30</v>
      </c>
      <c r="I106" s="603">
        <v>26</v>
      </c>
      <c r="J106" s="603"/>
      <c r="K106" s="603"/>
      <c r="L106" s="603"/>
      <c r="M106" s="603"/>
      <c r="N106" s="608"/>
      <c r="O106" s="603">
        <v>1577000</v>
      </c>
      <c r="P106" s="603">
        <v>2721000</v>
      </c>
      <c r="Q106" s="603">
        <v>2721000</v>
      </c>
      <c r="R106" s="603">
        <v>1791000</v>
      </c>
      <c r="S106" s="603">
        <v>0</v>
      </c>
      <c r="T106" s="603">
        <v>2181000</v>
      </c>
      <c r="U106" s="603">
        <v>0</v>
      </c>
      <c r="V106" s="603">
        <v>0</v>
      </c>
      <c r="W106" s="603">
        <v>0</v>
      </c>
      <c r="X106" s="603">
        <v>0</v>
      </c>
      <c r="Y106" s="603">
        <v>0</v>
      </c>
      <c r="Z106" s="603">
        <v>0</v>
      </c>
      <c r="AA106" s="603">
        <v>0</v>
      </c>
      <c r="AB106" s="603">
        <v>0</v>
      </c>
      <c r="AC106" s="603">
        <v>0</v>
      </c>
      <c r="AD106" s="603">
        <v>0</v>
      </c>
      <c r="AE106" s="603">
        <v>0</v>
      </c>
      <c r="AF106" s="603">
        <v>0</v>
      </c>
      <c r="AG106" s="603">
        <v>0</v>
      </c>
      <c r="AH106" s="603">
        <v>0</v>
      </c>
      <c r="AI106" s="603">
        <v>0</v>
      </c>
      <c r="AJ106" s="604" t="s">
        <v>2377</v>
      </c>
      <c r="AK106" s="605" t="s">
        <v>1545</v>
      </c>
      <c r="AL106" s="605" t="s">
        <v>1545</v>
      </c>
      <c r="AM106" s="606" t="s">
        <v>2095</v>
      </c>
      <c r="AN106" s="609" t="s">
        <v>12</v>
      </c>
      <c r="AO106" s="610" t="s">
        <v>13</v>
      </c>
      <c r="AP106" s="610" t="s">
        <v>13</v>
      </c>
      <c r="AQ106" s="610" t="s">
        <v>13</v>
      </c>
      <c r="AR106" s="610" t="s">
        <v>13</v>
      </c>
      <c r="AS106" s="610" t="s">
        <v>13</v>
      </c>
      <c r="AT106" s="610" t="s">
        <v>13</v>
      </c>
      <c r="AU106" s="610" t="s">
        <v>13</v>
      </c>
      <c r="AV106" s="610" t="s">
        <v>13</v>
      </c>
      <c r="AW106" s="610" t="s">
        <v>13</v>
      </c>
      <c r="AX106" s="610" t="s">
        <v>13</v>
      </c>
      <c r="AY106" s="610" t="s">
        <v>13</v>
      </c>
      <c r="AZ106" s="610" t="s">
        <v>13</v>
      </c>
      <c r="BA106" s="610" t="s">
        <v>14</v>
      </c>
      <c r="BB106" s="610" t="s">
        <v>14</v>
      </c>
      <c r="BC106" s="610" t="s">
        <v>14</v>
      </c>
      <c r="BD106" s="610" t="s">
        <v>14</v>
      </c>
      <c r="BE106" s="610" t="s">
        <v>14</v>
      </c>
      <c r="BF106" s="610" t="s">
        <v>14</v>
      </c>
      <c r="BG106" s="610" t="s">
        <v>14</v>
      </c>
      <c r="BH106" s="610" t="s">
        <v>14</v>
      </c>
      <c r="BI106" s="610" t="s">
        <v>14</v>
      </c>
      <c r="BJ106" s="610" t="s">
        <v>14</v>
      </c>
      <c r="BK106" s="610" t="s">
        <v>14</v>
      </c>
      <c r="BL106" s="610" t="s">
        <v>14</v>
      </c>
      <c r="BM106" s="610">
        <v>1</v>
      </c>
      <c r="BN106" s="610">
        <v>1</v>
      </c>
      <c r="BO106" s="610">
        <v>1</v>
      </c>
      <c r="BP106" s="610">
        <v>1</v>
      </c>
      <c r="BQ106" s="610">
        <v>1</v>
      </c>
      <c r="BR106" s="610">
        <v>1</v>
      </c>
      <c r="BS106" s="610">
        <v>1</v>
      </c>
      <c r="BT106" s="610">
        <v>1</v>
      </c>
      <c r="BU106" s="610">
        <v>1</v>
      </c>
      <c r="BV106" s="610">
        <v>1</v>
      </c>
      <c r="BW106" s="610">
        <v>1</v>
      </c>
      <c r="BX106" s="610">
        <v>1</v>
      </c>
      <c r="BY106" s="610">
        <v>0</v>
      </c>
      <c r="BZ106" s="610">
        <v>0</v>
      </c>
      <c r="CA106" s="610">
        <v>0</v>
      </c>
      <c r="CB106" s="610">
        <v>0</v>
      </c>
      <c r="CC106" s="610">
        <v>0</v>
      </c>
      <c r="CD106" s="610">
        <v>0</v>
      </c>
      <c r="CE106" s="610">
        <v>0</v>
      </c>
      <c r="CF106" s="610">
        <v>0</v>
      </c>
      <c r="CG106" s="610">
        <v>0</v>
      </c>
      <c r="CH106" s="610">
        <v>0</v>
      </c>
      <c r="CI106" s="610">
        <v>0</v>
      </c>
      <c r="CJ106" s="610">
        <v>0</v>
      </c>
      <c r="CK106" s="610">
        <v>0</v>
      </c>
      <c r="CL106" s="610">
        <v>0</v>
      </c>
      <c r="CM106" s="610">
        <v>0</v>
      </c>
      <c r="CN106" s="610">
        <v>0</v>
      </c>
      <c r="CO106" s="610">
        <v>0</v>
      </c>
      <c r="CP106" s="610">
        <v>0</v>
      </c>
      <c r="CQ106" s="610">
        <v>0</v>
      </c>
      <c r="CR106" s="610">
        <v>0</v>
      </c>
      <c r="CS106" s="610">
        <v>0</v>
      </c>
      <c r="CT106" s="610">
        <v>0</v>
      </c>
      <c r="CU106" s="610">
        <v>0</v>
      </c>
      <c r="CV106" s="610">
        <v>0</v>
      </c>
      <c r="CW106" s="610" t="s">
        <v>14</v>
      </c>
      <c r="CX106" s="610">
        <v>0</v>
      </c>
      <c r="CY106" s="610" t="s">
        <v>1707</v>
      </c>
      <c r="CZ106" s="610" t="s">
        <v>1707</v>
      </c>
      <c r="DA106" s="610" t="s">
        <v>1707</v>
      </c>
      <c r="DB106" s="610" t="s">
        <v>1707</v>
      </c>
      <c r="DC106" s="610" t="s">
        <v>1707</v>
      </c>
      <c r="DD106" s="610" t="s">
        <v>1707</v>
      </c>
      <c r="DE106" s="610" t="s">
        <v>1707</v>
      </c>
      <c r="DF106" s="610" t="s">
        <v>1707</v>
      </c>
      <c r="DG106" s="610" t="s">
        <v>1707</v>
      </c>
      <c r="DH106" s="610" t="s">
        <v>1707</v>
      </c>
      <c r="DI106" s="610" t="s">
        <v>1707</v>
      </c>
      <c r="DJ106" s="610" t="s">
        <v>1707</v>
      </c>
      <c r="DK106" s="610" t="s">
        <v>18</v>
      </c>
      <c r="DL106" s="610" t="s">
        <v>18</v>
      </c>
      <c r="DM106" s="610" t="s">
        <v>18</v>
      </c>
      <c r="DN106" s="610" t="s">
        <v>18</v>
      </c>
      <c r="DO106" s="610" t="s">
        <v>18</v>
      </c>
      <c r="DP106" s="610" t="s">
        <v>18</v>
      </c>
      <c r="DQ106" s="610" t="s">
        <v>18</v>
      </c>
      <c r="DR106" s="610" t="s">
        <v>18</v>
      </c>
      <c r="DS106" s="610" t="s">
        <v>18</v>
      </c>
      <c r="DT106" s="610" t="s">
        <v>18</v>
      </c>
      <c r="DU106" s="610" t="s">
        <v>18</v>
      </c>
      <c r="DV106" s="610" t="s">
        <v>18</v>
      </c>
      <c r="DW106" s="609" t="s">
        <v>1368</v>
      </c>
      <c r="DX106" s="609" t="s">
        <v>1368</v>
      </c>
      <c r="DY106" s="609" t="s">
        <v>1368</v>
      </c>
      <c r="DZ106" s="609" t="s">
        <v>1368</v>
      </c>
      <c r="EA106" s="609" t="s">
        <v>1368</v>
      </c>
      <c r="EB106" s="609" t="s">
        <v>1368</v>
      </c>
      <c r="EC106" s="609" t="s">
        <v>1368</v>
      </c>
      <c r="ED106" s="609" t="s">
        <v>1368</v>
      </c>
      <c r="EE106" s="609" t="s">
        <v>1368</v>
      </c>
      <c r="EF106" s="609" t="s">
        <v>1368</v>
      </c>
      <c r="EG106" s="609" t="s">
        <v>1368</v>
      </c>
      <c r="EH106" s="609" t="s">
        <v>1368</v>
      </c>
      <c r="EI106" s="610" t="s">
        <v>1707</v>
      </c>
      <c r="EJ106" s="610" t="s">
        <v>1707</v>
      </c>
      <c r="EK106" s="610" t="s">
        <v>1707</v>
      </c>
      <c r="EL106" s="610" t="s">
        <v>1707</v>
      </c>
      <c r="EM106" s="610" t="s">
        <v>1707</v>
      </c>
      <c r="EN106" s="610" t="s">
        <v>1707</v>
      </c>
      <c r="EO106" s="610" t="s">
        <v>1707</v>
      </c>
      <c r="EP106" s="610" t="s">
        <v>1707</v>
      </c>
      <c r="EQ106" s="610" t="s">
        <v>1707</v>
      </c>
      <c r="ER106" s="610" t="s">
        <v>1707</v>
      </c>
      <c r="ES106" s="610" t="s">
        <v>1707</v>
      </c>
      <c r="ET106" s="610" t="s">
        <v>1707</v>
      </c>
      <c r="EU106" s="610">
        <v>4070</v>
      </c>
      <c r="EV106" s="610" t="s">
        <v>2449</v>
      </c>
      <c r="EW106" s="610" t="s">
        <v>2449</v>
      </c>
      <c r="EX106" s="610" t="s">
        <v>2449</v>
      </c>
      <c r="EY106" s="610" t="s">
        <v>2449</v>
      </c>
      <c r="EZ106" s="610" t="s">
        <v>2449</v>
      </c>
      <c r="FA106" s="610" t="s">
        <v>2449</v>
      </c>
      <c r="FB106" s="610" t="s">
        <v>2449</v>
      </c>
      <c r="FC106" s="610" t="s">
        <v>2449</v>
      </c>
      <c r="FD106" s="610" t="s">
        <v>2449</v>
      </c>
      <c r="FE106" s="610" t="s">
        <v>2449</v>
      </c>
      <c r="FF106" s="610" t="s">
        <v>2449</v>
      </c>
      <c r="FG106" s="610" t="s">
        <v>2449</v>
      </c>
      <c r="FH106" s="610">
        <v>18</v>
      </c>
      <c r="FI106" s="610">
        <v>18</v>
      </c>
      <c r="FJ106" s="610">
        <v>18</v>
      </c>
      <c r="FK106" s="610">
        <v>18</v>
      </c>
      <c r="FL106" s="610">
        <v>19</v>
      </c>
      <c r="FM106" s="610">
        <v>19</v>
      </c>
      <c r="FN106" s="610">
        <v>19</v>
      </c>
      <c r="FO106" s="610">
        <v>20</v>
      </c>
      <c r="FP106" s="610">
        <v>20</v>
      </c>
      <c r="FQ106" s="610">
        <v>20</v>
      </c>
      <c r="FR106" s="610" t="s">
        <v>2487</v>
      </c>
      <c r="FS106" s="610" t="s">
        <v>2487</v>
      </c>
      <c r="FT106" s="610" t="s">
        <v>2487</v>
      </c>
      <c r="FU106" s="610" t="s">
        <v>2487</v>
      </c>
      <c r="FV106" s="610" t="s">
        <v>2487</v>
      </c>
      <c r="FW106" s="610" t="s">
        <v>2487</v>
      </c>
      <c r="FX106" s="610" t="s">
        <v>2487</v>
      </c>
      <c r="FY106" s="610" t="s">
        <v>2487</v>
      </c>
      <c r="FZ106" s="610" t="s">
        <v>2487</v>
      </c>
      <c r="GA106" s="610" t="s">
        <v>2487</v>
      </c>
      <c r="GB106" s="610" t="s">
        <v>2487</v>
      </c>
      <c r="GC106" s="610" t="s">
        <v>2487</v>
      </c>
      <c r="GD106" s="564">
        <f t="shared" si="18"/>
        <v>79950</v>
      </c>
      <c r="GE106" s="564">
        <f t="shared" si="19"/>
        <v>79950</v>
      </c>
      <c r="GF106" s="564">
        <f t="shared" si="20"/>
        <v>79950</v>
      </c>
      <c r="GG106" s="564">
        <f t="shared" si="21"/>
        <v>79950</v>
      </c>
      <c r="GH106" s="564">
        <f t="shared" si="22"/>
        <v>79950</v>
      </c>
      <c r="GI106" s="564">
        <f t="shared" si="23"/>
        <v>79950</v>
      </c>
      <c r="GJ106" s="564">
        <f t="shared" si="24"/>
        <v>79950</v>
      </c>
      <c r="GK106" s="564">
        <f t="shared" si="25"/>
        <v>79950</v>
      </c>
      <c r="GL106" s="564">
        <f t="shared" si="26"/>
        <v>79950</v>
      </c>
      <c r="GM106" s="564">
        <f t="shared" si="27"/>
        <v>79950</v>
      </c>
      <c r="GN106" s="564">
        <f t="shared" si="28"/>
        <v>79950</v>
      </c>
      <c r="GO106" s="564">
        <f t="shared" si="29"/>
        <v>79950</v>
      </c>
      <c r="GP106" s="564"/>
      <c r="GS106" s="375" t="s">
        <v>1490</v>
      </c>
      <c r="GT106" s="374" t="str">
        <f t="shared" si="30"/>
        <v>〇</v>
      </c>
    </row>
    <row r="107" spans="2:202">
      <c r="B107" s="371">
        <v>103</v>
      </c>
      <c r="C107" s="378">
        <v>103</v>
      </c>
      <c r="D107" s="373" t="s">
        <v>1491</v>
      </c>
      <c r="E107" s="373" t="s">
        <v>14</v>
      </c>
      <c r="F107" s="603">
        <f t="shared" si="17"/>
        <v>59</v>
      </c>
      <c r="G107" s="603"/>
      <c r="H107" s="603">
        <v>33</v>
      </c>
      <c r="I107" s="603">
        <v>26</v>
      </c>
      <c r="J107" s="603"/>
      <c r="K107" s="603"/>
      <c r="L107" s="603"/>
      <c r="M107" s="603"/>
      <c r="N107" s="608"/>
      <c r="O107" s="603">
        <v>1577000</v>
      </c>
      <c r="P107" s="603">
        <v>2721000</v>
      </c>
      <c r="Q107" s="603">
        <v>2721000</v>
      </c>
      <c r="R107" s="603">
        <v>0</v>
      </c>
      <c r="S107" s="603">
        <v>0</v>
      </c>
      <c r="T107" s="603">
        <v>0</v>
      </c>
      <c r="U107" s="603">
        <v>0</v>
      </c>
      <c r="V107" s="603">
        <v>1051000</v>
      </c>
      <c r="W107" s="603">
        <v>1814000</v>
      </c>
      <c r="X107" s="603">
        <v>1814000</v>
      </c>
      <c r="Y107" s="603">
        <v>0</v>
      </c>
      <c r="Z107" s="603">
        <v>0</v>
      </c>
      <c r="AA107" s="603">
        <v>0</v>
      </c>
      <c r="AB107" s="603">
        <v>0</v>
      </c>
      <c r="AC107" s="603">
        <v>0</v>
      </c>
      <c r="AD107" s="603">
        <v>0</v>
      </c>
      <c r="AE107" s="603">
        <v>0</v>
      </c>
      <c r="AF107" s="603">
        <v>0</v>
      </c>
      <c r="AG107" s="603">
        <v>0</v>
      </c>
      <c r="AH107" s="603">
        <v>0</v>
      </c>
      <c r="AI107" s="603">
        <v>0</v>
      </c>
      <c r="AJ107" s="604" t="s">
        <v>2377</v>
      </c>
      <c r="AK107" s="605" t="s">
        <v>2378</v>
      </c>
      <c r="AL107" s="605" t="s">
        <v>1545</v>
      </c>
      <c r="AM107" s="606" t="s">
        <v>2096</v>
      </c>
      <c r="AN107" s="609" t="s">
        <v>12</v>
      </c>
      <c r="AO107" s="610" t="s">
        <v>1368</v>
      </c>
      <c r="AP107" s="610" t="s">
        <v>1368</v>
      </c>
      <c r="AQ107" s="610" t="s">
        <v>1368</v>
      </c>
      <c r="AR107" s="610" t="s">
        <v>1368</v>
      </c>
      <c r="AS107" s="610" t="s">
        <v>1368</v>
      </c>
      <c r="AT107" s="610" t="s">
        <v>1368</v>
      </c>
      <c r="AU107" s="610" t="s">
        <v>1368</v>
      </c>
      <c r="AV107" s="610" t="s">
        <v>1368</v>
      </c>
      <c r="AW107" s="610" t="s">
        <v>1368</v>
      </c>
      <c r="AX107" s="610" t="s">
        <v>1368</v>
      </c>
      <c r="AY107" s="610" t="s">
        <v>1368</v>
      </c>
      <c r="AZ107" s="610" t="s">
        <v>1368</v>
      </c>
      <c r="BA107" s="610" t="s">
        <v>1368</v>
      </c>
      <c r="BB107" s="610" t="s">
        <v>1368</v>
      </c>
      <c r="BC107" s="610" t="s">
        <v>1368</v>
      </c>
      <c r="BD107" s="610" t="s">
        <v>1368</v>
      </c>
      <c r="BE107" s="610" t="s">
        <v>1368</v>
      </c>
      <c r="BF107" s="610" t="s">
        <v>1368</v>
      </c>
      <c r="BG107" s="610" t="s">
        <v>1368</v>
      </c>
      <c r="BH107" s="610" t="s">
        <v>1368</v>
      </c>
      <c r="BI107" s="610" t="s">
        <v>1368</v>
      </c>
      <c r="BJ107" s="610" t="s">
        <v>1368</v>
      </c>
      <c r="BK107" s="610" t="s">
        <v>1368</v>
      </c>
      <c r="BL107" s="610" t="s">
        <v>1368</v>
      </c>
      <c r="BM107" s="610">
        <v>3</v>
      </c>
      <c r="BN107" s="610">
        <v>3</v>
      </c>
      <c r="BO107" s="610">
        <v>3</v>
      </c>
      <c r="BP107" s="610">
        <v>3</v>
      </c>
      <c r="BQ107" s="610">
        <v>3</v>
      </c>
      <c r="BR107" s="610">
        <v>3</v>
      </c>
      <c r="BS107" s="610">
        <v>3</v>
      </c>
      <c r="BT107" s="610">
        <v>3</v>
      </c>
      <c r="BU107" s="610">
        <v>3</v>
      </c>
      <c r="BV107" s="610">
        <v>3</v>
      </c>
      <c r="BW107" s="610">
        <v>3</v>
      </c>
      <c r="BX107" s="610">
        <v>3</v>
      </c>
      <c r="BY107" s="610">
        <v>0</v>
      </c>
      <c r="BZ107" s="610">
        <v>0</v>
      </c>
      <c r="CA107" s="610">
        <v>0</v>
      </c>
      <c r="CB107" s="610">
        <v>0</v>
      </c>
      <c r="CC107" s="610">
        <v>0</v>
      </c>
      <c r="CD107" s="610">
        <v>0</v>
      </c>
      <c r="CE107" s="610">
        <v>0</v>
      </c>
      <c r="CF107" s="610">
        <v>0</v>
      </c>
      <c r="CG107" s="610">
        <v>0</v>
      </c>
      <c r="CH107" s="610">
        <v>0</v>
      </c>
      <c r="CI107" s="610">
        <v>0</v>
      </c>
      <c r="CJ107" s="610">
        <v>0</v>
      </c>
      <c r="CK107" s="610">
        <v>0</v>
      </c>
      <c r="CL107" s="610">
        <v>0</v>
      </c>
      <c r="CM107" s="610">
        <v>0</v>
      </c>
      <c r="CN107" s="610">
        <v>0</v>
      </c>
      <c r="CO107" s="610">
        <v>0</v>
      </c>
      <c r="CP107" s="610">
        <v>0</v>
      </c>
      <c r="CQ107" s="610">
        <v>0</v>
      </c>
      <c r="CR107" s="610">
        <v>0</v>
      </c>
      <c r="CS107" s="610">
        <v>0</v>
      </c>
      <c r="CT107" s="610">
        <v>0</v>
      </c>
      <c r="CU107" s="610">
        <v>0</v>
      </c>
      <c r="CV107" s="610">
        <v>0</v>
      </c>
      <c r="CW107" s="610" t="s">
        <v>14</v>
      </c>
      <c r="CX107" s="610">
        <v>0</v>
      </c>
      <c r="CY107" s="610" t="s">
        <v>1707</v>
      </c>
      <c r="CZ107" s="610" t="s">
        <v>1707</v>
      </c>
      <c r="DA107" s="610" t="s">
        <v>1707</v>
      </c>
      <c r="DB107" s="610" t="s">
        <v>1707</v>
      </c>
      <c r="DC107" s="610" t="s">
        <v>1707</v>
      </c>
      <c r="DD107" s="610" t="s">
        <v>1707</v>
      </c>
      <c r="DE107" s="610" t="s">
        <v>1707</v>
      </c>
      <c r="DF107" s="610" t="s">
        <v>1707</v>
      </c>
      <c r="DG107" s="610" t="s">
        <v>1707</v>
      </c>
      <c r="DH107" s="610" t="s">
        <v>1707</v>
      </c>
      <c r="DI107" s="610" t="s">
        <v>1707</v>
      </c>
      <c r="DJ107" s="610" t="s">
        <v>1707</v>
      </c>
      <c r="DK107" s="610" t="s">
        <v>1368</v>
      </c>
      <c r="DL107" s="610" t="s">
        <v>1368</v>
      </c>
      <c r="DM107" s="610" t="s">
        <v>1368</v>
      </c>
      <c r="DN107" s="610" t="s">
        <v>1368</v>
      </c>
      <c r="DO107" s="610" t="s">
        <v>1368</v>
      </c>
      <c r="DP107" s="610" t="s">
        <v>1368</v>
      </c>
      <c r="DQ107" s="610" t="s">
        <v>1368</v>
      </c>
      <c r="DR107" s="610" t="s">
        <v>1368</v>
      </c>
      <c r="DS107" s="610" t="s">
        <v>1368</v>
      </c>
      <c r="DT107" s="610" t="s">
        <v>1368</v>
      </c>
      <c r="DU107" s="610" t="s">
        <v>1368</v>
      </c>
      <c r="DV107" s="610" t="s">
        <v>1368</v>
      </c>
      <c r="DW107" s="609" t="s">
        <v>1368</v>
      </c>
      <c r="DX107" s="609" t="s">
        <v>1368</v>
      </c>
      <c r="DY107" s="609" t="s">
        <v>1368</v>
      </c>
      <c r="DZ107" s="609" t="s">
        <v>1368</v>
      </c>
      <c r="EA107" s="609" t="s">
        <v>1368</v>
      </c>
      <c r="EB107" s="609" t="s">
        <v>1368</v>
      </c>
      <c r="EC107" s="609" t="s">
        <v>1368</v>
      </c>
      <c r="ED107" s="609" t="s">
        <v>1368</v>
      </c>
      <c r="EE107" s="609" t="s">
        <v>1368</v>
      </c>
      <c r="EF107" s="609" t="s">
        <v>1368</v>
      </c>
      <c r="EG107" s="609" t="s">
        <v>1368</v>
      </c>
      <c r="EH107" s="609" t="s">
        <v>1368</v>
      </c>
      <c r="EI107" s="610" t="s">
        <v>1707</v>
      </c>
      <c r="EJ107" s="610" t="s">
        <v>1707</v>
      </c>
      <c r="EK107" s="610" t="s">
        <v>1707</v>
      </c>
      <c r="EL107" s="610" t="s">
        <v>1707</v>
      </c>
      <c r="EM107" s="610" t="s">
        <v>1707</v>
      </c>
      <c r="EN107" s="610" t="s">
        <v>1707</v>
      </c>
      <c r="EO107" s="610" t="s">
        <v>1707</v>
      </c>
      <c r="EP107" s="610" t="s">
        <v>1707</v>
      </c>
      <c r="EQ107" s="610" t="s">
        <v>1707</v>
      </c>
      <c r="ER107" s="610" t="s">
        <v>1707</v>
      </c>
      <c r="ES107" s="610" t="s">
        <v>1707</v>
      </c>
      <c r="ET107" s="610" t="s">
        <v>1707</v>
      </c>
      <c r="EU107" s="610">
        <v>3860</v>
      </c>
      <c r="EV107" s="610" t="s">
        <v>1707</v>
      </c>
      <c r="EW107" s="610" t="s">
        <v>1707</v>
      </c>
      <c r="EX107" s="610" t="s">
        <v>1707</v>
      </c>
      <c r="EY107" s="610" t="s">
        <v>1707</v>
      </c>
      <c r="EZ107" s="610" t="s">
        <v>1707</v>
      </c>
      <c r="FA107" s="610" t="s">
        <v>1707</v>
      </c>
      <c r="FB107" s="610" t="s">
        <v>1707</v>
      </c>
      <c r="FC107" s="610" t="s">
        <v>1707</v>
      </c>
      <c r="FD107" s="610" t="s">
        <v>1707</v>
      </c>
      <c r="FE107" s="610" t="s">
        <v>1707</v>
      </c>
      <c r="FF107" s="610" t="s">
        <v>1707</v>
      </c>
      <c r="FG107" s="610" t="s">
        <v>1707</v>
      </c>
      <c r="FH107" s="610">
        <v>28</v>
      </c>
      <c r="FI107" s="610">
        <v>28</v>
      </c>
      <c r="FJ107" s="610">
        <v>28</v>
      </c>
      <c r="FK107" s="610">
        <v>27</v>
      </c>
      <c r="FL107" s="610">
        <v>27</v>
      </c>
      <c r="FM107" s="610">
        <v>27</v>
      </c>
      <c r="FN107" s="610">
        <v>27</v>
      </c>
      <c r="FO107" s="610">
        <v>27</v>
      </c>
      <c r="FP107" s="610">
        <v>27</v>
      </c>
      <c r="FQ107" s="610">
        <v>27</v>
      </c>
      <c r="FR107" s="610" t="s">
        <v>2487</v>
      </c>
      <c r="FS107" s="610" t="s">
        <v>2487</v>
      </c>
      <c r="FT107" s="610" t="s">
        <v>2487</v>
      </c>
      <c r="FU107" s="610" t="s">
        <v>2487</v>
      </c>
      <c r="FV107" s="610" t="s">
        <v>2487</v>
      </c>
      <c r="FW107" s="610" t="s">
        <v>2487</v>
      </c>
      <c r="FX107" s="610" t="s">
        <v>2487</v>
      </c>
      <c r="FY107" s="610" t="s">
        <v>2487</v>
      </c>
      <c r="FZ107" s="610" t="s">
        <v>2487</v>
      </c>
      <c r="GA107" s="610" t="s">
        <v>2487</v>
      </c>
      <c r="GB107" s="610" t="s">
        <v>2487</v>
      </c>
      <c r="GC107" s="610" t="s">
        <v>2487</v>
      </c>
      <c r="GD107" s="564">
        <f t="shared" si="18"/>
        <v>79950</v>
      </c>
      <c r="GE107" s="564">
        <f t="shared" si="19"/>
        <v>79950</v>
      </c>
      <c r="GF107" s="564">
        <f t="shared" si="20"/>
        <v>79950</v>
      </c>
      <c r="GG107" s="564">
        <f t="shared" si="21"/>
        <v>79950</v>
      </c>
      <c r="GH107" s="564">
        <f t="shared" si="22"/>
        <v>79950</v>
      </c>
      <c r="GI107" s="564">
        <f t="shared" si="23"/>
        <v>79950</v>
      </c>
      <c r="GJ107" s="564">
        <f t="shared" si="24"/>
        <v>79950</v>
      </c>
      <c r="GK107" s="564">
        <f t="shared" si="25"/>
        <v>79950</v>
      </c>
      <c r="GL107" s="564">
        <f t="shared" si="26"/>
        <v>79950</v>
      </c>
      <c r="GM107" s="564">
        <f t="shared" si="27"/>
        <v>79950</v>
      </c>
      <c r="GN107" s="564">
        <f t="shared" si="28"/>
        <v>79950</v>
      </c>
      <c r="GO107" s="564">
        <f t="shared" si="29"/>
        <v>79950</v>
      </c>
      <c r="GP107" s="564"/>
      <c r="GS107" s="375" t="s">
        <v>1491</v>
      </c>
      <c r="GT107" s="374" t="str">
        <f t="shared" si="30"/>
        <v>〇</v>
      </c>
    </row>
    <row r="108" spans="2:202">
      <c r="B108" s="371">
        <v>104</v>
      </c>
      <c r="C108" s="378">
        <v>104</v>
      </c>
      <c r="D108" s="373" t="s">
        <v>1492</v>
      </c>
      <c r="E108" s="373" t="s">
        <v>14</v>
      </c>
      <c r="F108" s="603">
        <f t="shared" si="17"/>
        <v>50</v>
      </c>
      <c r="G108" s="603"/>
      <c r="H108" s="603">
        <v>27</v>
      </c>
      <c r="I108" s="603">
        <v>23</v>
      </c>
      <c r="J108" s="603"/>
      <c r="K108" s="603"/>
      <c r="L108" s="603"/>
      <c r="M108" s="603"/>
      <c r="N108" s="608"/>
      <c r="O108" s="603">
        <v>1577000</v>
      </c>
      <c r="P108" s="603">
        <v>2721000</v>
      </c>
      <c r="Q108" s="603">
        <v>0</v>
      </c>
      <c r="R108" s="603">
        <v>1188000</v>
      </c>
      <c r="S108" s="603">
        <v>0</v>
      </c>
      <c r="T108" s="603">
        <v>0</v>
      </c>
      <c r="U108" s="603">
        <v>0</v>
      </c>
      <c r="V108" s="603">
        <v>0</v>
      </c>
      <c r="W108" s="603">
        <v>0</v>
      </c>
      <c r="X108" s="603">
        <v>0</v>
      </c>
      <c r="Y108" s="603">
        <v>0</v>
      </c>
      <c r="Z108" s="603">
        <v>0</v>
      </c>
      <c r="AA108" s="603">
        <v>0</v>
      </c>
      <c r="AB108" s="603">
        <v>0</v>
      </c>
      <c r="AC108" s="603">
        <v>0</v>
      </c>
      <c r="AD108" s="603">
        <v>0</v>
      </c>
      <c r="AE108" s="603">
        <v>0</v>
      </c>
      <c r="AF108" s="603">
        <v>0</v>
      </c>
      <c r="AG108" s="603">
        <v>0</v>
      </c>
      <c r="AH108" s="603">
        <v>0</v>
      </c>
      <c r="AI108" s="603">
        <v>0</v>
      </c>
      <c r="AJ108" s="604" t="s">
        <v>2377</v>
      </c>
      <c r="AK108" s="605" t="s">
        <v>1545</v>
      </c>
      <c r="AL108" s="605" t="s">
        <v>1545</v>
      </c>
      <c r="AM108" s="606" t="s">
        <v>2097</v>
      </c>
      <c r="AN108" s="609" t="s">
        <v>12</v>
      </c>
      <c r="AO108" s="610" t="s">
        <v>2485</v>
      </c>
      <c r="AP108" s="610" t="s">
        <v>2485</v>
      </c>
      <c r="AQ108" s="610" t="s">
        <v>2485</v>
      </c>
      <c r="AR108" s="610" t="s">
        <v>2485</v>
      </c>
      <c r="AS108" s="610" t="s">
        <v>2485</v>
      </c>
      <c r="AT108" s="610" t="s">
        <v>2485</v>
      </c>
      <c r="AU108" s="610" t="s">
        <v>2485</v>
      </c>
      <c r="AV108" s="610" t="s">
        <v>2485</v>
      </c>
      <c r="AW108" s="610" t="s">
        <v>2485</v>
      </c>
      <c r="AX108" s="610" t="s">
        <v>2485</v>
      </c>
      <c r="AY108" s="610" t="s">
        <v>2485</v>
      </c>
      <c r="AZ108" s="610" t="s">
        <v>2485</v>
      </c>
      <c r="BA108" s="610" t="s">
        <v>1368</v>
      </c>
      <c r="BB108" s="610" t="s">
        <v>1368</v>
      </c>
      <c r="BC108" s="610" t="s">
        <v>1368</v>
      </c>
      <c r="BD108" s="610" t="s">
        <v>1368</v>
      </c>
      <c r="BE108" s="610" t="s">
        <v>1368</v>
      </c>
      <c r="BF108" s="610" t="s">
        <v>1368</v>
      </c>
      <c r="BG108" s="610" t="s">
        <v>1368</v>
      </c>
      <c r="BH108" s="610" t="s">
        <v>1368</v>
      </c>
      <c r="BI108" s="610" t="s">
        <v>1368</v>
      </c>
      <c r="BJ108" s="610" t="s">
        <v>1368</v>
      </c>
      <c r="BK108" s="610" t="s">
        <v>1368</v>
      </c>
      <c r="BL108" s="610" t="s">
        <v>1368</v>
      </c>
      <c r="BM108" s="610">
        <v>0</v>
      </c>
      <c r="BN108" s="610">
        <v>0</v>
      </c>
      <c r="BO108" s="610">
        <v>0</v>
      </c>
      <c r="BP108" s="610">
        <v>0</v>
      </c>
      <c r="BQ108" s="610">
        <v>0</v>
      </c>
      <c r="BR108" s="610">
        <v>0</v>
      </c>
      <c r="BS108" s="610">
        <v>0</v>
      </c>
      <c r="BT108" s="610">
        <v>0</v>
      </c>
      <c r="BU108" s="610">
        <v>0</v>
      </c>
      <c r="BV108" s="610">
        <v>0</v>
      </c>
      <c r="BW108" s="610">
        <v>0</v>
      </c>
      <c r="BX108" s="610">
        <v>0</v>
      </c>
      <c r="BY108" s="610">
        <v>0</v>
      </c>
      <c r="BZ108" s="610">
        <v>0</v>
      </c>
      <c r="CA108" s="610">
        <v>0</v>
      </c>
      <c r="CB108" s="610">
        <v>0</v>
      </c>
      <c r="CC108" s="610">
        <v>0</v>
      </c>
      <c r="CD108" s="610">
        <v>0</v>
      </c>
      <c r="CE108" s="610">
        <v>0</v>
      </c>
      <c r="CF108" s="610">
        <v>0</v>
      </c>
      <c r="CG108" s="610">
        <v>0</v>
      </c>
      <c r="CH108" s="610">
        <v>0</v>
      </c>
      <c r="CI108" s="610">
        <v>0</v>
      </c>
      <c r="CJ108" s="610">
        <v>0</v>
      </c>
      <c r="CK108" s="610">
        <v>0</v>
      </c>
      <c r="CL108" s="610">
        <v>0</v>
      </c>
      <c r="CM108" s="610">
        <v>0</v>
      </c>
      <c r="CN108" s="610">
        <v>0</v>
      </c>
      <c r="CO108" s="610">
        <v>0</v>
      </c>
      <c r="CP108" s="610">
        <v>0</v>
      </c>
      <c r="CQ108" s="610">
        <v>0</v>
      </c>
      <c r="CR108" s="610">
        <v>0</v>
      </c>
      <c r="CS108" s="610">
        <v>0</v>
      </c>
      <c r="CT108" s="610">
        <v>0</v>
      </c>
      <c r="CU108" s="610">
        <v>0</v>
      </c>
      <c r="CV108" s="610">
        <v>0</v>
      </c>
      <c r="CW108" s="610" t="s">
        <v>14</v>
      </c>
      <c r="CX108" s="610">
        <v>0</v>
      </c>
      <c r="CY108" s="610" t="s">
        <v>2449</v>
      </c>
      <c r="CZ108" s="610" t="s">
        <v>2449</v>
      </c>
      <c r="DA108" s="610" t="s">
        <v>2449</v>
      </c>
      <c r="DB108" s="610" t="s">
        <v>2449</v>
      </c>
      <c r="DC108" s="610" t="s">
        <v>2449</v>
      </c>
      <c r="DD108" s="610" t="s">
        <v>2449</v>
      </c>
      <c r="DE108" s="610" t="s">
        <v>2449</v>
      </c>
      <c r="DF108" s="610" t="s">
        <v>2449</v>
      </c>
      <c r="DG108" s="610" t="s">
        <v>2449</v>
      </c>
      <c r="DH108" s="610" t="s">
        <v>2449</v>
      </c>
      <c r="DI108" s="610" t="s">
        <v>2449</v>
      </c>
      <c r="DJ108" s="610" t="s">
        <v>2449</v>
      </c>
      <c r="DK108" s="610" t="s">
        <v>1368</v>
      </c>
      <c r="DL108" s="610" t="s">
        <v>1368</v>
      </c>
      <c r="DM108" s="610" t="s">
        <v>1368</v>
      </c>
      <c r="DN108" s="610" t="s">
        <v>1368</v>
      </c>
      <c r="DO108" s="610" t="s">
        <v>1368</v>
      </c>
      <c r="DP108" s="610" t="s">
        <v>1368</v>
      </c>
      <c r="DQ108" s="610" t="s">
        <v>1368</v>
      </c>
      <c r="DR108" s="610" t="s">
        <v>1368</v>
      </c>
      <c r="DS108" s="610" t="s">
        <v>1368</v>
      </c>
      <c r="DT108" s="610" t="s">
        <v>1368</v>
      </c>
      <c r="DU108" s="610" t="s">
        <v>1368</v>
      </c>
      <c r="DV108" s="610" t="s">
        <v>1368</v>
      </c>
      <c r="DW108" s="609" t="s">
        <v>1368</v>
      </c>
      <c r="DX108" s="609" t="s">
        <v>1368</v>
      </c>
      <c r="DY108" s="609" t="s">
        <v>1368</v>
      </c>
      <c r="DZ108" s="609" t="s">
        <v>1368</v>
      </c>
      <c r="EA108" s="609" t="s">
        <v>1368</v>
      </c>
      <c r="EB108" s="609" t="s">
        <v>1368</v>
      </c>
      <c r="EC108" s="609" t="s">
        <v>1368</v>
      </c>
      <c r="ED108" s="609" t="s">
        <v>1368</v>
      </c>
      <c r="EE108" s="609" t="s">
        <v>1368</v>
      </c>
      <c r="EF108" s="609" t="s">
        <v>1368</v>
      </c>
      <c r="EG108" s="609" t="s">
        <v>1368</v>
      </c>
      <c r="EH108" s="609" t="s">
        <v>1368</v>
      </c>
      <c r="EI108" s="610" t="s">
        <v>1707</v>
      </c>
      <c r="EJ108" s="610" t="s">
        <v>1707</v>
      </c>
      <c r="EK108" s="610" t="s">
        <v>1707</v>
      </c>
      <c r="EL108" s="610" t="s">
        <v>1707</v>
      </c>
      <c r="EM108" s="610" t="s">
        <v>1707</v>
      </c>
      <c r="EN108" s="610" t="s">
        <v>1707</v>
      </c>
      <c r="EO108" s="610" t="s">
        <v>1707</v>
      </c>
      <c r="EP108" s="610" t="s">
        <v>1707</v>
      </c>
      <c r="EQ108" s="610" t="s">
        <v>1707</v>
      </c>
      <c r="ER108" s="610" t="s">
        <v>1707</v>
      </c>
      <c r="ES108" s="610" t="s">
        <v>1707</v>
      </c>
      <c r="ET108" s="610" t="s">
        <v>1707</v>
      </c>
      <c r="EU108" s="610">
        <v>3950</v>
      </c>
      <c r="EV108" s="610" t="s">
        <v>1707</v>
      </c>
      <c r="EW108" s="610" t="s">
        <v>1707</v>
      </c>
      <c r="EX108" s="610" t="s">
        <v>1707</v>
      </c>
      <c r="EY108" s="610" t="s">
        <v>1707</v>
      </c>
      <c r="EZ108" s="610" t="s">
        <v>1707</v>
      </c>
      <c r="FA108" s="610" t="s">
        <v>1707</v>
      </c>
      <c r="FB108" s="610" t="s">
        <v>1707</v>
      </c>
      <c r="FC108" s="610" t="s">
        <v>1707</v>
      </c>
      <c r="FD108" s="610" t="s">
        <v>1707</v>
      </c>
      <c r="FE108" s="610" t="s">
        <v>1707</v>
      </c>
      <c r="FF108" s="610" t="s">
        <v>1707</v>
      </c>
      <c r="FG108" s="610" t="s">
        <v>1707</v>
      </c>
      <c r="FH108" s="610">
        <v>19</v>
      </c>
      <c r="FI108" s="610">
        <v>19</v>
      </c>
      <c r="FJ108" s="610">
        <v>20</v>
      </c>
      <c r="FK108" s="610">
        <v>20</v>
      </c>
      <c r="FL108" s="610">
        <v>20</v>
      </c>
      <c r="FM108" s="610">
        <v>20</v>
      </c>
      <c r="FN108" s="610">
        <v>20</v>
      </c>
      <c r="FO108" s="610">
        <v>20</v>
      </c>
      <c r="FP108" s="610">
        <v>20</v>
      </c>
      <c r="FQ108" s="610">
        <v>20</v>
      </c>
      <c r="FR108" s="610" t="s">
        <v>2487</v>
      </c>
      <c r="FS108" s="610" t="s">
        <v>2489</v>
      </c>
      <c r="FT108" s="610" t="s">
        <v>2489</v>
      </c>
      <c r="FU108" s="610" t="s">
        <v>2489</v>
      </c>
      <c r="FV108" s="610" t="s">
        <v>2489</v>
      </c>
      <c r="FW108" s="610" t="s">
        <v>2489</v>
      </c>
      <c r="FX108" s="610" t="s">
        <v>2489</v>
      </c>
      <c r="FY108" s="610" t="s">
        <v>2489</v>
      </c>
      <c r="FZ108" s="610" t="s">
        <v>2489</v>
      </c>
      <c r="GA108" s="610" t="s">
        <v>2489</v>
      </c>
      <c r="GB108" s="610" t="s">
        <v>2489</v>
      </c>
      <c r="GC108" s="610" t="s">
        <v>2489</v>
      </c>
      <c r="GD108" s="564">
        <f t="shared" si="18"/>
        <v>79950</v>
      </c>
      <c r="GE108" s="564" t="str">
        <f t="shared" si="19"/>
        <v/>
      </c>
      <c r="GF108" s="564" t="str">
        <f t="shared" si="20"/>
        <v/>
      </c>
      <c r="GG108" s="564" t="str">
        <f t="shared" si="21"/>
        <v/>
      </c>
      <c r="GH108" s="564" t="str">
        <f t="shared" si="22"/>
        <v/>
      </c>
      <c r="GI108" s="564" t="str">
        <f t="shared" si="23"/>
        <v/>
      </c>
      <c r="GJ108" s="564" t="str">
        <f t="shared" si="24"/>
        <v/>
      </c>
      <c r="GK108" s="564" t="str">
        <f t="shared" si="25"/>
        <v/>
      </c>
      <c r="GL108" s="564" t="str">
        <f t="shared" si="26"/>
        <v/>
      </c>
      <c r="GM108" s="564" t="str">
        <f t="shared" si="27"/>
        <v/>
      </c>
      <c r="GN108" s="564" t="str">
        <f t="shared" si="28"/>
        <v/>
      </c>
      <c r="GO108" s="564" t="str">
        <f t="shared" si="29"/>
        <v/>
      </c>
      <c r="GP108" s="564"/>
      <c r="GS108" s="375" t="s">
        <v>1492</v>
      </c>
      <c r="GT108" s="374" t="str">
        <f t="shared" si="30"/>
        <v>〇</v>
      </c>
    </row>
    <row r="109" spans="2:202">
      <c r="B109" s="371">
        <v>105</v>
      </c>
      <c r="C109" s="378">
        <v>105</v>
      </c>
      <c r="D109" s="373" t="s">
        <v>1493</v>
      </c>
      <c r="E109" s="373" t="s">
        <v>14</v>
      </c>
      <c r="F109" s="603">
        <f t="shared" si="17"/>
        <v>50</v>
      </c>
      <c r="G109" s="603"/>
      <c r="H109" s="603">
        <v>27</v>
      </c>
      <c r="I109" s="603">
        <v>23</v>
      </c>
      <c r="J109" s="603"/>
      <c r="K109" s="603"/>
      <c r="L109" s="603"/>
      <c r="M109" s="603"/>
      <c r="N109" s="608"/>
      <c r="O109" s="603">
        <v>1577000</v>
      </c>
      <c r="P109" s="603">
        <v>2721000</v>
      </c>
      <c r="Q109" s="603">
        <v>2721000</v>
      </c>
      <c r="R109" s="603">
        <v>1791000</v>
      </c>
      <c r="S109" s="603">
        <v>0</v>
      </c>
      <c r="T109" s="603">
        <v>0</v>
      </c>
      <c r="U109" s="603">
        <v>0</v>
      </c>
      <c r="V109" s="603">
        <v>0</v>
      </c>
      <c r="W109" s="603">
        <v>0</v>
      </c>
      <c r="X109" s="603">
        <v>0</v>
      </c>
      <c r="Y109" s="603">
        <v>0</v>
      </c>
      <c r="Z109" s="603">
        <v>0</v>
      </c>
      <c r="AA109" s="603">
        <v>0</v>
      </c>
      <c r="AB109" s="603">
        <v>0</v>
      </c>
      <c r="AC109" s="603">
        <v>0</v>
      </c>
      <c r="AD109" s="603">
        <v>0</v>
      </c>
      <c r="AE109" s="603">
        <v>0</v>
      </c>
      <c r="AF109" s="603">
        <v>0</v>
      </c>
      <c r="AG109" s="603">
        <v>0</v>
      </c>
      <c r="AH109" s="603">
        <v>0</v>
      </c>
      <c r="AI109" s="603">
        <v>0</v>
      </c>
      <c r="AJ109" s="604" t="s">
        <v>2377</v>
      </c>
      <c r="AK109" s="605" t="s">
        <v>1545</v>
      </c>
      <c r="AL109" s="605" t="s">
        <v>1545</v>
      </c>
      <c r="AM109" s="606" t="s">
        <v>2098</v>
      </c>
      <c r="AN109" s="609" t="s">
        <v>12</v>
      </c>
      <c r="AO109" s="610" t="s">
        <v>2485</v>
      </c>
      <c r="AP109" s="610" t="s">
        <v>2485</v>
      </c>
      <c r="AQ109" s="610" t="s">
        <v>2485</v>
      </c>
      <c r="AR109" s="610" t="s">
        <v>2485</v>
      </c>
      <c r="AS109" s="610" t="s">
        <v>2485</v>
      </c>
      <c r="AT109" s="610" t="s">
        <v>2485</v>
      </c>
      <c r="AU109" s="610" t="s">
        <v>2485</v>
      </c>
      <c r="AV109" s="610" t="s">
        <v>2485</v>
      </c>
      <c r="AW109" s="610" t="s">
        <v>2485</v>
      </c>
      <c r="AX109" s="610" t="s">
        <v>2485</v>
      </c>
      <c r="AY109" s="610" t="s">
        <v>2485</v>
      </c>
      <c r="AZ109" s="610" t="s">
        <v>2485</v>
      </c>
      <c r="BA109" s="610" t="s">
        <v>1368</v>
      </c>
      <c r="BB109" s="610" t="s">
        <v>1368</v>
      </c>
      <c r="BC109" s="610" t="s">
        <v>1368</v>
      </c>
      <c r="BD109" s="610" t="s">
        <v>1368</v>
      </c>
      <c r="BE109" s="610" t="s">
        <v>1368</v>
      </c>
      <c r="BF109" s="610" t="s">
        <v>1368</v>
      </c>
      <c r="BG109" s="610" t="s">
        <v>1368</v>
      </c>
      <c r="BH109" s="610" t="s">
        <v>1368</v>
      </c>
      <c r="BI109" s="610" t="s">
        <v>1368</v>
      </c>
      <c r="BJ109" s="610" t="s">
        <v>1368</v>
      </c>
      <c r="BK109" s="610" t="s">
        <v>1368</v>
      </c>
      <c r="BL109" s="610" t="s">
        <v>1368</v>
      </c>
      <c r="BM109" s="610">
        <v>1</v>
      </c>
      <c r="BN109" s="610">
        <v>1</v>
      </c>
      <c r="BO109" s="610">
        <v>1</v>
      </c>
      <c r="BP109" s="610">
        <v>1</v>
      </c>
      <c r="BQ109" s="610">
        <v>1</v>
      </c>
      <c r="BR109" s="610">
        <v>1</v>
      </c>
      <c r="BS109" s="610">
        <v>1</v>
      </c>
      <c r="BT109" s="610">
        <v>1</v>
      </c>
      <c r="BU109" s="610">
        <v>1</v>
      </c>
      <c r="BV109" s="610">
        <v>1</v>
      </c>
      <c r="BW109" s="610">
        <v>1</v>
      </c>
      <c r="BX109" s="610">
        <v>1</v>
      </c>
      <c r="BY109" s="610">
        <v>0</v>
      </c>
      <c r="BZ109" s="610">
        <v>0</v>
      </c>
      <c r="CA109" s="610">
        <v>0</v>
      </c>
      <c r="CB109" s="610">
        <v>0</v>
      </c>
      <c r="CC109" s="610">
        <v>0</v>
      </c>
      <c r="CD109" s="610">
        <v>0</v>
      </c>
      <c r="CE109" s="610">
        <v>0</v>
      </c>
      <c r="CF109" s="610">
        <v>0</v>
      </c>
      <c r="CG109" s="610">
        <v>0</v>
      </c>
      <c r="CH109" s="610">
        <v>0</v>
      </c>
      <c r="CI109" s="610">
        <v>0</v>
      </c>
      <c r="CJ109" s="610">
        <v>0</v>
      </c>
      <c r="CK109" s="610">
        <v>0</v>
      </c>
      <c r="CL109" s="610">
        <v>0</v>
      </c>
      <c r="CM109" s="610">
        <v>0</v>
      </c>
      <c r="CN109" s="610">
        <v>0</v>
      </c>
      <c r="CO109" s="610">
        <v>0</v>
      </c>
      <c r="CP109" s="610">
        <v>0</v>
      </c>
      <c r="CQ109" s="610">
        <v>0</v>
      </c>
      <c r="CR109" s="610">
        <v>0</v>
      </c>
      <c r="CS109" s="610">
        <v>0</v>
      </c>
      <c r="CT109" s="610">
        <v>0</v>
      </c>
      <c r="CU109" s="610">
        <v>0</v>
      </c>
      <c r="CV109" s="610">
        <v>0</v>
      </c>
      <c r="CW109" s="610" t="s">
        <v>14</v>
      </c>
      <c r="CX109" s="610">
        <v>0</v>
      </c>
      <c r="CY109" s="610" t="s">
        <v>2449</v>
      </c>
      <c r="CZ109" s="610" t="s">
        <v>2449</v>
      </c>
      <c r="DA109" s="610" t="s">
        <v>2449</v>
      </c>
      <c r="DB109" s="610" t="s">
        <v>2449</v>
      </c>
      <c r="DC109" s="610" t="s">
        <v>2449</v>
      </c>
      <c r="DD109" s="610" t="s">
        <v>2449</v>
      </c>
      <c r="DE109" s="610" t="s">
        <v>2449</v>
      </c>
      <c r="DF109" s="610" t="s">
        <v>2449</v>
      </c>
      <c r="DG109" s="610" t="s">
        <v>2449</v>
      </c>
      <c r="DH109" s="610" t="s">
        <v>2449</v>
      </c>
      <c r="DI109" s="610" t="s">
        <v>2449</v>
      </c>
      <c r="DJ109" s="610" t="s">
        <v>2449</v>
      </c>
      <c r="DK109" s="610" t="s">
        <v>1368</v>
      </c>
      <c r="DL109" s="610" t="s">
        <v>1368</v>
      </c>
      <c r="DM109" s="610" t="s">
        <v>1368</v>
      </c>
      <c r="DN109" s="610" t="s">
        <v>1368</v>
      </c>
      <c r="DO109" s="610" t="s">
        <v>1368</v>
      </c>
      <c r="DP109" s="610" t="s">
        <v>1368</v>
      </c>
      <c r="DQ109" s="610" t="s">
        <v>1368</v>
      </c>
      <c r="DR109" s="610" t="s">
        <v>1368</v>
      </c>
      <c r="DS109" s="610" t="s">
        <v>1368</v>
      </c>
      <c r="DT109" s="610" t="s">
        <v>1368</v>
      </c>
      <c r="DU109" s="610" t="s">
        <v>1368</v>
      </c>
      <c r="DV109" s="610" t="s">
        <v>1368</v>
      </c>
      <c r="DW109" s="609" t="s">
        <v>1368</v>
      </c>
      <c r="DX109" s="609" t="s">
        <v>1368</v>
      </c>
      <c r="DY109" s="609" t="s">
        <v>1368</v>
      </c>
      <c r="DZ109" s="609" t="s">
        <v>1368</v>
      </c>
      <c r="EA109" s="609" t="s">
        <v>1368</v>
      </c>
      <c r="EB109" s="609" t="s">
        <v>1368</v>
      </c>
      <c r="EC109" s="609" t="s">
        <v>1368</v>
      </c>
      <c r="ED109" s="609" t="s">
        <v>1368</v>
      </c>
      <c r="EE109" s="609" t="s">
        <v>1368</v>
      </c>
      <c r="EF109" s="609" t="s">
        <v>1368</v>
      </c>
      <c r="EG109" s="609" t="s">
        <v>1368</v>
      </c>
      <c r="EH109" s="609" t="s">
        <v>1368</v>
      </c>
      <c r="EI109" s="610" t="s">
        <v>1707</v>
      </c>
      <c r="EJ109" s="610" t="s">
        <v>1707</v>
      </c>
      <c r="EK109" s="610" t="s">
        <v>1707</v>
      </c>
      <c r="EL109" s="610" t="s">
        <v>1707</v>
      </c>
      <c r="EM109" s="610" t="s">
        <v>1707</v>
      </c>
      <c r="EN109" s="610" t="s">
        <v>1707</v>
      </c>
      <c r="EO109" s="610" t="s">
        <v>1707</v>
      </c>
      <c r="EP109" s="610" t="s">
        <v>1707</v>
      </c>
      <c r="EQ109" s="610" t="s">
        <v>1707</v>
      </c>
      <c r="ER109" s="610" t="s">
        <v>1707</v>
      </c>
      <c r="ES109" s="610" t="s">
        <v>1707</v>
      </c>
      <c r="ET109" s="610" t="s">
        <v>1707</v>
      </c>
      <c r="EU109" s="610">
        <v>3890</v>
      </c>
      <c r="EV109" s="610" t="s">
        <v>1707</v>
      </c>
      <c r="EW109" s="610" t="s">
        <v>1707</v>
      </c>
      <c r="EX109" s="610" t="s">
        <v>1707</v>
      </c>
      <c r="EY109" s="610" t="s">
        <v>1707</v>
      </c>
      <c r="EZ109" s="610" t="s">
        <v>1707</v>
      </c>
      <c r="FA109" s="610" t="s">
        <v>1707</v>
      </c>
      <c r="FB109" s="610" t="s">
        <v>1707</v>
      </c>
      <c r="FC109" s="610" t="s">
        <v>1707</v>
      </c>
      <c r="FD109" s="610" t="s">
        <v>1707</v>
      </c>
      <c r="FE109" s="610" t="s">
        <v>1707</v>
      </c>
      <c r="FF109" s="610" t="s">
        <v>1707</v>
      </c>
      <c r="FG109" s="610" t="s">
        <v>1707</v>
      </c>
      <c r="FH109" s="610">
        <v>16</v>
      </c>
      <c r="FI109" s="610">
        <v>16</v>
      </c>
      <c r="FJ109" s="610">
        <v>16</v>
      </c>
      <c r="FK109" s="610">
        <v>16</v>
      </c>
      <c r="FL109" s="610">
        <v>16</v>
      </c>
      <c r="FM109" s="610">
        <v>16</v>
      </c>
      <c r="FN109" s="610">
        <v>16</v>
      </c>
      <c r="FO109" s="610">
        <v>16</v>
      </c>
      <c r="FP109" s="610">
        <v>16</v>
      </c>
      <c r="FQ109" s="610">
        <v>16</v>
      </c>
      <c r="FR109" s="610" t="s">
        <v>2489</v>
      </c>
      <c r="FS109" s="610" t="s">
        <v>2489</v>
      </c>
      <c r="FT109" s="610" t="s">
        <v>2489</v>
      </c>
      <c r="FU109" s="610" t="s">
        <v>2489</v>
      </c>
      <c r="FV109" s="610" t="s">
        <v>2489</v>
      </c>
      <c r="FW109" s="610" t="s">
        <v>2489</v>
      </c>
      <c r="FX109" s="610" t="s">
        <v>2489</v>
      </c>
      <c r="FY109" s="610" t="s">
        <v>2489</v>
      </c>
      <c r="FZ109" s="610" t="s">
        <v>2489</v>
      </c>
      <c r="GA109" s="610" t="s">
        <v>2489</v>
      </c>
      <c r="GB109" s="610" t="s">
        <v>2489</v>
      </c>
      <c r="GC109" s="610" t="s">
        <v>2489</v>
      </c>
      <c r="GD109" s="564" t="str">
        <f t="shared" si="18"/>
        <v/>
      </c>
      <c r="GE109" s="564" t="str">
        <f t="shared" si="19"/>
        <v/>
      </c>
      <c r="GF109" s="564" t="str">
        <f t="shared" si="20"/>
        <v/>
      </c>
      <c r="GG109" s="564" t="str">
        <f t="shared" si="21"/>
        <v/>
      </c>
      <c r="GH109" s="564" t="str">
        <f t="shared" si="22"/>
        <v/>
      </c>
      <c r="GI109" s="564" t="str">
        <f t="shared" si="23"/>
        <v/>
      </c>
      <c r="GJ109" s="564" t="str">
        <f t="shared" si="24"/>
        <v/>
      </c>
      <c r="GK109" s="564" t="str">
        <f t="shared" si="25"/>
        <v/>
      </c>
      <c r="GL109" s="564" t="str">
        <f t="shared" si="26"/>
        <v/>
      </c>
      <c r="GM109" s="564" t="str">
        <f t="shared" si="27"/>
        <v/>
      </c>
      <c r="GN109" s="564" t="str">
        <f t="shared" si="28"/>
        <v/>
      </c>
      <c r="GO109" s="564" t="str">
        <f t="shared" si="29"/>
        <v/>
      </c>
      <c r="GP109" s="564"/>
      <c r="GS109" s="375" t="s">
        <v>1493</v>
      </c>
      <c r="GT109" s="374" t="str">
        <f t="shared" si="30"/>
        <v>〇</v>
      </c>
    </row>
    <row r="110" spans="2:202">
      <c r="B110" s="371">
        <v>106</v>
      </c>
      <c r="C110" s="378">
        <v>106</v>
      </c>
      <c r="D110" s="373" t="s">
        <v>1494</v>
      </c>
      <c r="E110" s="373" t="s">
        <v>14</v>
      </c>
      <c r="F110" s="603">
        <f t="shared" si="17"/>
        <v>59</v>
      </c>
      <c r="G110" s="603"/>
      <c r="H110" s="603">
        <v>33</v>
      </c>
      <c r="I110" s="603">
        <v>26</v>
      </c>
      <c r="J110" s="603"/>
      <c r="K110" s="603"/>
      <c r="L110" s="603"/>
      <c r="M110" s="603"/>
      <c r="N110" s="608"/>
      <c r="O110" s="603">
        <v>1577000</v>
      </c>
      <c r="P110" s="603">
        <v>2721000</v>
      </c>
      <c r="Q110" s="603">
        <v>2721000</v>
      </c>
      <c r="R110" s="603">
        <v>1188000</v>
      </c>
      <c r="S110" s="603">
        <v>0</v>
      </c>
      <c r="T110" s="603">
        <v>0</v>
      </c>
      <c r="U110" s="603">
        <v>0</v>
      </c>
      <c r="V110" s="603">
        <v>1051000</v>
      </c>
      <c r="W110" s="603">
        <v>1814000</v>
      </c>
      <c r="X110" s="603">
        <v>1814000</v>
      </c>
      <c r="Y110" s="603">
        <v>792000</v>
      </c>
      <c r="Z110" s="603">
        <v>0</v>
      </c>
      <c r="AA110" s="603">
        <v>0</v>
      </c>
      <c r="AB110" s="603">
        <v>0</v>
      </c>
      <c r="AC110" s="603">
        <v>526000</v>
      </c>
      <c r="AD110" s="603">
        <v>907000</v>
      </c>
      <c r="AE110" s="603">
        <v>907000</v>
      </c>
      <c r="AF110" s="603">
        <v>396000</v>
      </c>
      <c r="AG110" s="603">
        <v>0</v>
      </c>
      <c r="AH110" s="603">
        <v>0</v>
      </c>
      <c r="AI110" s="603">
        <v>0</v>
      </c>
      <c r="AJ110" s="604" t="s">
        <v>2377</v>
      </c>
      <c r="AK110" s="605" t="s">
        <v>2378</v>
      </c>
      <c r="AL110" s="605" t="s">
        <v>2490</v>
      </c>
      <c r="AM110" s="606" t="s">
        <v>2099</v>
      </c>
      <c r="AN110" s="609" t="s">
        <v>12</v>
      </c>
      <c r="AO110" s="610" t="s">
        <v>2485</v>
      </c>
      <c r="AP110" s="610" t="s">
        <v>2485</v>
      </c>
      <c r="AQ110" s="610" t="s">
        <v>2485</v>
      </c>
      <c r="AR110" s="610" t="s">
        <v>2485</v>
      </c>
      <c r="AS110" s="610" t="s">
        <v>2485</v>
      </c>
      <c r="AT110" s="610" t="s">
        <v>2485</v>
      </c>
      <c r="AU110" s="610" t="s">
        <v>2485</v>
      </c>
      <c r="AV110" s="610" t="s">
        <v>2485</v>
      </c>
      <c r="AW110" s="610" t="s">
        <v>2485</v>
      </c>
      <c r="AX110" s="610" t="s">
        <v>2485</v>
      </c>
      <c r="AY110" s="610" t="s">
        <v>2485</v>
      </c>
      <c r="AZ110" s="610" t="s">
        <v>2485</v>
      </c>
      <c r="BA110" s="610" t="s">
        <v>1368</v>
      </c>
      <c r="BB110" s="610" t="s">
        <v>1368</v>
      </c>
      <c r="BC110" s="610" t="s">
        <v>1368</v>
      </c>
      <c r="BD110" s="610" t="s">
        <v>1368</v>
      </c>
      <c r="BE110" s="610" t="s">
        <v>1368</v>
      </c>
      <c r="BF110" s="610" t="s">
        <v>1368</v>
      </c>
      <c r="BG110" s="610" t="s">
        <v>1368</v>
      </c>
      <c r="BH110" s="610" t="s">
        <v>1368</v>
      </c>
      <c r="BI110" s="610" t="s">
        <v>1368</v>
      </c>
      <c r="BJ110" s="610" t="s">
        <v>1368</v>
      </c>
      <c r="BK110" s="610" t="s">
        <v>1368</v>
      </c>
      <c r="BL110" s="610" t="s">
        <v>1368</v>
      </c>
      <c r="BM110" s="610">
        <v>1</v>
      </c>
      <c r="BN110" s="610">
        <v>1</v>
      </c>
      <c r="BO110" s="610">
        <v>2</v>
      </c>
      <c r="BP110" s="610">
        <v>2</v>
      </c>
      <c r="BQ110" s="610">
        <v>2</v>
      </c>
      <c r="BR110" s="610">
        <v>2</v>
      </c>
      <c r="BS110" s="610">
        <v>2</v>
      </c>
      <c r="BT110" s="610">
        <v>2</v>
      </c>
      <c r="BU110" s="610">
        <v>2</v>
      </c>
      <c r="BV110" s="610">
        <v>2</v>
      </c>
      <c r="BW110" s="610">
        <v>2</v>
      </c>
      <c r="BX110" s="610">
        <v>2</v>
      </c>
      <c r="BY110" s="610">
        <v>0</v>
      </c>
      <c r="BZ110" s="610">
        <v>0</v>
      </c>
      <c r="CA110" s="610">
        <v>0</v>
      </c>
      <c r="CB110" s="610">
        <v>0</v>
      </c>
      <c r="CC110" s="610">
        <v>0</v>
      </c>
      <c r="CD110" s="610">
        <v>0</v>
      </c>
      <c r="CE110" s="610">
        <v>0</v>
      </c>
      <c r="CF110" s="610">
        <v>0</v>
      </c>
      <c r="CG110" s="610">
        <v>0</v>
      </c>
      <c r="CH110" s="610">
        <v>0</v>
      </c>
      <c r="CI110" s="610">
        <v>0</v>
      </c>
      <c r="CJ110" s="610">
        <v>0</v>
      </c>
      <c r="CK110" s="610">
        <v>0</v>
      </c>
      <c r="CL110" s="610">
        <v>0</v>
      </c>
      <c r="CM110" s="610">
        <v>0</v>
      </c>
      <c r="CN110" s="610">
        <v>0</v>
      </c>
      <c r="CO110" s="610">
        <v>0</v>
      </c>
      <c r="CP110" s="610">
        <v>0</v>
      </c>
      <c r="CQ110" s="610">
        <v>0</v>
      </c>
      <c r="CR110" s="610">
        <v>0</v>
      </c>
      <c r="CS110" s="610">
        <v>0</v>
      </c>
      <c r="CT110" s="610">
        <v>0</v>
      </c>
      <c r="CU110" s="610">
        <v>0</v>
      </c>
      <c r="CV110" s="610">
        <v>0</v>
      </c>
      <c r="CW110" s="610" t="s">
        <v>14</v>
      </c>
      <c r="CX110" s="610">
        <v>0</v>
      </c>
      <c r="CY110" s="610" t="s">
        <v>1707</v>
      </c>
      <c r="CZ110" s="610" t="s">
        <v>1707</v>
      </c>
      <c r="DA110" s="610" t="s">
        <v>1707</v>
      </c>
      <c r="DB110" s="610" t="s">
        <v>1707</v>
      </c>
      <c r="DC110" s="610" t="s">
        <v>1707</v>
      </c>
      <c r="DD110" s="610" t="s">
        <v>1707</v>
      </c>
      <c r="DE110" s="610" t="s">
        <v>1707</v>
      </c>
      <c r="DF110" s="610" t="s">
        <v>1707</v>
      </c>
      <c r="DG110" s="610" t="s">
        <v>1707</v>
      </c>
      <c r="DH110" s="610" t="s">
        <v>1707</v>
      </c>
      <c r="DI110" s="610" t="s">
        <v>1707</v>
      </c>
      <c r="DJ110" s="610" t="s">
        <v>1707</v>
      </c>
      <c r="DK110" s="610" t="s">
        <v>1368</v>
      </c>
      <c r="DL110" s="610" t="s">
        <v>1368</v>
      </c>
      <c r="DM110" s="610" t="s">
        <v>1368</v>
      </c>
      <c r="DN110" s="610" t="s">
        <v>1368</v>
      </c>
      <c r="DO110" s="610" t="s">
        <v>1368</v>
      </c>
      <c r="DP110" s="610" t="s">
        <v>1368</v>
      </c>
      <c r="DQ110" s="610" t="s">
        <v>1368</v>
      </c>
      <c r="DR110" s="610" t="s">
        <v>1368</v>
      </c>
      <c r="DS110" s="610" t="s">
        <v>1368</v>
      </c>
      <c r="DT110" s="610" t="s">
        <v>1368</v>
      </c>
      <c r="DU110" s="610" t="s">
        <v>1368</v>
      </c>
      <c r="DV110" s="610" t="s">
        <v>1368</v>
      </c>
      <c r="DW110" s="609" t="s">
        <v>1368</v>
      </c>
      <c r="DX110" s="609" t="s">
        <v>1368</v>
      </c>
      <c r="DY110" s="609" t="s">
        <v>1368</v>
      </c>
      <c r="DZ110" s="609" t="s">
        <v>1368</v>
      </c>
      <c r="EA110" s="609" t="s">
        <v>1368</v>
      </c>
      <c r="EB110" s="609" t="s">
        <v>1368</v>
      </c>
      <c r="EC110" s="609" t="s">
        <v>1368</v>
      </c>
      <c r="ED110" s="609" t="s">
        <v>1368</v>
      </c>
      <c r="EE110" s="609" t="s">
        <v>1368</v>
      </c>
      <c r="EF110" s="609" t="s">
        <v>1368</v>
      </c>
      <c r="EG110" s="609" t="s">
        <v>1368</v>
      </c>
      <c r="EH110" s="609" t="s">
        <v>1368</v>
      </c>
      <c r="EI110" s="610" t="s">
        <v>1707</v>
      </c>
      <c r="EJ110" s="610" t="s">
        <v>1707</v>
      </c>
      <c r="EK110" s="610" t="s">
        <v>1707</v>
      </c>
      <c r="EL110" s="610" t="s">
        <v>1707</v>
      </c>
      <c r="EM110" s="610" t="s">
        <v>1707</v>
      </c>
      <c r="EN110" s="610" t="s">
        <v>1707</v>
      </c>
      <c r="EO110" s="610" t="s">
        <v>1707</v>
      </c>
      <c r="EP110" s="610" t="s">
        <v>1707</v>
      </c>
      <c r="EQ110" s="610" t="s">
        <v>1707</v>
      </c>
      <c r="ER110" s="610" t="s">
        <v>1707</v>
      </c>
      <c r="ES110" s="610" t="s">
        <v>1707</v>
      </c>
      <c r="ET110" s="610" t="s">
        <v>1707</v>
      </c>
      <c r="EU110" s="610">
        <v>3950</v>
      </c>
      <c r="EV110" s="610" t="s">
        <v>1707</v>
      </c>
      <c r="EW110" s="610" t="s">
        <v>1707</v>
      </c>
      <c r="EX110" s="610" t="s">
        <v>1707</v>
      </c>
      <c r="EY110" s="610" t="s">
        <v>1707</v>
      </c>
      <c r="EZ110" s="610" t="s">
        <v>1707</v>
      </c>
      <c r="FA110" s="610" t="s">
        <v>1707</v>
      </c>
      <c r="FB110" s="610" t="s">
        <v>1707</v>
      </c>
      <c r="FC110" s="610" t="s">
        <v>1707</v>
      </c>
      <c r="FD110" s="610" t="s">
        <v>1707</v>
      </c>
      <c r="FE110" s="610" t="s">
        <v>1707</v>
      </c>
      <c r="FF110" s="610" t="s">
        <v>1707</v>
      </c>
      <c r="FG110" s="610" t="s">
        <v>1707</v>
      </c>
      <c r="FH110" s="610">
        <v>23</v>
      </c>
      <c r="FI110" s="610">
        <v>24</v>
      </c>
      <c r="FJ110" s="610">
        <v>24</v>
      </c>
      <c r="FK110" s="610">
        <v>24</v>
      </c>
      <c r="FL110" s="610">
        <v>24</v>
      </c>
      <c r="FM110" s="610">
        <v>24</v>
      </c>
      <c r="FN110" s="610">
        <v>24</v>
      </c>
      <c r="FO110" s="610">
        <v>24</v>
      </c>
      <c r="FP110" s="610">
        <v>24</v>
      </c>
      <c r="FQ110" s="610">
        <v>24</v>
      </c>
      <c r="FR110" s="610" t="s">
        <v>2487</v>
      </c>
      <c r="FS110" s="610" t="s">
        <v>2487</v>
      </c>
      <c r="FT110" s="610" t="s">
        <v>2487</v>
      </c>
      <c r="FU110" s="610" t="s">
        <v>2487</v>
      </c>
      <c r="FV110" s="610" t="s">
        <v>2487</v>
      </c>
      <c r="FW110" s="610" t="s">
        <v>2487</v>
      </c>
      <c r="FX110" s="610" t="s">
        <v>2487</v>
      </c>
      <c r="FY110" s="610" t="s">
        <v>2487</v>
      </c>
      <c r="FZ110" s="610" t="s">
        <v>2487</v>
      </c>
      <c r="GA110" s="610" t="s">
        <v>2487</v>
      </c>
      <c r="GB110" s="610" t="s">
        <v>2487</v>
      </c>
      <c r="GC110" s="610" t="s">
        <v>2487</v>
      </c>
      <c r="GD110" s="564">
        <f t="shared" si="18"/>
        <v>79950</v>
      </c>
      <c r="GE110" s="564">
        <f t="shared" si="19"/>
        <v>79950</v>
      </c>
      <c r="GF110" s="564">
        <f t="shared" si="20"/>
        <v>79950</v>
      </c>
      <c r="GG110" s="564">
        <f t="shared" si="21"/>
        <v>79950</v>
      </c>
      <c r="GH110" s="564">
        <f t="shared" si="22"/>
        <v>79950</v>
      </c>
      <c r="GI110" s="564">
        <f t="shared" si="23"/>
        <v>79950</v>
      </c>
      <c r="GJ110" s="564">
        <f t="shared" si="24"/>
        <v>79950</v>
      </c>
      <c r="GK110" s="564">
        <f t="shared" si="25"/>
        <v>79950</v>
      </c>
      <c r="GL110" s="564">
        <f t="shared" si="26"/>
        <v>79950</v>
      </c>
      <c r="GM110" s="564">
        <f t="shared" si="27"/>
        <v>79950</v>
      </c>
      <c r="GN110" s="564">
        <f t="shared" si="28"/>
        <v>79950</v>
      </c>
      <c r="GO110" s="564">
        <f t="shared" si="29"/>
        <v>79950</v>
      </c>
      <c r="GP110" s="564"/>
      <c r="GS110" s="375" t="s">
        <v>1494</v>
      </c>
      <c r="GT110" s="374" t="str">
        <f t="shared" si="30"/>
        <v>〇</v>
      </c>
    </row>
    <row r="111" spans="2:202">
      <c r="B111" s="371">
        <v>107</v>
      </c>
      <c r="C111" s="378">
        <v>107</v>
      </c>
      <c r="D111" s="373" t="s">
        <v>1495</v>
      </c>
      <c r="E111" s="373" t="s">
        <v>14</v>
      </c>
      <c r="F111" s="603">
        <f t="shared" si="17"/>
        <v>80</v>
      </c>
      <c r="G111" s="603"/>
      <c r="H111" s="603">
        <v>45</v>
      </c>
      <c r="I111" s="603">
        <v>35</v>
      </c>
      <c r="J111" s="603"/>
      <c r="K111" s="603"/>
      <c r="L111" s="603"/>
      <c r="M111" s="603"/>
      <c r="N111" s="608"/>
      <c r="O111" s="603">
        <v>1577000</v>
      </c>
      <c r="P111" s="603">
        <v>2721000</v>
      </c>
      <c r="Q111" s="603">
        <v>2721000</v>
      </c>
      <c r="R111" s="603">
        <v>1791000</v>
      </c>
      <c r="S111" s="603">
        <v>0</v>
      </c>
      <c r="T111" s="603">
        <v>2181000</v>
      </c>
      <c r="U111" s="603">
        <v>0</v>
      </c>
      <c r="V111" s="603">
        <v>1051000</v>
      </c>
      <c r="W111" s="603">
        <v>1814000</v>
      </c>
      <c r="X111" s="603">
        <v>1814000</v>
      </c>
      <c r="Y111" s="603">
        <v>1194000</v>
      </c>
      <c r="Z111" s="603">
        <v>0</v>
      </c>
      <c r="AA111" s="603">
        <v>1454000</v>
      </c>
      <c r="AB111" s="603">
        <v>0</v>
      </c>
      <c r="AC111" s="603">
        <v>526000</v>
      </c>
      <c r="AD111" s="603">
        <v>907000</v>
      </c>
      <c r="AE111" s="603">
        <v>907000</v>
      </c>
      <c r="AF111" s="603">
        <v>597000</v>
      </c>
      <c r="AG111" s="603">
        <v>0</v>
      </c>
      <c r="AH111" s="603">
        <v>727000</v>
      </c>
      <c r="AI111" s="603">
        <v>0</v>
      </c>
      <c r="AJ111" s="604" t="s">
        <v>2377</v>
      </c>
      <c r="AK111" s="605" t="s">
        <v>2378</v>
      </c>
      <c r="AL111" s="605" t="s">
        <v>2490</v>
      </c>
      <c r="AM111" s="606" t="s">
        <v>2100</v>
      </c>
      <c r="AN111" s="609" t="s">
        <v>12</v>
      </c>
      <c r="AO111" s="610" t="s">
        <v>1368</v>
      </c>
      <c r="AP111" s="610" t="s">
        <v>1368</v>
      </c>
      <c r="AQ111" s="610" t="s">
        <v>1368</v>
      </c>
      <c r="AR111" s="610" t="s">
        <v>1368</v>
      </c>
      <c r="AS111" s="610" t="s">
        <v>1368</v>
      </c>
      <c r="AT111" s="610" t="s">
        <v>1368</v>
      </c>
      <c r="AU111" s="610" t="s">
        <v>1368</v>
      </c>
      <c r="AV111" s="610" t="s">
        <v>1368</v>
      </c>
      <c r="AW111" s="610" t="s">
        <v>1368</v>
      </c>
      <c r="AX111" s="610" t="s">
        <v>1368</v>
      </c>
      <c r="AY111" s="610" t="s">
        <v>1368</v>
      </c>
      <c r="AZ111" s="610" t="s">
        <v>1368</v>
      </c>
      <c r="BA111" s="610" t="s">
        <v>1368</v>
      </c>
      <c r="BB111" s="610" t="s">
        <v>1368</v>
      </c>
      <c r="BC111" s="610" t="s">
        <v>1368</v>
      </c>
      <c r="BD111" s="610" t="s">
        <v>1368</v>
      </c>
      <c r="BE111" s="610" t="s">
        <v>1368</v>
      </c>
      <c r="BF111" s="610" t="s">
        <v>1368</v>
      </c>
      <c r="BG111" s="610" t="s">
        <v>1368</v>
      </c>
      <c r="BH111" s="610" t="s">
        <v>1368</v>
      </c>
      <c r="BI111" s="610" t="s">
        <v>1368</v>
      </c>
      <c r="BJ111" s="610" t="s">
        <v>1368</v>
      </c>
      <c r="BK111" s="610" t="s">
        <v>1368</v>
      </c>
      <c r="BL111" s="610" t="s">
        <v>1368</v>
      </c>
      <c r="BM111" s="610">
        <v>1</v>
      </c>
      <c r="BN111" s="610">
        <v>1</v>
      </c>
      <c r="BO111" s="610">
        <v>1</v>
      </c>
      <c r="BP111" s="610">
        <v>1</v>
      </c>
      <c r="BQ111" s="610">
        <v>1</v>
      </c>
      <c r="BR111" s="610">
        <v>1</v>
      </c>
      <c r="BS111" s="610">
        <v>1</v>
      </c>
      <c r="BT111" s="610">
        <v>1</v>
      </c>
      <c r="BU111" s="610">
        <v>1</v>
      </c>
      <c r="BV111" s="610">
        <v>1</v>
      </c>
      <c r="BW111" s="610">
        <v>1</v>
      </c>
      <c r="BX111" s="610">
        <v>1</v>
      </c>
      <c r="BY111" s="610">
        <v>0</v>
      </c>
      <c r="BZ111" s="610">
        <v>0</v>
      </c>
      <c r="CA111" s="610">
        <v>0</v>
      </c>
      <c r="CB111" s="610">
        <v>0</v>
      </c>
      <c r="CC111" s="610">
        <v>0</v>
      </c>
      <c r="CD111" s="610">
        <v>0</v>
      </c>
      <c r="CE111" s="610">
        <v>0</v>
      </c>
      <c r="CF111" s="610">
        <v>0</v>
      </c>
      <c r="CG111" s="610">
        <v>0</v>
      </c>
      <c r="CH111" s="610">
        <v>0</v>
      </c>
      <c r="CI111" s="610">
        <v>0</v>
      </c>
      <c r="CJ111" s="610">
        <v>0</v>
      </c>
      <c r="CK111" s="610">
        <v>0</v>
      </c>
      <c r="CL111" s="610">
        <v>0</v>
      </c>
      <c r="CM111" s="610">
        <v>0</v>
      </c>
      <c r="CN111" s="610">
        <v>0</v>
      </c>
      <c r="CO111" s="610">
        <v>0</v>
      </c>
      <c r="CP111" s="610">
        <v>0</v>
      </c>
      <c r="CQ111" s="610">
        <v>0</v>
      </c>
      <c r="CR111" s="610">
        <v>0</v>
      </c>
      <c r="CS111" s="610">
        <v>0</v>
      </c>
      <c r="CT111" s="610">
        <v>0</v>
      </c>
      <c r="CU111" s="610">
        <v>0</v>
      </c>
      <c r="CV111" s="610">
        <v>0</v>
      </c>
      <c r="CW111" s="610" t="s">
        <v>14</v>
      </c>
      <c r="CX111" s="610">
        <v>0</v>
      </c>
      <c r="CY111" s="610" t="s">
        <v>1707</v>
      </c>
      <c r="CZ111" s="610" t="s">
        <v>1707</v>
      </c>
      <c r="DA111" s="610" t="s">
        <v>1707</v>
      </c>
      <c r="DB111" s="610" t="s">
        <v>1707</v>
      </c>
      <c r="DC111" s="610" t="s">
        <v>1707</v>
      </c>
      <c r="DD111" s="610" t="s">
        <v>1707</v>
      </c>
      <c r="DE111" s="610" t="s">
        <v>1707</v>
      </c>
      <c r="DF111" s="610" t="s">
        <v>1707</v>
      </c>
      <c r="DG111" s="610" t="s">
        <v>1707</v>
      </c>
      <c r="DH111" s="610" t="s">
        <v>1707</v>
      </c>
      <c r="DI111" s="610" t="s">
        <v>1707</v>
      </c>
      <c r="DJ111" s="610" t="s">
        <v>1707</v>
      </c>
      <c r="DK111" s="610" t="s">
        <v>1368</v>
      </c>
      <c r="DL111" s="610" t="s">
        <v>1368</v>
      </c>
      <c r="DM111" s="610" t="s">
        <v>1368</v>
      </c>
      <c r="DN111" s="610" t="s">
        <v>1368</v>
      </c>
      <c r="DO111" s="610" t="s">
        <v>1368</v>
      </c>
      <c r="DP111" s="610" t="s">
        <v>1368</v>
      </c>
      <c r="DQ111" s="610" t="s">
        <v>1368</v>
      </c>
      <c r="DR111" s="610" t="s">
        <v>1368</v>
      </c>
      <c r="DS111" s="610" t="s">
        <v>1368</v>
      </c>
      <c r="DT111" s="610" t="s">
        <v>1368</v>
      </c>
      <c r="DU111" s="610" t="s">
        <v>1368</v>
      </c>
      <c r="DV111" s="610" t="s">
        <v>1368</v>
      </c>
      <c r="DW111" s="609" t="s">
        <v>1368</v>
      </c>
      <c r="DX111" s="609" t="s">
        <v>1368</v>
      </c>
      <c r="DY111" s="609" t="s">
        <v>1368</v>
      </c>
      <c r="DZ111" s="609" t="s">
        <v>1368</v>
      </c>
      <c r="EA111" s="609" t="s">
        <v>1368</v>
      </c>
      <c r="EB111" s="609" t="s">
        <v>1368</v>
      </c>
      <c r="EC111" s="609" t="s">
        <v>1368</v>
      </c>
      <c r="ED111" s="609" t="s">
        <v>1368</v>
      </c>
      <c r="EE111" s="609" t="s">
        <v>1368</v>
      </c>
      <c r="EF111" s="609" t="s">
        <v>1368</v>
      </c>
      <c r="EG111" s="609" t="s">
        <v>1368</v>
      </c>
      <c r="EH111" s="609" t="s">
        <v>1368</v>
      </c>
      <c r="EI111" s="610" t="s">
        <v>1707</v>
      </c>
      <c r="EJ111" s="610" t="s">
        <v>1707</v>
      </c>
      <c r="EK111" s="610" t="s">
        <v>1707</v>
      </c>
      <c r="EL111" s="610" t="s">
        <v>1707</v>
      </c>
      <c r="EM111" s="610" t="s">
        <v>1707</v>
      </c>
      <c r="EN111" s="610" t="s">
        <v>1707</v>
      </c>
      <c r="EO111" s="610" t="s">
        <v>1707</v>
      </c>
      <c r="EP111" s="610" t="s">
        <v>1707</v>
      </c>
      <c r="EQ111" s="610" t="s">
        <v>1707</v>
      </c>
      <c r="ER111" s="610" t="s">
        <v>1707</v>
      </c>
      <c r="ES111" s="610" t="s">
        <v>1707</v>
      </c>
      <c r="ET111" s="610" t="s">
        <v>1707</v>
      </c>
      <c r="EU111" s="610">
        <v>4010</v>
      </c>
      <c r="EV111" s="610" t="s">
        <v>1707</v>
      </c>
      <c r="EW111" s="610" t="s">
        <v>1707</v>
      </c>
      <c r="EX111" s="610" t="s">
        <v>1707</v>
      </c>
      <c r="EY111" s="610" t="s">
        <v>1707</v>
      </c>
      <c r="EZ111" s="610" t="s">
        <v>1707</v>
      </c>
      <c r="FA111" s="610" t="s">
        <v>1707</v>
      </c>
      <c r="FB111" s="610" t="s">
        <v>1707</v>
      </c>
      <c r="FC111" s="610" t="s">
        <v>1707</v>
      </c>
      <c r="FD111" s="610" t="s">
        <v>1707</v>
      </c>
      <c r="FE111" s="610" t="s">
        <v>1707</v>
      </c>
      <c r="FF111" s="610" t="s">
        <v>1707</v>
      </c>
      <c r="FG111" s="610" t="s">
        <v>1707</v>
      </c>
      <c r="FH111" s="610">
        <v>29</v>
      </c>
      <c r="FI111" s="610">
        <v>29</v>
      </c>
      <c r="FJ111" s="610">
        <v>29</v>
      </c>
      <c r="FK111" s="610">
        <v>29</v>
      </c>
      <c r="FL111" s="610">
        <v>29</v>
      </c>
      <c r="FM111" s="610">
        <v>29</v>
      </c>
      <c r="FN111" s="610">
        <v>30</v>
      </c>
      <c r="FO111" s="610">
        <v>30</v>
      </c>
      <c r="FP111" s="610">
        <v>30</v>
      </c>
      <c r="FQ111" s="610">
        <v>30</v>
      </c>
      <c r="FR111" s="610" t="s">
        <v>2487</v>
      </c>
      <c r="FS111" s="610" t="s">
        <v>2487</v>
      </c>
      <c r="FT111" s="610" t="s">
        <v>2487</v>
      </c>
      <c r="FU111" s="610" t="s">
        <v>2487</v>
      </c>
      <c r="FV111" s="610" t="s">
        <v>2487</v>
      </c>
      <c r="FW111" s="610" t="s">
        <v>2487</v>
      </c>
      <c r="FX111" s="610" t="s">
        <v>2487</v>
      </c>
      <c r="FY111" s="610" t="s">
        <v>2487</v>
      </c>
      <c r="FZ111" s="610" t="s">
        <v>2487</v>
      </c>
      <c r="GA111" s="610" t="s">
        <v>2487</v>
      </c>
      <c r="GB111" s="610" t="s">
        <v>2487</v>
      </c>
      <c r="GC111" s="610" t="s">
        <v>2487</v>
      </c>
      <c r="GD111" s="564">
        <f t="shared" si="18"/>
        <v>79950</v>
      </c>
      <c r="GE111" s="564">
        <f t="shared" si="19"/>
        <v>79950</v>
      </c>
      <c r="GF111" s="564">
        <f t="shared" si="20"/>
        <v>79950</v>
      </c>
      <c r="GG111" s="564">
        <f t="shared" si="21"/>
        <v>79950</v>
      </c>
      <c r="GH111" s="564">
        <f t="shared" si="22"/>
        <v>79950</v>
      </c>
      <c r="GI111" s="564">
        <f t="shared" si="23"/>
        <v>79950</v>
      </c>
      <c r="GJ111" s="564">
        <f t="shared" si="24"/>
        <v>79950</v>
      </c>
      <c r="GK111" s="564">
        <f t="shared" si="25"/>
        <v>79950</v>
      </c>
      <c r="GL111" s="564">
        <f t="shared" si="26"/>
        <v>79950</v>
      </c>
      <c r="GM111" s="564">
        <f t="shared" si="27"/>
        <v>79950</v>
      </c>
      <c r="GN111" s="564">
        <f t="shared" si="28"/>
        <v>79950</v>
      </c>
      <c r="GO111" s="564">
        <f t="shared" si="29"/>
        <v>79950</v>
      </c>
      <c r="GP111" s="564"/>
      <c r="GS111" s="375" t="s">
        <v>1495</v>
      </c>
      <c r="GT111" s="374" t="str">
        <f t="shared" si="30"/>
        <v>〇</v>
      </c>
    </row>
    <row r="112" spans="2:202">
      <c r="B112" s="371">
        <v>108</v>
      </c>
      <c r="C112" s="378">
        <v>108</v>
      </c>
      <c r="D112" s="373" t="s">
        <v>1496</v>
      </c>
      <c r="E112" s="373" t="s">
        <v>14</v>
      </c>
      <c r="F112" s="603">
        <f t="shared" si="17"/>
        <v>20</v>
      </c>
      <c r="G112" s="603"/>
      <c r="H112" s="603">
        <v>12</v>
      </c>
      <c r="I112" s="603">
        <v>8</v>
      </c>
      <c r="J112" s="603"/>
      <c r="K112" s="603"/>
      <c r="L112" s="603"/>
      <c r="M112" s="603"/>
      <c r="N112" s="608"/>
      <c r="O112" s="603">
        <v>1577000</v>
      </c>
      <c r="P112" s="603">
        <v>2721000</v>
      </c>
      <c r="Q112" s="603">
        <v>2721000</v>
      </c>
      <c r="R112" s="603">
        <v>1791000</v>
      </c>
      <c r="S112" s="603">
        <v>0</v>
      </c>
      <c r="T112" s="603">
        <v>0</v>
      </c>
      <c r="U112" s="603">
        <v>0</v>
      </c>
      <c r="V112" s="603">
        <v>1051000</v>
      </c>
      <c r="W112" s="603">
        <v>1814000</v>
      </c>
      <c r="X112" s="603">
        <v>1814000</v>
      </c>
      <c r="Y112" s="603">
        <v>1194000</v>
      </c>
      <c r="Z112" s="603">
        <v>0</v>
      </c>
      <c r="AA112" s="603">
        <v>0</v>
      </c>
      <c r="AB112" s="603">
        <v>0</v>
      </c>
      <c r="AC112" s="603">
        <v>0</v>
      </c>
      <c r="AD112" s="603">
        <v>0</v>
      </c>
      <c r="AE112" s="603">
        <v>0</v>
      </c>
      <c r="AF112" s="603">
        <v>0</v>
      </c>
      <c r="AG112" s="603">
        <v>0</v>
      </c>
      <c r="AH112" s="603">
        <v>0</v>
      </c>
      <c r="AI112" s="603">
        <v>0</v>
      </c>
      <c r="AJ112" s="604" t="s">
        <v>2377</v>
      </c>
      <c r="AK112" s="605" t="s">
        <v>2378</v>
      </c>
      <c r="AL112" s="605" t="s">
        <v>1545</v>
      </c>
      <c r="AM112" s="606" t="s">
        <v>2101</v>
      </c>
      <c r="AN112" s="609" t="s">
        <v>12</v>
      </c>
      <c r="AO112" s="610" t="s">
        <v>1368</v>
      </c>
      <c r="AP112" s="610" t="s">
        <v>1368</v>
      </c>
      <c r="AQ112" s="610" t="s">
        <v>1368</v>
      </c>
      <c r="AR112" s="610" t="s">
        <v>1368</v>
      </c>
      <c r="AS112" s="610" t="s">
        <v>1368</v>
      </c>
      <c r="AT112" s="610" t="s">
        <v>1368</v>
      </c>
      <c r="AU112" s="610" t="s">
        <v>1368</v>
      </c>
      <c r="AV112" s="610" t="s">
        <v>1368</v>
      </c>
      <c r="AW112" s="610" t="s">
        <v>1368</v>
      </c>
      <c r="AX112" s="610" t="s">
        <v>1368</v>
      </c>
      <c r="AY112" s="610" t="s">
        <v>1368</v>
      </c>
      <c r="AZ112" s="610" t="s">
        <v>1368</v>
      </c>
      <c r="BA112" s="610" t="s">
        <v>1368</v>
      </c>
      <c r="BB112" s="610" t="s">
        <v>1368</v>
      </c>
      <c r="BC112" s="610" t="s">
        <v>1368</v>
      </c>
      <c r="BD112" s="610" t="s">
        <v>1368</v>
      </c>
      <c r="BE112" s="610" t="s">
        <v>1368</v>
      </c>
      <c r="BF112" s="610" t="s">
        <v>1368</v>
      </c>
      <c r="BG112" s="610" t="s">
        <v>1368</v>
      </c>
      <c r="BH112" s="610" t="s">
        <v>1368</v>
      </c>
      <c r="BI112" s="610" t="s">
        <v>1368</v>
      </c>
      <c r="BJ112" s="610" t="s">
        <v>1368</v>
      </c>
      <c r="BK112" s="610" t="s">
        <v>1368</v>
      </c>
      <c r="BL112" s="610" t="s">
        <v>1368</v>
      </c>
      <c r="BM112" s="610">
        <v>2</v>
      </c>
      <c r="BN112" s="610">
        <v>2</v>
      </c>
      <c r="BO112" s="610">
        <v>2</v>
      </c>
      <c r="BP112" s="610">
        <v>2</v>
      </c>
      <c r="BQ112" s="610">
        <v>2</v>
      </c>
      <c r="BR112" s="610">
        <v>2</v>
      </c>
      <c r="BS112" s="610">
        <v>2</v>
      </c>
      <c r="BT112" s="610">
        <v>2</v>
      </c>
      <c r="BU112" s="610">
        <v>2</v>
      </c>
      <c r="BV112" s="610">
        <v>2</v>
      </c>
      <c r="BW112" s="610">
        <v>2</v>
      </c>
      <c r="BX112" s="610">
        <v>2</v>
      </c>
      <c r="BY112" s="610">
        <v>0</v>
      </c>
      <c r="BZ112" s="610">
        <v>0</v>
      </c>
      <c r="CA112" s="610">
        <v>0</v>
      </c>
      <c r="CB112" s="610">
        <v>0</v>
      </c>
      <c r="CC112" s="610">
        <v>0</v>
      </c>
      <c r="CD112" s="610">
        <v>0</v>
      </c>
      <c r="CE112" s="610">
        <v>0</v>
      </c>
      <c r="CF112" s="610">
        <v>0</v>
      </c>
      <c r="CG112" s="610">
        <v>0</v>
      </c>
      <c r="CH112" s="610">
        <v>0</v>
      </c>
      <c r="CI112" s="610">
        <v>0</v>
      </c>
      <c r="CJ112" s="610">
        <v>0</v>
      </c>
      <c r="CK112" s="610">
        <v>0</v>
      </c>
      <c r="CL112" s="610">
        <v>0</v>
      </c>
      <c r="CM112" s="610">
        <v>0</v>
      </c>
      <c r="CN112" s="610">
        <v>0</v>
      </c>
      <c r="CO112" s="610">
        <v>0</v>
      </c>
      <c r="CP112" s="610">
        <v>0</v>
      </c>
      <c r="CQ112" s="610">
        <v>0</v>
      </c>
      <c r="CR112" s="610">
        <v>0</v>
      </c>
      <c r="CS112" s="610">
        <v>0</v>
      </c>
      <c r="CT112" s="610">
        <v>0</v>
      </c>
      <c r="CU112" s="610">
        <v>0</v>
      </c>
      <c r="CV112" s="610">
        <v>0</v>
      </c>
      <c r="CW112" s="610" t="s">
        <v>14</v>
      </c>
      <c r="CX112" s="610">
        <v>0</v>
      </c>
      <c r="CY112" s="610" t="s">
        <v>1707</v>
      </c>
      <c r="CZ112" s="610" t="s">
        <v>1707</v>
      </c>
      <c r="DA112" s="610" t="s">
        <v>1707</v>
      </c>
      <c r="DB112" s="610" t="s">
        <v>1707</v>
      </c>
      <c r="DC112" s="610" t="s">
        <v>1707</v>
      </c>
      <c r="DD112" s="610" t="s">
        <v>1707</v>
      </c>
      <c r="DE112" s="610" t="s">
        <v>1707</v>
      </c>
      <c r="DF112" s="610" t="s">
        <v>1707</v>
      </c>
      <c r="DG112" s="610" t="s">
        <v>1707</v>
      </c>
      <c r="DH112" s="610" t="s">
        <v>1707</v>
      </c>
      <c r="DI112" s="610" t="s">
        <v>1707</v>
      </c>
      <c r="DJ112" s="610" t="s">
        <v>1707</v>
      </c>
      <c r="DK112" s="610" t="s">
        <v>1368</v>
      </c>
      <c r="DL112" s="610" t="s">
        <v>1368</v>
      </c>
      <c r="DM112" s="610" t="s">
        <v>1368</v>
      </c>
      <c r="DN112" s="610" t="s">
        <v>1368</v>
      </c>
      <c r="DO112" s="610" t="s">
        <v>1368</v>
      </c>
      <c r="DP112" s="610" t="s">
        <v>1368</v>
      </c>
      <c r="DQ112" s="610" t="s">
        <v>1368</v>
      </c>
      <c r="DR112" s="610" t="s">
        <v>1368</v>
      </c>
      <c r="DS112" s="610" t="s">
        <v>1368</v>
      </c>
      <c r="DT112" s="610" t="s">
        <v>1368</v>
      </c>
      <c r="DU112" s="610" t="s">
        <v>1368</v>
      </c>
      <c r="DV112" s="610" t="s">
        <v>1368</v>
      </c>
      <c r="DW112" s="609" t="s">
        <v>1368</v>
      </c>
      <c r="DX112" s="609" t="s">
        <v>1368</v>
      </c>
      <c r="DY112" s="609" t="s">
        <v>1368</v>
      </c>
      <c r="DZ112" s="609" t="s">
        <v>1368</v>
      </c>
      <c r="EA112" s="609" t="s">
        <v>1368</v>
      </c>
      <c r="EB112" s="609" t="s">
        <v>1368</v>
      </c>
      <c r="EC112" s="609" t="s">
        <v>1368</v>
      </c>
      <c r="ED112" s="609" t="s">
        <v>1368</v>
      </c>
      <c r="EE112" s="609" t="s">
        <v>1368</v>
      </c>
      <c r="EF112" s="609" t="s">
        <v>1368</v>
      </c>
      <c r="EG112" s="609" t="s">
        <v>1368</v>
      </c>
      <c r="EH112" s="609" t="s">
        <v>1368</v>
      </c>
      <c r="EI112" s="610" t="s">
        <v>1707</v>
      </c>
      <c r="EJ112" s="610" t="s">
        <v>1707</v>
      </c>
      <c r="EK112" s="610" t="s">
        <v>1707</v>
      </c>
      <c r="EL112" s="610" t="s">
        <v>1707</v>
      </c>
      <c r="EM112" s="610" t="s">
        <v>1707</v>
      </c>
      <c r="EN112" s="610" t="s">
        <v>1707</v>
      </c>
      <c r="EO112" s="610" t="s">
        <v>1707</v>
      </c>
      <c r="EP112" s="610" t="s">
        <v>1707</v>
      </c>
      <c r="EQ112" s="610" t="s">
        <v>1707</v>
      </c>
      <c r="ER112" s="610" t="s">
        <v>1707</v>
      </c>
      <c r="ES112" s="610" t="s">
        <v>1707</v>
      </c>
      <c r="ET112" s="610" t="s">
        <v>1707</v>
      </c>
      <c r="EU112" s="610">
        <v>3950</v>
      </c>
      <c r="EV112" s="610" t="s">
        <v>1707</v>
      </c>
      <c r="EW112" s="610" t="s">
        <v>1707</v>
      </c>
      <c r="EX112" s="610" t="s">
        <v>1707</v>
      </c>
      <c r="EY112" s="610" t="s">
        <v>1707</v>
      </c>
      <c r="EZ112" s="610" t="s">
        <v>1707</v>
      </c>
      <c r="FA112" s="610" t="s">
        <v>1707</v>
      </c>
      <c r="FB112" s="610" t="s">
        <v>1707</v>
      </c>
      <c r="FC112" s="610" t="s">
        <v>1707</v>
      </c>
      <c r="FD112" s="610" t="s">
        <v>1707</v>
      </c>
      <c r="FE112" s="610" t="s">
        <v>1707</v>
      </c>
      <c r="FF112" s="610" t="s">
        <v>1707</v>
      </c>
      <c r="FG112" s="610" t="s">
        <v>1707</v>
      </c>
      <c r="FH112" s="610">
        <v>8</v>
      </c>
      <c r="FI112" s="610">
        <v>8</v>
      </c>
      <c r="FJ112" s="610">
        <v>8</v>
      </c>
      <c r="FK112" s="610">
        <v>8</v>
      </c>
      <c r="FL112" s="610">
        <v>7</v>
      </c>
      <c r="FM112" s="610">
        <v>7</v>
      </c>
      <c r="FN112" s="610">
        <v>7</v>
      </c>
      <c r="FO112" s="610">
        <v>7</v>
      </c>
      <c r="FP112" s="610">
        <v>7</v>
      </c>
      <c r="FQ112" s="610">
        <v>7</v>
      </c>
      <c r="FR112" s="610" t="s">
        <v>2488</v>
      </c>
      <c r="FS112" s="610" t="s">
        <v>2488</v>
      </c>
      <c r="FT112" s="610" t="s">
        <v>2488</v>
      </c>
      <c r="FU112" s="610" t="s">
        <v>2488</v>
      </c>
      <c r="FV112" s="610" t="s">
        <v>2488</v>
      </c>
      <c r="FW112" s="610" t="s">
        <v>2488</v>
      </c>
      <c r="FX112" s="610" t="s">
        <v>2488</v>
      </c>
      <c r="FY112" s="610" t="s">
        <v>2488</v>
      </c>
      <c r="FZ112" s="610" t="s">
        <v>2488</v>
      </c>
      <c r="GA112" s="610" t="s">
        <v>2488</v>
      </c>
      <c r="GB112" s="610" t="s">
        <v>2488</v>
      </c>
      <c r="GC112" s="610" t="s">
        <v>2488</v>
      </c>
      <c r="GD112" s="564" t="str">
        <f t="shared" si="18"/>
        <v/>
      </c>
      <c r="GE112" s="564" t="str">
        <f t="shared" si="19"/>
        <v/>
      </c>
      <c r="GF112" s="564" t="str">
        <f t="shared" si="20"/>
        <v/>
      </c>
      <c r="GG112" s="564" t="str">
        <f t="shared" si="21"/>
        <v/>
      </c>
      <c r="GH112" s="564" t="str">
        <f t="shared" si="22"/>
        <v/>
      </c>
      <c r="GI112" s="564" t="str">
        <f t="shared" si="23"/>
        <v/>
      </c>
      <c r="GJ112" s="564" t="str">
        <f t="shared" si="24"/>
        <v/>
      </c>
      <c r="GK112" s="564" t="str">
        <f t="shared" si="25"/>
        <v/>
      </c>
      <c r="GL112" s="564" t="str">
        <f t="shared" si="26"/>
        <v/>
      </c>
      <c r="GM112" s="564" t="str">
        <f t="shared" si="27"/>
        <v/>
      </c>
      <c r="GN112" s="564" t="str">
        <f t="shared" si="28"/>
        <v/>
      </c>
      <c r="GO112" s="564" t="str">
        <f t="shared" si="29"/>
        <v/>
      </c>
      <c r="GP112" s="564"/>
      <c r="GS112" s="375" t="s">
        <v>1496</v>
      </c>
      <c r="GT112" s="374" t="str">
        <f t="shared" si="30"/>
        <v>〇</v>
      </c>
    </row>
    <row r="113" spans="2:202">
      <c r="B113" s="371">
        <v>109</v>
      </c>
      <c r="C113" s="378">
        <v>109</v>
      </c>
      <c r="D113" s="373" t="s">
        <v>1497</v>
      </c>
      <c r="E113" s="373" t="s">
        <v>14</v>
      </c>
      <c r="F113" s="603">
        <f t="shared" si="17"/>
        <v>40</v>
      </c>
      <c r="G113" s="603"/>
      <c r="H113" s="603">
        <v>24</v>
      </c>
      <c r="I113" s="603">
        <v>16</v>
      </c>
      <c r="J113" s="603"/>
      <c r="K113" s="603"/>
      <c r="L113" s="603"/>
      <c r="M113" s="603"/>
      <c r="N113" s="608"/>
      <c r="O113" s="603">
        <v>1577000</v>
      </c>
      <c r="P113" s="603">
        <v>2721000</v>
      </c>
      <c r="Q113" s="603">
        <v>2721000</v>
      </c>
      <c r="R113" s="603">
        <v>1791000</v>
      </c>
      <c r="S113" s="603">
        <v>0</v>
      </c>
      <c r="T113" s="603">
        <v>2181000</v>
      </c>
      <c r="U113" s="603">
        <v>0</v>
      </c>
      <c r="V113" s="603">
        <v>1051000</v>
      </c>
      <c r="W113" s="603">
        <v>1814000</v>
      </c>
      <c r="X113" s="603">
        <v>1814000</v>
      </c>
      <c r="Y113" s="603">
        <v>1194000</v>
      </c>
      <c r="Z113" s="603">
        <v>0</v>
      </c>
      <c r="AA113" s="603">
        <v>1454000</v>
      </c>
      <c r="AB113" s="603">
        <v>0</v>
      </c>
      <c r="AC113" s="603">
        <v>526000</v>
      </c>
      <c r="AD113" s="603">
        <v>907000</v>
      </c>
      <c r="AE113" s="603">
        <v>907000</v>
      </c>
      <c r="AF113" s="603">
        <v>597000</v>
      </c>
      <c r="AG113" s="603">
        <v>0</v>
      </c>
      <c r="AH113" s="603">
        <v>727000</v>
      </c>
      <c r="AI113" s="603">
        <v>0</v>
      </c>
      <c r="AJ113" s="604" t="s">
        <v>2377</v>
      </c>
      <c r="AK113" s="605" t="s">
        <v>2378</v>
      </c>
      <c r="AL113" s="605" t="s">
        <v>2490</v>
      </c>
      <c r="AM113" s="606" t="s">
        <v>2102</v>
      </c>
      <c r="AN113" s="609" t="s">
        <v>12</v>
      </c>
      <c r="AO113" s="610" t="s">
        <v>1368</v>
      </c>
      <c r="AP113" s="610" t="s">
        <v>1368</v>
      </c>
      <c r="AQ113" s="610" t="s">
        <v>1368</v>
      </c>
      <c r="AR113" s="610" t="s">
        <v>1368</v>
      </c>
      <c r="AS113" s="610" t="s">
        <v>1368</v>
      </c>
      <c r="AT113" s="610" t="s">
        <v>1368</v>
      </c>
      <c r="AU113" s="610" t="s">
        <v>1368</v>
      </c>
      <c r="AV113" s="610" t="s">
        <v>1368</v>
      </c>
      <c r="AW113" s="610" t="s">
        <v>1368</v>
      </c>
      <c r="AX113" s="610" t="s">
        <v>1368</v>
      </c>
      <c r="AY113" s="610" t="s">
        <v>1368</v>
      </c>
      <c r="AZ113" s="610" t="s">
        <v>1368</v>
      </c>
      <c r="BA113" s="610" t="s">
        <v>1368</v>
      </c>
      <c r="BB113" s="610" t="s">
        <v>1368</v>
      </c>
      <c r="BC113" s="610" t="s">
        <v>1368</v>
      </c>
      <c r="BD113" s="610" t="s">
        <v>1368</v>
      </c>
      <c r="BE113" s="610" t="s">
        <v>1368</v>
      </c>
      <c r="BF113" s="610" t="s">
        <v>1368</v>
      </c>
      <c r="BG113" s="610" t="s">
        <v>1368</v>
      </c>
      <c r="BH113" s="610" t="s">
        <v>1368</v>
      </c>
      <c r="BI113" s="610" t="s">
        <v>1368</v>
      </c>
      <c r="BJ113" s="610" t="s">
        <v>1368</v>
      </c>
      <c r="BK113" s="610" t="s">
        <v>1368</v>
      </c>
      <c r="BL113" s="610" t="s">
        <v>1368</v>
      </c>
      <c r="BM113" s="610">
        <v>1</v>
      </c>
      <c r="BN113" s="610">
        <v>1</v>
      </c>
      <c r="BO113" s="610">
        <v>1</v>
      </c>
      <c r="BP113" s="610">
        <v>1</v>
      </c>
      <c r="BQ113" s="610">
        <v>1</v>
      </c>
      <c r="BR113" s="610">
        <v>1</v>
      </c>
      <c r="BS113" s="610">
        <v>1</v>
      </c>
      <c r="BT113" s="610">
        <v>1</v>
      </c>
      <c r="BU113" s="610">
        <v>1</v>
      </c>
      <c r="BV113" s="610">
        <v>1</v>
      </c>
      <c r="BW113" s="610">
        <v>1</v>
      </c>
      <c r="BX113" s="610">
        <v>1</v>
      </c>
      <c r="BY113" s="610">
        <v>0</v>
      </c>
      <c r="BZ113" s="610">
        <v>0</v>
      </c>
      <c r="CA113" s="610">
        <v>0</v>
      </c>
      <c r="CB113" s="610">
        <v>0</v>
      </c>
      <c r="CC113" s="610">
        <v>0</v>
      </c>
      <c r="CD113" s="610">
        <v>0</v>
      </c>
      <c r="CE113" s="610">
        <v>0</v>
      </c>
      <c r="CF113" s="610">
        <v>0</v>
      </c>
      <c r="CG113" s="610">
        <v>0</v>
      </c>
      <c r="CH113" s="610">
        <v>0</v>
      </c>
      <c r="CI113" s="610">
        <v>0</v>
      </c>
      <c r="CJ113" s="610">
        <v>0</v>
      </c>
      <c r="CK113" s="610">
        <v>0</v>
      </c>
      <c r="CL113" s="610">
        <v>0</v>
      </c>
      <c r="CM113" s="610">
        <v>0</v>
      </c>
      <c r="CN113" s="610">
        <v>0</v>
      </c>
      <c r="CO113" s="610">
        <v>0</v>
      </c>
      <c r="CP113" s="610">
        <v>0</v>
      </c>
      <c r="CQ113" s="610">
        <v>0</v>
      </c>
      <c r="CR113" s="610">
        <v>0</v>
      </c>
      <c r="CS113" s="610">
        <v>0</v>
      </c>
      <c r="CT113" s="610">
        <v>0</v>
      </c>
      <c r="CU113" s="610">
        <v>0</v>
      </c>
      <c r="CV113" s="610">
        <v>0</v>
      </c>
      <c r="CW113" s="610" t="s">
        <v>14</v>
      </c>
      <c r="CX113" s="610">
        <v>0</v>
      </c>
      <c r="CY113" s="610" t="s">
        <v>1707</v>
      </c>
      <c r="CZ113" s="610" t="s">
        <v>1707</v>
      </c>
      <c r="DA113" s="610" t="s">
        <v>1707</v>
      </c>
      <c r="DB113" s="610" t="s">
        <v>1707</v>
      </c>
      <c r="DC113" s="610" t="s">
        <v>1707</v>
      </c>
      <c r="DD113" s="610" t="s">
        <v>1707</v>
      </c>
      <c r="DE113" s="610" t="s">
        <v>1707</v>
      </c>
      <c r="DF113" s="610" t="s">
        <v>1707</v>
      </c>
      <c r="DG113" s="610" t="s">
        <v>1707</v>
      </c>
      <c r="DH113" s="610" t="s">
        <v>1707</v>
      </c>
      <c r="DI113" s="610" t="s">
        <v>1707</v>
      </c>
      <c r="DJ113" s="610" t="s">
        <v>1707</v>
      </c>
      <c r="DK113" s="610" t="s">
        <v>20</v>
      </c>
      <c r="DL113" s="610" t="s">
        <v>20</v>
      </c>
      <c r="DM113" s="610" t="s">
        <v>20</v>
      </c>
      <c r="DN113" s="610" t="s">
        <v>20</v>
      </c>
      <c r="DO113" s="610" t="s">
        <v>20</v>
      </c>
      <c r="DP113" s="610" t="s">
        <v>20</v>
      </c>
      <c r="DQ113" s="610" t="s">
        <v>20</v>
      </c>
      <c r="DR113" s="610" t="s">
        <v>20</v>
      </c>
      <c r="DS113" s="610" t="s">
        <v>20</v>
      </c>
      <c r="DT113" s="610" t="s">
        <v>20</v>
      </c>
      <c r="DU113" s="610" t="s">
        <v>20</v>
      </c>
      <c r="DV113" s="610" t="s">
        <v>20</v>
      </c>
      <c r="DW113" s="609" t="s">
        <v>1368</v>
      </c>
      <c r="DX113" s="609" t="s">
        <v>1368</v>
      </c>
      <c r="DY113" s="609" t="s">
        <v>1368</v>
      </c>
      <c r="DZ113" s="609" t="s">
        <v>1368</v>
      </c>
      <c r="EA113" s="609" t="s">
        <v>1368</v>
      </c>
      <c r="EB113" s="609" t="s">
        <v>1368</v>
      </c>
      <c r="EC113" s="609" t="s">
        <v>1368</v>
      </c>
      <c r="ED113" s="609" t="s">
        <v>1368</v>
      </c>
      <c r="EE113" s="609" t="s">
        <v>1368</v>
      </c>
      <c r="EF113" s="609" t="s">
        <v>1368</v>
      </c>
      <c r="EG113" s="609" t="s">
        <v>1368</v>
      </c>
      <c r="EH113" s="609" t="s">
        <v>1368</v>
      </c>
      <c r="EI113" s="610" t="s">
        <v>1707</v>
      </c>
      <c r="EJ113" s="610" t="s">
        <v>1707</v>
      </c>
      <c r="EK113" s="610" t="s">
        <v>1707</v>
      </c>
      <c r="EL113" s="610" t="s">
        <v>1707</v>
      </c>
      <c r="EM113" s="610" t="s">
        <v>1707</v>
      </c>
      <c r="EN113" s="610" t="s">
        <v>1707</v>
      </c>
      <c r="EO113" s="610" t="s">
        <v>1707</v>
      </c>
      <c r="EP113" s="610" t="s">
        <v>1707</v>
      </c>
      <c r="EQ113" s="610" t="s">
        <v>1707</v>
      </c>
      <c r="ER113" s="610" t="s">
        <v>1707</v>
      </c>
      <c r="ES113" s="610" t="s">
        <v>1707</v>
      </c>
      <c r="ET113" s="610" t="s">
        <v>1707</v>
      </c>
      <c r="EU113" s="610">
        <v>4070</v>
      </c>
      <c r="EV113" s="610" t="s">
        <v>2449</v>
      </c>
      <c r="EW113" s="610" t="s">
        <v>2449</v>
      </c>
      <c r="EX113" s="610" t="s">
        <v>2449</v>
      </c>
      <c r="EY113" s="610" t="s">
        <v>2449</v>
      </c>
      <c r="EZ113" s="610" t="s">
        <v>2449</v>
      </c>
      <c r="FA113" s="610" t="s">
        <v>2449</v>
      </c>
      <c r="FB113" s="610" t="s">
        <v>2449</v>
      </c>
      <c r="FC113" s="610" t="s">
        <v>2449</v>
      </c>
      <c r="FD113" s="610" t="s">
        <v>2449</v>
      </c>
      <c r="FE113" s="610" t="s">
        <v>2449</v>
      </c>
      <c r="FF113" s="610" t="s">
        <v>2449</v>
      </c>
      <c r="FG113" s="610" t="s">
        <v>2449</v>
      </c>
      <c r="FH113" s="610">
        <v>17</v>
      </c>
      <c r="FI113" s="610">
        <v>17</v>
      </c>
      <c r="FJ113" s="610">
        <v>17</v>
      </c>
      <c r="FK113" s="610">
        <v>17</v>
      </c>
      <c r="FL113" s="610">
        <v>17</v>
      </c>
      <c r="FM113" s="610">
        <v>17</v>
      </c>
      <c r="FN113" s="610">
        <v>17</v>
      </c>
      <c r="FO113" s="610">
        <v>17</v>
      </c>
      <c r="FP113" s="610">
        <v>17</v>
      </c>
      <c r="FQ113" s="610">
        <v>17</v>
      </c>
      <c r="FR113" s="610" t="s">
        <v>1368</v>
      </c>
      <c r="FS113" s="610" t="s">
        <v>1368</v>
      </c>
      <c r="FT113" s="610" t="s">
        <v>1368</v>
      </c>
      <c r="FU113" s="610" t="s">
        <v>1368</v>
      </c>
      <c r="FV113" s="610" t="s">
        <v>1368</v>
      </c>
      <c r="FW113" s="610" t="s">
        <v>1368</v>
      </c>
      <c r="FX113" s="610" t="s">
        <v>1368</v>
      </c>
      <c r="FY113" s="610" t="s">
        <v>1368</v>
      </c>
      <c r="FZ113" s="610" t="s">
        <v>1368</v>
      </c>
      <c r="GA113" s="610" t="s">
        <v>1368</v>
      </c>
      <c r="GB113" s="610" t="s">
        <v>1368</v>
      </c>
      <c r="GC113" s="610" t="s">
        <v>1368</v>
      </c>
      <c r="GD113" s="564" t="str">
        <f t="shared" si="18"/>
        <v/>
      </c>
      <c r="GE113" s="564" t="str">
        <f t="shared" si="19"/>
        <v/>
      </c>
      <c r="GF113" s="564" t="str">
        <f t="shared" si="20"/>
        <v/>
      </c>
      <c r="GG113" s="564" t="str">
        <f t="shared" si="21"/>
        <v/>
      </c>
      <c r="GH113" s="564" t="str">
        <f t="shared" si="22"/>
        <v/>
      </c>
      <c r="GI113" s="564" t="str">
        <f t="shared" si="23"/>
        <v/>
      </c>
      <c r="GJ113" s="564" t="str">
        <f t="shared" si="24"/>
        <v/>
      </c>
      <c r="GK113" s="564" t="str">
        <f t="shared" si="25"/>
        <v/>
      </c>
      <c r="GL113" s="564" t="str">
        <f t="shared" si="26"/>
        <v/>
      </c>
      <c r="GM113" s="564" t="str">
        <f t="shared" si="27"/>
        <v/>
      </c>
      <c r="GN113" s="564" t="str">
        <f t="shared" si="28"/>
        <v/>
      </c>
      <c r="GO113" s="564" t="str">
        <f t="shared" si="29"/>
        <v/>
      </c>
      <c r="GP113" s="564"/>
      <c r="GS113" s="375" t="s">
        <v>1497</v>
      </c>
      <c r="GT113" s="374" t="str">
        <f t="shared" si="30"/>
        <v>〇</v>
      </c>
    </row>
    <row r="114" spans="2:202">
      <c r="B114" s="371">
        <v>110</v>
      </c>
      <c r="C114" s="378">
        <v>110</v>
      </c>
      <c r="D114" s="373" t="s">
        <v>1498</v>
      </c>
      <c r="E114" s="373" t="s">
        <v>14</v>
      </c>
      <c r="F114" s="603">
        <f t="shared" si="17"/>
        <v>59</v>
      </c>
      <c r="G114" s="603"/>
      <c r="H114" s="603">
        <v>33</v>
      </c>
      <c r="I114" s="603">
        <v>26</v>
      </c>
      <c r="J114" s="603"/>
      <c r="K114" s="603"/>
      <c r="L114" s="603"/>
      <c r="M114" s="603"/>
      <c r="N114" s="608"/>
      <c r="O114" s="603">
        <v>1577000</v>
      </c>
      <c r="P114" s="603">
        <v>2721000</v>
      </c>
      <c r="Q114" s="603">
        <v>2721000</v>
      </c>
      <c r="R114" s="603">
        <v>0</v>
      </c>
      <c r="S114" s="603">
        <v>0</v>
      </c>
      <c r="T114" s="603">
        <v>6543000</v>
      </c>
      <c r="U114" s="603">
        <v>0</v>
      </c>
      <c r="V114" s="603">
        <v>1051000</v>
      </c>
      <c r="W114" s="603">
        <v>1814000</v>
      </c>
      <c r="X114" s="603">
        <v>1814000</v>
      </c>
      <c r="Y114" s="603">
        <v>0</v>
      </c>
      <c r="Z114" s="603">
        <v>0</v>
      </c>
      <c r="AA114" s="603">
        <v>4362000</v>
      </c>
      <c r="AB114" s="603">
        <v>0</v>
      </c>
      <c r="AC114" s="603">
        <v>0</v>
      </c>
      <c r="AD114" s="603">
        <v>0</v>
      </c>
      <c r="AE114" s="603">
        <v>0</v>
      </c>
      <c r="AF114" s="603">
        <v>0</v>
      </c>
      <c r="AG114" s="603">
        <v>0</v>
      </c>
      <c r="AH114" s="603">
        <v>0</v>
      </c>
      <c r="AI114" s="603">
        <v>0</v>
      </c>
      <c r="AJ114" s="604" t="s">
        <v>2377</v>
      </c>
      <c r="AK114" s="605" t="s">
        <v>2378</v>
      </c>
      <c r="AL114" s="605" t="s">
        <v>1545</v>
      </c>
      <c r="AM114" s="606" t="s">
        <v>2103</v>
      </c>
      <c r="AN114" s="609" t="s">
        <v>12</v>
      </c>
      <c r="AO114" s="610" t="s">
        <v>1368</v>
      </c>
      <c r="AP114" s="610" t="s">
        <v>1368</v>
      </c>
      <c r="AQ114" s="610" t="s">
        <v>1368</v>
      </c>
      <c r="AR114" s="610" t="s">
        <v>1368</v>
      </c>
      <c r="AS114" s="610" t="s">
        <v>1368</v>
      </c>
      <c r="AT114" s="610" t="s">
        <v>1368</v>
      </c>
      <c r="AU114" s="610" t="s">
        <v>1368</v>
      </c>
      <c r="AV114" s="610" t="s">
        <v>1368</v>
      </c>
      <c r="AW114" s="610" t="s">
        <v>1368</v>
      </c>
      <c r="AX114" s="610" t="s">
        <v>1368</v>
      </c>
      <c r="AY114" s="610" t="s">
        <v>1368</v>
      </c>
      <c r="AZ114" s="610" t="s">
        <v>1368</v>
      </c>
      <c r="BA114" s="610" t="s">
        <v>1368</v>
      </c>
      <c r="BB114" s="610" t="s">
        <v>1368</v>
      </c>
      <c r="BC114" s="610" t="s">
        <v>1368</v>
      </c>
      <c r="BD114" s="610" t="s">
        <v>1368</v>
      </c>
      <c r="BE114" s="610" t="s">
        <v>1368</v>
      </c>
      <c r="BF114" s="610" t="s">
        <v>1368</v>
      </c>
      <c r="BG114" s="610" t="s">
        <v>1368</v>
      </c>
      <c r="BH114" s="610" t="s">
        <v>1368</v>
      </c>
      <c r="BI114" s="610" t="s">
        <v>1368</v>
      </c>
      <c r="BJ114" s="610" t="s">
        <v>1368</v>
      </c>
      <c r="BK114" s="610" t="s">
        <v>1368</v>
      </c>
      <c r="BL114" s="610" t="s">
        <v>1368</v>
      </c>
      <c r="BM114" s="610">
        <v>1</v>
      </c>
      <c r="BN114" s="610">
        <v>1</v>
      </c>
      <c r="BO114" s="610">
        <v>1</v>
      </c>
      <c r="BP114" s="610">
        <v>1</v>
      </c>
      <c r="BQ114" s="610">
        <v>1</v>
      </c>
      <c r="BR114" s="610">
        <v>1</v>
      </c>
      <c r="BS114" s="610">
        <v>1</v>
      </c>
      <c r="BT114" s="610">
        <v>1</v>
      </c>
      <c r="BU114" s="610">
        <v>1</v>
      </c>
      <c r="BV114" s="610">
        <v>1</v>
      </c>
      <c r="BW114" s="610">
        <v>1</v>
      </c>
      <c r="BX114" s="610">
        <v>1</v>
      </c>
      <c r="BY114" s="610">
        <v>0</v>
      </c>
      <c r="BZ114" s="610">
        <v>0</v>
      </c>
      <c r="CA114" s="610">
        <v>0</v>
      </c>
      <c r="CB114" s="610">
        <v>0</v>
      </c>
      <c r="CC114" s="610">
        <v>0</v>
      </c>
      <c r="CD114" s="610">
        <v>0</v>
      </c>
      <c r="CE114" s="610">
        <v>0</v>
      </c>
      <c r="CF114" s="610">
        <v>0</v>
      </c>
      <c r="CG114" s="610">
        <v>0</v>
      </c>
      <c r="CH114" s="610">
        <v>0</v>
      </c>
      <c r="CI114" s="610">
        <v>0</v>
      </c>
      <c r="CJ114" s="610">
        <v>0</v>
      </c>
      <c r="CK114" s="610">
        <v>0</v>
      </c>
      <c r="CL114" s="610">
        <v>0</v>
      </c>
      <c r="CM114" s="610">
        <v>0</v>
      </c>
      <c r="CN114" s="610">
        <v>0</v>
      </c>
      <c r="CO114" s="610">
        <v>0</v>
      </c>
      <c r="CP114" s="610">
        <v>0</v>
      </c>
      <c r="CQ114" s="610">
        <v>0</v>
      </c>
      <c r="CR114" s="610">
        <v>0</v>
      </c>
      <c r="CS114" s="610">
        <v>0</v>
      </c>
      <c r="CT114" s="610">
        <v>0</v>
      </c>
      <c r="CU114" s="610">
        <v>0</v>
      </c>
      <c r="CV114" s="610">
        <v>0</v>
      </c>
      <c r="CW114" s="610" t="s">
        <v>14</v>
      </c>
      <c r="CX114" s="610">
        <v>0</v>
      </c>
      <c r="CY114" s="610" t="s">
        <v>1707</v>
      </c>
      <c r="CZ114" s="610" t="s">
        <v>1707</v>
      </c>
      <c r="DA114" s="610" t="s">
        <v>1707</v>
      </c>
      <c r="DB114" s="610" t="s">
        <v>1707</v>
      </c>
      <c r="DC114" s="610" t="s">
        <v>1707</v>
      </c>
      <c r="DD114" s="610" t="s">
        <v>1707</v>
      </c>
      <c r="DE114" s="610" t="s">
        <v>1707</v>
      </c>
      <c r="DF114" s="610" t="s">
        <v>1707</v>
      </c>
      <c r="DG114" s="610" t="s">
        <v>1707</v>
      </c>
      <c r="DH114" s="610" t="s">
        <v>1707</v>
      </c>
      <c r="DI114" s="610" t="s">
        <v>1707</v>
      </c>
      <c r="DJ114" s="610" t="s">
        <v>1707</v>
      </c>
      <c r="DK114" s="610" t="s">
        <v>1368</v>
      </c>
      <c r="DL114" s="610" t="s">
        <v>1368</v>
      </c>
      <c r="DM114" s="610" t="s">
        <v>1368</v>
      </c>
      <c r="DN114" s="610" t="s">
        <v>1368</v>
      </c>
      <c r="DO114" s="610" t="s">
        <v>1368</v>
      </c>
      <c r="DP114" s="610" t="s">
        <v>1368</v>
      </c>
      <c r="DQ114" s="610" t="s">
        <v>1368</v>
      </c>
      <c r="DR114" s="610" t="s">
        <v>1368</v>
      </c>
      <c r="DS114" s="610" t="s">
        <v>1368</v>
      </c>
      <c r="DT114" s="610" t="s">
        <v>1368</v>
      </c>
      <c r="DU114" s="610" t="s">
        <v>1368</v>
      </c>
      <c r="DV114" s="610" t="s">
        <v>1368</v>
      </c>
      <c r="DW114" s="609" t="s">
        <v>1368</v>
      </c>
      <c r="DX114" s="609" t="s">
        <v>1368</v>
      </c>
      <c r="DY114" s="609" t="s">
        <v>1368</v>
      </c>
      <c r="DZ114" s="609" t="s">
        <v>1368</v>
      </c>
      <c r="EA114" s="609" t="s">
        <v>1368</v>
      </c>
      <c r="EB114" s="609" t="s">
        <v>1368</v>
      </c>
      <c r="EC114" s="609" t="s">
        <v>1368</v>
      </c>
      <c r="ED114" s="609" t="s">
        <v>1368</v>
      </c>
      <c r="EE114" s="609" t="s">
        <v>1368</v>
      </c>
      <c r="EF114" s="609" t="s">
        <v>1368</v>
      </c>
      <c r="EG114" s="609" t="s">
        <v>1368</v>
      </c>
      <c r="EH114" s="609" t="s">
        <v>1368</v>
      </c>
      <c r="EI114" s="610" t="s">
        <v>1707</v>
      </c>
      <c r="EJ114" s="610" t="s">
        <v>1707</v>
      </c>
      <c r="EK114" s="610" t="s">
        <v>1707</v>
      </c>
      <c r="EL114" s="610" t="s">
        <v>1707</v>
      </c>
      <c r="EM114" s="610" t="s">
        <v>1707</v>
      </c>
      <c r="EN114" s="610" t="s">
        <v>1707</v>
      </c>
      <c r="EO114" s="610" t="s">
        <v>1707</v>
      </c>
      <c r="EP114" s="610" t="s">
        <v>1707</v>
      </c>
      <c r="EQ114" s="610" t="s">
        <v>1707</v>
      </c>
      <c r="ER114" s="610" t="s">
        <v>1707</v>
      </c>
      <c r="ES114" s="610" t="s">
        <v>1707</v>
      </c>
      <c r="ET114" s="610" t="s">
        <v>1707</v>
      </c>
      <c r="EU114" s="610">
        <v>3830</v>
      </c>
      <c r="EV114" s="610" t="s">
        <v>1707</v>
      </c>
      <c r="EW114" s="610" t="s">
        <v>1707</v>
      </c>
      <c r="EX114" s="610" t="s">
        <v>1707</v>
      </c>
      <c r="EY114" s="610" t="s">
        <v>1707</v>
      </c>
      <c r="EZ114" s="610" t="s">
        <v>1707</v>
      </c>
      <c r="FA114" s="610" t="s">
        <v>1707</v>
      </c>
      <c r="FB114" s="610" t="s">
        <v>1707</v>
      </c>
      <c r="FC114" s="610" t="s">
        <v>1707</v>
      </c>
      <c r="FD114" s="610" t="s">
        <v>1707</v>
      </c>
      <c r="FE114" s="610" t="s">
        <v>1707</v>
      </c>
      <c r="FF114" s="610" t="s">
        <v>1707</v>
      </c>
      <c r="FG114" s="610" t="s">
        <v>1707</v>
      </c>
      <c r="FH114" s="610">
        <v>25</v>
      </c>
      <c r="FI114" s="610">
        <v>26</v>
      </c>
      <c r="FJ114" s="610">
        <v>26</v>
      </c>
      <c r="FK114" s="610">
        <v>25</v>
      </c>
      <c r="FL114" s="610">
        <v>25</v>
      </c>
      <c r="FM114" s="610">
        <v>25</v>
      </c>
      <c r="FN114" s="610">
        <v>25</v>
      </c>
      <c r="FO114" s="610">
        <v>25</v>
      </c>
      <c r="FP114" s="610">
        <v>25</v>
      </c>
      <c r="FQ114" s="610">
        <v>25</v>
      </c>
      <c r="FR114" s="610" t="s">
        <v>2487</v>
      </c>
      <c r="FS114" s="610" t="s">
        <v>2487</v>
      </c>
      <c r="FT114" s="610" t="s">
        <v>2487</v>
      </c>
      <c r="FU114" s="610" t="s">
        <v>2487</v>
      </c>
      <c r="FV114" s="610" t="s">
        <v>2487</v>
      </c>
      <c r="FW114" s="610" t="s">
        <v>2487</v>
      </c>
      <c r="FX114" s="610" t="s">
        <v>2487</v>
      </c>
      <c r="FY114" s="610" t="s">
        <v>2487</v>
      </c>
      <c r="FZ114" s="610" t="s">
        <v>2487</v>
      </c>
      <c r="GA114" s="610" t="s">
        <v>2487</v>
      </c>
      <c r="GB114" s="610" t="s">
        <v>2487</v>
      </c>
      <c r="GC114" s="610" t="s">
        <v>2487</v>
      </c>
      <c r="GD114" s="564">
        <f t="shared" si="18"/>
        <v>79950</v>
      </c>
      <c r="GE114" s="564">
        <f t="shared" si="19"/>
        <v>79950</v>
      </c>
      <c r="GF114" s="564">
        <f t="shared" si="20"/>
        <v>79950</v>
      </c>
      <c r="GG114" s="564">
        <f t="shared" si="21"/>
        <v>79950</v>
      </c>
      <c r="GH114" s="564">
        <f t="shared" si="22"/>
        <v>79950</v>
      </c>
      <c r="GI114" s="564">
        <f t="shared" si="23"/>
        <v>79950</v>
      </c>
      <c r="GJ114" s="564">
        <f t="shared" si="24"/>
        <v>79950</v>
      </c>
      <c r="GK114" s="564">
        <f t="shared" si="25"/>
        <v>79950</v>
      </c>
      <c r="GL114" s="564">
        <f t="shared" si="26"/>
        <v>79950</v>
      </c>
      <c r="GM114" s="564">
        <f t="shared" si="27"/>
        <v>79950</v>
      </c>
      <c r="GN114" s="564">
        <f t="shared" si="28"/>
        <v>79950</v>
      </c>
      <c r="GO114" s="564">
        <f t="shared" si="29"/>
        <v>79950</v>
      </c>
      <c r="GP114" s="564"/>
      <c r="GS114" s="375" t="s">
        <v>1498</v>
      </c>
      <c r="GT114" s="374" t="str">
        <f t="shared" si="30"/>
        <v>〇</v>
      </c>
    </row>
    <row r="115" spans="2:202">
      <c r="B115" s="371">
        <v>111</v>
      </c>
      <c r="C115" s="378">
        <v>111</v>
      </c>
      <c r="D115" s="373" t="s">
        <v>1499</v>
      </c>
      <c r="E115" s="373" t="s">
        <v>14</v>
      </c>
      <c r="F115" s="603">
        <f t="shared" si="17"/>
        <v>59</v>
      </c>
      <c r="G115" s="603"/>
      <c r="H115" s="603">
        <v>33</v>
      </c>
      <c r="I115" s="603">
        <v>26</v>
      </c>
      <c r="J115" s="603"/>
      <c r="K115" s="603"/>
      <c r="L115" s="603"/>
      <c r="M115" s="603"/>
      <c r="N115" s="608"/>
      <c r="O115" s="603">
        <v>1577000</v>
      </c>
      <c r="P115" s="603">
        <v>2721000</v>
      </c>
      <c r="Q115" s="603">
        <v>0</v>
      </c>
      <c r="R115" s="603">
        <v>0</v>
      </c>
      <c r="S115" s="603">
        <v>0</v>
      </c>
      <c r="T115" s="603">
        <v>0</v>
      </c>
      <c r="U115" s="603">
        <v>0</v>
      </c>
      <c r="V115" s="603">
        <v>1051000</v>
      </c>
      <c r="W115" s="603">
        <v>1814000</v>
      </c>
      <c r="X115" s="603">
        <v>0</v>
      </c>
      <c r="Y115" s="603">
        <v>0</v>
      </c>
      <c r="Z115" s="603">
        <v>0</v>
      </c>
      <c r="AA115" s="603">
        <v>0</v>
      </c>
      <c r="AB115" s="603">
        <v>0</v>
      </c>
      <c r="AC115" s="603">
        <v>526000</v>
      </c>
      <c r="AD115" s="603">
        <v>907000</v>
      </c>
      <c r="AE115" s="603">
        <v>0</v>
      </c>
      <c r="AF115" s="603">
        <v>0</v>
      </c>
      <c r="AG115" s="603">
        <v>0</v>
      </c>
      <c r="AH115" s="603">
        <v>0</v>
      </c>
      <c r="AI115" s="603">
        <v>0</v>
      </c>
      <c r="AJ115" s="604" t="s">
        <v>2377</v>
      </c>
      <c r="AK115" s="605" t="s">
        <v>2378</v>
      </c>
      <c r="AL115" s="605" t="s">
        <v>2490</v>
      </c>
      <c r="AM115" s="606" t="s">
        <v>2104</v>
      </c>
      <c r="AN115" s="609" t="s">
        <v>12</v>
      </c>
      <c r="AO115" s="610" t="s">
        <v>2485</v>
      </c>
      <c r="AP115" s="610" t="s">
        <v>2485</v>
      </c>
      <c r="AQ115" s="610" t="s">
        <v>2485</v>
      </c>
      <c r="AR115" s="610" t="s">
        <v>2485</v>
      </c>
      <c r="AS115" s="610" t="s">
        <v>2485</v>
      </c>
      <c r="AT115" s="610" t="s">
        <v>2485</v>
      </c>
      <c r="AU115" s="610" t="s">
        <v>2485</v>
      </c>
      <c r="AV115" s="610" t="s">
        <v>2485</v>
      </c>
      <c r="AW115" s="610" t="s">
        <v>2485</v>
      </c>
      <c r="AX115" s="610" t="s">
        <v>2485</v>
      </c>
      <c r="AY115" s="610" t="s">
        <v>2485</v>
      </c>
      <c r="AZ115" s="610" t="s">
        <v>2485</v>
      </c>
      <c r="BA115" s="610" t="s">
        <v>1368</v>
      </c>
      <c r="BB115" s="610" t="s">
        <v>1368</v>
      </c>
      <c r="BC115" s="610" t="s">
        <v>1368</v>
      </c>
      <c r="BD115" s="610" t="s">
        <v>1368</v>
      </c>
      <c r="BE115" s="610" t="s">
        <v>1368</v>
      </c>
      <c r="BF115" s="610" t="s">
        <v>1368</v>
      </c>
      <c r="BG115" s="610" t="s">
        <v>1368</v>
      </c>
      <c r="BH115" s="610" t="s">
        <v>1368</v>
      </c>
      <c r="BI115" s="610" t="s">
        <v>1368</v>
      </c>
      <c r="BJ115" s="610" t="s">
        <v>1368</v>
      </c>
      <c r="BK115" s="610" t="s">
        <v>1368</v>
      </c>
      <c r="BL115" s="610" t="s">
        <v>1368</v>
      </c>
      <c r="BM115" s="610">
        <v>0</v>
      </c>
      <c r="BN115" s="610">
        <v>0</v>
      </c>
      <c r="BO115" s="610">
        <v>0</v>
      </c>
      <c r="BP115" s="610">
        <v>0</v>
      </c>
      <c r="BQ115" s="610">
        <v>0</v>
      </c>
      <c r="BR115" s="610">
        <v>0</v>
      </c>
      <c r="BS115" s="610">
        <v>0</v>
      </c>
      <c r="BT115" s="610">
        <v>0</v>
      </c>
      <c r="BU115" s="610">
        <v>0</v>
      </c>
      <c r="BV115" s="610">
        <v>0</v>
      </c>
      <c r="BW115" s="610">
        <v>0</v>
      </c>
      <c r="BX115" s="610">
        <v>0</v>
      </c>
      <c r="BY115" s="610">
        <v>0</v>
      </c>
      <c r="BZ115" s="610">
        <v>0</v>
      </c>
      <c r="CA115" s="610">
        <v>0</v>
      </c>
      <c r="CB115" s="610">
        <v>0</v>
      </c>
      <c r="CC115" s="610">
        <v>0</v>
      </c>
      <c r="CD115" s="610">
        <v>0</v>
      </c>
      <c r="CE115" s="610">
        <v>0</v>
      </c>
      <c r="CF115" s="610">
        <v>0</v>
      </c>
      <c r="CG115" s="610">
        <v>0</v>
      </c>
      <c r="CH115" s="610">
        <v>0</v>
      </c>
      <c r="CI115" s="610">
        <v>0</v>
      </c>
      <c r="CJ115" s="610">
        <v>0</v>
      </c>
      <c r="CK115" s="610">
        <v>0</v>
      </c>
      <c r="CL115" s="610">
        <v>0</v>
      </c>
      <c r="CM115" s="610">
        <v>0</v>
      </c>
      <c r="CN115" s="610">
        <v>0</v>
      </c>
      <c r="CO115" s="610">
        <v>0</v>
      </c>
      <c r="CP115" s="610">
        <v>0</v>
      </c>
      <c r="CQ115" s="610">
        <v>0</v>
      </c>
      <c r="CR115" s="610">
        <v>0</v>
      </c>
      <c r="CS115" s="610">
        <v>0</v>
      </c>
      <c r="CT115" s="610">
        <v>0</v>
      </c>
      <c r="CU115" s="610">
        <v>0</v>
      </c>
      <c r="CV115" s="610">
        <v>0</v>
      </c>
      <c r="CW115" s="610" t="s">
        <v>14</v>
      </c>
      <c r="CX115" s="610">
        <v>0</v>
      </c>
      <c r="CY115" s="610" t="s">
        <v>1707</v>
      </c>
      <c r="CZ115" s="610" t="s">
        <v>1707</v>
      </c>
      <c r="DA115" s="610" t="s">
        <v>1707</v>
      </c>
      <c r="DB115" s="610" t="s">
        <v>1707</v>
      </c>
      <c r="DC115" s="610" t="s">
        <v>1707</v>
      </c>
      <c r="DD115" s="610" t="s">
        <v>1707</v>
      </c>
      <c r="DE115" s="610" t="s">
        <v>1707</v>
      </c>
      <c r="DF115" s="610" t="s">
        <v>1707</v>
      </c>
      <c r="DG115" s="610" t="s">
        <v>1707</v>
      </c>
      <c r="DH115" s="610" t="s">
        <v>1707</v>
      </c>
      <c r="DI115" s="610" t="s">
        <v>1707</v>
      </c>
      <c r="DJ115" s="610" t="s">
        <v>1707</v>
      </c>
      <c r="DK115" s="610" t="s">
        <v>1368</v>
      </c>
      <c r="DL115" s="610" t="s">
        <v>1368</v>
      </c>
      <c r="DM115" s="610" t="s">
        <v>1368</v>
      </c>
      <c r="DN115" s="610" t="s">
        <v>1368</v>
      </c>
      <c r="DO115" s="610" t="s">
        <v>1368</v>
      </c>
      <c r="DP115" s="610" t="s">
        <v>1368</v>
      </c>
      <c r="DQ115" s="610" t="s">
        <v>1368</v>
      </c>
      <c r="DR115" s="610" t="s">
        <v>1368</v>
      </c>
      <c r="DS115" s="610" t="s">
        <v>1368</v>
      </c>
      <c r="DT115" s="610" t="s">
        <v>1368</v>
      </c>
      <c r="DU115" s="610" t="s">
        <v>1368</v>
      </c>
      <c r="DV115" s="610" t="s">
        <v>1368</v>
      </c>
      <c r="DW115" s="609" t="s">
        <v>1368</v>
      </c>
      <c r="DX115" s="609" t="s">
        <v>1368</v>
      </c>
      <c r="DY115" s="609" t="s">
        <v>1368</v>
      </c>
      <c r="DZ115" s="609" t="s">
        <v>1368</v>
      </c>
      <c r="EA115" s="609" t="s">
        <v>1368</v>
      </c>
      <c r="EB115" s="609" t="s">
        <v>1368</v>
      </c>
      <c r="EC115" s="609" t="s">
        <v>1368</v>
      </c>
      <c r="ED115" s="609" t="s">
        <v>1368</v>
      </c>
      <c r="EE115" s="609" t="s">
        <v>1368</v>
      </c>
      <c r="EF115" s="609" t="s">
        <v>1368</v>
      </c>
      <c r="EG115" s="609" t="s">
        <v>1368</v>
      </c>
      <c r="EH115" s="609" t="s">
        <v>1368</v>
      </c>
      <c r="EI115" s="610" t="s">
        <v>1707</v>
      </c>
      <c r="EJ115" s="610" t="s">
        <v>1707</v>
      </c>
      <c r="EK115" s="610" t="s">
        <v>1707</v>
      </c>
      <c r="EL115" s="610" t="s">
        <v>1707</v>
      </c>
      <c r="EM115" s="610" t="s">
        <v>1707</v>
      </c>
      <c r="EN115" s="610" t="s">
        <v>1707</v>
      </c>
      <c r="EO115" s="610" t="s">
        <v>1707</v>
      </c>
      <c r="EP115" s="610" t="s">
        <v>1707</v>
      </c>
      <c r="EQ115" s="610" t="s">
        <v>1707</v>
      </c>
      <c r="ER115" s="610" t="s">
        <v>1707</v>
      </c>
      <c r="ES115" s="610" t="s">
        <v>1707</v>
      </c>
      <c r="ET115" s="610" t="s">
        <v>1707</v>
      </c>
      <c r="EU115" s="610">
        <v>3950</v>
      </c>
      <c r="EV115" s="610" t="s">
        <v>1707</v>
      </c>
      <c r="EW115" s="610" t="s">
        <v>1707</v>
      </c>
      <c r="EX115" s="610" t="s">
        <v>1707</v>
      </c>
      <c r="EY115" s="610" t="s">
        <v>1707</v>
      </c>
      <c r="EZ115" s="610" t="s">
        <v>1707</v>
      </c>
      <c r="FA115" s="610" t="s">
        <v>1707</v>
      </c>
      <c r="FB115" s="610" t="s">
        <v>1707</v>
      </c>
      <c r="FC115" s="610" t="s">
        <v>1707</v>
      </c>
      <c r="FD115" s="610" t="s">
        <v>1707</v>
      </c>
      <c r="FE115" s="610" t="s">
        <v>1707</v>
      </c>
      <c r="FF115" s="610" t="s">
        <v>1707</v>
      </c>
      <c r="FG115" s="610" t="s">
        <v>1707</v>
      </c>
      <c r="FH115" s="610">
        <v>23</v>
      </c>
      <c r="FI115" s="610">
        <v>23</v>
      </c>
      <c r="FJ115" s="610">
        <v>24</v>
      </c>
      <c r="FK115" s="610">
        <v>24</v>
      </c>
      <c r="FL115" s="610">
        <v>24</v>
      </c>
      <c r="FM115" s="610">
        <v>24</v>
      </c>
      <c r="FN115" s="610">
        <v>24</v>
      </c>
      <c r="FO115" s="610">
        <v>24</v>
      </c>
      <c r="FP115" s="610">
        <v>24</v>
      </c>
      <c r="FQ115" s="610">
        <v>24</v>
      </c>
      <c r="FR115" s="610" t="s">
        <v>2489</v>
      </c>
      <c r="FS115" s="610" t="s">
        <v>2489</v>
      </c>
      <c r="FT115" s="610" t="s">
        <v>2489</v>
      </c>
      <c r="FU115" s="610" t="s">
        <v>2489</v>
      </c>
      <c r="FV115" s="610" t="s">
        <v>2489</v>
      </c>
      <c r="FW115" s="610" t="s">
        <v>2489</v>
      </c>
      <c r="FX115" s="610" t="s">
        <v>2489</v>
      </c>
      <c r="FY115" s="610" t="s">
        <v>2489</v>
      </c>
      <c r="FZ115" s="610" t="s">
        <v>2489</v>
      </c>
      <c r="GA115" s="610" t="s">
        <v>2489</v>
      </c>
      <c r="GB115" s="610" t="s">
        <v>2489</v>
      </c>
      <c r="GC115" s="610" t="s">
        <v>2489</v>
      </c>
      <c r="GD115" s="564" t="str">
        <f t="shared" si="18"/>
        <v/>
      </c>
      <c r="GE115" s="564" t="str">
        <f t="shared" si="19"/>
        <v/>
      </c>
      <c r="GF115" s="564" t="str">
        <f t="shared" si="20"/>
        <v/>
      </c>
      <c r="GG115" s="564" t="str">
        <f t="shared" si="21"/>
        <v/>
      </c>
      <c r="GH115" s="564" t="str">
        <f t="shared" si="22"/>
        <v/>
      </c>
      <c r="GI115" s="564" t="str">
        <f t="shared" si="23"/>
        <v/>
      </c>
      <c r="GJ115" s="564" t="str">
        <f t="shared" si="24"/>
        <v/>
      </c>
      <c r="GK115" s="564" t="str">
        <f t="shared" si="25"/>
        <v/>
      </c>
      <c r="GL115" s="564" t="str">
        <f t="shared" si="26"/>
        <v/>
      </c>
      <c r="GM115" s="564" t="str">
        <f t="shared" si="27"/>
        <v/>
      </c>
      <c r="GN115" s="564" t="str">
        <f t="shared" si="28"/>
        <v/>
      </c>
      <c r="GO115" s="564" t="str">
        <f t="shared" si="29"/>
        <v/>
      </c>
      <c r="GP115" s="564"/>
      <c r="GS115" s="375" t="s">
        <v>1499</v>
      </c>
      <c r="GT115" s="374" t="str">
        <f t="shared" si="30"/>
        <v>〇</v>
      </c>
    </row>
    <row r="116" spans="2:202">
      <c r="B116" s="371">
        <v>112</v>
      </c>
      <c r="C116" s="378">
        <v>112</v>
      </c>
      <c r="D116" s="373" t="s">
        <v>1500</v>
      </c>
      <c r="E116" s="373" t="s">
        <v>14</v>
      </c>
      <c r="F116" s="603">
        <f t="shared" si="17"/>
        <v>40</v>
      </c>
      <c r="G116" s="603"/>
      <c r="H116" s="603">
        <v>22</v>
      </c>
      <c r="I116" s="603">
        <v>18</v>
      </c>
      <c r="J116" s="603"/>
      <c r="K116" s="603"/>
      <c r="L116" s="603"/>
      <c r="M116" s="603"/>
      <c r="N116" s="608"/>
      <c r="O116" s="603">
        <v>1577000</v>
      </c>
      <c r="P116" s="603">
        <v>2721000</v>
      </c>
      <c r="Q116" s="603">
        <v>2721000</v>
      </c>
      <c r="R116" s="603">
        <v>1791000</v>
      </c>
      <c r="S116" s="603">
        <v>0</v>
      </c>
      <c r="T116" s="603">
        <v>0</v>
      </c>
      <c r="U116" s="603">
        <v>0</v>
      </c>
      <c r="V116" s="603">
        <v>0</v>
      </c>
      <c r="W116" s="603">
        <v>0</v>
      </c>
      <c r="X116" s="603">
        <v>0</v>
      </c>
      <c r="Y116" s="603">
        <v>0</v>
      </c>
      <c r="Z116" s="603">
        <v>0</v>
      </c>
      <c r="AA116" s="603">
        <v>0</v>
      </c>
      <c r="AB116" s="603">
        <v>0</v>
      </c>
      <c r="AC116" s="603">
        <v>0</v>
      </c>
      <c r="AD116" s="603">
        <v>0</v>
      </c>
      <c r="AE116" s="603">
        <v>0</v>
      </c>
      <c r="AF116" s="603">
        <v>0</v>
      </c>
      <c r="AG116" s="603">
        <v>0</v>
      </c>
      <c r="AH116" s="603">
        <v>0</v>
      </c>
      <c r="AI116" s="603">
        <v>0</v>
      </c>
      <c r="AJ116" s="604" t="s">
        <v>2377</v>
      </c>
      <c r="AK116" s="605" t="s">
        <v>1545</v>
      </c>
      <c r="AL116" s="605" t="s">
        <v>1545</v>
      </c>
      <c r="AM116" s="606" t="s">
        <v>2105</v>
      </c>
      <c r="AN116" s="609" t="s">
        <v>12</v>
      </c>
      <c r="AO116" s="610" t="s">
        <v>1368</v>
      </c>
      <c r="AP116" s="610" t="s">
        <v>1368</v>
      </c>
      <c r="AQ116" s="610" t="s">
        <v>1368</v>
      </c>
      <c r="AR116" s="610" t="s">
        <v>1368</v>
      </c>
      <c r="AS116" s="610" t="s">
        <v>1368</v>
      </c>
      <c r="AT116" s="610" t="s">
        <v>1368</v>
      </c>
      <c r="AU116" s="610" t="s">
        <v>1368</v>
      </c>
      <c r="AV116" s="610" t="s">
        <v>1368</v>
      </c>
      <c r="AW116" s="610" t="s">
        <v>1368</v>
      </c>
      <c r="AX116" s="610" t="s">
        <v>1368</v>
      </c>
      <c r="AY116" s="610" t="s">
        <v>1368</v>
      </c>
      <c r="AZ116" s="610" t="s">
        <v>1368</v>
      </c>
      <c r="BA116" s="610" t="s">
        <v>1368</v>
      </c>
      <c r="BB116" s="610" t="s">
        <v>1368</v>
      </c>
      <c r="BC116" s="610" t="s">
        <v>1368</v>
      </c>
      <c r="BD116" s="610" t="s">
        <v>1368</v>
      </c>
      <c r="BE116" s="610" t="s">
        <v>1368</v>
      </c>
      <c r="BF116" s="610" t="s">
        <v>1368</v>
      </c>
      <c r="BG116" s="610" t="s">
        <v>1368</v>
      </c>
      <c r="BH116" s="610" t="s">
        <v>1368</v>
      </c>
      <c r="BI116" s="610" t="s">
        <v>1368</v>
      </c>
      <c r="BJ116" s="610" t="s">
        <v>1368</v>
      </c>
      <c r="BK116" s="610" t="s">
        <v>1368</v>
      </c>
      <c r="BL116" s="610" t="s">
        <v>1368</v>
      </c>
      <c r="BM116" s="610">
        <v>1</v>
      </c>
      <c r="BN116" s="610">
        <v>1</v>
      </c>
      <c r="BO116" s="610">
        <v>1</v>
      </c>
      <c r="BP116" s="610">
        <v>1</v>
      </c>
      <c r="BQ116" s="610">
        <v>1</v>
      </c>
      <c r="BR116" s="610">
        <v>1</v>
      </c>
      <c r="BS116" s="610">
        <v>1</v>
      </c>
      <c r="BT116" s="610">
        <v>1</v>
      </c>
      <c r="BU116" s="610">
        <v>1</v>
      </c>
      <c r="BV116" s="610">
        <v>1</v>
      </c>
      <c r="BW116" s="610">
        <v>1</v>
      </c>
      <c r="BX116" s="610">
        <v>1</v>
      </c>
      <c r="BY116" s="610">
        <v>0</v>
      </c>
      <c r="BZ116" s="610">
        <v>0</v>
      </c>
      <c r="CA116" s="610">
        <v>0</v>
      </c>
      <c r="CB116" s="610">
        <v>0</v>
      </c>
      <c r="CC116" s="610">
        <v>0</v>
      </c>
      <c r="CD116" s="610">
        <v>0</v>
      </c>
      <c r="CE116" s="610">
        <v>0</v>
      </c>
      <c r="CF116" s="610">
        <v>0</v>
      </c>
      <c r="CG116" s="610">
        <v>0</v>
      </c>
      <c r="CH116" s="610">
        <v>0</v>
      </c>
      <c r="CI116" s="610">
        <v>0</v>
      </c>
      <c r="CJ116" s="610">
        <v>0</v>
      </c>
      <c r="CK116" s="610">
        <v>0</v>
      </c>
      <c r="CL116" s="610">
        <v>0</v>
      </c>
      <c r="CM116" s="610">
        <v>0</v>
      </c>
      <c r="CN116" s="610">
        <v>0</v>
      </c>
      <c r="CO116" s="610">
        <v>0</v>
      </c>
      <c r="CP116" s="610">
        <v>0</v>
      </c>
      <c r="CQ116" s="610">
        <v>0</v>
      </c>
      <c r="CR116" s="610">
        <v>0</v>
      </c>
      <c r="CS116" s="610">
        <v>0</v>
      </c>
      <c r="CT116" s="610">
        <v>0</v>
      </c>
      <c r="CU116" s="610">
        <v>0</v>
      </c>
      <c r="CV116" s="610">
        <v>0</v>
      </c>
      <c r="CW116" s="610" t="s">
        <v>14</v>
      </c>
      <c r="CX116" s="610">
        <v>0</v>
      </c>
      <c r="CY116" s="610" t="s">
        <v>1707</v>
      </c>
      <c r="CZ116" s="610" t="s">
        <v>1707</v>
      </c>
      <c r="DA116" s="610" t="s">
        <v>1707</v>
      </c>
      <c r="DB116" s="610" t="s">
        <v>1707</v>
      </c>
      <c r="DC116" s="610" t="s">
        <v>1707</v>
      </c>
      <c r="DD116" s="610" t="s">
        <v>1707</v>
      </c>
      <c r="DE116" s="610" t="s">
        <v>1707</v>
      </c>
      <c r="DF116" s="610" t="s">
        <v>1707</v>
      </c>
      <c r="DG116" s="610" t="s">
        <v>1707</v>
      </c>
      <c r="DH116" s="610" t="s">
        <v>1707</v>
      </c>
      <c r="DI116" s="610" t="s">
        <v>1707</v>
      </c>
      <c r="DJ116" s="610" t="s">
        <v>1707</v>
      </c>
      <c r="DK116" s="610" t="s">
        <v>1368</v>
      </c>
      <c r="DL116" s="610" t="s">
        <v>1368</v>
      </c>
      <c r="DM116" s="610" t="s">
        <v>1368</v>
      </c>
      <c r="DN116" s="610" t="s">
        <v>1368</v>
      </c>
      <c r="DO116" s="610" t="s">
        <v>1368</v>
      </c>
      <c r="DP116" s="610" t="s">
        <v>1368</v>
      </c>
      <c r="DQ116" s="610" t="s">
        <v>1368</v>
      </c>
      <c r="DR116" s="610" t="s">
        <v>1368</v>
      </c>
      <c r="DS116" s="610" t="s">
        <v>1368</v>
      </c>
      <c r="DT116" s="610" t="s">
        <v>1368</v>
      </c>
      <c r="DU116" s="610" t="s">
        <v>1368</v>
      </c>
      <c r="DV116" s="610" t="s">
        <v>1368</v>
      </c>
      <c r="DW116" s="609" t="s">
        <v>1368</v>
      </c>
      <c r="DX116" s="609" t="s">
        <v>1368</v>
      </c>
      <c r="DY116" s="609" t="s">
        <v>1368</v>
      </c>
      <c r="DZ116" s="609" t="s">
        <v>1368</v>
      </c>
      <c r="EA116" s="609" t="s">
        <v>1368</v>
      </c>
      <c r="EB116" s="609" t="s">
        <v>1368</v>
      </c>
      <c r="EC116" s="609" t="s">
        <v>1368</v>
      </c>
      <c r="ED116" s="609" t="s">
        <v>1368</v>
      </c>
      <c r="EE116" s="609" t="s">
        <v>1368</v>
      </c>
      <c r="EF116" s="609" t="s">
        <v>1368</v>
      </c>
      <c r="EG116" s="609" t="s">
        <v>1368</v>
      </c>
      <c r="EH116" s="609" t="s">
        <v>1368</v>
      </c>
      <c r="EI116" s="610" t="s">
        <v>1707</v>
      </c>
      <c r="EJ116" s="610" t="s">
        <v>1707</v>
      </c>
      <c r="EK116" s="610" t="s">
        <v>1707</v>
      </c>
      <c r="EL116" s="610" t="s">
        <v>1707</v>
      </c>
      <c r="EM116" s="610" t="s">
        <v>1707</v>
      </c>
      <c r="EN116" s="610" t="s">
        <v>1707</v>
      </c>
      <c r="EO116" s="610" t="s">
        <v>1707</v>
      </c>
      <c r="EP116" s="610" t="s">
        <v>1707</v>
      </c>
      <c r="EQ116" s="610" t="s">
        <v>1707</v>
      </c>
      <c r="ER116" s="610" t="s">
        <v>1707</v>
      </c>
      <c r="ES116" s="610" t="s">
        <v>1707</v>
      </c>
      <c r="ET116" s="610" t="s">
        <v>1707</v>
      </c>
      <c r="EU116" s="610">
        <v>4040</v>
      </c>
      <c r="EV116" s="610" t="s">
        <v>1707</v>
      </c>
      <c r="EW116" s="610" t="s">
        <v>1707</v>
      </c>
      <c r="EX116" s="610" t="s">
        <v>1707</v>
      </c>
      <c r="EY116" s="610" t="s">
        <v>1707</v>
      </c>
      <c r="EZ116" s="610" t="s">
        <v>1707</v>
      </c>
      <c r="FA116" s="610" t="s">
        <v>1707</v>
      </c>
      <c r="FB116" s="610" t="s">
        <v>1707</v>
      </c>
      <c r="FC116" s="610" t="s">
        <v>1707</v>
      </c>
      <c r="FD116" s="610" t="s">
        <v>1707</v>
      </c>
      <c r="FE116" s="610" t="s">
        <v>1707</v>
      </c>
      <c r="FF116" s="610" t="s">
        <v>1707</v>
      </c>
      <c r="FG116" s="610" t="s">
        <v>1707</v>
      </c>
      <c r="FH116" s="610">
        <v>13</v>
      </c>
      <c r="FI116" s="610">
        <v>13</v>
      </c>
      <c r="FJ116" s="610">
        <v>13</v>
      </c>
      <c r="FK116" s="610">
        <v>13</v>
      </c>
      <c r="FL116" s="610">
        <v>13</v>
      </c>
      <c r="FM116" s="610">
        <v>13</v>
      </c>
      <c r="FN116" s="610">
        <v>13</v>
      </c>
      <c r="FO116" s="610">
        <v>13</v>
      </c>
      <c r="FP116" s="610">
        <v>13</v>
      </c>
      <c r="FQ116" s="610">
        <v>13</v>
      </c>
      <c r="FR116" s="610" t="s">
        <v>2487</v>
      </c>
      <c r="FS116" s="610" t="s">
        <v>2487</v>
      </c>
      <c r="FT116" s="610" t="s">
        <v>2487</v>
      </c>
      <c r="FU116" s="610" t="s">
        <v>2487</v>
      </c>
      <c r="FV116" s="610" t="s">
        <v>2487</v>
      </c>
      <c r="FW116" s="610" t="s">
        <v>2487</v>
      </c>
      <c r="FX116" s="610" t="s">
        <v>2487</v>
      </c>
      <c r="FY116" s="610" t="s">
        <v>2487</v>
      </c>
      <c r="FZ116" s="610" t="s">
        <v>2487</v>
      </c>
      <c r="GA116" s="610" t="s">
        <v>2487</v>
      </c>
      <c r="GB116" s="610" t="s">
        <v>2487</v>
      </c>
      <c r="GC116" s="610" t="s">
        <v>2487</v>
      </c>
      <c r="GD116" s="564">
        <f t="shared" si="18"/>
        <v>79950</v>
      </c>
      <c r="GE116" s="564">
        <f t="shared" si="19"/>
        <v>79950</v>
      </c>
      <c r="GF116" s="564">
        <f t="shared" si="20"/>
        <v>79950</v>
      </c>
      <c r="GG116" s="564">
        <f t="shared" si="21"/>
        <v>79950</v>
      </c>
      <c r="GH116" s="564">
        <f t="shared" si="22"/>
        <v>79950</v>
      </c>
      <c r="GI116" s="564">
        <f t="shared" si="23"/>
        <v>79950</v>
      </c>
      <c r="GJ116" s="564">
        <f t="shared" si="24"/>
        <v>79950</v>
      </c>
      <c r="GK116" s="564">
        <f t="shared" si="25"/>
        <v>79950</v>
      </c>
      <c r="GL116" s="564">
        <f t="shared" si="26"/>
        <v>79950</v>
      </c>
      <c r="GM116" s="564">
        <f t="shared" si="27"/>
        <v>79950</v>
      </c>
      <c r="GN116" s="564">
        <f t="shared" si="28"/>
        <v>79950</v>
      </c>
      <c r="GO116" s="564">
        <f t="shared" si="29"/>
        <v>79950</v>
      </c>
      <c r="GP116" s="564"/>
      <c r="GS116" s="375" t="s">
        <v>1500</v>
      </c>
      <c r="GT116" s="374" t="str">
        <f t="shared" si="30"/>
        <v>〇</v>
      </c>
    </row>
    <row r="117" spans="2:202">
      <c r="B117" s="371">
        <v>113</v>
      </c>
      <c r="C117" s="378">
        <v>113</v>
      </c>
      <c r="D117" s="373" t="s">
        <v>1501</v>
      </c>
      <c r="E117" s="373" t="s">
        <v>14</v>
      </c>
      <c r="F117" s="603">
        <f t="shared" si="17"/>
        <v>40</v>
      </c>
      <c r="G117" s="603"/>
      <c r="H117" s="603">
        <v>21</v>
      </c>
      <c r="I117" s="603">
        <v>19</v>
      </c>
      <c r="J117" s="603"/>
      <c r="K117" s="603"/>
      <c r="L117" s="603"/>
      <c r="M117" s="603"/>
      <c r="N117" s="608"/>
      <c r="O117" s="603">
        <v>1577000</v>
      </c>
      <c r="P117" s="603">
        <v>2721000</v>
      </c>
      <c r="Q117" s="603">
        <v>0</v>
      </c>
      <c r="R117" s="603">
        <v>1791000</v>
      </c>
      <c r="S117" s="603">
        <v>1188000</v>
      </c>
      <c r="T117" s="603">
        <v>0</v>
      </c>
      <c r="U117" s="603">
        <v>0</v>
      </c>
      <c r="V117" s="603">
        <v>1051000</v>
      </c>
      <c r="W117" s="603">
        <v>1814000</v>
      </c>
      <c r="X117" s="603">
        <v>0</v>
      </c>
      <c r="Y117" s="603">
        <v>1194000</v>
      </c>
      <c r="Z117" s="603">
        <v>792000</v>
      </c>
      <c r="AA117" s="603">
        <v>0</v>
      </c>
      <c r="AB117" s="603">
        <v>0</v>
      </c>
      <c r="AC117" s="603">
        <v>0</v>
      </c>
      <c r="AD117" s="603">
        <v>0</v>
      </c>
      <c r="AE117" s="603">
        <v>0</v>
      </c>
      <c r="AF117" s="603">
        <v>0</v>
      </c>
      <c r="AG117" s="603">
        <v>0</v>
      </c>
      <c r="AH117" s="603">
        <v>0</v>
      </c>
      <c r="AI117" s="603">
        <v>0</v>
      </c>
      <c r="AJ117" s="604" t="s">
        <v>2377</v>
      </c>
      <c r="AK117" s="605" t="s">
        <v>2378</v>
      </c>
      <c r="AL117" s="605" t="s">
        <v>1545</v>
      </c>
      <c r="AM117" s="606" t="s">
        <v>2106</v>
      </c>
      <c r="AN117" s="609" t="s">
        <v>12</v>
      </c>
      <c r="AO117" s="610" t="s">
        <v>2485</v>
      </c>
      <c r="AP117" s="610" t="s">
        <v>2485</v>
      </c>
      <c r="AQ117" s="610" t="s">
        <v>2485</v>
      </c>
      <c r="AR117" s="610" t="s">
        <v>2485</v>
      </c>
      <c r="AS117" s="610" t="s">
        <v>2485</v>
      </c>
      <c r="AT117" s="610" t="s">
        <v>2485</v>
      </c>
      <c r="AU117" s="610" t="s">
        <v>2485</v>
      </c>
      <c r="AV117" s="610" t="s">
        <v>2485</v>
      </c>
      <c r="AW117" s="610" t="s">
        <v>2485</v>
      </c>
      <c r="AX117" s="610" t="s">
        <v>2485</v>
      </c>
      <c r="AY117" s="610" t="s">
        <v>2485</v>
      </c>
      <c r="AZ117" s="610" t="s">
        <v>2485</v>
      </c>
      <c r="BA117" s="610" t="s">
        <v>1368</v>
      </c>
      <c r="BB117" s="610" t="s">
        <v>1368</v>
      </c>
      <c r="BC117" s="610" t="s">
        <v>1368</v>
      </c>
      <c r="BD117" s="610" t="s">
        <v>1368</v>
      </c>
      <c r="BE117" s="610" t="s">
        <v>1368</v>
      </c>
      <c r="BF117" s="610" t="s">
        <v>1368</v>
      </c>
      <c r="BG117" s="610" t="s">
        <v>1368</v>
      </c>
      <c r="BH117" s="610" t="s">
        <v>1368</v>
      </c>
      <c r="BI117" s="610" t="s">
        <v>1368</v>
      </c>
      <c r="BJ117" s="610" t="s">
        <v>1368</v>
      </c>
      <c r="BK117" s="610" t="s">
        <v>1368</v>
      </c>
      <c r="BL117" s="610" t="s">
        <v>1368</v>
      </c>
      <c r="BM117" s="610">
        <v>1</v>
      </c>
      <c r="BN117" s="610">
        <v>1</v>
      </c>
      <c r="BO117" s="610">
        <v>1</v>
      </c>
      <c r="BP117" s="610">
        <v>1</v>
      </c>
      <c r="BQ117" s="610">
        <v>1</v>
      </c>
      <c r="BR117" s="610">
        <v>1</v>
      </c>
      <c r="BS117" s="610">
        <v>1</v>
      </c>
      <c r="BT117" s="610">
        <v>2</v>
      </c>
      <c r="BU117" s="610">
        <v>2</v>
      </c>
      <c r="BV117" s="610">
        <v>2</v>
      </c>
      <c r="BW117" s="610">
        <v>2</v>
      </c>
      <c r="BX117" s="610">
        <v>2</v>
      </c>
      <c r="BY117" s="610">
        <v>0</v>
      </c>
      <c r="BZ117" s="610">
        <v>0</v>
      </c>
      <c r="CA117" s="610">
        <v>0</v>
      </c>
      <c r="CB117" s="610">
        <v>0</v>
      </c>
      <c r="CC117" s="610">
        <v>0</v>
      </c>
      <c r="CD117" s="610">
        <v>0</v>
      </c>
      <c r="CE117" s="610">
        <v>0</v>
      </c>
      <c r="CF117" s="610">
        <v>0</v>
      </c>
      <c r="CG117" s="610">
        <v>0</v>
      </c>
      <c r="CH117" s="610">
        <v>0</v>
      </c>
      <c r="CI117" s="610">
        <v>0</v>
      </c>
      <c r="CJ117" s="610">
        <v>0</v>
      </c>
      <c r="CK117" s="610">
        <v>0</v>
      </c>
      <c r="CL117" s="610">
        <v>0</v>
      </c>
      <c r="CM117" s="610">
        <v>0</v>
      </c>
      <c r="CN117" s="610">
        <v>0</v>
      </c>
      <c r="CO117" s="610">
        <v>0</v>
      </c>
      <c r="CP117" s="610">
        <v>0</v>
      </c>
      <c r="CQ117" s="610">
        <v>0</v>
      </c>
      <c r="CR117" s="610">
        <v>0</v>
      </c>
      <c r="CS117" s="610">
        <v>0</v>
      </c>
      <c r="CT117" s="610">
        <v>0</v>
      </c>
      <c r="CU117" s="610">
        <v>0</v>
      </c>
      <c r="CV117" s="610">
        <v>0</v>
      </c>
      <c r="CW117" s="610" t="s">
        <v>14</v>
      </c>
      <c r="CX117" s="610">
        <v>0</v>
      </c>
      <c r="CY117" s="610" t="s">
        <v>1707</v>
      </c>
      <c r="CZ117" s="610" t="s">
        <v>1707</v>
      </c>
      <c r="DA117" s="610" t="s">
        <v>1707</v>
      </c>
      <c r="DB117" s="610" t="s">
        <v>1707</v>
      </c>
      <c r="DC117" s="610" t="s">
        <v>1707</v>
      </c>
      <c r="DD117" s="610" t="s">
        <v>1707</v>
      </c>
      <c r="DE117" s="610" t="s">
        <v>1707</v>
      </c>
      <c r="DF117" s="610" t="s">
        <v>1707</v>
      </c>
      <c r="DG117" s="610" t="s">
        <v>1707</v>
      </c>
      <c r="DH117" s="610" t="s">
        <v>1707</v>
      </c>
      <c r="DI117" s="610" t="s">
        <v>1707</v>
      </c>
      <c r="DJ117" s="610" t="s">
        <v>1707</v>
      </c>
      <c r="DK117" s="610" t="s">
        <v>1368</v>
      </c>
      <c r="DL117" s="610" t="s">
        <v>1368</v>
      </c>
      <c r="DM117" s="610" t="s">
        <v>1368</v>
      </c>
      <c r="DN117" s="610" t="s">
        <v>1368</v>
      </c>
      <c r="DO117" s="610" t="s">
        <v>1368</v>
      </c>
      <c r="DP117" s="610" t="s">
        <v>1368</v>
      </c>
      <c r="DQ117" s="610" t="s">
        <v>1368</v>
      </c>
      <c r="DR117" s="610" t="s">
        <v>1368</v>
      </c>
      <c r="DS117" s="610" t="s">
        <v>1368</v>
      </c>
      <c r="DT117" s="610" t="s">
        <v>1368</v>
      </c>
      <c r="DU117" s="610" t="s">
        <v>1368</v>
      </c>
      <c r="DV117" s="610" t="s">
        <v>1368</v>
      </c>
      <c r="DW117" s="609" t="s">
        <v>1368</v>
      </c>
      <c r="DX117" s="609" t="s">
        <v>1368</v>
      </c>
      <c r="DY117" s="609" t="s">
        <v>1368</v>
      </c>
      <c r="DZ117" s="609" t="s">
        <v>1368</v>
      </c>
      <c r="EA117" s="609" t="s">
        <v>1368</v>
      </c>
      <c r="EB117" s="609" t="s">
        <v>1368</v>
      </c>
      <c r="EC117" s="609" t="s">
        <v>1368</v>
      </c>
      <c r="ED117" s="609" t="s">
        <v>1368</v>
      </c>
      <c r="EE117" s="609" t="s">
        <v>1368</v>
      </c>
      <c r="EF117" s="609" t="s">
        <v>1368</v>
      </c>
      <c r="EG117" s="609" t="s">
        <v>1368</v>
      </c>
      <c r="EH117" s="609" t="s">
        <v>1368</v>
      </c>
      <c r="EI117" s="610" t="s">
        <v>1707</v>
      </c>
      <c r="EJ117" s="610" t="s">
        <v>1707</v>
      </c>
      <c r="EK117" s="610" t="s">
        <v>1707</v>
      </c>
      <c r="EL117" s="610" t="s">
        <v>1707</v>
      </c>
      <c r="EM117" s="610" t="s">
        <v>1707</v>
      </c>
      <c r="EN117" s="610" t="s">
        <v>1707</v>
      </c>
      <c r="EO117" s="610" t="s">
        <v>1707</v>
      </c>
      <c r="EP117" s="610" t="s">
        <v>1707</v>
      </c>
      <c r="EQ117" s="610" t="s">
        <v>1707</v>
      </c>
      <c r="ER117" s="610" t="s">
        <v>1707</v>
      </c>
      <c r="ES117" s="610" t="s">
        <v>1707</v>
      </c>
      <c r="ET117" s="610" t="s">
        <v>1707</v>
      </c>
      <c r="EU117" s="610">
        <v>3980</v>
      </c>
      <c r="EV117" s="610" t="s">
        <v>1707</v>
      </c>
      <c r="EW117" s="610" t="s">
        <v>1707</v>
      </c>
      <c r="EX117" s="610" t="s">
        <v>1707</v>
      </c>
      <c r="EY117" s="610" t="s">
        <v>1707</v>
      </c>
      <c r="EZ117" s="610" t="s">
        <v>1707</v>
      </c>
      <c r="FA117" s="610" t="s">
        <v>1707</v>
      </c>
      <c r="FB117" s="610" t="s">
        <v>1707</v>
      </c>
      <c r="FC117" s="610" t="s">
        <v>1707</v>
      </c>
      <c r="FD117" s="610" t="s">
        <v>1707</v>
      </c>
      <c r="FE117" s="610" t="s">
        <v>1707</v>
      </c>
      <c r="FF117" s="610" t="s">
        <v>1707</v>
      </c>
      <c r="FG117" s="610" t="s">
        <v>1707</v>
      </c>
      <c r="FH117" s="610">
        <v>14</v>
      </c>
      <c r="FI117" s="610">
        <v>14</v>
      </c>
      <c r="FJ117" s="610">
        <v>14</v>
      </c>
      <c r="FK117" s="610">
        <v>14</v>
      </c>
      <c r="FL117" s="610">
        <v>14</v>
      </c>
      <c r="FM117" s="610">
        <v>14</v>
      </c>
      <c r="FN117" s="610">
        <v>14</v>
      </c>
      <c r="FO117" s="610">
        <v>14</v>
      </c>
      <c r="FP117" s="610">
        <v>14</v>
      </c>
      <c r="FQ117" s="610">
        <v>14</v>
      </c>
      <c r="FR117" s="610" t="s">
        <v>2487</v>
      </c>
      <c r="FS117" s="610" t="s">
        <v>2487</v>
      </c>
      <c r="FT117" s="610" t="s">
        <v>2487</v>
      </c>
      <c r="FU117" s="610" t="s">
        <v>2487</v>
      </c>
      <c r="FV117" s="610" t="s">
        <v>2487</v>
      </c>
      <c r="FW117" s="610" t="s">
        <v>2487</v>
      </c>
      <c r="FX117" s="610" t="s">
        <v>2487</v>
      </c>
      <c r="FY117" s="610" t="s">
        <v>2487</v>
      </c>
      <c r="FZ117" s="610" t="s">
        <v>2487</v>
      </c>
      <c r="GA117" s="610" t="s">
        <v>2487</v>
      </c>
      <c r="GB117" s="610" t="s">
        <v>2487</v>
      </c>
      <c r="GC117" s="610" t="s">
        <v>2487</v>
      </c>
      <c r="GD117" s="564">
        <f t="shared" si="18"/>
        <v>79950</v>
      </c>
      <c r="GE117" s="564">
        <f t="shared" si="19"/>
        <v>79950</v>
      </c>
      <c r="GF117" s="564">
        <f t="shared" si="20"/>
        <v>79950</v>
      </c>
      <c r="GG117" s="564">
        <f t="shared" si="21"/>
        <v>79950</v>
      </c>
      <c r="GH117" s="564">
        <f t="shared" si="22"/>
        <v>79950</v>
      </c>
      <c r="GI117" s="564">
        <f t="shared" si="23"/>
        <v>79950</v>
      </c>
      <c r="GJ117" s="564">
        <f t="shared" si="24"/>
        <v>79950</v>
      </c>
      <c r="GK117" s="564">
        <f t="shared" si="25"/>
        <v>79950</v>
      </c>
      <c r="GL117" s="564">
        <f t="shared" si="26"/>
        <v>79950</v>
      </c>
      <c r="GM117" s="564">
        <f t="shared" si="27"/>
        <v>79950</v>
      </c>
      <c r="GN117" s="564">
        <f t="shared" si="28"/>
        <v>79950</v>
      </c>
      <c r="GO117" s="564">
        <f t="shared" si="29"/>
        <v>79950</v>
      </c>
      <c r="GP117" s="564"/>
      <c r="GS117" s="375" t="s">
        <v>1501</v>
      </c>
      <c r="GT117" s="374" t="str">
        <f t="shared" si="30"/>
        <v>〇</v>
      </c>
    </row>
    <row r="118" spans="2:202">
      <c r="B118" s="371">
        <v>114</v>
      </c>
      <c r="C118" s="378">
        <v>114</v>
      </c>
      <c r="D118" s="373" t="s">
        <v>591</v>
      </c>
      <c r="E118" s="373" t="s">
        <v>14</v>
      </c>
      <c r="F118" s="603">
        <f t="shared" si="17"/>
        <v>28</v>
      </c>
      <c r="G118" s="603"/>
      <c r="H118" s="603">
        <v>15</v>
      </c>
      <c r="I118" s="603">
        <v>13</v>
      </c>
      <c r="J118" s="603"/>
      <c r="K118" s="603"/>
      <c r="L118" s="603"/>
      <c r="M118" s="603"/>
      <c r="N118" s="608"/>
      <c r="O118" s="603">
        <v>1577000</v>
      </c>
      <c r="P118" s="603">
        <v>2721000</v>
      </c>
      <c r="Q118" s="603">
        <v>2721000</v>
      </c>
      <c r="R118" s="603">
        <v>1188000</v>
      </c>
      <c r="S118" s="603">
        <v>0</v>
      </c>
      <c r="T118" s="603">
        <v>2181000</v>
      </c>
      <c r="U118" s="603">
        <v>0</v>
      </c>
      <c r="V118" s="603">
        <v>1051000</v>
      </c>
      <c r="W118" s="603">
        <v>1814000</v>
      </c>
      <c r="X118" s="603">
        <v>1814000</v>
      </c>
      <c r="Y118" s="603">
        <v>792000</v>
      </c>
      <c r="Z118" s="603">
        <v>0</v>
      </c>
      <c r="AA118" s="603">
        <v>1454000</v>
      </c>
      <c r="AB118" s="603">
        <v>0</v>
      </c>
      <c r="AC118" s="603">
        <v>0</v>
      </c>
      <c r="AD118" s="603">
        <v>0</v>
      </c>
      <c r="AE118" s="603">
        <v>0</v>
      </c>
      <c r="AF118" s="603">
        <v>0</v>
      </c>
      <c r="AG118" s="603">
        <v>0</v>
      </c>
      <c r="AH118" s="603">
        <v>0</v>
      </c>
      <c r="AI118" s="603">
        <v>0</v>
      </c>
      <c r="AJ118" s="604" t="s">
        <v>2377</v>
      </c>
      <c r="AK118" s="605" t="s">
        <v>2378</v>
      </c>
      <c r="AL118" s="605" t="s">
        <v>1545</v>
      </c>
      <c r="AM118" s="606" t="s">
        <v>2107</v>
      </c>
      <c r="AN118" s="609" t="s">
        <v>12</v>
      </c>
      <c r="AO118" s="610" t="s">
        <v>1368</v>
      </c>
      <c r="AP118" s="610" t="s">
        <v>1368</v>
      </c>
      <c r="AQ118" s="610" t="s">
        <v>1368</v>
      </c>
      <c r="AR118" s="610" t="s">
        <v>1368</v>
      </c>
      <c r="AS118" s="610" t="s">
        <v>1368</v>
      </c>
      <c r="AT118" s="610" t="s">
        <v>1368</v>
      </c>
      <c r="AU118" s="610" t="s">
        <v>1368</v>
      </c>
      <c r="AV118" s="610" t="s">
        <v>1368</v>
      </c>
      <c r="AW118" s="610" t="s">
        <v>1368</v>
      </c>
      <c r="AX118" s="610" t="s">
        <v>1368</v>
      </c>
      <c r="AY118" s="610" t="s">
        <v>1368</v>
      </c>
      <c r="AZ118" s="610" t="s">
        <v>1368</v>
      </c>
      <c r="BA118" s="610" t="s">
        <v>1368</v>
      </c>
      <c r="BB118" s="610" t="s">
        <v>1368</v>
      </c>
      <c r="BC118" s="610" t="s">
        <v>1368</v>
      </c>
      <c r="BD118" s="610" t="s">
        <v>1368</v>
      </c>
      <c r="BE118" s="610" t="s">
        <v>1368</v>
      </c>
      <c r="BF118" s="610" t="s">
        <v>1368</v>
      </c>
      <c r="BG118" s="610" t="s">
        <v>1368</v>
      </c>
      <c r="BH118" s="610" t="s">
        <v>1368</v>
      </c>
      <c r="BI118" s="610" t="s">
        <v>1368</v>
      </c>
      <c r="BJ118" s="610" t="s">
        <v>1368</v>
      </c>
      <c r="BK118" s="610" t="s">
        <v>1368</v>
      </c>
      <c r="BL118" s="610" t="s">
        <v>1368</v>
      </c>
      <c r="BM118" s="610">
        <v>0</v>
      </c>
      <c r="BN118" s="610">
        <v>0</v>
      </c>
      <c r="BO118" s="610">
        <v>0</v>
      </c>
      <c r="BP118" s="610">
        <v>0</v>
      </c>
      <c r="BQ118" s="610">
        <v>0</v>
      </c>
      <c r="BR118" s="610">
        <v>0</v>
      </c>
      <c r="BS118" s="610">
        <v>0</v>
      </c>
      <c r="BT118" s="610">
        <v>0</v>
      </c>
      <c r="BU118" s="610">
        <v>0</v>
      </c>
      <c r="BV118" s="610">
        <v>0</v>
      </c>
      <c r="BW118" s="610">
        <v>0</v>
      </c>
      <c r="BX118" s="610">
        <v>0</v>
      </c>
      <c r="BY118" s="610">
        <v>0</v>
      </c>
      <c r="BZ118" s="610">
        <v>0</v>
      </c>
      <c r="CA118" s="610">
        <v>0</v>
      </c>
      <c r="CB118" s="610">
        <v>0</v>
      </c>
      <c r="CC118" s="610">
        <v>0</v>
      </c>
      <c r="CD118" s="610">
        <v>0</v>
      </c>
      <c r="CE118" s="610">
        <v>0</v>
      </c>
      <c r="CF118" s="610">
        <v>0</v>
      </c>
      <c r="CG118" s="610">
        <v>0</v>
      </c>
      <c r="CH118" s="610">
        <v>0</v>
      </c>
      <c r="CI118" s="610">
        <v>0</v>
      </c>
      <c r="CJ118" s="610">
        <v>0</v>
      </c>
      <c r="CK118" s="610">
        <v>0</v>
      </c>
      <c r="CL118" s="610">
        <v>0</v>
      </c>
      <c r="CM118" s="610">
        <v>0</v>
      </c>
      <c r="CN118" s="610">
        <v>0</v>
      </c>
      <c r="CO118" s="610">
        <v>0</v>
      </c>
      <c r="CP118" s="610">
        <v>0</v>
      </c>
      <c r="CQ118" s="610">
        <v>0</v>
      </c>
      <c r="CR118" s="610">
        <v>0</v>
      </c>
      <c r="CS118" s="610">
        <v>0</v>
      </c>
      <c r="CT118" s="610">
        <v>0</v>
      </c>
      <c r="CU118" s="610">
        <v>0</v>
      </c>
      <c r="CV118" s="610">
        <v>0</v>
      </c>
      <c r="CW118" s="610" t="s">
        <v>14</v>
      </c>
      <c r="CX118" s="610">
        <v>0</v>
      </c>
      <c r="CY118" s="610" t="s">
        <v>1707</v>
      </c>
      <c r="CZ118" s="610" t="s">
        <v>1707</v>
      </c>
      <c r="DA118" s="610" t="s">
        <v>1707</v>
      </c>
      <c r="DB118" s="610" t="s">
        <v>1707</v>
      </c>
      <c r="DC118" s="610" t="s">
        <v>1707</v>
      </c>
      <c r="DD118" s="610" t="s">
        <v>1707</v>
      </c>
      <c r="DE118" s="610" t="s">
        <v>1707</v>
      </c>
      <c r="DF118" s="610" t="s">
        <v>1707</v>
      </c>
      <c r="DG118" s="610" t="s">
        <v>1707</v>
      </c>
      <c r="DH118" s="610" t="s">
        <v>1707</v>
      </c>
      <c r="DI118" s="610" t="s">
        <v>1707</v>
      </c>
      <c r="DJ118" s="610" t="s">
        <v>1707</v>
      </c>
      <c r="DK118" s="610" t="s">
        <v>1368</v>
      </c>
      <c r="DL118" s="610" t="s">
        <v>1368</v>
      </c>
      <c r="DM118" s="610" t="s">
        <v>1368</v>
      </c>
      <c r="DN118" s="610" t="s">
        <v>1368</v>
      </c>
      <c r="DO118" s="610" t="s">
        <v>1368</v>
      </c>
      <c r="DP118" s="610" t="s">
        <v>1368</v>
      </c>
      <c r="DQ118" s="610" t="s">
        <v>1368</v>
      </c>
      <c r="DR118" s="610" t="s">
        <v>1368</v>
      </c>
      <c r="DS118" s="610" t="s">
        <v>1368</v>
      </c>
      <c r="DT118" s="610" t="s">
        <v>1368</v>
      </c>
      <c r="DU118" s="610" t="s">
        <v>1368</v>
      </c>
      <c r="DV118" s="610" t="s">
        <v>1368</v>
      </c>
      <c r="DW118" s="609" t="s">
        <v>1368</v>
      </c>
      <c r="DX118" s="609" t="s">
        <v>1368</v>
      </c>
      <c r="DY118" s="609" t="s">
        <v>1368</v>
      </c>
      <c r="DZ118" s="609" t="s">
        <v>1368</v>
      </c>
      <c r="EA118" s="609" t="s">
        <v>1368</v>
      </c>
      <c r="EB118" s="609" t="s">
        <v>1368</v>
      </c>
      <c r="EC118" s="609" t="s">
        <v>1368</v>
      </c>
      <c r="ED118" s="609" t="s">
        <v>1368</v>
      </c>
      <c r="EE118" s="609" t="s">
        <v>1368</v>
      </c>
      <c r="EF118" s="609" t="s">
        <v>1368</v>
      </c>
      <c r="EG118" s="609" t="s">
        <v>1368</v>
      </c>
      <c r="EH118" s="609" t="s">
        <v>1368</v>
      </c>
      <c r="EI118" s="610" t="s">
        <v>1707</v>
      </c>
      <c r="EJ118" s="610" t="s">
        <v>1707</v>
      </c>
      <c r="EK118" s="610" t="s">
        <v>1707</v>
      </c>
      <c r="EL118" s="610" t="s">
        <v>1707</v>
      </c>
      <c r="EM118" s="610" t="s">
        <v>1707</v>
      </c>
      <c r="EN118" s="610" t="s">
        <v>1707</v>
      </c>
      <c r="EO118" s="610" t="s">
        <v>1707</v>
      </c>
      <c r="EP118" s="610" t="s">
        <v>1707</v>
      </c>
      <c r="EQ118" s="610" t="s">
        <v>1707</v>
      </c>
      <c r="ER118" s="610" t="s">
        <v>1707</v>
      </c>
      <c r="ES118" s="610" t="s">
        <v>1707</v>
      </c>
      <c r="ET118" s="610" t="s">
        <v>1707</v>
      </c>
      <c r="EU118" s="610">
        <v>3920</v>
      </c>
      <c r="EV118" s="610" t="s">
        <v>1707</v>
      </c>
      <c r="EW118" s="610" t="s">
        <v>1707</v>
      </c>
      <c r="EX118" s="610" t="s">
        <v>1707</v>
      </c>
      <c r="EY118" s="610" t="s">
        <v>1707</v>
      </c>
      <c r="EZ118" s="610" t="s">
        <v>1707</v>
      </c>
      <c r="FA118" s="610" t="s">
        <v>1707</v>
      </c>
      <c r="FB118" s="610" t="s">
        <v>1707</v>
      </c>
      <c r="FC118" s="610" t="s">
        <v>1707</v>
      </c>
      <c r="FD118" s="610" t="s">
        <v>1707</v>
      </c>
      <c r="FE118" s="610" t="s">
        <v>1707</v>
      </c>
      <c r="FF118" s="610" t="s">
        <v>1707</v>
      </c>
      <c r="FG118" s="610" t="s">
        <v>1707</v>
      </c>
      <c r="FH118" s="610">
        <v>10</v>
      </c>
      <c r="FI118" s="610">
        <v>10</v>
      </c>
      <c r="FJ118" s="610">
        <v>10</v>
      </c>
      <c r="FK118" s="610">
        <v>10</v>
      </c>
      <c r="FL118" s="610">
        <v>10</v>
      </c>
      <c r="FM118" s="610">
        <v>10</v>
      </c>
      <c r="FN118" s="610">
        <v>10</v>
      </c>
      <c r="FO118" s="610">
        <v>10</v>
      </c>
      <c r="FP118" s="610">
        <v>10</v>
      </c>
      <c r="FQ118" s="610">
        <v>10</v>
      </c>
      <c r="FR118" s="610" t="s">
        <v>2487</v>
      </c>
      <c r="FS118" s="610" t="s">
        <v>2487</v>
      </c>
      <c r="FT118" s="610" t="s">
        <v>2487</v>
      </c>
      <c r="FU118" s="610" t="s">
        <v>2487</v>
      </c>
      <c r="FV118" s="610" t="s">
        <v>2487</v>
      </c>
      <c r="FW118" s="610" t="s">
        <v>2487</v>
      </c>
      <c r="FX118" s="610" t="s">
        <v>2487</v>
      </c>
      <c r="FY118" s="610" t="s">
        <v>2487</v>
      </c>
      <c r="FZ118" s="610" t="s">
        <v>2487</v>
      </c>
      <c r="GA118" s="610" t="s">
        <v>2487</v>
      </c>
      <c r="GB118" s="610" t="s">
        <v>2487</v>
      </c>
      <c r="GC118" s="610" t="s">
        <v>2487</v>
      </c>
      <c r="GD118" s="564">
        <f t="shared" si="18"/>
        <v>79950</v>
      </c>
      <c r="GE118" s="564">
        <f t="shared" si="19"/>
        <v>79950</v>
      </c>
      <c r="GF118" s="564">
        <f t="shared" si="20"/>
        <v>79950</v>
      </c>
      <c r="GG118" s="564">
        <f t="shared" si="21"/>
        <v>79950</v>
      </c>
      <c r="GH118" s="564">
        <f t="shared" si="22"/>
        <v>79950</v>
      </c>
      <c r="GI118" s="564">
        <f t="shared" si="23"/>
        <v>79950</v>
      </c>
      <c r="GJ118" s="564">
        <f t="shared" si="24"/>
        <v>79950</v>
      </c>
      <c r="GK118" s="564">
        <f t="shared" si="25"/>
        <v>79950</v>
      </c>
      <c r="GL118" s="564">
        <f t="shared" si="26"/>
        <v>79950</v>
      </c>
      <c r="GM118" s="564">
        <f t="shared" si="27"/>
        <v>79950</v>
      </c>
      <c r="GN118" s="564">
        <f t="shared" si="28"/>
        <v>79950</v>
      </c>
      <c r="GO118" s="564">
        <f t="shared" si="29"/>
        <v>79950</v>
      </c>
      <c r="GP118" s="564"/>
      <c r="GS118" s="375" t="s">
        <v>591</v>
      </c>
      <c r="GT118" s="374" t="str">
        <f t="shared" si="30"/>
        <v>〇</v>
      </c>
    </row>
    <row r="119" spans="2:202">
      <c r="B119" s="371">
        <v>115</v>
      </c>
      <c r="C119" s="378">
        <v>115</v>
      </c>
      <c r="D119" s="373" t="s">
        <v>1973</v>
      </c>
      <c r="E119" s="373" t="s">
        <v>14</v>
      </c>
      <c r="F119" s="603">
        <f t="shared" si="17"/>
        <v>30</v>
      </c>
      <c r="G119" s="603"/>
      <c r="H119" s="603">
        <v>17</v>
      </c>
      <c r="I119" s="603">
        <v>13</v>
      </c>
      <c r="J119" s="603"/>
      <c r="K119" s="603"/>
      <c r="L119" s="603"/>
      <c r="M119" s="603"/>
      <c r="N119" s="608"/>
      <c r="O119" s="603">
        <v>1577000</v>
      </c>
      <c r="P119" s="603">
        <v>0</v>
      </c>
      <c r="Q119" s="603">
        <v>0</v>
      </c>
      <c r="R119" s="603">
        <v>0</v>
      </c>
      <c r="S119" s="603">
        <v>0</v>
      </c>
      <c r="T119" s="603">
        <v>0</v>
      </c>
      <c r="U119" s="603">
        <v>0</v>
      </c>
      <c r="V119" s="603">
        <v>1051000</v>
      </c>
      <c r="W119" s="603">
        <v>0</v>
      </c>
      <c r="X119" s="603">
        <v>0</v>
      </c>
      <c r="Y119" s="603">
        <v>0</v>
      </c>
      <c r="Z119" s="603">
        <v>0</v>
      </c>
      <c r="AA119" s="603">
        <v>0</v>
      </c>
      <c r="AB119" s="603">
        <v>0</v>
      </c>
      <c r="AC119" s="603">
        <v>0</v>
      </c>
      <c r="AD119" s="603">
        <v>0</v>
      </c>
      <c r="AE119" s="603">
        <v>0</v>
      </c>
      <c r="AF119" s="603">
        <v>0</v>
      </c>
      <c r="AG119" s="603">
        <v>0</v>
      </c>
      <c r="AH119" s="603">
        <v>0</v>
      </c>
      <c r="AI119" s="603">
        <v>0</v>
      </c>
      <c r="AJ119" s="604" t="s">
        <v>2377</v>
      </c>
      <c r="AK119" s="605" t="s">
        <v>2378</v>
      </c>
      <c r="AL119" s="605" t="s">
        <v>1545</v>
      </c>
      <c r="AM119" s="606" t="s">
        <v>2108</v>
      </c>
      <c r="AN119" s="609" t="s">
        <v>12</v>
      </c>
      <c r="AO119" s="610" t="s">
        <v>1368</v>
      </c>
      <c r="AP119" s="610" t="s">
        <v>1368</v>
      </c>
      <c r="AQ119" s="610" t="s">
        <v>1368</v>
      </c>
      <c r="AR119" s="610" t="s">
        <v>1368</v>
      </c>
      <c r="AS119" s="610" t="s">
        <v>1368</v>
      </c>
      <c r="AT119" s="610" t="s">
        <v>1368</v>
      </c>
      <c r="AU119" s="610" t="s">
        <v>1368</v>
      </c>
      <c r="AV119" s="610" t="s">
        <v>1368</v>
      </c>
      <c r="AW119" s="610" t="s">
        <v>1368</v>
      </c>
      <c r="AX119" s="610" t="s">
        <v>1368</v>
      </c>
      <c r="AY119" s="610" t="s">
        <v>1368</v>
      </c>
      <c r="AZ119" s="610" t="s">
        <v>1368</v>
      </c>
      <c r="BA119" s="610" t="s">
        <v>1368</v>
      </c>
      <c r="BB119" s="610" t="s">
        <v>1368</v>
      </c>
      <c r="BC119" s="610" t="s">
        <v>1368</v>
      </c>
      <c r="BD119" s="610" t="s">
        <v>1368</v>
      </c>
      <c r="BE119" s="610" t="s">
        <v>1368</v>
      </c>
      <c r="BF119" s="610" t="s">
        <v>1368</v>
      </c>
      <c r="BG119" s="610" t="s">
        <v>1368</v>
      </c>
      <c r="BH119" s="610" t="s">
        <v>1368</v>
      </c>
      <c r="BI119" s="610" t="s">
        <v>1368</v>
      </c>
      <c r="BJ119" s="610" t="s">
        <v>1368</v>
      </c>
      <c r="BK119" s="610" t="s">
        <v>1368</v>
      </c>
      <c r="BL119" s="610" t="s">
        <v>1368</v>
      </c>
      <c r="BM119" s="610">
        <v>0</v>
      </c>
      <c r="BN119" s="610">
        <v>0</v>
      </c>
      <c r="BO119" s="610">
        <v>0</v>
      </c>
      <c r="BP119" s="610">
        <v>0</v>
      </c>
      <c r="BQ119" s="610">
        <v>0</v>
      </c>
      <c r="BR119" s="610">
        <v>0</v>
      </c>
      <c r="BS119" s="610">
        <v>0</v>
      </c>
      <c r="BT119" s="610">
        <v>0</v>
      </c>
      <c r="BU119" s="610">
        <v>0</v>
      </c>
      <c r="BV119" s="610">
        <v>0</v>
      </c>
      <c r="BW119" s="610">
        <v>0</v>
      </c>
      <c r="BX119" s="610">
        <v>0</v>
      </c>
      <c r="BY119" s="610">
        <v>0</v>
      </c>
      <c r="BZ119" s="610">
        <v>0</v>
      </c>
      <c r="CA119" s="610">
        <v>0</v>
      </c>
      <c r="CB119" s="610">
        <v>0</v>
      </c>
      <c r="CC119" s="610">
        <v>0</v>
      </c>
      <c r="CD119" s="610">
        <v>0</v>
      </c>
      <c r="CE119" s="610">
        <v>0</v>
      </c>
      <c r="CF119" s="610">
        <v>0</v>
      </c>
      <c r="CG119" s="610">
        <v>0</v>
      </c>
      <c r="CH119" s="610">
        <v>0</v>
      </c>
      <c r="CI119" s="610">
        <v>0</v>
      </c>
      <c r="CJ119" s="610">
        <v>0</v>
      </c>
      <c r="CK119" s="610">
        <v>0</v>
      </c>
      <c r="CL119" s="610">
        <v>0</v>
      </c>
      <c r="CM119" s="610">
        <v>0</v>
      </c>
      <c r="CN119" s="610">
        <v>0</v>
      </c>
      <c r="CO119" s="610">
        <v>0</v>
      </c>
      <c r="CP119" s="610">
        <v>0</v>
      </c>
      <c r="CQ119" s="610">
        <v>0</v>
      </c>
      <c r="CR119" s="610">
        <v>0</v>
      </c>
      <c r="CS119" s="610">
        <v>0</v>
      </c>
      <c r="CT119" s="610">
        <v>0</v>
      </c>
      <c r="CU119" s="610">
        <v>0</v>
      </c>
      <c r="CV119" s="610">
        <v>0</v>
      </c>
      <c r="CW119" s="610" t="s">
        <v>14</v>
      </c>
      <c r="CX119" s="610">
        <v>0</v>
      </c>
      <c r="CY119" s="610" t="s">
        <v>2449</v>
      </c>
      <c r="CZ119" s="610" t="s">
        <v>2449</v>
      </c>
      <c r="DA119" s="610" t="s">
        <v>2449</v>
      </c>
      <c r="DB119" s="610" t="s">
        <v>2449</v>
      </c>
      <c r="DC119" s="610" t="s">
        <v>2449</v>
      </c>
      <c r="DD119" s="610" t="s">
        <v>2449</v>
      </c>
      <c r="DE119" s="610" t="s">
        <v>2449</v>
      </c>
      <c r="DF119" s="610" t="s">
        <v>2449</v>
      </c>
      <c r="DG119" s="610" t="s">
        <v>2449</v>
      </c>
      <c r="DH119" s="610" t="s">
        <v>2449</v>
      </c>
      <c r="DI119" s="610" t="s">
        <v>2449</v>
      </c>
      <c r="DJ119" s="610" t="s">
        <v>2449</v>
      </c>
      <c r="DK119" s="610" t="s">
        <v>1368</v>
      </c>
      <c r="DL119" s="610" t="s">
        <v>1368</v>
      </c>
      <c r="DM119" s="610" t="s">
        <v>1368</v>
      </c>
      <c r="DN119" s="610" t="s">
        <v>1368</v>
      </c>
      <c r="DO119" s="610" t="s">
        <v>1368</v>
      </c>
      <c r="DP119" s="610" t="s">
        <v>1368</v>
      </c>
      <c r="DQ119" s="610" t="s">
        <v>1368</v>
      </c>
      <c r="DR119" s="610" t="s">
        <v>1368</v>
      </c>
      <c r="DS119" s="610" t="s">
        <v>1368</v>
      </c>
      <c r="DT119" s="610" t="s">
        <v>1368</v>
      </c>
      <c r="DU119" s="610" t="s">
        <v>1368</v>
      </c>
      <c r="DV119" s="610" t="s">
        <v>1368</v>
      </c>
      <c r="DW119" s="609" t="s">
        <v>1368</v>
      </c>
      <c r="DX119" s="609" t="s">
        <v>1368</v>
      </c>
      <c r="DY119" s="609" t="s">
        <v>1368</v>
      </c>
      <c r="DZ119" s="609" t="s">
        <v>1368</v>
      </c>
      <c r="EA119" s="609" t="s">
        <v>1368</v>
      </c>
      <c r="EB119" s="609" t="s">
        <v>1368</v>
      </c>
      <c r="EC119" s="609" t="s">
        <v>1368</v>
      </c>
      <c r="ED119" s="609" t="s">
        <v>1368</v>
      </c>
      <c r="EE119" s="609" t="s">
        <v>1368</v>
      </c>
      <c r="EF119" s="609" t="s">
        <v>1368</v>
      </c>
      <c r="EG119" s="609" t="s">
        <v>1368</v>
      </c>
      <c r="EH119" s="609" t="s">
        <v>1368</v>
      </c>
      <c r="EI119" s="610" t="s">
        <v>1707</v>
      </c>
      <c r="EJ119" s="610" t="s">
        <v>1707</v>
      </c>
      <c r="EK119" s="610" t="s">
        <v>1707</v>
      </c>
      <c r="EL119" s="610" t="s">
        <v>1707</v>
      </c>
      <c r="EM119" s="610" t="s">
        <v>1707</v>
      </c>
      <c r="EN119" s="610" t="s">
        <v>1707</v>
      </c>
      <c r="EO119" s="610" t="s">
        <v>1707</v>
      </c>
      <c r="EP119" s="610" t="s">
        <v>1707</v>
      </c>
      <c r="EQ119" s="610" t="s">
        <v>1707</v>
      </c>
      <c r="ER119" s="610" t="s">
        <v>1707</v>
      </c>
      <c r="ES119" s="610" t="s">
        <v>1707</v>
      </c>
      <c r="ET119" s="610" t="s">
        <v>1707</v>
      </c>
      <c r="EU119" s="610">
        <v>3830</v>
      </c>
      <c r="EV119" s="610" t="s">
        <v>1707</v>
      </c>
      <c r="EW119" s="610" t="s">
        <v>1707</v>
      </c>
      <c r="EX119" s="610" t="s">
        <v>1707</v>
      </c>
      <c r="EY119" s="610" t="s">
        <v>1707</v>
      </c>
      <c r="EZ119" s="610" t="s">
        <v>1707</v>
      </c>
      <c r="FA119" s="610" t="s">
        <v>1707</v>
      </c>
      <c r="FB119" s="610" t="s">
        <v>1707</v>
      </c>
      <c r="FC119" s="610" t="s">
        <v>1707</v>
      </c>
      <c r="FD119" s="610" t="s">
        <v>1707</v>
      </c>
      <c r="FE119" s="610" t="s">
        <v>1707</v>
      </c>
      <c r="FF119" s="610" t="s">
        <v>1707</v>
      </c>
      <c r="FG119" s="610" t="s">
        <v>1707</v>
      </c>
      <c r="FH119" s="610">
        <v>13</v>
      </c>
      <c r="FI119" s="610">
        <v>12</v>
      </c>
      <c r="FJ119" s="610">
        <v>12</v>
      </c>
      <c r="FK119" s="610">
        <v>12</v>
      </c>
      <c r="FL119" s="610">
        <v>12</v>
      </c>
      <c r="FM119" s="610">
        <v>12</v>
      </c>
      <c r="FN119" s="610">
        <v>12</v>
      </c>
      <c r="FO119" s="610">
        <v>12</v>
      </c>
      <c r="FP119" s="610">
        <v>12</v>
      </c>
      <c r="FQ119" s="610">
        <v>12</v>
      </c>
      <c r="FR119" s="610" t="s">
        <v>2489</v>
      </c>
      <c r="FS119" s="610" t="s">
        <v>2489</v>
      </c>
      <c r="FT119" s="610" t="s">
        <v>2489</v>
      </c>
      <c r="FU119" s="610" t="s">
        <v>2489</v>
      </c>
      <c r="FV119" s="610" t="s">
        <v>2489</v>
      </c>
      <c r="FW119" s="610" t="s">
        <v>2489</v>
      </c>
      <c r="FX119" s="610" t="s">
        <v>2489</v>
      </c>
      <c r="FY119" s="610" t="s">
        <v>2489</v>
      </c>
      <c r="FZ119" s="610" t="s">
        <v>2489</v>
      </c>
      <c r="GA119" s="610" t="s">
        <v>2489</v>
      </c>
      <c r="GB119" s="610" t="s">
        <v>2489</v>
      </c>
      <c r="GC119" s="610" t="s">
        <v>2489</v>
      </c>
      <c r="GD119" s="564" t="str">
        <f t="shared" si="18"/>
        <v/>
      </c>
      <c r="GE119" s="564" t="str">
        <f t="shared" si="19"/>
        <v/>
      </c>
      <c r="GF119" s="564" t="str">
        <f t="shared" si="20"/>
        <v/>
      </c>
      <c r="GG119" s="564" t="str">
        <f t="shared" si="21"/>
        <v/>
      </c>
      <c r="GH119" s="564" t="str">
        <f t="shared" si="22"/>
        <v/>
      </c>
      <c r="GI119" s="564" t="str">
        <f t="shared" si="23"/>
        <v/>
      </c>
      <c r="GJ119" s="564" t="str">
        <f t="shared" si="24"/>
        <v/>
      </c>
      <c r="GK119" s="564" t="str">
        <f t="shared" si="25"/>
        <v/>
      </c>
      <c r="GL119" s="564" t="str">
        <f t="shared" si="26"/>
        <v/>
      </c>
      <c r="GM119" s="564" t="str">
        <f t="shared" si="27"/>
        <v/>
      </c>
      <c r="GN119" s="564" t="str">
        <f t="shared" si="28"/>
        <v/>
      </c>
      <c r="GO119" s="564" t="str">
        <f t="shared" si="29"/>
        <v/>
      </c>
      <c r="GP119" s="564"/>
      <c r="GS119" s="375" t="s">
        <v>555</v>
      </c>
      <c r="GT119" s="374" t="str">
        <f t="shared" si="30"/>
        <v>✕</v>
      </c>
    </row>
    <row r="120" spans="2:202">
      <c r="B120" s="371">
        <v>116</v>
      </c>
      <c r="C120" s="378">
        <v>116</v>
      </c>
      <c r="D120" s="373" t="s">
        <v>586</v>
      </c>
      <c r="E120" s="373" t="s">
        <v>14</v>
      </c>
      <c r="F120" s="603">
        <f t="shared" si="17"/>
        <v>59</v>
      </c>
      <c r="G120" s="603"/>
      <c r="H120" s="603">
        <v>30</v>
      </c>
      <c r="I120" s="603">
        <v>29</v>
      </c>
      <c r="J120" s="603"/>
      <c r="K120" s="603"/>
      <c r="L120" s="603"/>
      <c r="M120" s="603"/>
      <c r="N120" s="608"/>
      <c r="O120" s="603">
        <v>1577000</v>
      </c>
      <c r="P120" s="603">
        <v>2721000</v>
      </c>
      <c r="Q120" s="603">
        <v>2721000</v>
      </c>
      <c r="R120" s="603">
        <v>1791000</v>
      </c>
      <c r="S120" s="603">
        <v>0</v>
      </c>
      <c r="T120" s="603">
        <v>0</v>
      </c>
      <c r="U120" s="603">
        <v>0</v>
      </c>
      <c r="V120" s="603">
        <v>1051000</v>
      </c>
      <c r="W120" s="603">
        <v>1814000</v>
      </c>
      <c r="X120" s="603">
        <v>1814000</v>
      </c>
      <c r="Y120" s="603">
        <v>1194000</v>
      </c>
      <c r="Z120" s="603">
        <v>0</v>
      </c>
      <c r="AA120" s="603">
        <v>0</v>
      </c>
      <c r="AB120" s="603">
        <v>0</v>
      </c>
      <c r="AC120" s="603">
        <v>0</v>
      </c>
      <c r="AD120" s="603">
        <v>0</v>
      </c>
      <c r="AE120" s="603">
        <v>0</v>
      </c>
      <c r="AF120" s="603">
        <v>0</v>
      </c>
      <c r="AG120" s="603">
        <v>0</v>
      </c>
      <c r="AH120" s="603">
        <v>0</v>
      </c>
      <c r="AI120" s="603">
        <v>0</v>
      </c>
      <c r="AJ120" s="604" t="s">
        <v>2377</v>
      </c>
      <c r="AK120" s="605" t="s">
        <v>2378</v>
      </c>
      <c r="AL120" s="605" t="s">
        <v>1545</v>
      </c>
      <c r="AM120" s="606" t="s">
        <v>2109</v>
      </c>
      <c r="AN120" s="609" t="s">
        <v>12</v>
      </c>
      <c r="AO120" s="610" t="s">
        <v>13</v>
      </c>
      <c r="AP120" s="610" t="s">
        <v>13</v>
      </c>
      <c r="AQ120" s="610" t="s">
        <v>13</v>
      </c>
      <c r="AR120" s="610" t="s">
        <v>13</v>
      </c>
      <c r="AS120" s="610" t="s">
        <v>13</v>
      </c>
      <c r="AT120" s="610" t="s">
        <v>13</v>
      </c>
      <c r="AU120" s="610" t="s">
        <v>13</v>
      </c>
      <c r="AV120" s="610" t="s">
        <v>13</v>
      </c>
      <c r="AW120" s="610" t="s">
        <v>13</v>
      </c>
      <c r="AX120" s="610" t="s">
        <v>13</v>
      </c>
      <c r="AY120" s="610" t="s">
        <v>13</v>
      </c>
      <c r="AZ120" s="610" t="s">
        <v>13</v>
      </c>
      <c r="BA120" s="610" t="s">
        <v>14</v>
      </c>
      <c r="BB120" s="610" t="s">
        <v>14</v>
      </c>
      <c r="BC120" s="610" t="s">
        <v>14</v>
      </c>
      <c r="BD120" s="610" t="s">
        <v>14</v>
      </c>
      <c r="BE120" s="610" t="s">
        <v>14</v>
      </c>
      <c r="BF120" s="610" t="s">
        <v>14</v>
      </c>
      <c r="BG120" s="610" t="s">
        <v>14</v>
      </c>
      <c r="BH120" s="610" t="s">
        <v>14</v>
      </c>
      <c r="BI120" s="610" t="s">
        <v>14</v>
      </c>
      <c r="BJ120" s="610" t="s">
        <v>14</v>
      </c>
      <c r="BK120" s="610" t="s">
        <v>14</v>
      </c>
      <c r="BL120" s="610" t="s">
        <v>14</v>
      </c>
      <c r="BM120" s="610">
        <v>1</v>
      </c>
      <c r="BN120" s="610">
        <v>1</v>
      </c>
      <c r="BO120" s="610">
        <v>1</v>
      </c>
      <c r="BP120" s="610">
        <v>1</v>
      </c>
      <c r="BQ120" s="610">
        <v>1</v>
      </c>
      <c r="BR120" s="610">
        <v>1</v>
      </c>
      <c r="BS120" s="610">
        <v>1</v>
      </c>
      <c r="BT120" s="610">
        <v>1</v>
      </c>
      <c r="BU120" s="610">
        <v>1</v>
      </c>
      <c r="BV120" s="610">
        <v>1</v>
      </c>
      <c r="BW120" s="610">
        <v>1</v>
      </c>
      <c r="BX120" s="610">
        <v>1</v>
      </c>
      <c r="BY120" s="610">
        <v>0</v>
      </c>
      <c r="BZ120" s="610">
        <v>0</v>
      </c>
      <c r="CA120" s="610">
        <v>0</v>
      </c>
      <c r="CB120" s="610">
        <v>0</v>
      </c>
      <c r="CC120" s="610">
        <v>0</v>
      </c>
      <c r="CD120" s="610">
        <v>0</v>
      </c>
      <c r="CE120" s="610">
        <v>0</v>
      </c>
      <c r="CF120" s="610">
        <v>0</v>
      </c>
      <c r="CG120" s="610">
        <v>0</v>
      </c>
      <c r="CH120" s="610">
        <v>0</v>
      </c>
      <c r="CI120" s="610">
        <v>0</v>
      </c>
      <c r="CJ120" s="610">
        <v>0</v>
      </c>
      <c r="CK120" s="610">
        <v>0</v>
      </c>
      <c r="CL120" s="610">
        <v>0</v>
      </c>
      <c r="CM120" s="610">
        <v>0</v>
      </c>
      <c r="CN120" s="610">
        <v>0</v>
      </c>
      <c r="CO120" s="610">
        <v>0</v>
      </c>
      <c r="CP120" s="610">
        <v>0</v>
      </c>
      <c r="CQ120" s="610">
        <v>0</v>
      </c>
      <c r="CR120" s="610">
        <v>0</v>
      </c>
      <c r="CS120" s="610">
        <v>0</v>
      </c>
      <c r="CT120" s="610">
        <v>0</v>
      </c>
      <c r="CU120" s="610">
        <v>0</v>
      </c>
      <c r="CV120" s="610">
        <v>0</v>
      </c>
      <c r="CW120" s="610" t="s">
        <v>14</v>
      </c>
      <c r="CX120" s="610">
        <v>0</v>
      </c>
      <c r="CY120" s="610" t="s">
        <v>1707</v>
      </c>
      <c r="CZ120" s="610" t="s">
        <v>1707</v>
      </c>
      <c r="DA120" s="610" t="s">
        <v>1707</v>
      </c>
      <c r="DB120" s="610" t="s">
        <v>1707</v>
      </c>
      <c r="DC120" s="610" t="s">
        <v>1707</v>
      </c>
      <c r="DD120" s="610" t="s">
        <v>1707</v>
      </c>
      <c r="DE120" s="610" t="s">
        <v>1707</v>
      </c>
      <c r="DF120" s="610" t="s">
        <v>1707</v>
      </c>
      <c r="DG120" s="610" t="s">
        <v>1707</v>
      </c>
      <c r="DH120" s="610" t="s">
        <v>1707</v>
      </c>
      <c r="DI120" s="610" t="s">
        <v>1707</v>
      </c>
      <c r="DJ120" s="610" t="s">
        <v>1707</v>
      </c>
      <c r="DK120" s="610" t="s">
        <v>1368</v>
      </c>
      <c r="DL120" s="610" t="s">
        <v>1368</v>
      </c>
      <c r="DM120" s="610" t="s">
        <v>1368</v>
      </c>
      <c r="DN120" s="610" t="s">
        <v>1368</v>
      </c>
      <c r="DO120" s="610" t="s">
        <v>1368</v>
      </c>
      <c r="DP120" s="610" t="s">
        <v>1368</v>
      </c>
      <c r="DQ120" s="610" t="s">
        <v>1368</v>
      </c>
      <c r="DR120" s="610" t="s">
        <v>1368</v>
      </c>
      <c r="DS120" s="610" t="s">
        <v>1368</v>
      </c>
      <c r="DT120" s="610" t="s">
        <v>1368</v>
      </c>
      <c r="DU120" s="610" t="s">
        <v>1368</v>
      </c>
      <c r="DV120" s="610" t="s">
        <v>1368</v>
      </c>
      <c r="DW120" s="609" t="s">
        <v>1368</v>
      </c>
      <c r="DX120" s="609" t="s">
        <v>1368</v>
      </c>
      <c r="DY120" s="609" t="s">
        <v>1368</v>
      </c>
      <c r="DZ120" s="609" t="s">
        <v>1368</v>
      </c>
      <c r="EA120" s="609" t="s">
        <v>1368</v>
      </c>
      <c r="EB120" s="609" t="s">
        <v>1368</v>
      </c>
      <c r="EC120" s="609" t="s">
        <v>1368</v>
      </c>
      <c r="ED120" s="609" t="s">
        <v>1368</v>
      </c>
      <c r="EE120" s="609" t="s">
        <v>1368</v>
      </c>
      <c r="EF120" s="609" t="s">
        <v>1368</v>
      </c>
      <c r="EG120" s="609" t="s">
        <v>1368</v>
      </c>
      <c r="EH120" s="609" t="s">
        <v>1368</v>
      </c>
      <c r="EI120" s="610" t="s">
        <v>1707</v>
      </c>
      <c r="EJ120" s="610" t="s">
        <v>1707</v>
      </c>
      <c r="EK120" s="610" t="s">
        <v>1707</v>
      </c>
      <c r="EL120" s="610" t="s">
        <v>1707</v>
      </c>
      <c r="EM120" s="610" t="s">
        <v>1707</v>
      </c>
      <c r="EN120" s="610" t="s">
        <v>1707</v>
      </c>
      <c r="EO120" s="610" t="s">
        <v>1707</v>
      </c>
      <c r="EP120" s="610" t="s">
        <v>1707</v>
      </c>
      <c r="EQ120" s="610" t="s">
        <v>1707</v>
      </c>
      <c r="ER120" s="610" t="s">
        <v>1707</v>
      </c>
      <c r="ES120" s="610" t="s">
        <v>1707</v>
      </c>
      <c r="ET120" s="610" t="s">
        <v>1707</v>
      </c>
      <c r="EU120" s="610">
        <v>4010</v>
      </c>
      <c r="EV120" s="610" t="s">
        <v>1707</v>
      </c>
      <c r="EW120" s="610" t="s">
        <v>1707</v>
      </c>
      <c r="EX120" s="610" t="s">
        <v>1707</v>
      </c>
      <c r="EY120" s="610" t="s">
        <v>1707</v>
      </c>
      <c r="EZ120" s="610" t="s">
        <v>1707</v>
      </c>
      <c r="FA120" s="610" t="s">
        <v>1707</v>
      </c>
      <c r="FB120" s="610" t="s">
        <v>1707</v>
      </c>
      <c r="FC120" s="610" t="s">
        <v>1707</v>
      </c>
      <c r="FD120" s="610" t="s">
        <v>1707</v>
      </c>
      <c r="FE120" s="610" t="s">
        <v>1707</v>
      </c>
      <c r="FF120" s="610" t="s">
        <v>1707</v>
      </c>
      <c r="FG120" s="610" t="s">
        <v>1707</v>
      </c>
      <c r="FH120" s="610">
        <v>24</v>
      </c>
      <c r="FI120" s="610">
        <v>24</v>
      </c>
      <c r="FJ120" s="610">
        <v>24</v>
      </c>
      <c r="FK120" s="610">
        <v>24</v>
      </c>
      <c r="FL120" s="610">
        <v>24</v>
      </c>
      <c r="FM120" s="610">
        <v>24</v>
      </c>
      <c r="FN120" s="610">
        <v>24</v>
      </c>
      <c r="FO120" s="610">
        <v>24</v>
      </c>
      <c r="FP120" s="610">
        <v>24</v>
      </c>
      <c r="FQ120" s="610">
        <v>24</v>
      </c>
      <c r="FR120" s="610" t="s">
        <v>2487</v>
      </c>
      <c r="FS120" s="610" t="s">
        <v>2487</v>
      </c>
      <c r="FT120" s="610" t="s">
        <v>2487</v>
      </c>
      <c r="FU120" s="610" t="s">
        <v>2487</v>
      </c>
      <c r="FV120" s="610" t="s">
        <v>2487</v>
      </c>
      <c r="FW120" s="610" t="s">
        <v>2487</v>
      </c>
      <c r="FX120" s="610" t="s">
        <v>2487</v>
      </c>
      <c r="FY120" s="610" t="s">
        <v>2487</v>
      </c>
      <c r="FZ120" s="610" t="s">
        <v>2487</v>
      </c>
      <c r="GA120" s="610" t="s">
        <v>2487</v>
      </c>
      <c r="GB120" s="610" t="s">
        <v>2487</v>
      </c>
      <c r="GC120" s="610" t="s">
        <v>2487</v>
      </c>
      <c r="GD120" s="564">
        <f t="shared" si="18"/>
        <v>79950</v>
      </c>
      <c r="GE120" s="564">
        <f t="shared" si="19"/>
        <v>79950</v>
      </c>
      <c r="GF120" s="564">
        <f t="shared" si="20"/>
        <v>79950</v>
      </c>
      <c r="GG120" s="564">
        <f t="shared" si="21"/>
        <v>79950</v>
      </c>
      <c r="GH120" s="564">
        <f t="shared" si="22"/>
        <v>79950</v>
      </c>
      <c r="GI120" s="564">
        <f t="shared" si="23"/>
        <v>79950</v>
      </c>
      <c r="GJ120" s="564">
        <f t="shared" si="24"/>
        <v>79950</v>
      </c>
      <c r="GK120" s="564">
        <f t="shared" si="25"/>
        <v>79950</v>
      </c>
      <c r="GL120" s="564">
        <f t="shared" si="26"/>
        <v>79950</v>
      </c>
      <c r="GM120" s="564">
        <f t="shared" si="27"/>
        <v>79950</v>
      </c>
      <c r="GN120" s="564">
        <f t="shared" si="28"/>
        <v>79950</v>
      </c>
      <c r="GO120" s="564">
        <f t="shared" si="29"/>
        <v>79950</v>
      </c>
      <c r="GP120" s="564"/>
      <c r="GS120" s="375" t="s">
        <v>586</v>
      </c>
      <c r="GT120" s="374" t="str">
        <f t="shared" si="30"/>
        <v>〇</v>
      </c>
    </row>
    <row r="121" spans="2:202">
      <c r="B121" s="371">
        <v>117</v>
      </c>
      <c r="C121" s="378">
        <v>117</v>
      </c>
      <c r="D121" s="373" t="s">
        <v>1502</v>
      </c>
      <c r="E121" s="373" t="s">
        <v>14</v>
      </c>
      <c r="F121" s="603">
        <f t="shared" si="17"/>
        <v>90</v>
      </c>
      <c r="G121" s="603"/>
      <c r="H121" s="565">
        <v>54</v>
      </c>
      <c r="I121" s="565">
        <v>36</v>
      </c>
      <c r="J121" s="603"/>
      <c r="K121" s="603"/>
      <c r="L121" s="603"/>
      <c r="M121" s="603"/>
      <c r="N121" s="608"/>
      <c r="O121" s="603">
        <v>1577000</v>
      </c>
      <c r="P121" s="603">
        <v>2721000</v>
      </c>
      <c r="Q121" s="603">
        <v>2721000</v>
      </c>
      <c r="R121" s="603">
        <v>1791000</v>
      </c>
      <c r="S121" s="603">
        <v>0</v>
      </c>
      <c r="T121" s="603">
        <v>2181000</v>
      </c>
      <c r="U121" s="603">
        <v>0</v>
      </c>
      <c r="V121" s="603">
        <v>1051000</v>
      </c>
      <c r="W121" s="603">
        <v>1814000</v>
      </c>
      <c r="X121" s="603">
        <v>1814000</v>
      </c>
      <c r="Y121" s="603">
        <v>1194000</v>
      </c>
      <c r="Z121" s="603">
        <v>0</v>
      </c>
      <c r="AA121" s="603">
        <v>1454000</v>
      </c>
      <c r="AB121" s="603">
        <v>0</v>
      </c>
      <c r="AC121" s="603">
        <v>526000</v>
      </c>
      <c r="AD121" s="603">
        <v>907000</v>
      </c>
      <c r="AE121" s="603">
        <v>907000</v>
      </c>
      <c r="AF121" s="603">
        <v>597000</v>
      </c>
      <c r="AG121" s="603">
        <v>0</v>
      </c>
      <c r="AH121" s="603">
        <v>727000</v>
      </c>
      <c r="AI121" s="603">
        <v>0</v>
      </c>
      <c r="AJ121" s="604" t="s">
        <v>2377</v>
      </c>
      <c r="AK121" s="605" t="s">
        <v>2378</v>
      </c>
      <c r="AL121" s="605" t="s">
        <v>2490</v>
      </c>
      <c r="AM121" s="606" t="s">
        <v>2110</v>
      </c>
      <c r="AN121" s="609" t="s">
        <v>12</v>
      </c>
      <c r="AO121" s="610" t="s">
        <v>1368</v>
      </c>
      <c r="AP121" s="610" t="s">
        <v>1368</v>
      </c>
      <c r="AQ121" s="610" t="s">
        <v>1368</v>
      </c>
      <c r="AR121" s="610" t="s">
        <v>1368</v>
      </c>
      <c r="AS121" s="610" t="s">
        <v>1368</v>
      </c>
      <c r="AT121" s="610" t="s">
        <v>1368</v>
      </c>
      <c r="AU121" s="610" t="s">
        <v>1368</v>
      </c>
      <c r="AV121" s="610" t="s">
        <v>1368</v>
      </c>
      <c r="AW121" s="610" t="s">
        <v>1368</v>
      </c>
      <c r="AX121" s="610" t="s">
        <v>1368</v>
      </c>
      <c r="AY121" s="610" t="s">
        <v>1368</v>
      </c>
      <c r="AZ121" s="610" t="s">
        <v>1368</v>
      </c>
      <c r="BA121" s="610" t="s">
        <v>1368</v>
      </c>
      <c r="BB121" s="610" t="s">
        <v>1368</v>
      </c>
      <c r="BC121" s="610" t="s">
        <v>1368</v>
      </c>
      <c r="BD121" s="610" t="s">
        <v>1368</v>
      </c>
      <c r="BE121" s="610" t="s">
        <v>1368</v>
      </c>
      <c r="BF121" s="610" t="s">
        <v>1368</v>
      </c>
      <c r="BG121" s="610" t="s">
        <v>1368</v>
      </c>
      <c r="BH121" s="610" t="s">
        <v>1368</v>
      </c>
      <c r="BI121" s="610" t="s">
        <v>1368</v>
      </c>
      <c r="BJ121" s="610" t="s">
        <v>1368</v>
      </c>
      <c r="BK121" s="610" t="s">
        <v>1368</v>
      </c>
      <c r="BL121" s="610" t="s">
        <v>1368</v>
      </c>
      <c r="BM121" s="610">
        <v>1</v>
      </c>
      <c r="BN121" s="610">
        <v>2</v>
      </c>
      <c r="BO121" s="610">
        <v>2</v>
      </c>
      <c r="BP121" s="610">
        <v>2</v>
      </c>
      <c r="BQ121" s="610">
        <v>2</v>
      </c>
      <c r="BR121" s="610">
        <v>2</v>
      </c>
      <c r="BS121" s="610">
        <v>2</v>
      </c>
      <c r="BT121" s="610">
        <v>2</v>
      </c>
      <c r="BU121" s="610">
        <v>2</v>
      </c>
      <c r="BV121" s="610">
        <v>2</v>
      </c>
      <c r="BW121" s="610">
        <v>2</v>
      </c>
      <c r="BX121" s="610">
        <v>2</v>
      </c>
      <c r="BY121" s="610">
        <v>0</v>
      </c>
      <c r="BZ121" s="610">
        <v>0</v>
      </c>
      <c r="CA121" s="610">
        <v>0</v>
      </c>
      <c r="CB121" s="610">
        <v>0</v>
      </c>
      <c r="CC121" s="610">
        <v>0</v>
      </c>
      <c r="CD121" s="610">
        <v>0</v>
      </c>
      <c r="CE121" s="610">
        <v>0</v>
      </c>
      <c r="CF121" s="610">
        <v>0</v>
      </c>
      <c r="CG121" s="610">
        <v>0</v>
      </c>
      <c r="CH121" s="610">
        <v>0</v>
      </c>
      <c r="CI121" s="610">
        <v>0</v>
      </c>
      <c r="CJ121" s="610">
        <v>0</v>
      </c>
      <c r="CK121" s="610">
        <v>0</v>
      </c>
      <c r="CL121" s="610">
        <v>0</v>
      </c>
      <c r="CM121" s="610">
        <v>0</v>
      </c>
      <c r="CN121" s="610">
        <v>0</v>
      </c>
      <c r="CO121" s="610">
        <v>0</v>
      </c>
      <c r="CP121" s="610">
        <v>0</v>
      </c>
      <c r="CQ121" s="610">
        <v>0</v>
      </c>
      <c r="CR121" s="610">
        <v>0</v>
      </c>
      <c r="CS121" s="610">
        <v>0</v>
      </c>
      <c r="CT121" s="610">
        <v>0</v>
      </c>
      <c r="CU121" s="610">
        <v>0</v>
      </c>
      <c r="CV121" s="610">
        <v>0</v>
      </c>
      <c r="CW121" s="610" t="s">
        <v>14</v>
      </c>
      <c r="CX121" s="610">
        <v>0</v>
      </c>
      <c r="CY121" s="610" t="s">
        <v>1707</v>
      </c>
      <c r="CZ121" s="610" t="s">
        <v>1707</v>
      </c>
      <c r="DA121" s="610" t="s">
        <v>1707</v>
      </c>
      <c r="DB121" s="610" t="s">
        <v>1707</v>
      </c>
      <c r="DC121" s="610" t="s">
        <v>1707</v>
      </c>
      <c r="DD121" s="610" t="s">
        <v>1707</v>
      </c>
      <c r="DE121" s="610" t="s">
        <v>1707</v>
      </c>
      <c r="DF121" s="610" t="s">
        <v>1707</v>
      </c>
      <c r="DG121" s="610" t="s">
        <v>1707</v>
      </c>
      <c r="DH121" s="610" t="s">
        <v>1707</v>
      </c>
      <c r="DI121" s="610" t="s">
        <v>1707</v>
      </c>
      <c r="DJ121" s="610" t="s">
        <v>1707</v>
      </c>
      <c r="DK121" s="610" t="s">
        <v>1368</v>
      </c>
      <c r="DL121" s="610" t="s">
        <v>1368</v>
      </c>
      <c r="DM121" s="610" t="s">
        <v>1368</v>
      </c>
      <c r="DN121" s="610" t="s">
        <v>1368</v>
      </c>
      <c r="DO121" s="610" t="s">
        <v>1368</v>
      </c>
      <c r="DP121" s="610" t="s">
        <v>1368</v>
      </c>
      <c r="DQ121" s="610" t="s">
        <v>1368</v>
      </c>
      <c r="DR121" s="610" t="s">
        <v>1368</v>
      </c>
      <c r="DS121" s="610" t="s">
        <v>1368</v>
      </c>
      <c r="DT121" s="610" t="s">
        <v>1368</v>
      </c>
      <c r="DU121" s="610" t="s">
        <v>1368</v>
      </c>
      <c r="DV121" s="610" t="s">
        <v>1368</v>
      </c>
      <c r="DW121" s="609" t="s">
        <v>1368</v>
      </c>
      <c r="DX121" s="609" t="s">
        <v>1368</v>
      </c>
      <c r="DY121" s="609" t="s">
        <v>1368</v>
      </c>
      <c r="DZ121" s="609" t="s">
        <v>1368</v>
      </c>
      <c r="EA121" s="609" t="s">
        <v>1368</v>
      </c>
      <c r="EB121" s="609" t="s">
        <v>1368</v>
      </c>
      <c r="EC121" s="609" t="s">
        <v>1368</v>
      </c>
      <c r="ED121" s="609" t="s">
        <v>1368</v>
      </c>
      <c r="EE121" s="609" t="s">
        <v>1368</v>
      </c>
      <c r="EF121" s="609" t="s">
        <v>1368</v>
      </c>
      <c r="EG121" s="609" t="s">
        <v>1368</v>
      </c>
      <c r="EH121" s="609" t="s">
        <v>1368</v>
      </c>
      <c r="EI121" s="610" t="s">
        <v>1707</v>
      </c>
      <c r="EJ121" s="610" t="s">
        <v>1707</v>
      </c>
      <c r="EK121" s="610" t="s">
        <v>1707</v>
      </c>
      <c r="EL121" s="610" t="s">
        <v>1707</v>
      </c>
      <c r="EM121" s="610" t="s">
        <v>1707</v>
      </c>
      <c r="EN121" s="610" t="s">
        <v>1707</v>
      </c>
      <c r="EO121" s="610" t="s">
        <v>1707</v>
      </c>
      <c r="EP121" s="610" t="s">
        <v>1707</v>
      </c>
      <c r="EQ121" s="610" t="s">
        <v>1707</v>
      </c>
      <c r="ER121" s="610" t="s">
        <v>1707</v>
      </c>
      <c r="ES121" s="610" t="s">
        <v>1707</v>
      </c>
      <c r="ET121" s="610" t="s">
        <v>1707</v>
      </c>
      <c r="EU121" s="610">
        <v>4070</v>
      </c>
      <c r="EV121" s="610" t="s">
        <v>1707</v>
      </c>
      <c r="EW121" s="610" t="s">
        <v>1707</v>
      </c>
      <c r="EX121" s="610" t="s">
        <v>1707</v>
      </c>
      <c r="EY121" s="610" t="s">
        <v>1707</v>
      </c>
      <c r="EZ121" s="610" t="s">
        <v>1707</v>
      </c>
      <c r="FA121" s="610" t="s">
        <v>1707</v>
      </c>
      <c r="FB121" s="610" t="s">
        <v>1707</v>
      </c>
      <c r="FC121" s="610" t="s">
        <v>1707</v>
      </c>
      <c r="FD121" s="610" t="s">
        <v>1707</v>
      </c>
      <c r="FE121" s="610" t="s">
        <v>1707</v>
      </c>
      <c r="FF121" s="610" t="s">
        <v>1707</v>
      </c>
      <c r="FG121" s="610" t="s">
        <v>1707</v>
      </c>
      <c r="FH121" s="610">
        <v>36</v>
      </c>
      <c r="FI121" s="610">
        <v>36</v>
      </c>
      <c r="FJ121" s="610">
        <v>36</v>
      </c>
      <c r="FK121" s="610">
        <v>36</v>
      </c>
      <c r="FL121" s="610">
        <v>36</v>
      </c>
      <c r="FM121" s="610">
        <v>36</v>
      </c>
      <c r="FN121" s="610">
        <v>36</v>
      </c>
      <c r="FO121" s="610">
        <v>36</v>
      </c>
      <c r="FP121" s="610">
        <v>36</v>
      </c>
      <c r="FQ121" s="610">
        <v>36</v>
      </c>
      <c r="FR121" s="610" t="s">
        <v>2487</v>
      </c>
      <c r="FS121" s="610" t="s">
        <v>2487</v>
      </c>
      <c r="FT121" s="610" t="s">
        <v>2487</v>
      </c>
      <c r="FU121" s="610" t="s">
        <v>2487</v>
      </c>
      <c r="FV121" s="610" t="s">
        <v>2487</v>
      </c>
      <c r="FW121" s="610" t="s">
        <v>2487</v>
      </c>
      <c r="FX121" s="610" t="s">
        <v>2487</v>
      </c>
      <c r="FY121" s="610" t="s">
        <v>2487</v>
      </c>
      <c r="FZ121" s="610" t="s">
        <v>2487</v>
      </c>
      <c r="GA121" s="610" t="s">
        <v>2487</v>
      </c>
      <c r="GB121" s="610" t="s">
        <v>2487</v>
      </c>
      <c r="GC121" s="610" t="s">
        <v>2487</v>
      </c>
      <c r="GD121" s="564">
        <f t="shared" si="18"/>
        <v>79950</v>
      </c>
      <c r="GE121" s="564">
        <f t="shared" si="19"/>
        <v>79950</v>
      </c>
      <c r="GF121" s="564">
        <f t="shared" si="20"/>
        <v>79950</v>
      </c>
      <c r="GG121" s="564">
        <f t="shared" si="21"/>
        <v>79950</v>
      </c>
      <c r="GH121" s="564">
        <f t="shared" si="22"/>
        <v>79950</v>
      </c>
      <c r="GI121" s="564">
        <f t="shared" si="23"/>
        <v>79950</v>
      </c>
      <c r="GJ121" s="564">
        <f t="shared" si="24"/>
        <v>79950</v>
      </c>
      <c r="GK121" s="564">
        <f t="shared" si="25"/>
        <v>79950</v>
      </c>
      <c r="GL121" s="564">
        <f t="shared" si="26"/>
        <v>79950</v>
      </c>
      <c r="GM121" s="564">
        <f t="shared" si="27"/>
        <v>79950</v>
      </c>
      <c r="GN121" s="564">
        <f t="shared" si="28"/>
        <v>79950</v>
      </c>
      <c r="GO121" s="564">
        <f t="shared" si="29"/>
        <v>79950</v>
      </c>
      <c r="GP121" s="564"/>
      <c r="GS121" s="375" t="s">
        <v>1502</v>
      </c>
      <c r="GT121" s="374" t="str">
        <f t="shared" si="30"/>
        <v>〇</v>
      </c>
    </row>
    <row r="122" spans="2:202">
      <c r="B122" s="371">
        <v>118</v>
      </c>
      <c r="C122" s="378">
        <v>118</v>
      </c>
      <c r="D122" s="373" t="s">
        <v>1503</v>
      </c>
      <c r="E122" s="373" t="s">
        <v>14</v>
      </c>
      <c r="F122" s="603">
        <f t="shared" si="17"/>
        <v>59</v>
      </c>
      <c r="G122" s="603"/>
      <c r="H122" s="603">
        <v>33</v>
      </c>
      <c r="I122" s="603">
        <v>26</v>
      </c>
      <c r="J122" s="603"/>
      <c r="K122" s="603"/>
      <c r="L122" s="603"/>
      <c r="M122" s="603"/>
      <c r="N122" s="608"/>
      <c r="O122" s="603">
        <v>1577000</v>
      </c>
      <c r="P122" s="603">
        <v>2721000</v>
      </c>
      <c r="Q122" s="603">
        <v>0</v>
      </c>
      <c r="R122" s="603">
        <v>1188000</v>
      </c>
      <c r="S122" s="603">
        <v>0</v>
      </c>
      <c r="T122" s="603">
        <v>0</v>
      </c>
      <c r="U122" s="603">
        <v>0</v>
      </c>
      <c r="V122" s="603">
        <v>1051000</v>
      </c>
      <c r="W122" s="603">
        <v>1814000</v>
      </c>
      <c r="X122" s="603">
        <v>0</v>
      </c>
      <c r="Y122" s="603">
        <v>792000</v>
      </c>
      <c r="Z122" s="603">
        <v>0</v>
      </c>
      <c r="AA122" s="603">
        <v>0</v>
      </c>
      <c r="AB122" s="603">
        <v>0</v>
      </c>
      <c r="AC122" s="603">
        <v>526000</v>
      </c>
      <c r="AD122" s="603">
        <v>907000</v>
      </c>
      <c r="AE122" s="603">
        <v>0</v>
      </c>
      <c r="AF122" s="603">
        <v>396000</v>
      </c>
      <c r="AG122" s="603">
        <v>0</v>
      </c>
      <c r="AH122" s="603">
        <v>0</v>
      </c>
      <c r="AI122" s="603">
        <v>0</v>
      </c>
      <c r="AJ122" s="604" t="s">
        <v>2377</v>
      </c>
      <c r="AK122" s="605" t="s">
        <v>2378</v>
      </c>
      <c r="AL122" s="605" t="s">
        <v>2490</v>
      </c>
      <c r="AM122" s="606" t="s">
        <v>2111</v>
      </c>
      <c r="AN122" s="609" t="s">
        <v>12</v>
      </c>
      <c r="AO122" s="610" t="s">
        <v>1368</v>
      </c>
      <c r="AP122" s="610" t="s">
        <v>1368</v>
      </c>
      <c r="AQ122" s="610" t="s">
        <v>1368</v>
      </c>
      <c r="AR122" s="610" t="s">
        <v>1368</v>
      </c>
      <c r="AS122" s="610" t="s">
        <v>1368</v>
      </c>
      <c r="AT122" s="610" t="s">
        <v>1368</v>
      </c>
      <c r="AU122" s="610" t="s">
        <v>1368</v>
      </c>
      <c r="AV122" s="610" t="s">
        <v>1368</v>
      </c>
      <c r="AW122" s="610" t="s">
        <v>1368</v>
      </c>
      <c r="AX122" s="610" t="s">
        <v>1368</v>
      </c>
      <c r="AY122" s="610" t="s">
        <v>1368</v>
      </c>
      <c r="AZ122" s="610" t="s">
        <v>1368</v>
      </c>
      <c r="BA122" s="610" t="s">
        <v>1368</v>
      </c>
      <c r="BB122" s="610" t="s">
        <v>1368</v>
      </c>
      <c r="BC122" s="610" t="s">
        <v>1368</v>
      </c>
      <c r="BD122" s="610" t="s">
        <v>1368</v>
      </c>
      <c r="BE122" s="610" t="s">
        <v>1368</v>
      </c>
      <c r="BF122" s="610" t="s">
        <v>1368</v>
      </c>
      <c r="BG122" s="610" t="s">
        <v>1368</v>
      </c>
      <c r="BH122" s="610" t="s">
        <v>1368</v>
      </c>
      <c r="BI122" s="610" t="s">
        <v>1368</v>
      </c>
      <c r="BJ122" s="610" t="s">
        <v>1368</v>
      </c>
      <c r="BK122" s="610" t="s">
        <v>1368</v>
      </c>
      <c r="BL122" s="610" t="s">
        <v>1368</v>
      </c>
      <c r="BM122" s="610">
        <v>1</v>
      </c>
      <c r="BN122" s="610">
        <v>1</v>
      </c>
      <c r="BO122" s="610">
        <v>1</v>
      </c>
      <c r="BP122" s="610">
        <v>1</v>
      </c>
      <c r="BQ122" s="610">
        <v>1</v>
      </c>
      <c r="BR122" s="610">
        <v>1</v>
      </c>
      <c r="BS122" s="610">
        <v>1</v>
      </c>
      <c r="BT122" s="610">
        <v>1</v>
      </c>
      <c r="BU122" s="610">
        <v>1</v>
      </c>
      <c r="BV122" s="610">
        <v>1</v>
      </c>
      <c r="BW122" s="610">
        <v>1</v>
      </c>
      <c r="BX122" s="610">
        <v>1</v>
      </c>
      <c r="BY122" s="610">
        <v>0</v>
      </c>
      <c r="BZ122" s="610">
        <v>0</v>
      </c>
      <c r="CA122" s="610">
        <v>0</v>
      </c>
      <c r="CB122" s="610">
        <v>0</v>
      </c>
      <c r="CC122" s="610">
        <v>0</v>
      </c>
      <c r="CD122" s="610">
        <v>0</v>
      </c>
      <c r="CE122" s="610">
        <v>0</v>
      </c>
      <c r="CF122" s="610">
        <v>0</v>
      </c>
      <c r="CG122" s="610">
        <v>0</v>
      </c>
      <c r="CH122" s="610">
        <v>0</v>
      </c>
      <c r="CI122" s="610">
        <v>0</v>
      </c>
      <c r="CJ122" s="610">
        <v>0</v>
      </c>
      <c r="CK122" s="610">
        <v>0</v>
      </c>
      <c r="CL122" s="610">
        <v>0</v>
      </c>
      <c r="CM122" s="610">
        <v>0</v>
      </c>
      <c r="CN122" s="610">
        <v>0</v>
      </c>
      <c r="CO122" s="610">
        <v>0</v>
      </c>
      <c r="CP122" s="610">
        <v>0</v>
      </c>
      <c r="CQ122" s="610">
        <v>0</v>
      </c>
      <c r="CR122" s="610">
        <v>0</v>
      </c>
      <c r="CS122" s="610">
        <v>0</v>
      </c>
      <c r="CT122" s="610">
        <v>0</v>
      </c>
      <c r="CU122" s="610">
        <v>0</v>
      </c>
      <c r="CV122" s="610">
        <v>0</v>
      </c>
      <c r="CW122" s="610" t="s">
        <v>14</v>
      </c>
      <c r="CX122" s="610">
        <v>0</v>
      </c>
      <c r="CY122" s="610" t="s">
        <v>1707</v>
      </c>
      <c r="CZ122" s="610" t="s">
        <v>1707</v>
      </c>
      <c r="DA122" s="610" t="s">
        <v>1707</v>
      </c>
      <c r="DB122" s="610" t="s">
        <v>1707</v>
      </c>
      <c r="DC122" s="610" t="s">
        <v>1707</v>
      </c>
      <c r="DD122" s="610" t="s">
        <v>1707</v>
      </c>
      <c r="DE122" s="610" t="s">
        <v>1707</v>
      </c>
      <c r="DF122" s="610" t="s">
        <v>1707</v>
      </c>
      <c r="DG122" s="610" t="s">
        <v>1707</v>
      </c>
      <c r="DH122" s="610" t="s">
        <v>1707</v>
      </c>
      <c r="DI122" s="610" t="s">
        <v>1707</v>
      </c>
      <c r="DJ122" s="610" t="s">
        <v>1707</v>
      </c>
      <c r="DK122" s="610" t="s">
        <v>1368</v>
      </c>
      <c r="DL122" s="610" t="s">
        <v>1368</v>
      </c>
      <c r="DM122" s="610" t="s">
        <v>1368</v>
      </c>
      <c r="DN122" s="610" t="s">
        <v>1368</v>
      </c>
      <c r="DO122" s="610" t="s">
        <v>1368</v>
      </c>
      <c r="DP122" s="610" t="s">
        <v>1368</v>
      </c>
      <c r="DQ122" s="610" t="s">
        <v>1368</v>
      </c>
      <c r="DR122" s="610" t="s">
        <v>1368</v>
      </c>
      <c r="DS122" s="610" t="s">
        <v>1368</v>
      </c>
      <c r="DT122" s="610" t="s">
        <v>1368</v>
      </c>
      <c r="DU122" s="610" t="s">
        <v>1368</v>
      </c>
      <c r="DV122" s="610" t="s">
        <v>1368</v>
      </c>
      <c r="DW122" s="609" t="s">
        <v>1368</v>
      </c>
      <c r="DX122" s="609" t="s">
        <v>1368</v>
      </c>
      <c r="DY122" s="609" t="s">
        <v>1368</v>
      </c>
      <c r="DZ122" s="609" t="s">
        <v>1368</v>
      </c>
      <c r="EA122" s="609" t="s">
        <v>1368</v>
      </c>
      <c r="EB122" s="609" t="s">
        <v>1368</v>
      </c>
      <c r="EC122" s="609" t="s">
        <v>1368</v>
      </c>
      <c r="ED122" s="609" t="s">
        <v>1368</v>
      </c>
      <c r="EE122" s="609" t="s">
        <v>1368</v>
      </c>
      <c r="EF122" s="609" t="s">
        <v>1368</v>
      </c>
      <c r="EG122" s="609" t="s">
        <v>1368</v>
      </c>
      <c r="EH122" s="609" t="s">
        <v>1368</v>
      </c>
      <c r="EI122" s="610" t="s">
        <v>1707</v>
      </c>
      <c r="EJ122" s="610" t="s">
        <v>1707</v>
      </c>
      <c r="EK122" s="610" t="s">
        <v>1707</v>
      </c>
      <c r="EL122" s="610" t="s">
        <v>1707</v>
      </c>
      <c r="EM122" s="610" t="s">
        <v>1707</v>
      </c>
      <c r="EN122" s="610" t="s">
        <v>1707</v>
      </c>
      <c r="EO122" s="610" t="s">
        <v>1707</v>
      </c>
      <c r="EP122" s="610" t="s">
        <v>1707</v>
      </c>
      <c r="EQ122" s="610" t="s">
        <v>1707</v>
      </c>
      <c r="ER122" s="610" t="s">
        <v>1707</v>
      </c>
      <c r="ES122" s="610" t="s">
        <v>1707</v>
      </c>
      <c r="ET122" s="610" t="s">
        <v>1707</v>
      </c>
      <c r="EU122" s="610">
        <v>3920</v>
      </c>
      <c r="EV122" s="610" t="s">
        <v>1707</v>
      </c>
      <c r="EW122" s="610" t="s">
        <v>1707</v>
      </c>
      <c r="EX122" s="610" t="s">
        <v>1707</v>
      </c>
      <c r="EY122" s="610" t="s">
        <v>1707</v>
      </c>
      <c r="EZ122" s="610" t="s">
        <v>1707</v>
      </c>
      <c r="FA122" s="610" t="s">
        <v>1707</v>
      </c>
      <c r="FB122" s="610" t="s">
        <v>1707</v>
      </c>
      <c r="FC122" s="610" t="s">
        <v>1707</v>
      </c>
      <c r="FD122" s="610" t="s">
        <v>1707</v>
      </c>
      <c r="FE122" s="610" t="s">
        <v>1707</v>
      </c>
      <c r="FF122" s="610" t="s">
        <v>1707</v>
      </c>
      <c r="FG122" s="610" t="s">
        <v>1707</v>
      </c>
      <c r="FH122" s="610">
        <v>21</v>
      </c>
      <c r="FI122" s="610">
        <v>21</v>
      </c>
      <c r="FJ122" s="610">
        <v>21</v>
      </c>
      <c r="FK122" s="610">
        <v>21</v>
      </c>
      <c r="FL122" s="610">
        <v>21</v>
      </c>
      <c r="FM122" s="610">
        <v>21</v>
      </c>
      <c r="FN122" s="610">
        <v>21</v>
      </c>
      <c r="FO122" s="610">
        <v>21</v>
      </c>
      <c r="FP122" s="610">
        <v>21</v>
      </c>
      <c r="FQ122" s="610">
        <v>21</v>
      </c>
      <c r="FR122" s="610" t="s">
        <v>2487</v>
      </c>
      <c r="FS122" s="610" t="s">
        <v>2487</v>
      </c>
      <c r="FT122" s="610" t="s">
        <v>2487</v>
      </c>
      <c r="FU122" s="610" t="s">
        <v>2487</v>
      </c>
      <c r="FV122" s="610" t="s">
        <v>2487</v>
      </c>
      <c r="FW122" s="610" t="s">
        <v>2487</v>
      </c>
      <c r="FX122" s="610" t="s">
        <v>2487</v>
      </c>
      <c r="FY122" s="610" t="s">
        <v>2487</v>
      </c>
      <c r="FZ122" s="610" t="s">
        <v>2487</v>
      </c>
      <c r="GA122" s="610" t="s">
        <v>2487</v>
      </c>
      <c r="GB122" s="610" t="s">
        <v>2487</v>
      </c>
      <c r="GC122" s="610" t="s">
        <v>2487</v>
      </c>
      <c r="GD122" s="564">
        <f t="shared" si="18"/>
        <v>79950</v>
      </c>
      <c r="GE122" s="564">
        <f t="shared" si="19"/>
        <v>79950</v>
      </c>
      <c r="GF122" s="564">
        <f t="shared" si="20"/>
        <v>79950</v>
      </c>
      <c r="GG122" s="564">
        <f t="shared" si="21"/>
        <v>79950</v>
      </c>
      <c r="GH122" s="564">
        <f t="shared" si="22"/>
        <v>79950</v>
      </c>
      <c r="GI122" s="564">
        <f t="shared" si="23"/>
        <v>79950</v>
      </c>
      <c r="GJ122" s="564">
        <f t="shared" si="24"/>
        <v>79950</v>
      </c>
      <c r="GK122" s="564">
        <f t="shared" si="25"/>
        <v>79950</v>
      </c>
      <c r="GL122" s="564">
        <f t="shared" si="26"/>
        <v>79950</v>
      </c>
      <c r="GM122" s="564">
        <f t="shared" si="27"/>
        <v>79950</v>
      </c>
      <c r="GN122" s="564">
        <f t="shared" si="28"/>
        <v>79950</v>
      </c>
      <c r="GO122" s="564">
        <f t="shared" si="29"/>
        <v>79950</v>
      </c>
      <c r="GP122" s="564"/>
      <c r="GS122" s="375" t="s">
        <v>1503</v>
      </c>
      <c r="GT122" s="374" t="str">
        <f t="shared" si="30"/>
        <v>〇</v>
      </c>
    </row>
    <row r="123" spans="2:202">
      <c r="B123" s="371">
        <v>119</v>
      </c>
      <c r="C123" s="378">
        <v>119</v>
      </c>
      <c r="D123" s="373" t="s">
        <v>1504</v>
      </c>
      <c r="E123" s="373" t="s">
        <v>14</v>
      </c>
      <c r="F123" s="603">
        <f t="shared" si="17"/>
        <v>50</v>
      </c>
      <c r="G123" s="603"/>
      <c r="H123" s="603">
        <v>30</v>
      </c>
      <c r="I123" s="603">
        <v>20</v>
      </c>
      <c r="J123" s="603"/>
      <c r="K123" s="603"/>
      <c r="L123" s="603"/>
      <c r="M123" s="603"/>
      <c r="N123" s="608"/>
      <c r="O123" s="603">
        <v>1577000</v>
      </c>
      <c r="P123" s="603">
        <v>2721000</v>
      </c>
      <c r="Q123" s="603">
        <v>2721000</v>
      </c>
      <c r="R123" s="603">
        <v>0</v>
      </c>
      <c r="S123" s="603">
        <v>0</v>
      </c>
      <c r="T123" s="603">
        <v>0</v>
      </c>
      <c r="U123" s="603">
        <v>0</v>
      </c>
      <c r="V123" s="603">
        <v>1051000</v>
      </c>
      <c r="W123" s="603">
        <v>1814000</v>
      </c>
      <c r="X123" s="603">
        <v>1814000</v>
      </c>
      <c r="Y123" s="603">
        <v>0</v>
      </c>
      <c r="Z123" s="603">
        <v>0</v>
      </c>
      <c r="AA123" s="603">
        <v>0</v>
      </c>
      <c r="AB123" s="603">
        <v>0</v>
      </c>
      <c r="AC123" s="603">
        <v>526000</v>
      </c>
      <c r="AD123" s="603">
        <v>907000</v>
      </c>
      <c r="AE123" s="603">
        <v>907000</v>
      </c>
      <c r="AF123" s="603">
        <v>0</v>
      </c>
      <c r="AG123" s="603">
        <v>0</v>
      </c>
      <c r="AH123" s="603">
        <v>0</v>
      </c>
      <c r="AI123" s="603">
        <v>0</v>
      </c>
      <c r="AJ123" s="604" t="s">
        <v>2377</v>
      </c>
      <c r="AK123" s="605" t="s">
        <v>2378</v>
      </c>
      <c r="AL123" s="605" t="s">
        <v>2490</v>
      </c>
      <c r="AM123" s="606" t="s">
        <v>2112</v>
      </c>
      <c r="AN123" s="609" t="s">
        <v>12</v>
      </c>
      <c r="AO123" s="610" t="s">
        <v>1368</v>
      </c>
      <c r="AP123" s="610" t="s">
        <v>1368</v>
      </c>
      <c r="AQ123" s="610" t="s">
        <v>1368</v>
      </c>
      <c r="AR123" s="610" t="s">
        <v>1368</v>
      </c>
      <c r="AS123" s="610" t="s">
        <v>1368</v>
      </c>
      <c r="AT123" s="610" t="s">
        <v>1368</v>
      </c>
      <c r="AU123" s="610" t="s">
        <v>1368</v>
      </c>
      <c r="AV123" s="610" t="s">
        <v>1368</v>
      </c>
      <c r="AW123" s="610" t="s">
        <v>1368</v>
      </c>
      <c r="AX123" s="610" t="s">
        <v>1368</v>
      </c>
      <c r="AY123" s="610" t="s">
        <v>1368</v>
      </c>
      <c r="AZ123" s="610" t="s">
        <v>1368</v>
      </c>
      <c r="BA123" s="610" t="s">
        <v>1368</v>
      </c>
      <c r="BB123" s="610" t="s">
        <v>1368</v>
      </c>
      <c r="BC123" s="610" t="s">
        <v>1368</v>
      </c>
      <c r="BD123" s="610" t="s">
        <v>1368</v>
      </c>
      <c r="BE123" s="610" t="s">
        <v>1368</v>
      </c>
      <c r="BF123" s="610" t="s">
        <v>1368</v>
      </c>
      <c r="BG123" s="610" t="s">
        <v>1368</v>
      </c>
      <c r="BH123" s="610" t="s">
        <v>1368</v>
      </c>
      <c r="BI123" s="610" t="s">
        <v>1368</v>
      </c>
      <c r="BJ123" s="610" t="s">
        <v>1368</v>
      </c>
      <c r="BK123" s="610" t="s">
        <v>1368</v>
      </c>
      <c r="BL123" s="610" t="s">
        <v>1368</v>
      </c>
      <c r="BM123" s="610">
        <v>1</v>
      </c>
      <c r="BN123" s="610">
        <v>1</v>
      </c>
      <c r="BO123" s="610">
        <v>1</v>
      </c>
      <c r="BP123" s="610">
        <v>1</v>
      </c>
      <c r="BQ123" s="610">
        <v>1</v>
      </c>
      <c r="BR123" s="610">
        <v>1</v>
      </c>
      <c r="BS123" s="610">
        <v>1</v>
      </c>
      <c r="BT123" s="610">
        <v>1</v>
      </c>
      <c r="BU123" s="610">
        <v>1</v>
      </c>
      <c r="BV123" s="610">
        <v>1</v>
      </c>
      <c r="BW123" s="610">
        <v>1</v>
      </c>
      <c r="BX123" s="610">
        <v>1</v>
      </c>
      <c r="BY123" s="610">
        <v>0</v>
      </c>
      <c r="BZ123" s="610">
        <v>0</v>
      </c>
      <c r="CA123" s="610">
        <v>0</v>
      </c>
      <c r="CB123" s="610">
        <v>0</v>
      </c>
      <c r="CC123" s="610">
        <v>0</v>
      </c>
      <c r="CD123" s="610">
        <v>0</v>
      </c>
      <c r="CE123" s="610">
        <v>0</v>
      </c>
      <c r="CF123" s="610">
        <v>0</v>
      </c>
      <c r="CG123" s="610">
        <v>0</v>
      </c>
      <c r="CH123" s="610">
        <v>0</v>
      </c>
      <c r="CI123" s="610">
        <v>0</v>
      </c>
      <c r="CJ123" s="610">
        <v>0</v>
      </c>
      <c r="CK123" s="610">
        <v>0</v>
      </c>
      <c r="CL123" s="610">
        <v>0</v>
      </c>
      <c r="CM123" s="610">
        <v>0</v>
      </c>
      <c r="CN123" s="610">
        <v>0</v>
      </c>
      <c r="CO123" s="610">
        <v>0</v>
      </c>
      <c r="CP123" s="610">
        <v>0</v>
      </c>
      <c r="CQ123" s="610">
        <v>0</v>
      </c>
      <c r="CR123" s="610">
        <v>0</v>
      </c>
      <c r="CS123" s="610">
        <v>0</v>
      </c>
      <c r="CT123" s="610">
        <v>0</v>
      </c>
      <c r="CU123" s="610">
        <v>0</v>
      </c>
      <c r="CV123" s="610">
        <v>0</v>
      </c>
      <c r="CW123" s="610" t="s">
        <v>14</v>
      </c>
      <c r="CX123" s="610">
        <v>0</v>
      </c>
      <c r="CY123" s="610" t="s">
        <v>1707</v>
      </c>
      <c r="CZ123" s="610" t="s">
        <v>1707</v>
      </c>
      <c r="DA123" s="610" t="s">
        <v>1707</v>
      </c>
      <c r="DB123" s="610" t="s">
        <v>1707</v>
      </c>
      <c r="DC123" s="610" t="s">
        <v>1707</v>
      </c>
      <c r="DD123" s="610" t="s">
        <v>1707</v>
      </c>
      <c r="DE123" s="610" t="s">
        <v>1707</v>
      </c>
      <c r="DF123" s="610" t="s">
        <v>1707</v>
      </c>
      <c r="DG123" s="610" t="s">
        <v>1707</v>
      </c>
      <c r="DH123" s="610" t="s">
        <v>1707</v>
      </c>
      <c r="DI123" s="610" t="s">
        <v>1707</v>
      </c>
      <c r="DJ123" s="610" t="s">
        <v>1707</v>
      </c>
      <c r="DK123" s="610" t="s">
        <v>1368</v>
      </c>
      <c r="DL123" s="610" t="s">
        <v>1368</v>
      </c>
      <c r="DM123" s="610" t="s">
        <v>1368</v>
      </c>
      <c r="DN123" s="610" t="s">
        <v>1368</v>
      </c>
      <c r="DO123" s="610" t="s">
        <v>1368</v>
      </c>
      <c r="DP123" s="610" t="s">
        <v>1368</v>
      </c>
      <c r="DQ123" s="610" t="s">
        <v>1368</v>
      </c>
      <c r="DR123" s="610" t="s">
        <v>1368</v>
      </c>
      <c r="DS123" s="610" t="s">
        <v>1368</v>
      </c>
      <c r="DT123" s="610" t="s">
        <v>1368</v>
      </c>
      <c r="DU123" s="610" t="s">
        <v>1368</v>
      </c>
      <c r="DV123" s="610" t="s">
        <v>1368</v>
      </c>
      <c r="DW123" s="609" t="s">
        <v>1368</v>
      </c>
      <c r="DX123" s="609" t="s">
        <v>1368</v>
      </c>
      <c r="DY123" s="609" t="s">
        <v>1368</v>
      </c>
      <c r="DZ123" s="609" t="s">
        <v>1368</v>
      </c>
      <c r="EA123" s="609" t="s">
        <v>1368</v>
      </c>
      <c r="EB123" s="609" t="s">
        <v>1368</v>
      </c>
      <c r="EC123" s="609" t="s">
        <v>1368</v>
      </c>
      <c r="ED123" s="609" t="s">
        <v>1368</v>
      </c>
      <c r="EE123" s="609" t="s">
        <v>1368</v>
      </c>
      <c r="EF123" s="609" t="s">
        <v>1368</v>
      </c>
      <c r="EG123" s="609" t="s">
        <v>1368</v>
      </c>
      <c r="EH123" s="609" t="s">
        <v>1368</v>
      </c>
      <c r="EI123" s="610" t="s">
        <v>1707</v>
      </c>
      <c r="EJ123" s="610" t="s">
        <v>1707</v>
      </c>
      <c r="EK123" s="610" t="s">
        <v>1707</v>
      </c>
      <c r="EL123" s="610" t="s">
        <v>1707</v>
      </c>
      <c r="EM123" s="610" t="s">
        <v>1707</v>
      </c>
      <c r="EN123" s="610" t="s">
        <v>1707</v>
      </c>
      <c r="EO123" s="610" t="s">
        <v>1707</v>
      </c>
      <c r="EP123" s="610" t="s">
        <v>1707</v>
      </c>
      <c r="EQ123" s="610" t="s">
        <v>1707</v>
      </c>
      <c r="ER123" s="610" t="s">
        <v>1707</v>
      </c>
      <c r="ES123" s="610" t="s">
        <v>1707</v>
      </c>
      <c r="ET123" s="610" t="s">
        <v>1707</v>
      </c>
      <c r="EU123" s="610">
        <v>4070</v>
      </c>
      <c r="EV123" s="610" t="s">
        <v>1707</v>
      </c>
      <c r="EW123" s="610" t="s">
        <v>1707</v>
      </c>
      <c r="EX123" s="610" t="s">
        <v>1707</v>
      </c>
      <c r="EY123" s="610" t="s">
        <v>1707</v>
      </c>
      <c r="EZ123" s="610" t="s">
        <v>1707</v>
      </c>
      <c r="FA123" s="610" t="s">
        <v>1707</v>
      </c>
      <c r="FB123" s="610" t="s">
        <v>1707</v>
      </c>
      <c r="FC123" s="610" t="s">
        <v>1707</v>
      </c>
      <c r="FD123" s="610" t="s">
        <v>1707</v>
      </c>
      <c r="FE123" s="610" t="s">
        <v>1707</v>
      </c>
      <c r="FF123" s="610" t="s">
        <v>1707</v>
      </c>
      <c r="FG123" s="610" t="s">
        <v>1707</v>
      </c>
      <c r="FH123" s="610">
        <v>18</v>
      </c>
      <c r="FI123" s="610">
        <v>18</v>
      </c>
      <c r="FJ123" s="610">
        <v>18</v>
      </c>
      <c r="FK123" s="610">
        <v>18</v>
      </c>
      <c r="FL123" s="610">
        <v>18</v>
      </c>
      <c r="FM123" s="610">
        <v>18</v>
      </c>
      <c r="FN123" s="610">
        <v>18</v>
      </c>
      <c r="FO123" s="610">
        <v>18</v>
      </c>
      <c r="FP123" s="610">
        <v>18</v>
      </c>
      <c r="FQ123" s="610">
        <v>18</v>
      </c>
      <c r="FR123" s="610" t="s">
        <v>2487</v>
      </c>
      <c r="FS123" s="610" t="s">
        <v>2487</v>
      </c>
      <c r="FT123" s="610" t="s">
        <v>2487</v>
      </c>
      <c r="FU123" s="610" t="s">
        <v>2487</v>
      </c>
      <c r="FV123" s="610" t="s">
        <v>2487</v>
      </c>
      <c r="FW123" s="610" t="s">
        <v>2487</v>
      </c>
      <c r="FX123" s="610" t="s">
        <v>2487</v>
      </c>
      <c r="FY123" s="610" t="s">
        <v>2487</v>
      </c>
      <c r="FZ123" s="610" t="s">
        <v>2487</v>
      </c>
      <c r="GA123" s="610" t="s">
        <v>2487</v>
      </c>
      <c r="GB123" s="610" t="s">
        <v>2487</v>
      </c>
      <c r="GC123" s="610" t="s">
        <v>2487</v>
      </c>
      <c r="GD123" s="564">
        <f t="shared" si="18"/>
        <v>79950</v>
      </c>
      <c r="GE123" s="564">
        <f t="shared" si="19"/>
        <v>79950</v>
      </c>
      <c r="GF123" s="564">
        <f t="shared" si="20"/>
        <v>79950</v>
      </c>
      <c r="GG123" s="564">
        <f t="shared" si="21"/>
        <v>79950</v>
      </c>
      <c r="GH123" s="564">
        <f t="shared" si="22"/>
        <v>79950</v>
      </c>
      <c r="GI123" s="564">
        <f t="shared" si="23"/>
        <v>79950</v>
      </c>
      <c r="GJ123" s="564">
        <f t="shared" si="24"/>
        <v>79950</v>
      </c>
      <c r="GK123" s="564">
        <f t="shared" si="25"/>
        <v>79950</v>
      </c>
      <c r="GL123" s="564">
        <f t="shared" si="26"/>
        <v>79950</v>
      </c>
      <c r="GM123" s="564">
        <f t="shared" si="27"/>
        <v>79950</v>
      </c>
      <c r="GN123" s="564">
        <f t="shared" si="28"/>
        <v>79950</v>
      </c>
      <c r="GO123" s="564">
        <f t="shared" si="29"/>
        <v>79950</v>
      </c>
      <c r="GP123" s="564"/>
      <c r="GS123" s="375" t="s">
        <v>1504</v>
      </c>
      <c r="GT123" s="374" t="str">
        <f t="shared" si="30"/>
        <v>〇</v>
      </c>
    </row>
    <row r="124" spans="2:202">
      <c r="B124" s="371">
        <v>120</v>
      </c>
      <c r="C124" s="378">
        <v>120</v>
      </c>
      <c r="D124" s="373" t="s">
        <v>1505</v>
      </c>
      <c r="E124" s="373" t="s">
        <v>14</v>
      </c>
      <c r="F124" s="603">
        <f t="shared" si="17"/>
        <v>50</v>
      </c>
      <c r="G124" s="603"/>
      <c r="H124" s="603">
        <v>27</v>
      </c>
      <c r="I124" s="603">
        <v>23</v>
      </c>
      <c r="J124" s="603"/>
      <c r="K124" s="603"/>
      <c r="L124" s="603"/>
      <c r="M124" s="603"/>
      <c r="N124" s="608"/>
      <c r="O124" s="603">
        <v>1577000</v>
      </c>
      <c r="P124" s="603">
        <v>2721000</v>
      </c>
      <c r="Q124" s="603">
        <v>2721000</v>
      </c>
      <c r="R124" s="603">
        <v>1791000</v>
      </c>
      <c r="S124" s="603">
        <v>0</v>
      </c>
      <c r="T124" s="603">
        <v>0</v>
      </c>
      <c r="U124" s="603">
        <v>0</v>
      </c>
      <c r="V124" s="603">
        <v>1051000</v>
      </c>
      <c r="W124" s="603">
        <v>1814000</v>
      </c>
      <c r="X124" s="603">
        <v>1814000</v>
      </c>
      <c r="Y124" s="603">
        <v>1194000</v>
      </c>
      <c r="Z124" s="603">
        <v>0</v>
      </c>
      <c r="AA124" s="603">
        <v>0</v>
      </c>
      <c r="AB124" s="603">
        <v>0</v>
      </c>
      <c r="AC124" s="603">
        <v>526000</v>
      </c>
      <c r="AD124" s="603">
        <v>907000</v>
      </c>
      <c r="AE124" s="603">
        <v>907000</v>
      </c>
      <c r="AF124" s="603">
        <v>597000</v>
      </c>
      <c r="AG124" s="603">
        <v>0</v>
      </c>
      <c r="AH124" s="603">
        <v>0</v>
      </c>
      <c r="AI124" s="603">
        <v>0</v>
      </c>
      <c r="AJ124" s="604" t="s">
        <v>2377</v>
      </c>
      <c r="AK124" s="605" t="s">
        <v>2378</v>
      </c>
      <c r="AL124" s="605" t="s">
        <v>2490</v>
      </c>
      <c r="AM124" s="606" t="s">
        <v>2113</v>
      </c>
      <c r="AN124" s="609" t="s">
        <v>12</v>
      </c>
      <c r="AO124" s="610" t="s">
        <v>1368</v>
      </c>
      <c r="AP124" s="610" t="s">
        <v>1368</v>
      </c>
      <c r="AQ124" s="610" t="s">
        <v>1368</v>
      </c>
      <c r="AR124" s="610" t="s">
        <v>1368</v>
      </c>
      <c r="AS124" s="610" t="s">
        <v>1368</v>
      </c>
      <c r="AT124" s="610" t="s">
        <v>1368</v>
      </c>
      <c r="AU124" s="610" t="s">
        <v>1368</v>
      </c>
      <c r="AV124" s="610" t="s">
        <v>1368</v>
      </c>
      <c r="AW124" s="610" t="s">
        <v>1368</v>
      </c>
      <c r="AX124" s="610" t="s">
        <v>1368</v>
      </c>
      <c r="AY124" s="610" t="s">
        <v>1368</v>
      </c>
      <c r="AZ124" s="610" t="s">
        <v>1368</v>
      </c>
      <c r="BA124" s="610" t="s">
        <v>1368</v>
      </c>
      <c r="BB124" s="610" t="s">
        <v>1368</v>
      </c>
      <c r="BC124" s="610" t="s">
        <v>1368</v>
      </c>
      <c r="BD124" s="610" t="s">
        <v>1368</v>
      </c>
      <c r="BE124" s="610" t="s">
        <v>1368</v>
      </c>
      <c r="BF124" s="610" t="s">
        <v>1368</v>
      </c>
      <c r="BG124" s="610" t="s">
        <v>1368</v>
      </c>
      <c r="BH124" s="610" t="s">
        <v>1368</v>
      </c>
      <c r="BI124" s="610" t="s">
        <v>1368</v>
      </c>
      <c r="BJ124" s="610" t="s">
        <v>1368</v>
      </c>
      <c r="BK124" s="610" t="s">
        <v>1368</v>
      </c>
      <c r="BL124" s="610" t="s">
        <v>1368</v>
      </c>
      <c r="BM124" s="610">
        <v>0</v>
      </c>
      <c r="BN124" s="610">
        <v>0</v>
      </c>
      <c r="BO124" s="610">
        <v>0</v>
      </c>
      <c r="BP124" s="610">
        <v>0</v>
      </c>
      <c r="BQ124" s="610">
        <v>0</v>
      </c>
      <c r="BR124" s="610">
        <v>1</v>
      </c>
      <c r="BS124" s="610">
        <v>1</v>
      </c>
      <c r="BT124" s="610">
        <v>1</v>
      </c>
      <c r="BU124" s="610">
        <v>1</v>
      </c>
      <c r="BV124" s="610">
        <v>1</v>
      </c>
      <c r="BW124" s="610">
        <v>1</v>
      </c>
      <c r="BX124" s="610">
        <v>1</v>
      </c>
      <c r="BY124" s="610">
        <v>0</v>
      </c>
      <c r="BZ124" s="610">
        <v>0</v>
      </c>
      <c r="CA124" s="610">
        <v>0</v>
      </c>
      <c r="CB124" s="610">
        <v>0</v>
      </c>
      <c r="CC124" s="610">
        <v>0</v>
      </c>
      <c r="CD124" s="610">
        <v>0</v>
      </c>
      <c r="CE124" s="610">
        <v>0</v>
      </c>
      <c r="CF124" s="610">
        <v>0</v>
      </c>
      <c r="CG124" s="610">
        <v>0</v>
      </c>
      <c r="CH124" s="610">
        <v>0</v>
      </c>
      <c r="CI124" s="610">
        <v>0</v>
      </c>
      <c r="CJ124" s="610">
        <v>0</v>
      </c>
      <c r="CK124" s="610">
        <v>0</v>
      </c>
      <c r="CL124" s="610">
        <v>0</v>
      </c>
      <c r="CM124" s="610">
        <v>0</v>
      </c>
      <c r="CN124" s="610">
        <v>0</v>
      </c>
      <c r="CO124" s="610">
        <v>0</v>
      </c>
      <c r="CP124" s="610">
        <v>0</v>
      </c>
      <c r="CQ124" s="610">
        <v>0</v>
      </c>
      <c r="CR124" s="610">
        <v>0</v>
      </c>
      <c r="CS124" s="610">
        <v>0</v>
      </c>
      <c r="CT124" s="610">
        <v>0</v>
      </c>
      <c r="CU124" s="610">
        <v>0</v>
      </c>
      <c r="CV124" s="610">
        <v>0</v>
      </c>
      <c r="CW124" s="610" t="s">
        <v>14</v>
      </c>
      <c r="CX124" s="610">
        <v>0</v>
      </c>
      <c r="CY124" s="610" t="s">
        <v>2449</v>
      </c>
      <c r="CZ124" s="610" t="s">
        <v>1707</v>
      </c>
      <c r="DA124" s="610" t="s">
        <v>1707</v>
      </c>
      <c r="DB124" s="610" t="s">
        <v>1707</v>
      </c>
      <c r="DC124" s="610" t="s">
        <v>1707</v>
      </c>
      <c r="DD124" s="610" t="s">
        <v>1707</v>
      </c>
      <c r="DE124" s="610" t="s">
        <v>1707</v>
      </c>
      <c r="DF124" s="610" t="s">
        <v>1707</v>
      </c>
      <c r="DG124" s="610" t="s">
        <v>1707</v>
      </c>
      <c r="DH124" s="610" t="s">
        <v>1707</v>
      </c>
      <c r="DI124" s="610" t="s">
        <v>1707</v>
      </c>
      <c r="DJ124" s="610" t="s">
        <v>1707</v>
      </c>
      <c r="DK124" s="610" t="s">
        <v>1368</v>
      </c>
      <c r="DL124" s="610" t="s">
        <v>1368</v>
      </c>
      <c r="DM124" s="610" t="s">
        <v>1368</v>
      </c>
      <c r="DN124" s="610" t="s">
        <v>1368</v>
      </c>
      <c r="DO124" s="610" t="s">
        <v>1368</v>
      </c>
      <c r="DP124" s="610" t="s">
        <v>1368</v>
      </c>
      <c r="DQ124" s="610" t="s">
        <v>1368</v>
      </c>
      <c r="DR124" s="610" t="s">
        <v>1368</v>
      </c>
      <c r="DS124" s="610" t="s">
        <v>1368</v>
      </c>
      <c r="DT124" s="610" t="s">
        <v>1368</v>
      </c>
      <c r="DU124" s="610" t="s">
        <v>1368</v>
      </c>
      <c r="DV124" s="610" t="s">
        <v>1368</v>
      </c>
      <c r="DW124" s="609" t="s">
        <v>1368</v>
      </c>
      <c r="DX124" s="609" t="s">
        <v>1368</v>
      </c>
      <c r="DY124" s="609" t="s">
        <v>1368</v>
      </c>
      <c r="DZ124" s="609" t="s">
        <v>1368</v>
      </c>
      <c r="EA124" s="609" t="s">
        <v>1368</v>
      </c>
      <c r="EB124" s="609" t="s">
        <v>1368</v>
      </c>
      <c r="EC124" s="609" t="s">
        <v>1368</v>
      </c>
      <c r="ED124" s="609" t="s">
        <v>1368</v>
      </c>
      <c r="EE124" s="609" t="s">
        <v>1368</v>
      </c>
      <c r="EF124" s="609" t="s">
        <v>1368</v>
      </c>
      <c r="EG124" s="609" t="s">
        <v>1368</v>
      </c>
      <c r="EH124" s="609" t="s">
        <v>1368</v>
      </c>
      <c r="EI124" s="610" t="s">
        <v>1707</v>
      </c>
      <c r="EJ124" s="610" t="s">
        <v>1707</v>
      </c>
      <c r="EK124" s="610" t="s">
        <v>1707</v>
      </c>
      <c r="EL124" s="610" t="s">
        <v>1707</v>
      </c>
      <c r="EM124" s="610" t="s">
        <v>1707</v>
      </c>
      <c r="EN124" s="610" t="s">
        <v>1707</v>
      </c>
      <c r="EO124" s="610" t="s">
        <v>1707</v>
      </c>
      <c r="EP124" s="610" t="s">
        <v>1707</v>
      </c>
      <c r="EQ124" s="610" t="s">
        <v>1707</v>
      </c>
      <c r="ER124" s="610" t="s">
        <v>1707</v>
      </c>
      <c r="ES124" s="610" t="s">
        <v>1707</v>
      </c>
      <c r="ET124" s="610" t="s">
        <v>1707</v>
      </c>
      <c r="EU124" s="610">
        <v>4040</v>
      </c>
      <c r="EV124" s="610" t="s">
        <v>1707</v>
      </c>
      <c r="EW124" s="610" t="s">
        <v>1707</v>
      </c>
      <c r="EX124" s="610" t="s">
        <v>1707</v>
      </c>
      <c r="EY124" s="610" t="s">
        <v>1707</v>
      </c>
      <c r="EZ124" s="610" t="s">
        <v>1707</v>
      </c>
      <c r="FA124" s="610" t="s">
        <v>1707</v>
      </c>
      <c r="FB124" s="610" t="s">
        <v>1707</v>
      </c>
      <c r="FC124" s="610" t="s">
        <v>1707</v>
      </c>
      <c r="FD124" s="610" t="s">
        <v>1707</v>
      </c>
      <c r="FE124" s="610" t="s">
        <v>1707</v>
      </c>
      <c r="FF124" s="610" t="s">
        <v>1707</v>
      </c>
      <c r="FG124" s="610" t="s">
        <v>1707</v>
      </c>
      <c r="FH124" s="610">
        <v>21</v>
      </c>
      <c r="FI124" s="610">
        <v>21</v>
      </c>
      <c r="FJ124" s="610">
        <v>21</v>
      </c>
      <c r="FK124" s="610">
        <v>20</v>
      </c>
      <c r="FL124" s="610">
        <v>21</v>
      </c>
      <c r="FM124" s="610">
        <v>21</v>
      </c>
      <c r="FN124" s="610">
        <v>20</v>
      </c>
      <c r="FO124" s="610">
        <v>21</v>
      </c>
      <c r="FP124" s="610">
        <v>21</v>
      </c>
      <c r="FQ124" s="610">
        <v>21</v>
      </c>
      <c r="FR124" s="610" t="s">
        <v>2487</v>
      </c>
      <c r="FS124" s="610" t="s">
        <v>2487</v>
      </c>
      <c r="FT124" s="610" t="s">
        <v>2487</v>
      </c>
      <c r="FU124" s="610" t="s">
        <v>2487</v>
      </c>
      <c r="FV124" s="610" t="s">
        <v>2487</v>
      </c>
      <c r="FW124" s="610" t="s">
        <v>2487</v>
      </c>
      <c r="FX124" s="610" t="s">
        <v>2487</v>
      </c>
      <c r="FY124" s="610" t="s">
        <v>2487</v>
      </c>
      <c r="FZ124" s="610" t="s">
        <v>2487</v>
      </c>
      <c r="GA124" s="610" t="s">
        <v>2487</v>
      </c>
      <c r="GB124" s="610" t="s">
        <v>2487</v>
      </c>
      <c r="GC124" s="610" t="s">
        <v>2487</v>
      </c>
      <c r="GD124" s="564">
        <f t="shared" si="18"/>
        <v>79950</v>
      </c>
      <c r="GE124" s="564">
        <f t="shared" si="19"/>
        <v>79950</v>
      </c>
      <c r="GF124" s="564">
        <f t="shared" si="20"/>
        <v>79950</v>
      </c>
      <c r="GG124" s="564">
        <f t="shared" si="21"/>
        <v>79950</v>
      </c>
      <c r="GH124" s="564">
        <f t="shared" si="22"/>
        <v>79950</v>
      </c>
      <c r="GI124" s="564">
        <f t="shared" si="23"/>
        <v>79950</v>
      </c>
      <c r="GJ124" s="564">
        <f t="shared" si="24"/>
        <v>79950</v>
      </c>
      <c r="GK124" s="564">
        <f t="shared" si="25"/>
        <v>79950</v>
      </c>
      <c r="GL124" s="564">
        <f t="shared" si="26"/>
        <v>79950</v>
      </c>
      <c r="GM124" s="564">
        <f t="shared" si="27"/>
        <v>79950</v>
      </c>
      <c r="GN124" s="564">
        <f t="shared" si="28"/>
        <v>79950</v>
      </c>
      <c r="GO124" s="564">
        <f t="shared" si="29"/>
        <v>79950</v>
      </c>
      <c r="GP124" s="564"/>
      <c r="GS124" s="375" t="s">
        <v>1505</v>
      </c>
      <c r="GT124" s="374" t="str">
        <f t="shared" si="30"/>
        <v>〇</v>
      </c>
    </row>
    <row r="125" spans="2:202">
      <c r="B125" s="371">
        <v>121</v>
      </c>
      <c r="C125" s="378">
        <v>121</v>
      </c>
      <c r="D125" s="373" t="s">
        <v>2376</v>
      </c>
      <c r="E125" s="373" t="s">
        <v>14</v>
      </c>
      <c r="F125" s="603">
        <f t="shared" si="17"/>
        <v>30</v>
      </c>
      <c r="G125" s="603"/>
      <c r="H125" s="603">
        <v>17</v>
      </c>
      <c r="I125" s="603">
        <v>13</v>
      </c>
      <c r="J125" s="603"/>
      <c r="K125" s="603"/>
      <c r="L125" s="603"/>
      <c r="M125" s="603"/>
      <c r="N125" s="608"/>
      <c r="O125" s="603">
        <v>1577000</v>
      </c>
      <c r="P125" s="603">
        <v>0</v>
      </c>
      <c r="Q125" s="603">
        <v>0</v>
      </c>
      <c r="R125" s="603">
        <v>1188000</v>
      </c>
      <c r="S125" s="603">
        <v>0</v>
      </c>
      <c r="T125" s="603">
        <v>0</v>
      </c>
      <c r="U125" s="603">
        <v>0</v>
      </c>
      <c r="V125" s="603">
        <v>1051000</v>
      </c>
      <c r="W125" s="603">
        <v>0</v>
      </c>
      <c r="X125" s="603">
        <v>0</v>
      </c>
      <c r="Y125" s="603">
        <v>792000</v>
      </c>
      <c r="Z125" s="603">
        <v>0</v>
      </c>
      <c r="AA125" s="603">
        <v>0</v>
      </c>
      <c r="AB125" s="603">
        <v>0</v>
      </c>
      <c r="AC125" s="603">
        <v>0</v>
      </c>
      <c r="AD125" s="603">
        <v>0</v>
      </c>
      <c r="AE125" s="603">
        <v>0</v>
      </c>
      <c r="AF125" s="603">
        <v>0</v>
      </c>
      <c r="AG125" s="603">
        <v>0</v>
      </c>
      <c r="AH125" s="603">
        <v>0</v>
      </c>
      <c r="AI125" s="603">
        <v>0</v>
      </c>
      <c r="AJ125" s="604" t="s">
        <v>2377</v>
      </c>
      <c r="AK125" s="605" t="s">
        <v>2378</v>
      </c>
      <c r="AL125" s="605" t="s">
        <v>1545</v>
      </c>
      <c r="AM125" s="606" t="s">
        <v>2114</v>
      </c>
      <c r="AN125" s="609" t="s">
        <v>12</v>
      </c>
      <c r="AO125" s="610" t="s">
        <v>1368</v>
      </c>
      <c r="AP125" s="610" t="s">
        <v>1368</v>
      </c>
      <c r="AQ125" s="610" t="s">
        <v>1368</v>
      </c>
      <c r="AR125" s="610" t="s">
        <v>1368</v>
      </c>
      <c r="AS125" s="610" t="s">
        <v>1368</v>
      </c>
      <c r="AT125" s="610" t="s">
        <v>1368</v>
      </c>
      <c r="AU125" s="610" t="s">
        <v>1368</v>
      </c>
      <c r="AV125" s="610" t="s">
        <v>1368</v>
      </c>
      <c r="AW125" s="610" t="s">
        <v>1368</v>
      </c>
      <c r="AX125" s="610" t="s">
        <v>1368</v>
      </c>
      <c r="AY125" s="610" t="s">
        <v>1368</v>
      </c>
      <c r="AZ125" s="610" t="s">
        <v>1368</v>
      </c>
      <c r="BA125" s="610" t="s">
        <v>1368</v>
      </c>
      <c r="BB125" s="610" t="s">
        <v>1368</v>
      </c>
      <c r="BC125" s="610" t="s">
        <v>1368</v>
      </c>
      <c r="BD125" s="610" t="s">
        <v>1368</v>
      </c>
      <c r="BE125" s="610" t="s">
        <v>1368</v>
      </c>
      <c r="BF125" s="610" t="s">
        <v>1368</v>
      </c>
      <c r="BG125" s="610" t="s">
        <v>1368</v>
      </c>
      <c r="BH125" s="610" t="s">
        <v>1368</v>
      </c>
      <c r="BI125" s="610" t="s">
        <v>1368</v>
      </c>
      <c r="BJ125" s="610" t="s">
        <v>1368</v>
      </c>
      <c r="BK125" s="610" t="s">
        <v>1368</v>
      </c>
      <c r="BL125" s="610" t="s">
        <v>1368</v>
      </c>
      <c r="BM125" s="610">
        <v>0</v>
      </c>
      <c r="BN125" s="610">
        <v>0</v>
      </c>
      <c r="BO125" s="610">
        <v>1</v>
      </c>
      <c r="BP125" s="610">
        <v>1</v>
      </c>
      <c r="BQ125" s="610">
        <v>1</v>
      </c>
      <c r="BR125" s="610">
        <v>1</v>
      </c>
      <c r="BS125" s="610">
        <v>1</v>
      </c>
      <c r="BT125" s="610">
        <v>1</v>
      </c>
      <c r="BU125" s="610">
        <v>1</v>
      </c>
      <c r="BV125" s="610">
        <v>1</v>
      </c>
      <c r="BW125" s="610">
        <v>1</v>
      </c>
      <c r="BX125" s="610">
        <v>1</v>
      </c>
      <c r="BY125" s="610">
        <v>0</v>
      </c>
      <c r="BZ125" s="610">
        <v>0</v>
      </c>
      <c r="CA125" s="610">
        <v>0</v>
      </c>
      <c r="CB125" s="610">
        <v>0</v>
      </c>
      <c r="CC125" s="610">
        <v>0</v>
      </c>
      <c r="CD125" s="610">
        <v>0</v>
      </c>
      <c r="CE125" s="610">
        <v>0</v>
      </c>
      <c r="CF125" s="610">
        <v>0</v>
      </c>
      <c r="CG125" s="610">
        <v>0</v>
      </c>
      <c r="CH125" s="610">
        <v>0</v>
      </c>
      <c r="CI125" s="610">
        <v>0</v>
      </c>
      <c r="CJ125" s="610">
        <v>0</v>
      </c>
      <c r="CK125" s="610">
        <v>0</v>
      </c>
      <c r="CL125" s="610">
        <v>0</v>
      </c>
      <c r="CM125" s="610">
        <v>0</v>
      </c>
      <c r="CN125" s="610">
        <v>0</v>
      </c>
      <c r="CO125" s="610">
        <v>0</v>
      </c>
      <c r="CP125" s="610">
        <v>0</v>
      </c>
      <c r="CQ125" s="610">
        <v>0</v>
      </c>
      <c r="CR125" s="610">
        <v>0</v>
      </c>
      <c r="CS125" s="610">
        <v>0</v>
      </c>
      <c r="CT125" s="610">
        <v>0</v>
      </c>
      <c r="CU125" s="610">
        <v>0</v>
      </c>
      <c r="CV125" s="610">
        <v>0</v>
      </c>
      <c r="CW125" s="610" t="s">
        <v>14</v>
      </c>
      <c r="CX125" s="610">
        <v>0</v>
      </c>
      <c r="CY125" s="610" t="s">
        <v>2449</v>
      </c>
      <c r="CZ125" s="610" t="s">
        <v>2449</v>
      </c>
      <c r="DA125" s="610" t="s">
        <v>2449</v>
      </c>
      <c r="DB125" s="610" t="s">
        <v>2449</v>
      </c>
      <c r="DC125" s="610" t="s">
        <v>2449</v>
      </c>
      <c r="DD125" s="610" t="s">
        <v>2449</v>
      </c>
      <c r="DE125" s="610" t="s">
        <v>2449</v>
      </c>
      <c r="DF125" s="610" t="s">
        <v>2449</v>
      </c>
      <c r="DG125" s="610" t="s">
        <v>2449</v>
      </c>
      <c r="DH125" s="610" t="s">
        <v>2449</v>
      </c>
      <c r="DI125" s="610" t="s">
        <v>2449</v>
      </c>
      <c r="DJ125" s="610" t="s">
        <v>2449</v>
      </c>
      <c r="DK125" s="610" t="s">
        <v>1368</v>
      </c>
      <c r="DL125" s="610" t="s">
        <v>1368</v>
      </c>
      <c r="DM125" s="610" t="s">
        <v>1368</v>
      </c>
      <c r="DN125" s="610" t="s">
        <v>1368</v>
      </c>
      <c r="DO125" s="610" t="s">
        <v>1368</v>
      </c>
      <c r="DP125" s="610" t="s">
        <v>1368</v>
      </c>
      <c r="DQ125" s="610" t="s">
        <v>1368</v>
      </c>
      <c r="DR125" s="610" t="s">
        <v>1368</v>
      </c>
      <c r="DS125" s="610" t="s">
        <v>1368</v>
      </c>
      <c r="DT125" s="610" t="s">
        <v>1368</v>
      </c>
      <c r="DU125" s="610" t="s">
        <v>1368</v>
      </c>
      <c r="DV125" s="610" t="s">
        <v>1368</v>
      </c>
      <c r="DW125" s="609" t="s">
        <v>1368</v>
      </c>
      <c r="DX125" s="609" t="s">
        <v>1368</v>
      </c>
      <c r="DY125" s="609" t="s">
        <v>1368</v>
      </c>
      <c r="DZ125" s="609" t="s">
        <v>1368</v>
      </c>
      <c r="EA125" s="609" t="s">
        <v>1368</v>
      </c>
      <c r="EB125" s="609" t="s">
        <v>1368</v>
      </c>
      <c r="EC125" s="609" t="s">
        <v>1368</v>
      </c>
      <c r="ED125" s="609" t="s">
        <v>1368</v>
      </c>
      <c r="EE125" s="609" t="s">
        <v>1368</v>
      </c>
      <c r="EF125" s="609" t="s">
        <v>1368</v>
      </c>
      <c r="EG125" s="609" t="s">
        <v>1368</v>
      </c>
      <c r="EH125" s="609" t="s">
        <v>1368</v>
      </c>
      <c r="EI125" s="610" t="s">
        <v>1707</v>
      </c>
      <c r="EJ125" s="610" t="s">
        <v>1707</v>
      </c>
      <c r="EK125" s="610" t="s">
        <v>1707</v>
      </c>
      <c r="EL125" s="610" t="s">
        <v>1707</v>
      </c>
      <c r="EM125" s="610" t="s">
        <v>1707</v>
      </c>
      <c r="EN125" s="610" t="s">
        <v>1707</v>
      </c>
      <c r="EO125" s="610" t="s">
        <v>1707</v>
      </c>
      <c r="EP125" s="610" t="s">
        <v>1707</v>
      </c>
      <c r="EQ125" s="610" t="s">
        <v>1707</v>
      </c>
      <c r="ER125" s="610" t="s">
        <v>1707</v>
      </c>
      <c r="ES125" s="610" t="s">
        <v>1707</v>
      </c>
      <c r="ET125" s="610" t="s">
        <v>1707</v>
      </c>
      <c r="EU125" s="610">
        <v>3860</v>
      </c>
      <c r="EV125" s="610" t="s">
        <v>1707</v>
      </c>
      <c r="EW125" s="610" t="s">
        <v>1707</v>
      </c>
      <c r="EX125" s="610" t="s">
        <v>1707</v>
      </c>
      <c r="EY125" s="610" t="s">
        <v>1707</v>
      </c>
      <c r="EZ125" s="610" t="s">
        <v>1707</v>
      </c>
      <c r="FA125" s="610" t="s">
        <v>1707</v>
      </c>
      <c r="FB125" s="610" t="s">
        <v>1707</v>
      </c>
      <c r="FC125" s="610" t="s">
        <v>1707</v>
      </c>
      <c r="FD125" s="610" t="s">
        <v>1707</v>
      </c>
      <c r="FE125" s="610" t="s">
        <v>1707</v>
      </c>
      <c r="FF125" s="610" t="s">
        <v>1707</v>
      </c>
      <c r="FG125" s="610" t="s">
        <v>1707</v>
      </c>
      <c r="FH125" s="610">
        <v>11</v>
      </c>
      <c r="FI125" s="610">
        <v>11</v>
      </c>
      <c r="FJ125" s="610">
        <v>11</v>
      </c>
      <c r="FK125" s="610">
        <v>11</v>
      </c>
      <c r="FL125" s="610">
        <v>11</v>
      </c>
      <c r="FM125" s="610">
        <v>11</v>
      </c>
      <c r="FN125" s="610">
        <v>11</v>
      </c>
      <c r="FO125" s="610">
        <v>11</v>
      </c>
      <c r="FP125" s="610">
        <v>11</v>
      </c>
      <c r="FQ125" s="610">
        <v>11</v>
      </c>
      <c r="FR125" s="610" t="s">
        <v>2487</v>
      </c>
      <c r="FS125" s="610" t="s">
        <v>2487</v>
      </c>
      <c r="FT125" s="610" t="s">
        <v>2487</v>
      </c>
      <c r="FU125" s="610" t="s">
        <v>2487</v>
      </c>
      <c r="FV125" s="610" t="s">
        <v>2487</v>
      </c>
      <c r="FW125" s="610" t="s">
        <v>2487</v>
      </c>
      <c r="FX125" s="610" t="s">
        <v>2487</v>
      </c>
      <c r="FY125" s="610" t="s">
        <v>2487</v>
      </c>
      <c r="FZ125" s="610" t="s">
        <v>2487</v>
      </c>
      <c r="GA125" s="610" t="s">
        <v>2487</v>
      </c>
      <c r="GB125" s="610" t="s">
        <v>2487</v>
      </c>
      <c r="GC125" s="610" t="s">
        <v>2487</v>
      </c>
      <c r="GD125" s="564">
        <f t="shared" si="18"/>
        <v>79950</v>
      </c>
      <c r="GE125" s="564">
        <f t="shared" si="19"/>
        <v>79950</v>
      </c>
      <c r="GF125" s="564">
        <f t="shared" si="20"/>
        <v>79950</v>
      </c>
      <c r="GG125" s="564">
        <f t="shared" si="21"/>
        <v>79950</v>
      </c>
      <c r="GH125" s="564">
        <f t="shared" si="22"/>
        <v>79950</v>
      </c>
      <c r="GI125" s="564">
        <f t="shared" si="23"/>
        <v>79950</v>
      </c>
      <c r="GJ125" s="564">
        <f t="shared" si="24"/>
        <v>79950</v>
      </c>
      <c r="GK125" s="564">
        <f t="shared" si="25"/>
        <v>79950</v>
      </c>
      <c r="GL125" s="564">
        <f t="shared" si="26"/>
        <v>79950</v>
      </c>
      <c r="GM125" s="564">
        <f t="shared" si="27"/>
        <v>79950</v>
      </c>
      <c r="GN125" s="564">
        <f t="shared" si="28"/>
        <v>79950</v>
      </c>
      <c r="GO125" s="564">
        <f t="shared" si="29"/>
        <v>79950</v>
      </c>
      <c r="GP125" s="564"/>
      <c r="GS125" s="375" t="s">
        <v>1506</v>
      </c>
      <c r="GT125" s="374" t="str">
        <f t="shared" si="30"/>
        <v>✕</v>
      </c>
    </row>
    <row r="126" spans="2:202">
      <c r="B126" s="371">
        <v>122</v>
      </c>
      <c r="C126" s="378">
        <v>122</v>
      </c>
      <c r="D126" s="373" t="s">
        <v>1507</v>
      </c>
      <c r="E126" s="373" t="s">
        <v>14</v>
      </c>
      <c r="F126" s="603">
        <f t="shared" si="17"/>
        <v>30</v>
      </c>
      <c r="G126" s="603"/>
      <c r="H126" s="603">
        <v>18</v>
      </c>
      <c r="I126" s="603">
        <v>12</v>
      </c>
      <c r="J126" s="603"/>
      <c r="K126" s="603"/>
      <c r="L126" s="603"/>
      <c r="M126" s="603"/>
      <c r="N126" s="608"/>
      <c r="O126" s="603">
        <v>1577000</v>
      </c>
      <c r="P126" s="603">
        <v>2721000</v>
      </c>
      <c r="Q126" s="603">
        <v>2721000</v>
      </c>
      <c r="R126" s="603">
        <v>1188000</v>
      </c>
      <c r="S126" s="603">
        <v>0</v>
      </c>
      <c r="T126" s="603">
        <v>0</v>
      </c>
      <c r="U126" s="603">
        <v>0</v>
      </c>
      <c r="V126" s="603">
        <v>1051000</v>
      </c>
      <c r="W126" s="603">
        <v>1814000</v>
      </c>
      <c r="X126" s="603">
        <v>1814000</v>
      </c>
      <c r="Y126" s="603">
        <v>792000</v>
      </c>
      <c r="Z126" s="603">
        <v>0</v>
      </c>
      <c r="AA126" s="603">
        <v>0</v>
      </c>
      <c r="AB126" s="603">
        <v>0</v>
      </c>
      <c r="AC126" s="603">
        <v>0</v>
      </c>
      <c r="AD126" s="603">
        <v>0</v>
      </c>
      <c r="AE126" s="603">
        <v>0</v>
      </c>
      <c r="AF126" s="603">
        <v>0</v>
      </c>
      <c r="AG126" s="603">
        <v>0</v>
      </c>
      <c r="AH126" s="603">
        <v>0</v>
      </c>
      <c r="AI126" s="603">
        <v>0</v>
      </c>
      <c r="AJ126" s="604" t="s">
        <v>2377</v>
      </c>
      <c r="AK126" s="605" t="s">
        <v>2378</v>
      </c>
      <c r="AL126" s="605" t="s">
        <v>1545</v>
      </c>
      <c r="AM126" s="606" t="s">
        <v>2388</v>
      </c>
      <c r="AN126" s="609" t="s">
        <v>12</v>
      </c>
      <c r="AO126" s="610" t="s">
        <v>1368</v>
      </c>
      <c r="AP126" s="610" t="s">
        <v>1368</v>
      </c>
      <c r="AQ126" s="610" t="s">
        <v>1368</v>
      </c>
      <c r="AR126" s="610" t="s">
        <v>1368</v>
      </c>
      <c r="AS126" s="610" t="s">
        <v>1368</v>
      </c>
      <c r="AT126" s="610" t="s">
        <v>1368</v>
      </c>
      <c r="AU126" s="610" t="s">
        <v>1368</v>
      </c>
      <c r="AV126" s="610" t="s">
        <v>1368</v>
      </c>
      <c r="AW126" s="610" t="s">
        <v>1368</v>
      </c>
      <c r="AX126" s="610" t="s">
        <v>1368</v>
      </c>
      <c r="AY126" s="610" t="s">
        <v>1368</v>
      </c>
      <c r="AZ126" s="610" t="s">
        <v>1368</v>
      </c>
      <c r="BA126" s="610" t="s">
        <v>1368</v>
      </c>
      <c r="BB126" s="610" t="s">
        <v>1368</v>
      </c>
      <c r="BC126" s="610" t="s">
        <v>1368</v>
      </c>
      <c r="BD126" s="610" t="s">
        <v>1368</v>
      </c>
      <c r="BE126" s="610" t="s">
        <v>1368</v>
      </c>
      <c r="BF126" s="610" t="s">
        <v>1368</v>
      </c>
      <c r="BG126" s="610" t="s">
        <v>1368</v>
      </c>
      <c r="BH126" s="610" t="s">
        <v>1368</v>
      </c>
      <c r="BI126" s="610" t="s">
        <v>1368</v>
      </c>
      <c r="BJ126" s="610" t="s">
        <v>1368</v>
      </c>
      <c r="BK126" s="610" t="s">
        <v>1368</v>
      </c>
      <c r="BL126" s="610" t="s">
        <v>1368</v>
      </c>
      <c r="BM126" s="610">
        <v>0</v>
      </c>
      <c r="BN126" s="610">
        <v>0</v>
      </c>
      <c r="BO126" s="610">
        <v>0</v>
      </c>
      <c r="BP126" s="610">
        <v>0</v>
      </c>
      <c r="BQ126" s="610">
        <v>0</v>
      </c>
      <c r="BR126" s="610">
        <v>0</v>
      </c>
      <c r="BS126" s="610">
        <v>0</v>
      </c>
      <c r="BT126" s="610">
        <v>0</v>
      </c>
      <c r="BU126" s="610">
        <v>0</v>
      </c>
      <c r="BV126" s="610">
        <v>0</v>
      </c>
      <c r="BW126" s="610">
        <v>0</v>
      </c>
      <c r="BX126" s="610">
        <v>0</v>
      </c>
      <c r="BY126" s="610">
        <v>0</v>
      </c>
      <c r="BZ126" s="610">
        <v>0</v>
      </c>
      <c r="CA126" s="610">
        <v>0</v>
      </c>
      <c r="CB126" s="610">
        <v>0</v>
      </c>
      <c r="CC126" s="610">
        <v>0</v>
      </c>
      <c r="CD126" s="610">
        <v>0</v>
      </c>
      <c r="CE126" s="610">
        <v>0</v>
      </c>
      <c r="CF126" s="610">
        <v>0</v>
      </c>
      <c r="CG126" s="610">
        <v>0</v>
      </c>
      <c r="CH126" s="610">
        <v>0</v>
      </c>
      <c r="CI126" s="610">
        <v>0</v>
      </c>
      <c r="CJ126" s="610">
        <v>0</v>
      </c>
      <c r="CK126" s="610">
        <v>0</v>
      </c>
      <c r="CL126" s="610">
        <v>0</v>
      </c>
      <c r="CM126" s="610">
        <v>0</v>
      </c>
      <c r="CN126" s="610">
        <v>0</v>
      </c>
      <c r="CO126" s="610">
        <v>0</v>
      </c>
      <c r="CP126" s="610">
        <v>0</v>
      </c>
      <c r="CQ126" s="610">
        <v>0</v>
      </c>
      <c r="CR126" s="610">
        <v>0</v>
      </c>
      <c r="CS126" s="610">
        <v>0</v>
      </c>
      <c r="CT126" s="610">
        <v>0</v>
      </c>
      <c r="CU126" s="610">
        <v>0</v>
      </c>
      <c r="CV126" s="610">
        <v>0</v>
      </c>
      <c r="CW126" s="610" t="s">
        <v>14</v>
      </c>
      <c r="CX126" s="610">
        <v>0</v>
      </c>
      <c r="CY126" s="610" t="s">
        <v>2449</v>
      </c>
      <c r="CZ126" s="610" t="s">
        <v>2449</v>
      </c>
      <c r="DA126" s="610" t="s">
        <v>2449</v>
      </c>
      <c r="DB126" s="610" t="s">
        <v>2449</v>
      </c>
      <c r="DC126" s="610" t="s">
        <v>2449</v>
      </c>
      <c r="DD126" s="610" t="s">
        <v>2449</v>
      </c>
      <c r="DE126" s="610" t="s">
        <v>2449</v>
      </c>
      <c r="DF126" s="610" t="s">
        <v>2449</v>
      </c>
      <c r="DG126" s="610" t="s">
        <v>2449</v>
      </c>
      <c r="DH126" s="610" t="s">
        <v>2449</v>
      </c>
      <c r="DI126" s="610" t="s">
        <v>2449</v>
      </c>
      <c r="DJ126" s="610" t="s">
        <v>2449</v>
      </c>
      <c r="DK126" s="610" t="s">
        <v>1368</v>
      </c>
      <c r="DL126" s="610" t="s">
        <v>1368</v>
      </c>
      <c r="DM126" s="610" t="s">
        <v>1368</v>
      </c>
      <c r="DN126" s="610" t="s">
        <v>1368</v>
      </c>
      <c r="DO126" s="610" t="s">
        <v>1368</v>
      </c>
      <c r="DP126" s="610" t="s">
        <v>1368</v>
      </c>
      <c r="DQ126" s="610" t="s">
        <v>1368</v>
      </c>
      <c r="DR126" s="610" t="s">
        <v>1368</v>
      </c>
      <c r="DS126" s="610" t="s">
        <v>1368</v>
      </c>
      <c r="DT126" s="610" t="s">
        <v>1368</v>
      </c>
      <c r="DU126" s="610" t="s">
        <v>1368</v>
      </c>
      <c r="DV126" s="610" t="s">
        <v>1368</v>
      </c>
      <c r="DW126" s="609" t="s">
        <v>1368</v>
      </c>
      <c r="DX126" s="609" t="s">
        <v>1368</v>
      </c>
      <c r="DY126" s="609" t="s">
        <v>1368</v>
      </c>
      <c r="DZ126" s="609" t="s">
        <v>1368</v>
      </c>
      <c r="EA126" s="609" t="s">
        <v>1368</v>
      </c>
      <c r="EB126" s="609" t="s">
        <v>1368</v>
      </c>
      <c r="EC126" s="609" t="s">
        <v>1368</v>
      </c>
      <c r="ED126" s="609" t="s">
        <v>1368</v>
      </c>
      <c r="EE126" s="609" t="s">
        <v>1368</v>
      </c>
      <c r="EF126" s="609" t="s">
        <v>1368</v>
      </c>
      <c r="EG126" s="609" t="s">
        <v>1368</v>
      </c>
      <c r="EH126" s="609" t="s">
        <v>1368</v>
      </c>
      <c r="EI126" s="610" t="s">
        <v>1707</v>
      </c>
      <c r="EJ126" s="610" t="s">
        <v>1707</v>
      </c>
      <c r="EK126" s="610" t="s">
        <v>1707</v>
      </c>
      <c r="EL126" s="610" t="s">
        <v>1707</v>
      </c>
      <c r="EM126" s="610" t="s">
        <v>1707</v>
      </c>
      <c r="EN126" s="610" t="s">
        <v>1707</v>
      </c>
      <c r="EO126" s="610" t="s">
        <v>1707</v>
      </c>
      <c r="EP126" s="610" t="s">
        <v>1707</v>
      </c>
      <c r="EQ126" s="610" t="s">
        <v>1707</v>
      </c>
      <c r="ER126" s="610" t="s">
        <v>1707</v>
      </c>
      <c r="ES126" s="610" t="s">
        <v>1707</v>
      </c>
      <c r="ET126" s="610" t="s">
        <v>1707</v>
      </c>
      <c r="EU126" s="610">
        <v>3980</v>
      </c>
      <c r="EV126" s="610" t="s">
        <v>1707</v>
      </c>
      <c r="EW126" s="610" t="s">
        <v>1707</v>
      </c>
      <c r="EX126" s="610" t="s">
        <v>1707</v>
      </c>
      <c r="EY126" s="610" t="s">
        <v>1707</v>
      </c>
      <c r="EZ126" s="610" t="s">
        <v>1707</v>
      </c>
      <c r="FA126" s="610" t="s">
        <v>1707</v>
      </c>
      <c r="FB126" s="610" t="s">
        <v>1707</v>
      </c>
      <c r="FC126" s="610" t="s">
        <v>1707</v>
      </c>
      <c r="FD126" s="610" t="s">
        <v>1707</v>
      </c>
      <c r="FE126" s="610" t="s">
        <v>1707</v>
      </c>
      <c r="FF126" s="610" t="s">
        <v>1707</v>
      </c>
      <c r="FG126" s="610" t="s">
        <v>1707</v>
      </c>
      <c r="FH126" s="610">
        <v>11</v>
      </c>
      <c r="FI126" s="610">
        <v>11</v>
      </c>
      <c r="FJ126" s="610">
        <v>11</v>
      </c>
      <c r="FK126" s="610">
        <v>11</v>
      </c>
      <c r="FL126" s="610">
        <v>11</v>
      </c>
      <c r="FM126" s="610">
        <v>11</v>
      </c>
      <c r="FN126" s="610">
        <v>11</v>
      </c>
      <c r="FO126" s="610">
        <v>11</v>
      </c>
      <c r="FP126" s="610">
        <v>11</v>
      </c>
      <c r="FQ126" s="610">
        <v>11</v>
      </c>
      <c r="FR126" s="610" t="s">
        <v>2487</v>
      </c>
      <c r="FS126" s="610" t="s">
        <v>2487</v>
      </c>
      <c r="FT126" s="610" t="s">
        <v>2487</v>
      </c>
      <c r="FU126" s="610" t="s">
        <v>2487</v>
      </c>
      <c r="FV126" s="610" t="s">
        <v>2487</v>
      </c>
      <c r="FW126" s="610" t="s">
        <v>2487</v>
      </c>
      <c r="FX126" s="610" t="s">
        <v>2487</v>
      </c>
      <c r="FY126" s="610" t="s">
        <v>2487</v>
      </c>
      <c r="FZ126" s="610" t="s">
        <v>2487</v>
      </c>
      <c r="GA126" s="610" t="s">
        <v>2487</v>
      </c>
      <c r="GB126" s="610" t="s">
        <v>2487</v>
      </c>
      <c r="GC126" s="610" t="s">
        <v>2487</v>
      </c>
      <c r="GD126" s="564">
        <f t="shared" si="18"/>
        <v>79950</v>
      </c>
      <c r="GE126" s="564">
        <f t="shared" si="19"/>
        <v>79950</v>
      </c>
      <c r="GF126" s="564">
        <f t="shared" si="20"/>
        <v>79950</v>
      </c>
      <c r="GG126" s="564">
        <f t="shared" si="21"/>
        <v>79950</v>
      </c>
      <c r="GH126" s="564">
        <f t="shared" si="22"/>
        <v>79950</v>
      </c>
      <c r="GI126" s="564">
        <f t="shared" si="23"/>
        <v>79950</v>
      </c>
      <c r="GJ126" s="564">
        <f t="shared" si="24"/>
        <v>79950</v>
      </c>
      <c r="GK126" s="564">
        <f t="shared" si="25"/>
        <v>79950</v>
      </c>
      <c r="GL126" s="564">
        <f t="shared" si="26"/>
        <v>79950</v>
      </c>
      <c r="GM126" s="564">
        <f t="shared" si="27"/>
        <v>79950</v>
      </c>
      <c r="GN126" s="564">
        <f t="shared" si="28"/>
        <v>79950</v>
      </c>
      <c r="GO126" s="564">
        <f t="shared" si="29"/>
        <v>79950</v>
      </c>
      <c r="GP126" s="564"/>
      <c r="GS126" s="375" t="s">
        <v>1507</v>
      </c>
      <c r="GT126" s="374" t="str">
        <f t="shared" si="30"/>
        <v>〇</v>
      </c>
    </row>
    <row r="127" spans="2:202">
      <c r="B127" s="371">
        <v>123</v>
      </c>
      <c r="C127" s="378">
        <v>123</v>
      </c>
      <c r="D127" s="373" t="s">
        <v>1508</v>
      </c>
      <c r="E127" s="373" t="s">
        <v>14</v>
      </c>
      <c r="F127" s="603">
        <f t="shared" si="17"/>
        <v>59</v>
      </c>
      <c r="G127" s="603"/>
      <c r="H127" s="603">
        <v>33</v>
      </c>
      <c r="I127" s="603">
        <v>26</v>
      </c>
      <c r="J127" s="603"/>
      <c r="K127" s="603"/>
      <c r="L127" s="603"/>
      <c r="M127" s="603"/>
      <c r="N127" s="608"/>
      <c r="O127" s="603">
        <v>1577000</v>
      </c>
      <c r="P127" s="603">
        <v>0</v>
      </c>
      <c r="Q127" s="603">
        <v>0</v>
      </c>
      <c r="R127" s="603">
        <v>0</v>
      </c>
      <c r="S127" s="603">
        <v>0</v>
      </c>
      <c r="T127" s="603">
        <v>0</v>
      </c>
      <c r="U127" s="603">
        <v>0</v>
      </c>
      <c r="V127" s="603">
        <v>0</v>
      </c>
      <c r="W127" s="603">
        <v>0</v>
      </c>
      <c r="X127" s="603">
        <v>0</v>
      </c>
      <c r="Y127" s="603">
        <v>0</v>
      </c>
      <c r="Z127" s="603">
        <v>0</v>
      </c>
      <c r="AA127" s="603">
        <v>0</v>
      </c>
      <c r="AB127" s="603">
        <v>0</v>
      </c>
      <c r="AC127" s="603">
        <v>0</v>
      </c>
      <c r="AD127" s="603">
        <v>0</v>
      </c>
      <c r="AE127" s="603">
        <v>0</v>
      </c>
      <c r="AF127" s="603">
        <v>0</v>
      </c>
      <c r="AG127" s="603">
        <v>0</v>
      </c>
      <c r="AH127" s="603">
        <v>0</v>
      </c>
      <c r="AI127" s="603">
        <v>0</v>
      </c>
      <c r="AJ127" s="604" t="s">
        <v>2377</v>
      </c>
      <c r="AK127" s="605" t="s">
        <v>1545</v>
      </c>
      <c r="AL127" s="605" t="s">
        <v>1545</v>
      </c>
      <c r="AM127" s="606" t="s">
        <v>2389</v>
      </c>
      <c r="AN127" s="609" t="s">
        <v>12</v>
      </c>
      <c r="AO127" s="610" t="s">
        <v>1368</v>
      </c>
      <c r="AP127" s="610" t="s">
        <v>1368</v>
      </c>
      <c r="AQ127" s="610" t="s">
        <v>1368</v>
      </c>
      <c r="AR127" s="610" t="s">
        <v>1368</v>
      </c>
      <c r="AS127" s="610" t="s">
        <v>1368</v>
      </c>
      <c r="AT127" s="610" t="s">
        <v>1368</v>
      </c>
      <c r="AU127" s="610" t="s">
        <v>1368</v>
      </c>
      <c r="AV127" s="610" t="s">
        <v>1368</v>
      </c>
      <c r="AW127" s="610" t="s">
        <v>1368</v>
      </c>
      <c r="AX127" s="610" t="s">
        <v>1368</v>
      </c>
      <c r="AY127" s="610" t="s">
        <v>1368</v>
      </c>
      <c r="AZ127" s="610" t="s">
        <v>1368</v>
      </c>
      <c r="BA127" s="610" t="s">
        <v>1368</v>
      </c>
      <c r="BB127" s="610" t="s">
        <v>1368</v>
      </c>
      <c r="BC127" s="610" t="s">
        <v>1368</v>
      </c>
      <c r="BD127" s="610" t="s">
        <v>1368</v>
      </c>
      <c r="BE127" s="610" t="s">
        <v>1368</v>
      </c>
      <c r="BF127" s="610" t="s">
        <v>1368</v>
      </c>
      <c r="BG127" s="610" t="s">
        <v>1368</v>
      </c>
      <c r="BH127" s="610" t="s">
        <v>1368</v>
      </c>
      <c r="BI127" s="610" t="s">
        <v>1368</v>
      </c>
      <c r="BJ127" s="610" t="s">
        <v>1368</v>
      </c>
      <c r="BK127" s="610" t="s">
        <v>1368</v>
      </c>
      <c r="BL127" s="610" t="s">
        <v>1368</v>
      </c>
      <c r="BM127" s="610">
        <v>0</v>
      </c>
      <c r="BN127" s="610">
        <v>0</v>
      </c>
      <c r="BO127" s="610">
        <v>0</v>
      </c>
      <c r="BP127" s="610">
        <v>0</v>
      </c>
      <c r="BQ127" s="610">
        <v>0</v>
      </c>
      <c r="BR127" s="610">
        <v>0</v>
      </c>
      <c r="BS127" s="610">
        <v>0</v>
      </c>
      <c r="BT127" s="610">
        <v>0</v>
      </c>
      <c r="BU127" s="610">
        <v>0</v>
      </c>
      <c r="BV127" s="610">
        <v>0</v>
      </c>
      <c r="BW127" s="610">
        <v>0</v>
      </c>
      <c r="BX127" s="610">
        <v>0</v>
      </c>
      <c r="BY127" s="610">
        <v>0</v>
      </c>
      <c r="BZ127" s="610">
        <v>0</v>
      </c>
      <c r="CA127" s="610">
        <v>0</v>
      </c>
      <c r="CB127" s="610">
        <v>0</v>
      </c>
      <c r="CC127" s="610">
        <v>0</v>
      </c>
      <c r="CD127" s="610">
        <v>0</v>
      </c>
      <c r="CE127" s="610">
        <v>0</v>
      </c>
      <c r="CF127" s="610">
        <v>0</v>
      </c>
      <c r="CG127" s="610">
        <v>0</v>
      </c>
      <c r="CH127" s="610">
        <v>0</v>
      </c>
      <c r="CI127" s="610">
        <v>0</v>
      </c>
      <c r="CJ127" s="610">
        <v>0</v>
      </c>
      <c r="CK127" s="610">
        <v>0</v>
      </c>
      <c r="CL127" s="610">
        <v>0</v>
      </c>
      <c r="CM127" s="610">
        <v>0</v>
      </c>
      <c r="CN127" s="610">
        <v>0</v>
      </c>
      <c r="CO127" s="610">
        <v>0</v>
      </c>
      <c r="CP127" s="610">
        <v>0</v>
      </c>
      <c r="CQ127" s="610">
        <v>0</v>
      </c>
      <c r="CR127" s="610">
        <v>0</v>
      </c>
      <c r="CS127" s="610">
        <v>0</v>
      </c>
      <c r="CT127" s="610">
        <v>0</v>
      </c>
      <c r="CU127" s="610">
        <v>0</v>
      </c>
      <c r="CV127" s="610">
        <v>0</v>
      </c>
      <c r="CW127" s="610" t="s">
        <v>14</v>
      </c>
      <c r="CX127" s="610">
        <v>0</v>
      </c>
      <c r="CY127" s="610" t="s">
        <v>1707</v>
      </c>
      <c r="CZ127" s="610" t="s">
        <v>1707</v>
      </c>
      <c r="DA127" s="610" t="s">
        <v>1707</v>
      </c>
      <c r="DB127" s="610" t="s">
        <v>1707</v>
      </c>
      <c r="DC127" s="610" t="s">
        <v>1707</v>
      </c>
      <c r="DD127" s="610" t="s">
        <v>1707</v>
      </c>
      <c r="DE127" s="610" t="s">
        <v>1707</v>
      </c>
      <c r="DF127" s="610" t="s">
        <v>1707</v>
      </c>
      <c r="DG127" s="610" t="s">
        <v>1707</v>
      </c>
      <c r="DH127" s="610" t="s">
        <v>1707</v>
      </c>
      <c r="DI127" s="610" t="s">
        <v>1707</v>
      </c>
      <c r="DJ127" s="610" t="s">
        <v>1707</v>
      </c>
      <c r="DK127" s="610" t="s">
        <v>1368</v>
      </c>
      <c r="DL127" s="610" t="s">
        <v>1368</v>
      </c>
      <c r="DM127" s="610" t="s">
        <v>1368</v>
      </c>
      <c r="DN127" s="610" t="s">
        <v>1368</v>
      </c>
      <c r="DO127" s="610" t="s">
        <v>1368</v>
      </c>
      <c r="DP127" s="610" t="s">
        <v>1368</v>
      </c>
      <c r="DQ127" s="610" t="s">
        <v>1368</v>
      </c>
      <c r="DR127" s="610" t="s">
        <v>1368</v>
      </c>
      <c r="DS127" s="610" t="s">
        <v>1368</v>
      </c>
      <c r="DT127" s="610" t="s">
        <v>1368</v>
      </c>
      <c r="DU127" s="610" t="s">
        <v>1368</v>
      </c>
      <c r="DV127" s="610" t="s">
        <v>1368</v>
      </c>
      <c r="DW127" s="609" t="s">
        <v>1368</v>
      </c>
      <c r="DX127" s="609" t="s">
        <v>1368</v>
      </c>
      <c r="DY127" s="609" t="s">
        <v>1368</v>
      </c>
      <c r="DZ127" s="609" t="s">
        <v>1368</v>
      </c>
      <c r="EA127" s="609" t="s">
        <v>1368</v>
      </c>
      <c r="EB127" s="609" t="s">
        <v>1368</v>
      </c>
      <c r="EC127" s="609" t="s">
        <v>1368</v>
      </c>
      <c r="ED127" s="609" t="s">
        <v>1368</v>
      </c>
      <c r="EE127" s="609" t="s">
        <v>1368</v>
      </c>
      <c r="EF127" s="609" t="s">
        <v>1368</v>
      </c>
      <c r="EG127" s="609" t="s">
        <v>1368</v>
      </c>
      <c r="EH127" s="609" t="s">
        <v>1368</v>
      </c>
      <c r="EI127" s="610" t="s">
        <v>1707</v>
      </c>
      <c r="EJ127" s="610" t="s">
        <v>1707</v>
      </c>
      <c r="EK127" s="610" t="s">
        <v>1707</v>
      </c>
      <c r="EL127" s="610" t="s">
        <v>1707</v>
      </c>
      <c r="EM127" s="610" t="s">
        <v>1707</v>
      </c>
      <c r="EN127" s="610" t="s">
        <v>1707</v>
      </c>
      <c r="EO127" s="610" t="s">
        <v>1707</v>
      </c>
      <c r="EP127" s="610" t="s">
        <v>1707</v>
      </c>
      <c r="EQ127" s="610" t="s">
        <v>1707</v>
      </c>
      <c r="ER127" s="610" t="s">
        <v>1707</v>
      </c>
      <c r="ES127" s="610" t="s">
        <v>1707</v>
      </c>
      <c r="ET127" s="610" t="s">
        <v>1707</v>
      </c>
      <c r="EU127" s="610">
        <v>4070</v>
      </c>
      <c r="EV127" s="610" t="s">
        <v>1707</v>
      </c>
      <c r="EW127" s="610" t="s">
        <v>1707</v>
      </c>
      <c r="EX127" s="610" t="s">
        <v>1707</v>
      </c>
      <c r="EY127" s="610" t="s">
        <v>1707</v>
      </c>
      <c r="EZ127" s="610" t="s">
        <v>1707</v>
      </c>
      <c r="FA127" s="610" t="s">
        <v>1707</v>
      </c>
      <c r="FB127" s="610" t="s">
        <v>1707</v>
      </c>
      <c r="FC127" s="610" t="s">
        <v>1707</v>
      </c>
      <c r="FD127" s="610" t="s">
        <v>1707</v>
      </c>
      <c r="FE127" s="610" t="s">
        <v>1707</v>
      </c>
      <c r="FF127" s="610" t="s">
        <v>1707</v>
      </c>
      <c r="FG127" s="610" t="s">
        <v>1707</v>
      </c>
      <c r="FH127" s="610">
        <v>19</v>
      </c>
      <c r="FI127" s="610">
        <v>18</v>
      </c>
      <c r="FJ127" s="610">
        <v>20</v>
      </c>
      <c r="FK127" s="610">
        <v>20</v>
      </c>
      <c r="FL127" s="610">
        <v>20</v>
      </c>
      <c r="FM127" s="610">
        <v>20</v>
      </c>
      <c r="FN127" s="610">
        <v>20</v>
      </c>
      <c r="FO127" s="610">
        <v>20</v>
      </c>
      <c r="FP127" s="610">
        <v>20</v>
      </c>
      <c r="FQ127" s="610">
        <v>20</v>
      </c>
      <c r="FR127" s="610" t="s">
        <v>2489</v>
      </c>
      <c r="FS127" s="610" t="s">
        <v>2489</v>
      </c>
      <c r="FT127" s="610" t="s">
        <v>2489</v>
      </c>
      <c r="FU127" s="610" t="s">
        <v>2489</v>
      </c>
      <c r="FV127" s="610" t="s">
        <v>2489</v>
      </c>
      <c r="FW127" s="610" t="s">
        <v>2489</v>
      </c>
      <c r="FX127" s="610" t="s">
        <v>2489</v>
      </c>
      <c r="FY127" s="610" t="s">
        <v>2489</v>
      </c>
      <c r="FZ127" s="610" t="s">
        <v>2489</v>
      </c>
      <c r="GA127" s="610" t="s">
        <v>2489</v>
      </c>
      <c r="GB127" s="610" t="s">
        <v>2489</v>
      </c>
      <c r="GC127" s="610" t="s">
        <v>2489</v>
      </c>
      <c r="GD127" s="564" t="str">
        <f t="shared" si="18"/>
        <v/>
      </c>
      <c r="GE127" s="564" t="str">
        <f t="shared" si="19"/>
        <v/>
      </c>
      <c r="GF127" s="564" t="str">
        <f t="shared" si="20"/>
        <v/>
      </c>
      <c r="GG127" s="564" t="str">
        <f t="shared" si="21"/>
        <v/>
      </c>
      <c r="GH127" s="564" t="str">
        <f t="shared" si="22"/>
        <v/>
      </c>
      <c r="GI127" s="564" t="str">
        <f t="shared" si="23"/>
        <v/>
      </c>
      <c r="GJ127" s="564" t="str">
        <f t="shared" si="24"/>
        <v/>
      </c>
      <c r="GK127" s="564" t="str">
        <f t="shared" si="25"/>
        <v/>
      </c>
      <c r="GL127" s="564" t="str">
        <f t="shared" si="26"/>
        <v/>
      </c>
      <c r="GM127" s="564" t="str">
        <f t="shared" si="27"/>
        <v/>
      </c>
      <c r="GN127" s="564" t="str">
        <f t="shared" si="28"/>
        <v/>
      </c>
      <c r="GO127" s="564" t="str">
        <f t="shared" si="29"/>
        <v/>
      </c>
      <c r="GP127" s="564"/>
      <c r="GS127" s="375" t="s">
        <v>1508</v>
      </c>
      <c r="GT127" s="374" t="str">
        <f t="shared" si="30"/>
        <v>〇</v>
      </c>
    </row>
    <row r="128" spans="2:202">
      <c r="B128" s="371">
        <v>124</v>
      </c>
      <c r="C128" s="378">
        <v>124</v>
      </c>
      <c r="D128" s="373" t="s">
        <v>1509</v>
      </c>
      <c r="E128" s="373" t="s">
        <v>14</v>
      </c>
      <c r="F128" s="603">
        <f t="shared" si="17"/>
        <v>59</v>
      </c>
      <c r="G128" s="603"/>
      <c r="H128" s="603">
        <v>30</v>
      </c>
      <c r="I128" s="603">
        <v>29</v>
      </c>
      <c r="J128" s="603"/>
      <c r="K128" s="603"/>
      <c r="L128" s="603"/>
      <c r="M128" s="603"/>
      <c r="N128" s="608"/>
      <c r="O128" s="603">
        <v>1577000</v>
      </c>
      <c r="P128" s="603">
        <v>1584000</v>
      </c>
      <c r="Q128" s="603">
        <v>1710000</v>
      </c>
      <c r="R128" s="603">
        <v>1791000</v>
      </c>
      <c r="S128" s="603">
        <v>0</v>
      </c>
      <c r="T128" s="603">
        <v>8478000</v>
      </c>
      <c r="U128" s="603">
        <v>0</v>
      </c>
      <c r="V128" s="603">
        <v>0</v>
      </c>
      <c r="W128" s="603">
        <v>0</v>
      </c>
      <c r="X128" s="603">
        <v>0</v>
      </c>
      <c r="Y128" s="603">
        <v>0</v>
      </c>
      <c r="Z128" s="603">
        <v>0</v>
      </c>
      <c r="AA128" s="603">
        <v>0</v>
      </c>
      <c r="AB128" s="603">
        <v>0</v>
      </c>
      <c r="AC128" s="603">
        <v>0</v>
      </c>
      <c r="AD128" s="603">
        <v>0</v>
      </c>
      <c r="AE128" s="603">
        <v>0</v>
      </c>
      <c r="AF128" s="603">
        <v>0</v>
      </c>
      <c r="AG128" s="603">
        <v>0</v>
      </c>
      <c r="AH128" s="603">
        <v>0</v>
      </c>
      <c r="AI128" s="603">
        <v>0</v>
      </c>
      <c r="AJ128" s="604" t="s">
        <v>2377</v>
      </c>
      <c r="AK128" s="605" t="s">
        <v>1545</v>
      </c>
      <c r="AL128" s="605" t="s">
        <v>1545</v>
      </c>
      <c r="AM128" s="606" t="s">
        <v>2390</v>
      </c>
      <c r="AN128" s="609" t="s">
        <v>12</v>
      </c>
      <c r="AO128" s="610" t="s">
        <v>1368</v>
      </c>
      <c r="AP128" s="610" t="s">
        <v>1368</v>
      </c>
      <c r="AQ128" s="610" t="s">
        <v>1368</v>
      </c>
      <c r="AR128" s="610" t="s">
        <v>1368</v>
      </c>
      <c r="AS128" s="610" t="s">
        <v>1368</v>
      </c>
      <c r="AT128" s="610" t="s">
        <v>1368</v>
      </c>
      <c r="AU128" s="610" t="s">
        <v>1368</v>
      </c>
      <c r="AV128" s="610" t="s">
        <v>1368</v>
      </c>
      <c r="AW128" s="610" t="s">
        <v>1368</v>
      </c>
      <c r="AX128" s="610" t="s">
        <v>1368</v>
      </c>
      <c r="AY128" s="610" t="s">
        <v>1368</v>
      </c>
      <c r="AZ128" s="610" t="s">
        <v>1368</v>
      </c>
      <c r="BA128" s="610" t="s">
        <v>1368</v>
      </c>
      <c r="BB128" s="610" t="s">
        <v>1368</v>
      </c>
      <c r="BC128" s="610" t="s">
        <v>1368</v>
      </c>
      <c r="BD128" s="610" t="s">
        <v>1368</v>
      </c>
      <c r="BE128" s="610" t="s">
        <v>1368</v>
      </c>
      <c r="BF128" s="610" t="s">
        <v>1368</v>
      </c>
      <c r="BG128" s="610" t="s">
        <v>1368</v>
      </c>
      <c r="BH128" s="610" t="s">
        <v>1368</v>
      </c>
      <c r="BI128" s="610" t="s">
        <v>1368</v>
      </c>
      <c r="BJ128" s="610" t="s">
        <v>1368</v>
      </c>
      <c r="BK128" s="610" t="s">
        <v>1368</v>
      </c>
      <c r="BL128" s="610" t="s">
        <v>1368</v>
      </c>
      <c r="BM128" s="610">
        <v>4</v>
      </c>
      <c r="BN128" s="610">
        <v>4</v>
      </c>
      <c r="BO128" s="610">
        <v>4</v>
      </c>
      <c r="BP128" s="610">
        <v>4</v>
      </c>
      <c r="BQ128" s="610">
        <v>4</v>
      </c>
      <c r="BR128" s="610">
        <v>4</v>
      </c>
      <c r="BS128" s="610">
        <v>4</v>
      </c>
      <c r="BT128" s="610">
        <v>4</v>
      </c>
      <c r="BU128" s="610">
        <v>4</v>
      </c>
      <c r="BV128" s="610">
        <v>4</v>
      </c>
      <c r="BW128" s="610">
        <v>4</v>
      </c>
      <c r="BX128" s="610">
        <v>4</v>
      </c>
      <c r="BY128" s="610">
        <v>2</v>
      </c>
      <c r="BZ128" s="610">
        <v>2</v>
      </c>
      <c r="CA128" s="610">
        <v>2</v>
      </c>
      <c r="CB128" s="610">
        <v>2</v>
      </c>
      <c r="CC128" s="610">
        <v>2</v>
      </c>
      <c r="CD128" s="610">
        <v>2</v>
      </c>
      <c r="CE128" s="610">
        <v>2</v>
      </c>
      <c r="CF128" s="610">
        <v>2</v>
      </c>
      <c r="CG128" s="610">
        <v>2</v>
      </c>
      <c r="CH128" s="610">
        <v>2</v>
      </c>
      <c r="CI128" s="610">
        <v>2</v>
      </c>
      <c r="CJ128" s="610">
        <v>2</v>
      </c>
      <c r="CK128" s="610">
        <v>2</v>
      </c>
      <c r="CL128" s="610">
        <v>2</v>
      </c>
      <c r="CM128" s="610">
        <v>2</v>
      </c>
      <c r="CN128" s="610">
        <v>2</v>
      </c>
      <c r="CO128" s="610">
        <v>2</v>
      </c>
      <c r="CP128" s="610">
        <v>2</v>
      </c>
      <c r="CQ128" s="610">
        <v>2</v>
      </c>
      <c r="CR128" s="610">
        <v>2</v>
      </c>
      <c r="CS128" s="610">
        <v>2</v>
      </c>
      <c r="CT128" s="610">
        <v>2</v>
      </c>
      <c r="CU128" s="610">
        <v>2</v>
      </c>
      <c r="CV128" s="610">
        <v>2</v>
      </c>
      <c r="CW128" s="610" t="s">
        <v>14</v>
      </c>
      <c r="CX128" s="610">
        <v>0</v>
      </c>
      <c r="CY128" s="610" t="s">
        <v>1707</v>
      </c>
      <c r="CZ128" s="610" t="s">
        <v>1707</v>
      </c>
      <c r="DA128" s="610" t="s">
        <v>1707</v>
      </c>
      <c r="DB128" s="610" t="s">
        <v>1707</v>
      </c>
      <c r="DC128" s="610" t="s">
        <v>1707</v>
      </c>
      <c r="DD128" s="610" t="s">
        <v>1707</v>
      </c>
      <c r="DE128" s="610" t="s">
        <v>1707</v>
      </c>
      <c r="DF128" s="610" t="s">
        <v>1707</v>
      </c>
      <c r="DG128" s="610" t="s">
        <v>1707</v>
      </c>
      <c r="DH128" s="610" t="s">
        <v>1707</v>
      </c>
      <c r="DI128" s="610" t="s">
        <v>1707</v>
      </c>
      <c r="DJ128" s="610" t="s">
        <v>1707</v>
      </c>
      <c r="DK128" s="610" t="s">
        <v>1368</v>
      </c>
      <c r="DL128" s="610" t="s">
        <v>1368</v>
      </c>
      <c r="DM128" s="610" t="s">
        <v>1368</v>
      </c>
      <c r="DN128" s="610" t="s">
        <v>1368</v>
      </c>
      <c r="DO128" s="610" t="s">
        <v>1368</v>
      </c>
      <c r="DP128" s="610" t="s">
        <v>1368</v>
      </c>
      <c r="DQ128" s="610" t="s">
        <v>1368</v>
      </c>
      <c r="DR128" s="610" t="s">
        <v>1368</v>
      </c>
      <c r="DS128" s="610" t="s">
        <v>1368</v>
      </c>
      <c r="DT128" s="610" t="s">
        <v>1368</v>
      </c>
      <c r="DU128" s="610" t="s">
        <v>1368</v>
      </c>
      <c r="DV128" s="610" t="s">
        <v>1368</v>
      </c>
      <c r="DW128" s="609" t="s">
        <v>1368</v>
      </c>
      <c r="DX128" s="609" t="s">
        <v>1368</v>
      </c>
      <c r="DY128" s="609" t="s">
        <v>1368</v>
      </c>
      <c r="DZ128" s="609" t="s">
        <v>1368</v>
      </c>
      <c r="EA128" s="609" t="s">
        <v>1368</v>
      </c>
      <c r="EB128" s="609" t="s">
        <v>1368</v>
      </c>
      <c r="EC128" s="609" t="s">
        <v>1368</v>
      </c>
      <c r="ED128" s="609" t="s">
        <v>1368</v>
      </c>
      <c r="EE128" s="609" t="s">
        <v>1368</v>
      </c>
      <c r="EF128" s="609" t="s">
        <v>1368</v>
      </c>
      <c r="EG128" s="609" t="s">
        <v>1368</v>
      </c>
      <c r="EH128" s="609" t="s">
        <v>1368</v>
      </c>
      <c r="EI128" s="610" t="s">
        <v>1707</v>
      </c>
      <c r="EJ128" s="610" t="s">
        <v>1707</v>
      </c>
      <c r="EK128" s="610" t="s">
        <v>1707</v>
      </c>
      <c r="EL128" s="610" t="s">
        <v>1707</v>
      </c>
      <c r="EM128" s="610" t="s">
        <v>1707</v>
      </c>
      <c r="EN128" s="610" t="s">
        <v>1707</v>
      </c>
      <c r="EO128" s="610" t="s">
        <v>1707</v>
      </c>
      <c r="EP128" s="610" t="s">
        <v>1707</v>
      </c>
      <c r="EQ128" s="610" t="s">
        <v>1707</v>
      </c>
      <c r="ER128" s="610" t="s">
        <v>1707</v>
      </c>
      <c r="ES128" s="610" t="s">
        <v>1707</v>
      </c>
      <c r="ET128" s="610" t="s">
        <v>1707</v>
      </c>
      <c r="EU128" s="610">
        <v>3980</v>
      </c>
      <c r="EV128" s="610" t="s">
        <v>1707</v>
      </c>
      <c r="EW128" s="610" t="s">
        <v>1707</v>
      </c>
      <c r="EX128" s="610" t="s">
        <v>1707</v>
      </c>
      <c r="EY128" s="610" t="s">
        <v>1707</v>
      </c>
      <c r="EZ128" s="610" t="s">
        <v>1707</v>
      </c>
      <c r="FA128" s="610" t="s">
        <v>1707</v>
      </c>
      <c r="FB128" s="610" t="s">
        <v>1707</v>
      </c>
      <c r="FC128" s="610" t="s">
        <v>1707</v>
      </c>
      <c r="FD128" s="610" t="s">
        <v>1707</v>
      </c>
      <c r="FE128" s="610" t="s">
        <v>1707</v>
      </c>
      <c r="FF128" s="610" t="s">
        <v>1707</v>
      </c>
      <c r="FG128" s="610" t="s">
        <v>1707</v>
      </c>
      <c r="FH128" s="610">
        <v>23</v>
      </c>
      <c r="FI128" s="610">
        <v>23</v>
      </c>
      <c r="FJ128" s="610">
        <v>23</v>
      </c>
      <c r="FK128" s="610">
        <v>23</v>
      </c>
      <c r="FL128" s="610">
        <v>23</v>
      </c>
      <c r="FM128" s="610">
        <v>23</v>
      </c>
      <c r="FN128" s="610">
        <v>23</v>
      </c>
      <c r="FO128" s="610">
        <v>23</v>
      </c>
      <c r="FP128" s="610">
        <v>23</v>
      </c>
      <c r="FQ128" s="610">
        <v>23</v>
      </c>
      <c r="FR128" s="610" t="s">
        <v>2487</v>
      </c>
      <c r="FS128" s="610" t="s">
        <v>2487</v>
      </c>
      <c r="FT128" s="610" t="s">
        <v>2487</v>
      </c>
      <c r="FU128" s="610" t="s">
        <v>2487</v>
      </c>
      <c r="FV128" s="610" t="s">
        <v>2487</v>
      </c>
      <c r="FW128" s="610" t="s">
        <v>2487</v>
      </c>
      <c r="FX128" s="610" t="s">
        <v>2487</v>
      </c>
      <c r="FY128" s="610" t="s">
        <v>2487</v>
      </c>
      <c r="FZ128" s="610" t="s">
        <v>2487</v>
      </c>
      <c r="GA128" s="610" t="s">
        <v>2487</v>
      </c>
      <c r="GB128" s="610" t="s">
        <v>2487</v>
      </c>
      <c r="GC128" s="610" t="s">
        <v>2487</v>
      </c>
      <c r="GD128" s="564">
        <f t="shared" si="18"/>
        <v>79950</v>
      </c>
      <c r="GE128" s="564">
        <f t="shared" si="19"/>
        <v>79950</v>
      </c>
      <c r="GF128" s="564">
        <f t="shared" si="20"/>
        <v>79950</v>
      </c>
      <c r="GG128" s="564">
        <f t="shared" si="21"/>
        <v>79950</v>
      </c>
      <c r="GH128" s="564">
        <f t="shared" si="22"/>
        <v>79950</v>
      </c>
      <c r="GI128" s="564">
        <f t="shared" si="23"/>
        <v>79950</v>
      </c>
      <c r="GJ128" s="564">
        <f t="shared" si="24"/>
        <v>79950</v>
      </c>
      <c r="GK128" s="564">
        <f t="shared" si="25"/>
        <v>79950</v>
      </c>
      <c r="GL128" s="564">
        <f t="shared" si="26"/>
        <v>79950</v>
      </c>
      <c r="GM128" s="564">
        <f t="shared" si="27"/>
        <v>79950</v>
      </c>
      <c r="GN128" s="564">
        <f t="shared" si="28"/>
        <v>79950</v>
      </c>
      <c r="GO128" s="564">
        <f t="shared" si="29"/>
        <v>79950</v>
      </c>
      <c r="GP128" s="564"/>
      <c r="GS128" s="375" t="s">
        <v>1509</v>
      </c>
      <c r="GT128" s="374" t="str">
        <f t="shared" si="30"/>
        <v>〇</v>
      </c>
    </row>
    <row r="129" spans="2:202">
      <c r="B129" s="371">
        <v>125</v>
      </c>
      <c r="C129" s="378">
        <v>125</v>
      </c>
      <c r="D129" s="373" t="s">
        <v>1510</v>
      </c>
      <c r="E129" s="373" t="s">
        <v>14</v>
      </c>
      <c r="F129" s="603">
        <f t="shared" si="17"/>
        <v>60</v>
      </c>
      <c r="G129" s="603"/>
      <c r="H129" s="565">
        <v>31</v>
      </c>
      <c r="I129" s="565">
        <v>29</v>
      </c>
      <c r="J129" s="603"/>
      <c r="K129" s="603"/>
      <c r="L129" s="603"/>
      <c r="M129" s="603"/>
      <c r="N129" s="608"/>
      <c r="O129" s="603">
        <v>1577000</v>
      </c>
      <c r="P129" s="603">
        <v>0</v>
      </c>
      <c r="Q129" s="603">
        <v>0</v>
      </c>
      <c r="R129" s="603">
        <v>0</v>
      </c>
      <c r="S129" s="603">
        <v>0</v>
      </c>
      <c r="T129" s="603">
        <v>0</v>
      </c>
      <c r="U129" s="603">
        <v>0</v>
      </c>
      <c r="V129" s="603">
        <v>1051000</v>
      </c>
      <c r="W129" s="603">
        <v>0</v>
      </c>
      <c r="X129" s="603">
        <v>0</v>
      </c>
      <c r="Y129" s="603">
        <v>0</v>
      </c>
      <c r="Z129" s="603">
        <v>0</v>
      </c>
      <c r="AA129" s="603">
        <v>0</v>
      </c>
      <c r="AB129" s="603">
        <v>0</v>
      </c>
      <c r="AC129" s="603">
        <v>0</v>
      </c>
      <c r="AD129" s="603">
        <v>0</v>
      </c>
      <c r="AE129" s="603">
        <v>0</v>
      </c>
      <c r="AF129" s="603">
        <v>0</v>
      </c>
      <c r="AG129" s="603">
        <v>0</v>
      </c>
      <c r="AH129" s="603">
        <v>0</v>
      </c>
      <c r="AI129" s="603">
        <v>0</v>
      </c>
      <c r="AJ129" s="604" t="s">
        <v>2377</v>
      </c>
      <c r="AK129" s="605" t="s">
        <v>2378</v>
      </c>
      <c r="AL129" s="605" t="s">
        <v>1545</v>
      </c>
      <c r="AM129" s="606" t="s">
        <v>2391</v>
      </c>
      <c r="AN129" s="609" t="s">
        <v>12</v>
      </c>
      <c r="AO129" s="610" t="s">
        <v>1368</v>
      </c>
      <c r="AP129" s="610" t="s">
        <v>1368</v>
      </c>
      <c r="AQ129" s="610" t="s">
        <v>1368</v>
      </c>
      <c r="AR129" s="610" t="s">
        <v>1368</v>
      </c>
      <c r="AS129" s="610" t="s">
        <v>1368</v>
      </c>
      <c r="AT129" s="610" t="s">
        <v>1368</v>
      </c>
      <c r="AU129" s="610" t="s">
        <v>1368</v>
      </c>
      <c r="AV129" s="610" t="s">
        <v>1368</v>
      </c>
      <c r="AW129" s="610" t="s">
        <v>1368</v>
      </c>
      <c r="AX129" s="610" t="s">
        <v>1368</v>
      </c>
      <c r="AY129" s="610" t="s">
        <v>1368</v>
      </c>
      <c r="AZ129" s="610" t="s">
        <v>1368</v>
      </c>
      <c r="BA129" s="610" t="s">
        <v>1368</v>
      </c>
      <c r="BB129" s="610" t="s">
        <v>1368</v>
      </c>
      <c r="BC129" s="610" t="s">
        <v>1368</v>
      </c>
      <c r="BD129" s="610" t="s">
        <v>1368</v>
      </c>
      <c r="BE129" s="610" t="s">
        <v>1368</v>
      </c>
      <c r="BF129" s="610" t="s">
        <v>1368</v>
      </c>
      <c r="BG129" s="610" t="s">
        <v>1368</v>
      </c>
      <c r="BH129" s="610" t="s">
        <v>1368</v>
      </c>
      <c r="BI129" s="610" t="s">
        <v>1368</v>
      </c>
      <c r="BJ129" s="610" t="s">
        <v>1368</v>
      </c>
      <c r="BK129" s="610" t="s">
        <v>1368</v>
      </c>
      <c r="BL129" s="610" t="s">
        <v>1368</v>
      </c>
      <c r="BM129" s="610">
        <v>0</v>
      </c>
      <c r="BN129" s="610">
        <v>0</v>
      </c>
      <c r="BO129" s="610">
        <v>0</v>
      </c>
      <c r="BP129" s="610">
        <v>0</v>
      </c>
      <c r="BQ129" s="610">
        <v>0</v>
      </c>
      <c r="BR129" s="610">
        <v>0</v>
      </c>
      <c r="BS129" s="610">
        <v>0</v>
      </c>
      <c r="BT129" s="610">
        <v>0</v>
      </c>
      <c r="BU129" s="610">
        <v>0</v>
      </c>
      <c r="BV129" s="610">
        <v>0</v>
      </c>
      <c r="BW129" s="610">
        <v>0</v>
      </c>
      <c r="BX129" s="610">
        <v>0</v>
      </c>
      <c r="BY129" s="610">
        <v>0</v>
      </c>
      <c r="BZ129" s="610">
        <v>0</v>
      </c>
      <c r="CA129" s="610">
        <v>0</v>
      </c>
      <c r="CB129" s="610">
        <v>0</v>
      </c>
      <c r="CC129" s="610">
        <v>0</v>
      </c>
      <c r="CD129" s="610">
        <v>0</v>
      </c>
      <c r="CE129" s="610">
        <v>0</v>
      </c>
      <c r="CF129" s="610">
        <v>0</v>
      </c>
      <c r="CG129" s="610">
        <v>0</v>
      </c>
      <c r="CH129" s="610">
        <v>0</v>
      </c>
      <c r="CI129" s="610">
        <v>0</v>
      </c>
      <c r="CJ129" s="610">
        <v>0</v>
      </c>
      <c r="CK129" s="610">
        <v>0</v>
      </c>
      <c r="CL129" s="610">
        <v>0</v>
      </c>
      <c r="CM129" s="610">
        <v>0</v>
      </c>
      <c r="CN129" s="610">
        <v>0</v>
      </c>
      <c r="CO129" s="610">
        <v>0</v>
      </c>
      <c r="CP129" s="610">
        <v>0</v>
      </c>
      <c r="CQ129" s="610">
        <v>0</v>
      </c>
      <c r="CR129" s="610">
        <v>0</v>
      </c>
      <c r="CS129" s="610">
        <v>0</v>
      </c>
      <c r="CT129" s="610">
        <v>0</v>
      </c>
      <c r="CU129" s="610">
        <v>0</v>
      </c>
      <c r="CV129" s="610">
        <v>0</v>
      </c>
      <c r="CW129" s="610" t="s">
        <v>14</v>
      </c>
      <c r="CX129" s="610">
        <v>0</v>
      </c>
      <c r="CY129" s="610" t="s">
        <v>2449</v>
      </c>
      <c r="CZ129" s="610" t="s">
        <v>2449</v>
      </c>
      <c r="DA129" s="610" t="s">
        <v>2449</v>
      </c>
      <c r="DB129" s="610" t="s">
        <v>2449</v>
      </c>
      <c r="DC129" s="610" t="s">
        <v>2449</v>
      </c>
      <c r="DD129" s="610" t="s">
        <v>2449</v>
      </c>
      <c r="DE129" s="610" t="s">
        <v>2449</v>
      </c>
      <c r="DF129" s="610" t="s">
        <v>2449</v>
      </c>
      <c r="DG129" s="610" t="s">
        <v>2449</v>
      </c>
      <c r="DH129" s="610" t="s">
        <v>2449</v>
      </c>
      <c r="DI129" s="610" t="s">
        <v>2449</v>
      </c>
      <c r="DJ129" s="610" t="s">
        <v>2449</v>
      </c>
      <c r="DK129" s="610" t="s">
        <v>1368</v>
      </c>
      <c r="DL129" s="610" t="s">
        <v>1368</v>
      </c>
      <c r="DM129" s="610" t="s">
        <v>1368</v>
      </c>
      <c r="DN129" s="610" t="s">
        <v>1368</v>
      </c>
      <c r="DO129" s="610" t="s">
        <v>1368</v>
      </c>
      <c r="DP129" s="610" t="s">
        <v>1368</v>
      </c>
      <c r="DQ129" s="610" t="s">
        <v>1368</v>
      </c>
      <c r="DR129" s="610" t="s">
        <v>1368</v>
      </c>
      <c r="DS129" s="610" t="s">
        <v>1368</v>
      </c>
      <c r="DT129" s="610" t="s">
        <v>1368</v>
      </c>
      <c r="DU129" s="610" t="s">
        <v>1368</v>
      </c>
      <c r="DV129" s="610" t="s">
        <v>1368</v>
      </c>
      <c r="DW129" s="609" t="s">
        <v>1368</v>
      </c>
      <c r="DX129" s="609" t="s">
        <v>1368</v>
      </c>
      <c r="DY129" s="609" t="s">
        <v>1368</v>
      </c>
      <c r="DZ129" s="609" t="s">
        <v>1368</v>
      </c>
      <c r="EA129" s="609" t="s">
        <v>1368</v>
      </c>
      <c r="EB129" s="609" t="s">
        <v>1368</v>
      </c>
      <c r="EC129" s="609" t="s">
        <v>1368</v>
      </c>
      <c r="ED129" s="609" t="s">
        <v>1368</v>
      </c>
      <c r="EE129" s="609" t="s">
        <v>1368</v>
      </c>
      <c r="EF129" s="609" t="s">
        <v>1368</v>
      </c>
      <c r="EG129" s="609" t="s">
        <v>1368</v>
      </c>
      <c r="EH129" s="609" t="s">
        <v>1368</v>
      </c>
      <c r="EI129" s="610" t="s">
        <v>1707</v>
      </c>
      <c r="EJ129" s="610" t="s">
        <v>1707</v>
      </c>
      <c r="EK129" s="610" t="s">
        <v>1707</v>
      </c>
      <c r="EL129" s="610" t="s">
        <v>1707</v>
      </c>
      <c r="EM129" s="610" t="s">
        <v>1707</v>
      </c>
      <c r="EN129" s="610" t="s">
        <v>1707</v>
      </c>
      <c r="EO129" s="610" t="s">
        <v>1707</v>
      </c>
      <c r="EP129" s="610" t="s">
        <v>1707</v>
      </c>
      <c r="EQ129" s="610" t="s">
        <v>1707</v>
      </c>
      <c r="ER129" s="610" t="s">
        <v>1707</v>
      </c>
      <c r="ES129" s="610" t="s">
        <v>1707</v>
      </c>
      <c r="ET129" s="610" t="s">
        <v>1707</v>
      </c>
      <c r="EU129" s="610">
        <v>4010</v>
      </c>
      <c r="EV129" s="610" t="s">
        <v>1707</v>
      </c>
      <c r="EW129" s="610" t="s">
        <v>1707</v>
      </c>
      <c r="EX129" s="610" t="s">
        <v>1707</v>
      </c>
      <c r="EY129" s="610" t="s">
        <v>1707</v>
      </c>
      <c r="EZ129" s="610" t="s">
        <v>1707</v>
      </c>
      <c r="FA129" s="610" t="s">
        <v>1707</v>
      </c>
      <c r="FB129" s="610" t="s">
        <v>1707</v>
      </c>
      <c r="FC129" s="610" t="s">
        <v>1707</v>
      </c>
      <c r="FD129" s="610" t="s">
        <v>1707</v>
      </c>
      <c r="FE129" s="610" t="s">
        <v>1707</v>
      </c>
      <c r="FF129" s="610" t="s">
        <v>1707</v>
      </c>
      <c r="FG129" s="610" t="s">
        <v>1707</v>
      </c>
      <c r="FH129" s="610">
        <v>10</v>
      </c>
      <c r="FI129" s="610">
        <v>11</v>
      </c>
      <c r="FJ129" s="610">
        <v>11</v>
      </c>
      <c r="FK129" s="610">
        <v>10</v>
      </c>
      <c r="FL129" s="610">
        <v>10</v>
      </c>
      <c r="FM129" s="610">
        <v>10</v>
      </c>
      <c r="FN129" s="610">
        <v>10</v>
      </c>
      <c r="FO129" s="610">
        <v>9</v>
      </c>
      <c r="FP129" s="610">
        <v>9</v>
      </c>
      <c r="FQ129" s="610">
        <v>9</v>
      </c>
      <c r="FR129" s="610" t="s">
        <v>2488</v>
      </c>
      <c r="FS129" s="610" t="s">
        <v>2488</v>
      </c>
      <c r="FT129" s="610" t="s">
        <v>2488</v>
      </c>
      <c r="FU129" s="610" t="s">
        <v>2488</v>
      </c>
      <c r="FV129" s="610" t="s">
        <v>2488</v>
      </c>
      <c r="FW129" s="610" t="s">
        <v>2488</v>
      </c>
      <c r="FX129" s="610" t="s">
        <v>2488</v>
      </c>
      <c r="FY129" s="610" t="s">
        <v>2488</v>
      </c>
      <c r="FZ129" s="610" t="s">
        <v>2488</v>
      </c>
      <c r="GA129" s="610" t="s">
        <v>2488</v>
      </c>
      <c r="GB129" s="610" t="s">
        <v>2488</v>
      </c>
      <c r="GC129" s="610" t="s">
        <v>2488</v>
      </c>
      <c r="GD129" s="564" t="str">
        <f t="shared" si="18"/>
        <v/>
      </c>
      <c r="GE129" s="564" t="str">
        <f t="shared" si="19"/>
        <v/>
      </c>
      <c r="GF129" s="564" t="str">
        <f t="shared" si="20"/>
        <v/>
      </c>
      <c r="GG129" s="564" t="str">
        <f t="shared" si="21"/>
        <v/>
      </c>
      <c r="GH129" s="564" t="str">
        <f t="shared" si="22"/>
        <v/>
      </c>
      <c r="GI129" s="564" t="str">
        <f t="shared" si="23"/>
        <v/>
      </c>
      <c r="GJ129" s="564" t="str">
        <f t="shared" si="24"/>
        <v/>
      </c>
      <c r="GK129" s="564" t="str">
        <f t="shared" si="25"/>
        <v/>
      </c>
      <c r="GL129" s="564" t="str">
        <f t="shared" si="26"/>
        <v/>
      </c>
      <c r="GM129" s="564" t="str">
        <f t="shared" si="27"/>
        <v/>
      </c>
      <c r="GN129" s="564" t="str">
        <f t="shared" si="28"/>
        <v/>
      </c>
      <c r="GO129" s="564" t="str">
        <f t="shared" si="29"/>
        <v/>
      </c>
      <c r="GP129" s="564"/>
      <c r="GS129" s="375" t="s">
        <v>1510</v>
      </c>
      <c r="GT129" s="374" t="str">
        <f t="shared" si="30"/>
        <v>〇</v>
      </c>
    </row>
    <row r="130" spans="2:202">
      <c r="B130" s="371">
        <v>126</v>
      </c>
      <c r="C130" s="378">
        <v>126</v>
      </c>
      <c r="D130" s="373" t="s">
        <v>1511</v>
      </c>
      <c r="E130" s="373" t="s">
        <v>14</v>
      </c>
      <c r="F130" s="603">
        <f t="shared" si="17"/>
        <v>60</v>
      </c>
      <c r="G130" s="603"/>
      <c r="H130" s="603">
        <v>33</v>
      </c>
      <c r="I130" s="603">
        <v>27</v>
      </c>
      <c r="J130" s="603"/>
      <c r="K130" s="603"/>
      <c r="L130" s="603"/>
      <c r="M130" s="603"/>
      <c r="N130" s="608"/>
      <c r="O130" s="603">
        <v>1577000</v>
      </c>
      <c r="P130" s="603">
        <v>2721000</v>
      </c>
      <c r="Q130" s="603">
        <v>2721000</v>
      </c>
      <c r="R130" s="603">
        <v>0</v>
      </c>
      <c r="S130" s="603">
        <v>0</v>
      </c>
      <c r="T130" s="603">
        <v>0</v>
      </c>
      <c r="U130" s="603">
        <v>0</v>
      </c>
      <c r="V130" s="603">
        <v>1051000</v>
      </c>
      <c r="W130" s="603">
        <v>1814000</v>
      </c>
      <c r="X130" s="603">
        <v>1814000</v>
      </c>
      <c r="Y130" s="603">
        <v>0</v>
      </c>
      <c r="Z130" s="603">
        <v>0</v>
      </c>
      <c r="AA130" s="603">
        <v>0</v>
      </c>
      <c r="AB130" s="603">
        <v>0</v>
      </c>
      <c r="AC130" s="603">
        <v>0</v>
      </c>
      <c r="AD130" s="603">
        <v>0</v>
      </c>
      <c r="AE130" s="603">
        <v>0</v>
      </c>
      <c r="AF130" s="603">
        <v>0</v>
      </c>
      <c r="AG130" s="603">
        <v>0</v>
      </c>
      <c r="AH130" s="603">
        <v>0</v>
      </c>
      <c r="AI130" s="603">
        <v>0</v>
      </c>
      <c r="AJ130" s="604" t="s">
        <v>2377</v>
      </c>
      <c r="AK130" s="605" t="s">
        <v>2378</v>
      </c>
      <c r="AL130" s="605" t="s">
        <v>1545</v>
      </c>
      <c r="AM130" s="606" t="s">
        <v>2392</v>
      </c>
      <c r="AN130" s="609" t="s">
        <v>12</v>
      </c>
      <c r="AO130" s="610" t="s">
        <v>1368</v>
      </c>
      <c r="AP130" s="610" t="s">
        <v>1368</v>
      </c>
      <c r="AQ130" s="610" t="s">
        <v>1368</v>
      </c>
      <c r="AR130" s="610" t="s">
        <v>1368</v>
      </c>
      <c r="AS130" s="610" t="s">
        <v>1368</v>
      </c>
      <c r="AT130" s="610" t="s">
        <v>1368</v>
      </c>
      <c r="AU130" s="610" t="s">
        <v>1368</v>
      </c>
      <c r="AV130" s="610" t="s">
        <v>1368</v>
      </c>
      <c r="AW130" s="610" t="s">
        <v>1368</v>
      </c>
      <c r="AX130" s="610" t="s">
        <v>1368</v>
      </c>
      <c r="AY130" s="610" t="s">
        <v>1368</v>
      </c>
      <c r="AZ130" s="610" t="s">
        <v>1368</v>
      </c>
      <c r="BA130" s="610" t="s">
        <v>1368</v>
      </c>
      <c r="BB130" s="610" t="s">
        <v>1368</v>
      </c>
      <c r="BC130" s="610" t="s">
        <v>1368</v>
      </c>
      <c r="BD130" s="610" t="s">
        <v>1368</v>
      </c>
      <c r="BE130" s="610" t="s">
        <v>1368</v>
      </c>
      <c r="BF130" s="610" t="s">
        <v>1368</v>
      </c>
      <c r="BG130" s="610" t="s">
        <v>1368</v>
      </c>
      <c r="BH130" s="610" t="s">
        <v>1368</v>
      </c>
      <c r="BI130" s="610" t="s">
        <v>1368</v>
      </c>
      <c r="BJ130" s="610" t="s">
        <v>1368</v>
      </c>
      <c r="BK130" s="610" t="s">
        <v>1368</v>
      </c>
      <c r="BL130" s="610" t="s">
        <v>1368</v>
      </c>
      <c r="BM130" s="610">
        <v>0</v>
      </c>
      <c r="BN130" s="610">
        <v>0</v>
      </c>
      <c r="BO130" s="610">
        <v>0</v>
      </c>
      <c r="BP130" s="610">
        <v>0</v>
      </c>
      <c r="BQ130" s="610">
        <v>0</v>
      </c>
      <c r="BR130" s="610">
        <v>0</v>
      </c>
      <c r="BS130" s="610">
        <v>0</v>
      </c>
      <c r="BT130" s="610">
        <v>0</v>
      </c>
      <c r="BU130" s="610">
        <v>0</v>
      </c>
      <c r="BV130" s="610">
        <v>0</v>
      </c>
      <c r="BW130" s="610">
        <v>0</v>
      </c>
      <c r="BX130" s="610">
        <v>0</v>
      </c>
      <c r="BY130" s="610">
        <v>0</v>
      </c>
      <c r="BZ130" s="610">
        <v>0</v>
      </c>
      <c r="CA130" s="610">
        <v>0</v>
      </c>
      <c r="CB130" s="610">
        <v>0</v>
      </c>
      <c r="CC130" s="610">
        <v>0</v>
      </c>
      <c r="CD130" s="610">
        <v>0</v>
      </c>
      <c r="CE130" s="610">
        <v>0</v>
      </c>
      <c r="CF130" s="610">
        <v>0</v>
      </c>
      <c r="CG130" s="610">
        <v>0</v>
      </c>
      <c r="CH130" s="610">
        <v>0</v>
      </c>
      <c r="CI130" s="610">
        <v>0</v>
      </c>
      <c r="CJ130" s="610">
        <v>0</v>
      </c>
      <c r="CK130" s="610">
        <v>0</v>
      </c>
      <c r="CL130" s="610">
        <v>0</v>
      </c>
      <c r="CM130" s="610">
        <v>0</v>
      </c>
      <c r="CN130" s="610">
        <v>0</v>
      </c>
      <c r="CO130" s="610">
        <v>0</v>
      </c>
      <c r="CP130" s="610">
        <v>0</v>
      </c>
      <c r="CQ130" s="610">
        <v>0</v>
      </c>
      <c r="CR130" s="610">
        <v>0</v>
      </c>
      <c r="CS130" s="610">
        <v>0</v>
      </c>
      <c r="CT130" s="610">
        <v>0</v>
      </c>
      <c r="CU130" s="610">
        <v>0</v>
      </c>
      <c r="CV130" s="610">
        <v>0</v>
      </c>
      <c r="CW130" s="610" t="s">
        <v>14</v>
      </c>
      <c r="CX130" s="610">
        <v>0</v>
      </c>
      <c r="CY130" s="610" t="s">
        <v>1707</v>
      </c>
      <c r="CZ130" s="610" t="s">
        <v>1707</v>
      </c>
      <c r="DA130" s="610" t="s">
        <v>1707</v>
      </c>
      <c r="DB130" s="610" t="s">
        <v>1707</v>
      </c>
      <c r="DC130" s="610" t="s">
        <v>1707</v>
      </c>
      <c r="DD130" s="610" t="s">
        <v>1707</v>
      </c>
      <c r="DE130" s="610" t="s">
        <v>1707</v>
      </c>
      <c r="DF130" s="610" t="s">
        <v>1707</v>
      </c>
      <c r="DG130" s="610" t="s">
        <v>1707</v>
      </c>
      <c r="DH130" s="610" t="s">
        <v>1707</v>
      </c>
      <c r="DI130" s="610" t="s">
        <v>1707</v>
      </c>
      <c r="DJ130" s="610" t="s">
        <v>1707</v>
      </c>
      <c r="DK130" s="610" t="s">
        <v>1368</v>
      </c>
      <c r="DL130" s="610" t="s">
        <v>1368</v>
      </c>
      <c r="DM130" s="610" t="s">
        <v>1368</v>
      </c>
      <c r="DN130" s="610" t="s">
        <v>1368</v>
      </c>
      <c r="DO130" s="610" t="s">
        <v>1368</v>
      </c>
      <c r="DP130" s="610" t="s">
        <v>1368</v>
      </c>
      <c r="DQ130" s="610" t="s">
        <v>1368</v>
      </c>
      <c r="DR130" s="610" t="s">
        <v>1368</v>
      </c>
      <c r="DS130" s="610" t="s">
        <v>1368</v>
      </c>
      <c r="DT130" s="610" t="s">
        <v>1368</v>
      </c>
      <c r="DU130" s="610" t="s">
        <v>1368</v>
      </c>
      <c r="DV130" s="610" t="s">
        <v>1368</v>
      </c>
      <c r="DW130" s="609" t="s">
        <v>1368</v>
      </c>
      <c r="DX130" s="609" t="s">
        <v>1368</v>
      </c>
      <c r="DY130" s="609" t="s">
        <v>1368</v>
      </c>
      <c r="DZ130" s="609" t="s">
        <v>1368</v>
      </c>
      <c r="EA130" s="609" t="s">
        <v>1368</v>
      </c>
      <c r="EB130" s="609" t="s">
        <v>1368</v>
      </c>
      <c r="EC130" s="609" t="s">
        <v>1368</v>
      </c>
      <c r="ED130" s="609" t="s">
        <v>1368</v>
      </c>
      <c r="EE130" s="609" t="s">
        <v>1368</v>
      </c>
      <c r="EF130" s="609" t="s">
        <v>1368</v>
      </c>
      <c r="EG130" s="609" t="s">
        <v>1368</v>
      </c>
      <c r="EH130" s="609" t="s">
        <v>1368</v>
      </c>
      <c r="EI130" s="610" t="s">
        <v>1707</v>
      </c>
      <c r="EJ130" s="610" t="s">
        <v>1707</v>
      </c>
      <c r="EK130" s="610" t="s">
        <v>1707</v>
      </c>
      <c r="EL130" s="610" t="s">
        <v>1707</v>
      </c>
      <c r="EM130" s="610" t="s">
        <v>1707</v>
      </c>
      <c r="EN130" s="610" t="s">
        <v>1707</v>
      </c>
      <c r="EO130" s="610" t="s">
        <v>1707</v>
      </c>
      <c r="EP130" s="610" t="s">
        <v>1707</v>
      </c>
      <c r="EQ130" s="610" t="s">
        <v>1707</v>
      </c>
      <c r="ER130" s="610" t="s">
        <v>1707</v>
      </c>
      <c r="ES130" s="610" t="s">
        <v>1707</v>
      </c>
      <c r="ET130" s="610" t="s">
        <v>1707</v>
      </c>
      <c r="EU130" s="610">
        <v>3860</v>
      </c>
      <c r="EV130" s="610" t="s">
        <v>1707</v>
      </c>
      <c r="EW130" s="610" t="s">
        <v>1707</v>
      </c>
      <c r="EX130" s="610" t="s">
        <v>1707</v>
      </c>
      <c r="EY130" s="610" t="s">
        <v>1707</v>
      </c>
      <c r="EZ130" s="610" t="s">
        <v>1707</v>
      </c>
      <c r="FA130" s="610" t="s">
        <v>1707</v>
      </c>
      <c r="FB130" s="610" t="s">
        <v>1707</v>
      </c>
      <c r="FC130" s="610" t="s">
        <v>1707</v>
      </c>
      <c r="FD130" s="610" t="s">
        <v>1707</v>
      </c>
      <c r="FE130" s="610" t="s">
        <v>1707</v>
      </c>
      <c r="FF130" s="610" t="s">
        <v>1707</v>
      </c>
      <c r="FG130" s="610" t="s">
        <v>1707</v>
      </c>
      <c r="FH130" s="610">
        <v>30</v>
      </c>
      <c r="FI130" s="610">
        <v>30</v>
      </c>
      <c r="FJ130" s="610">
        <v>30</v>
      </c>
      <c r="FK130" s="610">
        <v>31</v>
      </c>
      <c r="FL130" s="610">
        <v>31</v>
      </c>
      <c r="FM130" s="610">
        <v>31</v>
      </c>
      <c r="FN130" s="610">
        <v>31</v>
      </c>
      <c r="FO130" s="610">
        <v>31</v>
      </c>
      <c r="FP130" s="610">
        <v>31</v>
      </c>
      <c r="FQ130" s="610">
        <v>31</v>
      </c>
      <c r="FR130" s="610" t="s">
        <v>2487</v>
      </c>
      <c r="FS130" s="610" t="s">
        <v>2487</v>
      </c>
      <c r="FT130" s="610" t="s">
        <v>2487</v>
      </c>
      <c r="FU130" s="610" t="s">
        <v>2487</v>
      </c>
      <c r="FV130" s="610" t="s">
        <v>2487</v>
      </c>
      <c r="FW130" s="610" t="s">
        <v>2487</v>
      </c>
      <c r="FX130" s="610" t="s">
        <v>2487</v>
      </c>
      <c r="FY130" s="610" t="s">
        <v>2487</v>
      </c>
      <c r="FZ130" s="610" t="s">
        <v>2487</v>
      </c>
      <c r="GA130" s="610" t="s">
        <v>2487</v>
      </c>
      <c r="GB130" s="610" t="s">
        <v>2487</v>
      </c>
      <c r="GC130" s="610" t="s">
        <v>2487</v>
      </c>
      <c r="GD130" s="564">
        <f t="shared" si="18"/>
        <v>79950</v>
      </c>
      <c r="GE130" s="564">
        <f t="shared" si="19"/>
        <v>79950</v>
      </c>
      <c r="GF130" s="564">
        <f t="shared" si="20"/>
        <v>79950</v>
      </c>
      <c r="GG130" s="564">
        <f t="shared" si="21"/>
        <v>79950</v>
      </c>
      <c r="GH130" s="564">
        <f t="shared" si="22"/>
        <v>79950</v>
      </c>
      <c r="GI130" s="564">
        <f t="shared" si="23"/>
        <v>79950</v>
      </c>
      <c r="GJ130" s="564">
        <f t="shared" si="24"/>
        <v>79950</v>
      </c>
      <c r="GK130" s="564">
        <f t="shared" si="25"/>
        <v>79950</v>
      </c>
      <c r="GL130" s="564">
        <f t="shared" si="26"/>
        <v>79950</v>
      </c>
      <c r="GM130" s="564">
        <f t="shared" si="27"/>
        <v>79950</v>
      </c>
      <c r="GN130" s="564">
        <f t="shared" si="28"/>
        <v>79950</v>
      </c>
      <c r="GO130" s="564">
        <f t="shared" si="29"/>
        <v>79950</v>
      </c>
      <c r="GP130" s="564"/>
      <c r="GS130" s="375" t="s">
        <v>1511</v>
      </c>
      <c r="GT130" s="374" t="str">
        <f t="shared" si="30"/>
        <v>〇</v>
      </c>
    </row>
    <row r="131" spans="2:202">
      <c r="B131" s="371">
        <v>127</v>
      </c>
      <c r="C131" s="378">
        <v>127</v>
      </c>
      <c r="D131" s="373" t="s">
        <v>1512</v>
      </c>
      <c r="E131" s="373" t="s">
        <v>14</v>
      </c>
      <c r="F131" s="603">
        <f t="shared" si="17"/>
        <v>40</v>
      </c>
      <c r="G131" s="603"/>
      <c r="H131" s="603">
        <v>21</v>
      </c>
      <c r="I131" s="603">
        <v>19</v>
      </c>
      <c r="J131" s="603"/>
      <c r="K131" s="603"/>
      <c r="L131" s="603"/>
      <c r="M131" s="603"/>
      <c r="N131" s="608"/>
      <c r="O131" s="603">
        <v>1577000</v>
      </c>
      <c r="P131" s="603">
        <v>2721000</v>
      </c>
      <c r="Q131" s="603">
        <v>0</v>
      </c>
      <c r="R131" s="603">
        <v>0</v>
      </c>
      <c r="S131" s="603">
        <v>0</v>
      </c>
      <c r="T131" s="603">
        <v>0</v>
      </c>
      <c r="U131" s="603">
        <v>0</v>
      </c>
      <c r="V131" s="603">
        <v>1051000</v>
      </c>
      <c r="W131" s="603">
        <v>1814000</v>
      </c>
      <c r="X131" s="603">
        <v>0</v>
      </c>
      <c r="Y131" s="603">
        <v>0</v>
      </c>
      <c r="Z131" s="603">
        <v>0</v>
      </c>
      <c r="AA131" s="603">
        <v>0</v>
      </c>
      <c r="AB131" s="603">
        <v>0</v>
      </c>
      <c r="AC131" s="603">
        <v>0</v>
      </c>
      <c r="AD131" s="603">
        <v>0</v>
      </c>
      <c r="AE131" s="603">
        <v>0</v>
      </c>
      <c r="AF131" s="603">
        <v>0</v>
      </c>
      <c r="AG131" s="603">
        <v>0</v>
      </c>
      <c r="AH131" s="603">
        <v>0</v>
      </c>
      <c r="AI131" s="603">
        <v>0</v>
      </c>
      <c r="AJ131" s="604" t="s">
        <v>2377</v>
      </c>
      <c r="AK131" s="605" t="s">
        <v>2378</v>
      </c>
      <c r="AL131" s="605" t="s">
        <v>1545</v>
      </c>
      <c r="AM131" s="606" t="s">
        <v>2393</v>
      </c>
      <c r="AN131" s="609" t="s">
        <v>12</v>
      </c>
      <c r="AO131" s="610" t="s">
        <v>13</v>
      </c>
      <c r="AP131" s="610" t="s">
        <v>13</v>
      </c>
      <c r="AQ131" s="610" t="s">
        <v>13</v>
      </c>
      <c r="AR131" s="610" t="s">
        <v>13</v>
      </c>
      <c r="AS131" s="610" t="s">
        <v>13</v>
      </c>
      <c r="AT131" s="610" t="s">
        <v>13</v>
      </c>
      <c r="AU131" s="610" t="s">
        <v>13</v>
      </c>
      <c r="AV131" s="610" t="s">
        <v>13</v>
      </c>
      <c r="AW131" s="610" t="s">
        <v>13</v>
      </c>
      <c r="AX131" s="610" t="s">
        <v>13</v>
      </c>
      <c r="AY131" s="610" t="s">
        <v>13</v>
      </c>
      <c r="AZ131" s="610" t="s">
        <v>13</v>
      </c>
      <c r="BA131" s="610" t="s">
        <v>14</v>
      </c>
      <c r="BB131" s="610" t="s">
        <v>14</v>
      </c>
      <c r="BC131" s="610" t="s">
        <v>14</v>
      </c>
      <c r="BD131" s="610" t="s">
        <v>14</v>
      </c>
      <c r="BE131" s="610" t="s">
        <v>14</v>
      </c>
      <c r="BF131" s="610" t="s">
        <v>14</v>
      </c>
      <c r="BG131" s="610" t="s">
        <v>14</v>
      </c>
      <c r="BH131" s="610" t="s">
        <v>14</v>
      </c>
      <c r="BI131" s="610" t="s">
        <v>14</v>
      </c>
      <c r="BJ131" s="610" t="s">
        <v>14</v>
      </c>
      <c r="BK131" s="610" t="s">
        <v>14</v>
      </c>
      <c r="BL131" s="610" t="s">
        <v>14</v>
      </c>
      <c r="BM131" s="610">
        <v>0</v>
      </c>
      <c r="BN131" s="610">
        <v>0</v>
      </c>
      <c r="BO131" s="610">
        <v>0</v>
      </c>
      <c r="BP131" s="610">
        <v>0</v>
      </c>
      <c r="BQ131" s="610">
        <v>0</v>
      </c>
      <c r="BR131" s="610">
        <v>0</v>
      </c>
      <c r="BS131" s="610">
        <v>0</v>
      </c>
      <c r="BT131" s="610">
        <v>0</v>
      </c>
      <c r="BU131" s="610">
        <v>0</v>
      </c>
      <c r="BV131" s="610">
        <v>0</v>
      </c>
      <c r="BW131" s="610">
        <v>0</v>
      </c>
      <c r="BX131" s="610">
        <v>0</v>
      </c>
      <c r="BY131" s="610">
        <v>0</v>
      </c>
      <c r="BZ131" s="610">
        <v>0</v>
      </c>
      <c r="CA131" s="610">
        <v>0</v>
      </c>
      <c r="CB131" s="610">
        <v>0</v>
      </c>
      <c r="CC131" s="610">
        <v>0</v>
      </c>
      <c r="CD131" s="610">
        <v>0</v>
      </c>
      <c r="CE131" s="610">
        <v>0</v>
      </c>
      <c r="CF131" s="610">
        <v>0</v>
      </c>
      <c r="CG131" s="610">
        <v>0</v>
      </c>
      <c r="CH131" s="610">
        <v>0</v>
      </c>
      <c r="CI131" s="610">
        <v>0</v>
      </c>
      <c r="CJ131" s="610">
        <v>0</v>
      </c>
      <c r="CK131" s="610">
        <v>0</v>
      </c>
      <c r="CL131" s="610">
        <v>0</v>
      </c>
      <c r="CM131" s="610">
        <v>0</v>
      </c>
      <c r="CN131" s="610">
        <v>0</v>
      </c>
      <c r="CO131" s="610">
        <v>0</v>
      </c>
      <c r="CP131" s="610">
        <v>0</v>
      </c>
      <c r="CQ131" s="610">
        <v>0</v>
      </c>
      <c r="CR131" s="610">
        <v>0</v>
      </c>
      <c r="CS131" s="610">
        <v>0</v>
      </c>
      <c r="CT131" s="610">
        <v>0</v>
      </c>
      <c r="CU131" s="610">
        <v>0</v>
      </c>
      <c r="CV131" s="610">
        <v>0</v>
      </c>
      <c r="CW131" s="610" t="s">
        <v>14</v>
      </c>
      <c r="CX131" s="610">
        <v>0</v>
      </c>
      <c r="CY131" s="610" t="s">
        <v>1707</v>
      </c>
      <c r="CZ131" s="610" t="s">
        <v>1707</v>
      </c>
      <c r="DA131" s="610" t="s">
        <v>1707</v>
      </c>
      <c r="DB131" s="610" t="s">
        <v>1707</v>
      </c>
      <c r="DC131" s="610" t="s">
        <v>1707</v>
      </c>
      <c r="DD131" s="610" t="s">
        <v>1707</v>
      </c>
      <c r="DE131" s="610" t="s">
        <v>1707</v>
      </c>
      <c r="DF131" s="610" t="s">
        <v>1707</v>
      </c>
      <c r="DG131" s="610" t="s">
        <v>1707</v>
      </c>
      <c r="DH131" s="610" t="s">
        <v>1707</v>
      </c>
      <c r="DI131" s="610" t="s">
        <v>1707</v>
      </c>
      <c r="DJ131" s="610" t="s">
        <v>1707</v>
      </c>
      <c r="DK131" s="610" t="s">
        <v>1368</v>
      </c>
      <c r="DL131" s="610" t="s">
        <v>1368</v>
      </c>
      <c r="DM131" s="610" t="s">
        <v>1368</v>
      </c>
      <c r="DN131" s="610" t="s">
        <v>1368</v>
      </c>
      <c r="DO131" s="610" t="s">
        <v>1368</v>
      </c>
      <c r="DP131" s="610" t="s">
        <v>1368</v>
      </c>
      <c r="DQ131" s="610" t="s">
        <v>1368</v>
      </c>
      <c r="DR131" s="610" t="s">
        <v>1368</v>
      </c>
      <c r="DS131" s="610" t="s">
        <v>1368</v>
      </c>
      <c r="DT131" s="610" t="s">
        <v>1368</v>
      </c>
      <c r="DU131" s="610" t="s">
        <v>1368</v>
      </c>
      <c r="DV131" s="610" t="s">
        <v>1368</v>
      </c>
      <c r="DW131" s="609" t="s">
        <v>1368</v>
      </c>
      <c r="DX131" s="609" t="s">
        <v>1368</v>
      </c>
      <c r="DY131" s="609" t="s">
        <v>1368</v>
      </c>
      <c r="DZ131" s="609" t="s">
        <v>1368</v>
      </c>
      <c r="EA131" s="609" t="s">
        <v>1368</v>
      </c>
      <c r="EB131" s="609" t="s">
        <v>1368</v>
      </c>
      <c r="EC131" s="609" t="s">
        <v>1368</v>
      </c>
      <c r="ED131" s="609" t="s">
        <v>1368</v>
      </c>
      <c r="EE131" s="609" t="s">
        <v>1368</v>
      </c>
      <c r="EF131" s="609" t="s">
        <v>1368</v>
      </c>
      <c r="EG131" s="609" t="s">
        <v>1368</v>
      </c>
      <c r="EH131" s="609" t="s">
        <v>1368</v>
      </c>
      <c r="EI131" s="610" t="s">
        <v>1707</v>
      </c>
      <c r="EJ131" s="610" t="s">
        <v>1707</v>
      </c>
      <c r="EK131" s="610" t="s">
        <v>1707</v>
      </c>
      <c r="EL131" s="610" t="s">
        <v>1707</v>
      </c>
      <c r="EM131" s="610" t="s">
        <v>1707</v>
      </c>
      <c r="EN131" s="610" t="s">
        <v>1707</v>
      </c>
      <c r="EO131" s="610" t="s">
        <v>1707</v>
      </c>
      <c r="EP131" s="610" t="s">
        <v>1707</v>
      </c>
      <c r="EQ131" s="610" t="s">
        <v>1707</v>
      </c>
      <c r="ER131" s="610" t="s">
        <v>1707</v>
      </c>
      <c r="ES131" s="610" t="s">
        <v>1707</v>
      </c>
      <c r="ET131" s="610" t="s">
        <v>1707</v>
      </c>
      <c r="EU131" s="610">
        <v>4070</v>
      </c>
      <c r="EV131" s="610" t="s">
        <v>1707</v>
      </c>
      <c r="EW131" s="610" t="s">
        <v>1707</v>
      </c>
      <c r="EX131" s="610" t="s">
        <v>1707</v>
      </c>
      <c r="EY131" s="610" t="s">
        <v>1707</v>
      </c>
      <c r="EZ131" s="610" t="s">
        <v>1707</v>
      </c>
      <c r="FA131" s="610" t="s">
        <v>1707</v>
      </c>
      <c r="FB131" s="610" t="s">
        <v>1707</v>
      </c>
      <c r="FC131" s="610" t="s">
        <v>1707</v>
      </c>
      <c r="FD131" s="610" t="s">
        <v>1707</v>
      </c>
      <c r="FE131" s="610" t="s">
        <v>1707</v>
      </c>
      <c r="FF131" s="610" t="s">
        <v>1707</v>
      </c>
      <c r="FG131" s="610" t="s">
        <v>1707</v>
      </c>
      <c r="FH131" s="610">
        <v>17</v>
      </c>
      <c r="FI131" s="610">
        <v>17</v>
      </c>
      <c r="FJ131" s="610">
        <v>17</v>
      </c>
      <c r="FK131" s="610">
        <v>17</v>
      </c>
      <c r="FL131" s="610">
        <v>17</v>
      </c>
      <c r="FM131" s="610">
        <v>17</v>
      </c>
      <c r="FN131" s="610">
        <v>17</v>
      </c>
      <c r="FO131" s="610">
        <v>17</v>
      </c>
      <c r="FP131" s="610">
        <v>17</v>
      </c>
      <c r="FQ131" s="610">
        <v>17</v>
      </c>
      <c r="FR131" s="610" t="s">
        <v>2487</v>
      </c>
      <c r="FS131" s="610" t="s">
        <v>2487</v>
      </c>
      <c r="FT131" s="610" t="s">
        <v>2487</v>
      </c>
      <c r="FU131" s="610" t="s">
        <v>2487</v>
      </c>
      <c r="FV131" s="610" t="s">
        <v>2487</v>
      </c>
      <c r="FW131" s="610" t="s">
        <v>2487</v>
      </c>
      <c r="FX131" s="610" t="s">
        <v>2487</v>
      </c>
      <c r="FY131" s="610" t="s">
        <v>2487</v>
      </c>
      <c r="FZ131" s="610" t="s">
        <v>2487</v>
      </c>
      <c r="GA131" s="610" t="s">
        <v>2487</v>
      </c>
      <c r="GB131" s="610" t="s">
        <v>2487</v>
      </c>
      <c r="GC131" s="610" t="s">
        <v>2487</v>
      </c>
      <c r="GD131" s="564">
        <f t="shared" si="18"/>
        <v>79950</v>
      </c>
      <c r="GE131" s="564">
        <f t="shared" si="19"/>
        <v>79950</v>
      </c>
      <c r="GF131" s="564">
        <f t="shared" si="20"/>
        <v>79950</v>
      </c>
      <c r="GG131" s="564">
        <f t="shared" si="21"/>
        <v>79950</v>
      </c>
      <c r="GH131" s="564">
        <f t="shared" si="22"/>
        <v>79950</v>
      </c>
      <c r="GI131" s="564">
        <f t="shared" si="23"/>
        <v>79950</v>
      </c>
      <c r="GJ131" s="564">
        <f t="shared" si="24"/>
        <v>79950</v>
      </c>
      <c r="GK131" s="564">
        <f t="shared" si="25"/>
        <v>79950</v>
      </c>
      <c r="GL131" s="564">
        <f t="shared" si="26"/>
        <v>79950</v>
      </c>
      <c r="GM131" s="564">
        <f t="shared" si="27"/>
        <v>79950</v>
      </c>
      <c r="GN131" s="564">
        <f t="shared" si="28"/>
        <v>79950</v>
      </c>
      <c r="GO131" s="564">
        <f t="shared" si="29"/>
        <v>79950</v>
      </c>
      <c r="GP131" s="564"/>
      <c r="GS131" s="375" t="s">
        <v>1512</v>
      </c>
      <c r="GT131" s="374" t="str">
        <f t="shared" si="30"/>
        <v>〇</v>
      </c>
    </row>
    <row r="132" spans="2:202">
      <c r="B132" s="371">
        <v>128</v>
      </c>
      <c r="C132" s="378">
        <v>128</v>
      </c>
      <c r="D132" s="373" t="s">
        <v>1513</v>
      </c>
      <c r="E132" s="373" t="s">
        <v>14</v>
      </c>
      <c r="F132" s="603">
        <f t="shared" si="17"/>
        <v>48</v>
      </c>
      <c r="G132" s="603"/>
      <c r="H132" s="603">
        <v>26</v>
      </c>
      <c r="I132" s="603">
        <v>22</v>
      </c>
      <c r="J132" s="603"/>
      <c r="K132" s="603"/>
      <c r="L132" s="603"/>
      <c r="M132" s="603"/>
      <c r="N132" s="608"/>
      <c r="O132" s="603">
        <v>1577000</v>
      </c>
      <c r="P132" s="603">
        <v>2721000</v>
      </c>
      <c r="Q132" s="603">
        <v>2721000</v>
      </c>
      <c r="R132" s="603">
        <v>1791000</v>
      </c>
      <c r="S132" s="603">
        <v>0</v>
      </c>
      <c r="T132" s="603">
        <v>0</v>
      </c>
      <c r="U132" s="603">
        <v>0</v>
      </c>
      <c r="V132" s="603">
        <v>1051000</v>
      </c>
      <c r="W132" s="603">
        <v>1814000</v>
      </c>
      <c r="X132" s="603">
        <v>1814000</v>
      </c>
      <c r="Y132" s="603">
        <v>1194000</v>
      </c>
      <c r="Z132" s="603">
        <v>0</v>
      </c>
      <c r="AA132" s="603">
        <v>0</v>
      </c>
      <c r="AB132" s="603">
        <v>0</v>
      </c>
      <c r="AC132" s="603">
        <v>0</v>
      </c>
      <c r="AD132" s="603">
        <v>0</v>
      </c>
      <c r="AE132" s="603">
        <v>0</v>
      </c>
      <c r="AF132" s="603">
        <v>0</v>
      </c>
      <c r="AG132" s="603">
        <v>0</v>
      </c>
      <c r="AH132" s="603">
        <v>0</v>
      </c>
      <c r="AI132" s="603">
        <v>0</v>
      </c>
      <c r="AJ132" s="604" t="s">
        <v>2377</v>
      </c>
      <c r="AK132" s="605" t="s">
        <v>2378</v>
      </c>
      <c r="AL132" s="605" t="s">
        <v>1545</v>
      </c>
      <c r="AM132" s="606" t="s">
        <v>2394</v>
      </c>
      <c r="AN132" s="609" t="s">
        <v>12</v>
      </c>
      <c r="AO132" s="610" t="s">
        <v>1368</v>
      </c>
      <c r="AP132" s="610" t="s">
        <v>1368</v>
      </c>
      <c r="AQ132" s="610" t="s">
        <v>1368</v>
      </c>
      <c r="AR132" s="610" t="s">
        <v>1368</v>
      </c>
      <c r="AS132" s="610" t="s">
        <v>1368</v>
      </c>
      <c r="AT132" s="610" t="s">
        <v>1368</v>
      </c>
      <c r="AU132" s="610" t="s">
        <v>1368</v>
      </c>
      <c r="AV132" s="610" t="s">
        <v>1368</v>
      </c>
      <c r="AW132" s="610" t="s">
        <v>1368</v>
      </c>
      <c r="AX132" s="610" t="s">
        <v>1368</v>
      </c>
      <c r="AY132" s="610" t="s">
        <v>1368</v>
      </c>
      <c r="AZ132" s="610" t="s">
        <v>1368</v>
      </c>
      <c r="BA132" s="610" t="s">
        <v>1368</v>
      </c>
      <c r="BB132" s="610" t="s">
        <v>1368</v>
      </c>
      <c r="BC132" s="610" t="s">
        <v>1368</v>
      </c>
      <c r="BD132" s="610" t="s">
        <v>1368</v>
      </c>
      <c r="BE132" s="610" t="s">
        <v>1368</v>
      </c>
      <c r="BF132" s="610" t="s">
        <v>1368</v>
      </c>
      <c r="BG132" s="610" t="s">
        <v>1368</v>
      </c>
      <c r="BH132" s="610" t="s">
        <v>1368</v>
      </c>
      <c r="BI132" s="610" t="s">
        <v>1368</v>
      </c>
      <c r="BJ132" s="610" t="s">
        <v>1368</v>
      </c>
      <c r="BK132" s="610" t="s">
        <v>1368</v>
      </c>
      <c r="BL132" s="610" t="s">
        <v>1368</v>
      </c>
      <c r="BM132" s="610">
        <v>0</v>
      </c>
      <c r="BN132" s="610">
        <v>0</v>
      </c>
      <c r="BO132" s="610">
        <v>0</v>
      </c>
      <c r="BP132" s="610">
        <v>0</v>
      </c>
      <c r="BQ132" s="610">
        <v>0</v>
      </c>
      <c r="BR132" s="610">
        <v>0</v>
      </c>
      <c r="BS132" s="610">
        <v>0</v>
      </c>
      <c r="BT132" s="610">
        <v>0</v>
      </c>
      <c r="BU132" s="610">
        <v>0</v>
      </c>
      <c r="BV132" s="610">
        <v>0</v>
      </c>
      <c r="BW132" s="610">
        <v>0</v>
      </c>
      <c r="BX132" s="610">
        <v>0</v>
      </c>
      <c r="BY132" s="610">
        <v>0</v>
      </c>
      <c r="BZ132" s="610">
        <v>0</v>
      </c>
      <c r="CA132" s="610">
        <v>0</v>
      </c>
      <c r="CB132" s="610">
        <v>0</v>
      </c>
      <c r="CC132" s="610">
        <v>0</v>
      </c>
      <c r="CD132" s="610">
        <v>0</v>
      </c>
      <c r="CE132" s="610">
        <v>0</v>
      </c>
      <c r="CF132" s="610">
        <v>0</v>
      </c>
      <c r="CG132" s="610">
        <v>0</v>
      </c>
      <c r="CH132" s="610">
        <v>0</v>
      </c>
      <c r="CI132" s="610">
        <v>0</v>
      </c>
      <c r="CJ132" s="610">
        <v>0</v>
      </c>
      <c r="CK132" s="610">
        <v>0</v>
      </c>
      <c r="CL132" s="610">
        <v>0</v>
      </c>
      <c r="CM132" s="610">
        <v>0</v>
      </c>
      <c r="CN132" s="610">
        <v>0</v>
      </c>
      <c r="CO132" s="610">
        <v>0</v>
      </c>
      <c r="CP132" s="610">
        <v>0</v>
      </c>
      <c r="CQ132" s="610">
        <v>0</v>
      </c>
      <c r="CR132" s="610">
        <v>0</v>
      </c>
      <c r="CS132" s="610">
        <v>0</v>
      </c>
      <c r="CT132" s="610">
        <v>0</v>
      </c>
      <c r="CU132" s="610">
        <v>0</v>
      </c>
      <c r="CV132" s="610">
        <v>0</v>
      </c>
      <c r="CW132" s="610" t="s">
        <v>14</v>
      </c>
      <c r="CX132" s="610">
        <v>0</v>
      </c>
      <c r="CY132" s="610" t="s">
        <v>1707</v>
      </c>
      <c r="CZ132" s="610" t="s">
        <v>1707</v>
      </c>
      <c r="DA132" s="610" t="s">
        <v>1707</v>
      </c>
      <c r="DB132" s="610" t="s">
        <v>1707</v>
      </c>
      <c r="DC132" s="610" t="s">
        <v>1707</v>
      </c>
      <c r="DD132" s="610" t="s">
        <v>1707</v>
      </c>
      <c r="DE132" s="610" t="s">
        <v>1707</v>
      </c>
      <c r="DF132" s="610" t="s">
        <v>1707</v>
      </c>
      <c r="DG132" s="610" t="s">
        <v>1707</v>
      </c>
      <c r="DH132" s="610" t="s">
        <v>1707</v>
      </c>
      <c r="DI132" s="610" t="s">
        <v>1707</v>
      </c>
      <c r="DJ132" s="610" t="s">
        <v>1707</v>
      </c>
      <c r="DK132" s="610" t="s">
        <v>1368</v>
      </c>
      <c r="DL132" s="610" t="s">
        <v>1368</v>
      </c>
      <c r="DM132" s="610" t="s">
        <v>1368</v>
      </c>
      <c r="DN132" s="610" t="s">
        <v>1368</v>
      </c>
      <c r="DO132" s="610" t="s">
        <v>1368</v>
      </c>
      <c r="DP132" s="610" t="s">
        <v>1368</v>
      </c>
      <c r="DQ132" s="610" t="s">
        <v>1368</v>
      </c>
      <c r="DR132" s="610" t="s">
        <v>1368</v>
      </c>
      <c r="DS132" s="610" t="s">
        <v>1368</v>
      </c>
      <c r="DT132" s="610" t="s">
        <v>1368</v>
      </c>
      <c r="DU132" s="610" t="s">
        <v>1368</v>
      </c>
      <c r="DV132" s="610" t="s">
        <v>1368</v>
      </c>
      <c r="DW132" s="609" t="s">
        <v>1368</v>
      </c>
      <c r="DX132" s="609" t="s">
        <v>1368</v>
      </c>
      <c r="DY132" s="609" t="s">
        <v>1368</v>
      </c>
      <c r="DZ132" s="609" t="s">
        <v>1368</v>
      </c>
      <c r="EA132" s="609" t="s">
        <v>1368</v>
      </c>
      <c r="EB132" s="609" t="s">
        <v>1368</v>
      </c>
      <c r="EC132" s="609" t="s">
        <v>1368</v>
      </c>
      <c r="ED132" s="609" t="s">
        <v>1368</v>
      </c>
      <c r="EE132" s="609" t="s">
        <v>1368</v>
      </c>
      <c r="EF132" s="609" t="s">
        <v>1368</v>
      </c>
      <c r="EG132" s="609" t="s">
        <v>1368</v>
      </c>
      <c r="EH132" s="609" t="s">
        <v>1368</v>
      </c>
      <c r="EI132" s="610" t="s">
        <v>1707</v>
      </c>
      <c r="EJ132" s="610" t="s">
        <v>1707</v>
      </c>
      <c r="EK132" s="610" t="s">
        <v>1707</v>
      </c>
      <c r="EL132" s="610" t="s">
        <v>1707</v>
      </c>
      <c r="EM132" s="610" t="s">
        <v>1707</v>
      </c>
      <c r="EN132" s="610" t="s">
        <v>1707</v>
      </c>
      <c r="EO132" s="610" t="s">
        <v>1707</v>
      </c>
      <c r="EP132" s="610" t="s">
        <v>1707</v>
      </c>
      <c r="EQ132" s="610" t="s">
        <v>1707</v>
      </c>
      <c r="ER132" s="610" t="s">
        <v>1707</v>
      </c>
      <c r="ES132" s="610" t="s">
        <v>1707</v>
      </c>
      <c r="ET132" s="610" t="s">
        <v>1707</v>
      </c>
      <c r="EU132" s="610">
        <v>4010</v>
      </c>
      <c r="EV132" s="610" t="s">
        <v>1707</v>
      </c>
      <c r="EW132" s="610" t="s">
        <v>1707</v>
      </c>
      <c r="EX132" s="610" t="s">
        <v>1707</v>
      </c>
      <c r="EY132" s="610" t="s">
        <v>1707</v>
      </c>
      <c r="EZ132" s="610" t="s">
        <v>1707</v>
      </c>
      <c r="FA132" s="610" t="s">
        <v>1707</v>
      </c>
      <c r="FB132" s="610" t="s">
        <v>1707</v>
      </c>
      <c r="FC132" s="610" t="s">
        <v>1707</v>
      </c>
      <c r="FD132" s="610" t="s">
        <v>1707</v>
      </c>
      <c r="FE132" s="610" t="s">
        <v>1707</v>
      </c>
      <c r="FF132" s="610" t="s">
        <v>1707</v>
      </c>
      <c r="FG132" s="610" t="s">
        <v>1707</v>
      </c>
      <c r="FH132" s="610">
        <v>13</v>
      </c>
      <c r="FI132" s="610">
        <v>13</v>
      </c>
      <c r="FJ132" s="610">
        <v>13</v>
      </c>
      <c r="FK132" s="610">
        <v>14</v>
      </c>
      <c r="FL132" s="610">
        <v>14</v>
      </c>
      <c r="FM132" s="610">
        <v>14</v>
      </c>
      <c r="FN132" s="610">
        <v>14</v>
      </c>
      <c r="FO132" s="610">
        <v>14</v>
      </c>
      <c r="FP132" s="610">
        <v>14</v>
      </c>
      <c r="FQ132" s="610">
        <v>14</v>
      </c>
      <c r="FR132" s="610" t="s">
        <v>2488</v>
      </c>
      <c r="FS132" s="610" t="s">
        <v>2488</v>
      </c>
      <c r="FT132" s="610" t="s">
        <v>2488</v>
      </c>
      <c r="FU132" s="610" t="s">
        <v>2488</v>
      </c>
      <c r="FV132" s="610" t="s">
        <v>2488</v>
      </c>
      <c r="FW132" s="610" t="s">
        <v>2488</v>
      </c>
      <c r="FX132" s="610" t="s">
        <v>2488</v>
      </c>
      <c r="FY132" s="610" t="s">
        <v>2488</v>
      </c>
      <c r="FZ132" s="610" t="s">
        <v>2488</v>
      </c>
      <c r="GA132" s="610" t="s">
        <v>2488</v>
      </c>
      <c r="GB132" s="610" t="s">
        <v>2488</v>
      </c>
      <c r="GC132" s="610" t="s">
        <v>2488</v>
      </c>
      <c r="GD132" s="564" t="str">
        <f t="shared" si="18"/>
        <v/>
      </c>
      <c r="GE132" s="564" t="str">
        <f t="shared" si="19"/>
        <v/>
      </c>
      <c r="GF132" s="564" t="str">
        <f t="shared" si="20"/>
        <v/>
      </c>
      <c r="GG132" s="564" t="str">
        <f t="shared" si="21"/>
        <v/>
      </c>
      <c r="GH132" s="564" t="str">
        <f t="shared" si="22"/>
        <v/>
      </c>
      <c r="GI132" s="564" t="str">
        <f t="shared" si="23"/>
        <v/>
      </c>
      <c r="GJ132" s="564" t="str">
        <f t="shared" si="24"/>
        <v/>
      </c>
      <c r="GK132" s="564" t="str">
        <f t="shared" si="25"/>
        <v/>
      </c>
      <c r="GL132" s="564" t="str">
        <f t="shared" si="26"/>
        <v/>
      </c>
      <c r="GM132" s="564" t="str">
        <f t="shared" si="27"/>
        <v/>
      </c>
      <c r="GN132" s="564" t="str">
        <f t="shared" si="28"/>
        <v/>
      </c>
      <c r="GO132" s="564" t="str">
        <f t="shared" si="29"/>
        <v/>
      </c>
      <c r="GP132" s="564"/>
      <c r="GS132" s="375" t="s">
        <v>1513</v>
      </c>
      <c r="GT132" s="374" t="str">
        <f t="shared" si="30"/>
        <v>〇</v>
      </c>
    </row>
    <row r="133" spans="2:202">
      <c r="B133" s="371">
        <v>129</v>
      </c>
      <c r="C133" s="378">
        <v>129</v>
      </c>
      <c r="D133" s="373" t="s">
        <v>1514</v>
      </c>
      <c r="E133" s="373" t="s">
        <v>14</v>
      </c>
      <c r="F133" s="603">
        <f t="shared" si="17"/>
        <v>30</v>
      </c>
      <c r="G133" s="603"/>
      <c r="H133" s="603">
        <v>18</v>
      </c>
      <c r="I133" s="603">
        <v>12</v>
      </c>
      <c r="J133" s="603"/>
      <c r="K133" s="603"/>
      <c r="L133" s="603"/>
      <c r="M133" s="603"/>
      <c r="N133" s="608"/>
      <c r="O133" s="603">
        <v>1577000</v>
      </c>
      <c r="P133" s="603">
        <v>2721000</v>
      </c>
      <c r="Q133" s="603">
        <v>2721000</v>
      </c>
      <c r="R133" s="603">
        <v>1791000</v>
      </c>
      <c r="S133" s="603">
        <v>0</v>
      </c>
      <c r="T133" s="603">
        <v>6543000</v>
      </c>
      <c r="U133" s="603">
        <v>0</v>
      </c>
      <c r="V133" s="603">
        <v>1051000</v>
      </c>
      <c r="W133" s="603">
        <v>1814000</v>
      </c>
      <c r="X133" s="603">
        <v>1814000</v>
      </c>
      <c r="Y133" s="603">
        <v>1194000</v>
      </c>
      <c r="Z133" s="603">
        <v>0</v>
      </c>
      <c r="AA133" s="603">
        <v>4362000</v>
      </c>
      <c r="AB133" s="603">
        <v>0</v>
      </c>
      <c r="AC133" s="603">
        <v>0</v>
      </c>
      <c r="AD133" s="603">
        <v>0</v>
      </c>
      <c r="AE133" s="603">
        <v>0</v>
      </c>
      <c r="AF133" s="603">
        <v>0</v>
      </c>
      <c r="AG133" s="603">
        <v>0</v>
      </c>
      <c r="AH133" s="603">
        <v>0</v>
      </c>
      <c r="AI133" s="603">
        <v>0</v>
      </c>
      <c r="AJ133" s="604" t="s">
        <v>2377</v>
      </c>
      <c r="AK133" s="605" t="s">
        <v>2378</v>
      </c>
      <c r="AL133" s="605" t="s">
        <v>1545</v>
      </c>
      <c r="AM133" s="606" t="s">
        <v>2395</v>
      </c>
      <c r="AN133" s="609" t="s">
        <v>12</v>
      </c>
      <c r="AO133" s="610" t="s">
        <v>2485</v>
      </c>
      <c r="AP133" s="610" t="s">
        <v>2485</v>
      </c>
      <c r="AQ133" s="610" t="s">
        <v>2485</v>
      </c>
      <c r="AR133" s="610" t="s">
        <v>2485</v>
      </c>
      <c r="AS133" s="610" t="s">
        <v>2485</v>
      </c>
      <c r="AT133" s="610" t="s">
        <v>2485</v>
      </c>
      <c r="AU133" s="610" t="s">
        <v>2485</v>
      </c>
      <c r="AV133" s="610" t="s">
        <v>2485</v>
      </c>
      <c r="AW133" s="610" t="s">
        <v>2485</v>
      </c>
      <c r="AX133" s="610" t="s">
        <v>2485</v>
      </c>
      <c r="AY133" s="610" t="s">
        <v>2485</v>
      </c>
      <c r="AZ133" s="610" t="s">
        <v>2485</v>
      </c>
      <c r="BA133" s="610" t="s">
        <v>1368</v>
      </c>
      <c r="BB133" s="610" t="s">
        <v>1368</v>
      </c>
      <c r="BC133" s="610" t="s">
        <v>1368</v>
      </c>
      <c r="BD133" s="610" t="s">
        <v>1368</v>
      </c>
      <c r="BE133" s="610" t="s">
        <v>1368</v>
      </c>
      <c r="BF133" s="610" t="s">
        <v>1368</v>
      </c>
      <c r="BG133" s="610" t="s">
        <v>1368</v>
      </c>
      <c r="BH133" s="610" t="s">
        <v>1368</v>
      </c>
      <c r="BI133" s="610" t="s">
        <v>1368</v>
      </c>
      <c r="BJ133" s="610" t="s">
        <v>1368</v>
      </c>
      <c r="BK133" s="610" t="s">
        <v>1368</v>
      </c>
      <c r="BL133" s="610" t="s">
        <v>1368</v>
      </c>
      <c r="BM133" s="610">
        <v>3</v>
      </c>
      <c r="BN133" s="610">
        <v>3</v>
      </c>
      <c r="BO133" s="610">
        <v>3</v>
      </c>
      <c r="BP133" s="610">
        <v>3</v>
      </c>
      <c r="BQ133" s="610">
        <v>3</v>
      </c>
      <c r="BR133" s="610">
        <v>3</v>
      </c>
      <c r="BS133" s="610">
        <v>3</v>
      </c>
      <c r="BT133" s="610">
        <v>3</v>
      </c>
      <c r="BU133" s="610">
        <v>3</v>
      </c>
      <c r="BV133" s="610">
        <v>3</v>
      </c>
      <c r="BW133" s="610">
        <v>3</v>
      </c>
      <c r="BX133" s="610">
        <v>3</v>
      </c>
      <c r="BY133" s="610">
        <v>0</v>
      </c>
      <c r="BZ133" s="610">
        <v>0</v>
      </c>
      <c r="CA133" s="610">
        <v>0</v>
      </c>
      <c r="CB133" s="610">
        <v>0</v>
      </c>
      <c r="CC133" s="610">
        <v>0</v>
      </c>
      <c r="CD133" s="610">
        <v>0</v>
      </c>
      <c r="CE133" s="610">
        <v>0</v>
      </c>
      <c r="CF133" s="610">
        <v>0</v>
      </c>
      <c r="CG133" s="610">
        <v>0</v>
      </c>
      <c r="CH133" s="610">
        <v>0</v>
      </c>
      <c r="CI133" s="610">
        <v>0</v>
      </c>
      <c r="CJ133" s="610">
        <v>0</v>
      </c>
      <c r="CK133" s="610">
        <v>0</v>
      </c>
      <c r="CL133" s="610">
        <v>0</v>
      </c>
      <c r="CM133" s="610">
        <v>0</v>
      </c>
      <c r="CN133" s="610">
        <v>0</v>
      </c>
      <c r="CO133" s="610">
        <v>0</v>
      </c>
      <c r="CP133" s="610">
        <v>0</v>
      </c>
      <c r="CQ133" s="610">
        <v>0</v>
      </c>
      <c r="CR133" s="610">
        <v>0</v>
      </c>
      <c r="CS133" s="610">
        <v>0</v>
      </c>
      <c r="CT133" s="610">
        <v>0</v>
      </c>
      <c r="CU133" s="610">
        <v>0</v>
      </c>
      <c r="CV133" s="610">
        <v>0</v>
      </c>
      <c r="CW133" s="610" t="s">
        <v>14</v>
      </c>
      <c r="CX133" s="610">
        <v>0</v>
      </c>
      <c r="CY133" s="610" t="s">
        <v>1707</v>
      </c>
      <c r="CZ133" s="610" t="s">
        <v>1707</v>
      </c>
      <c r="DA133" s="610" t="s">
        <v>1707</v>
      </c>
      <c r="DB133" s="610" t="s">
        <v>1707</v>
      </c>
      <c r="DC133" s="610" t="s">
        <v>1707</v>
      </c>
      <c r="DD133" s="610" t="s">
        <v>1707</v>
      </c>
      <c r="DE133" s="610" t="s">
        <v>1707</v>
      </c>
      <c r="DF133" s="610" t="s">
        <v>1707</v>
      </c>
      <c r="DG133" s="610" t="s">
        <v>1707</v>
      </c>
      <c r="DH133" s="610" t="s">
        <v>1707</v>
      </c>
      <c r="DI133" s="610" t="s">
        <v>1707</v>
      </c>
      <c r="DJ133" s="610" t="s">
        <v>1707</v>
      </c>
      <c r="DK133" s="610" t="s">
        <v>1368</v>
      </c>
      <c r="DL133" s="610" t="s">
        <v>1368</v>
      </c>
      <c r="DM133" s="610" t="s">
        <v>1368</v>
      </c>
      <c r="DN133" s="610" t="s">
        <v>1368</v>
      </c>
      <c r="DO133" s="610" t="s">
        <v>1368</v>
      </c>
      <c r="DP133" s="610" t="s">
        <v>1368</v>
      </c>
      <c r="DQ133" s="610" t="s">
        <v>1368</v>
      </c>
      <c r="DR133" s="610" t="s">
        <v>1368</v>
      </c>
      <c r="DS133" s="610" t="s">
        <v>1368</v>
      </c>
      <c r="DT133" s="610" t="s">
        <v>1368</v>
      </c>
      <c r="DU133" s="610" t="s">
        <v>1368</v>
      </c>
      <c r="DV133" s="610" t="s">
        <v>1368</v>
      </c>
      <c r="DW133" s="609" t="s">
        <v>1368</v>
      </c>
      <c r="DX133" s="609" t="s">
        <v>1368</v>
      </c>
      <c r="DY133" s="609" t="s">
        <v>1368</v>
      </c>
      <c r="DZ133" s="609" t="s">
        <v>1368</v>
      </c>
      <c r="EA133" s="609" t="s">
        <v>1368</v>
      </c>
      <c r="EB133" s="609" t="s">
        <v>1368</v>
      </c>
      <c r="EC133" s="609" t="s">
        <v>1368</v>
      </c>
      <c r="ED133" s="609" t="s">
        <v>1368</v>
      </c>
      <c r="EE133" s="609" t="s">
        <v>1368</v>
      </c>
      <c r="EF133" s="609" t="s">
        <v>1368</v>
      </c>
      <c r="EG133" s="609" t="s">
        <v>1368</v>
      </c>
      <c r="EH133" s="609" t="s">
        <v>1368</v>
      </c>
      <c r="EI133" s="610" t="s">
        <v>1707</v>
      </c>
      <c r="EJ133" s="610" t="s">
        <v>1707</v>
      </c>
      <c r="EK133" s="610" t="s">
        <v>1707</v>
      </c>
      <c r="EL133" s="610" t="s">
        <v>1707</v>
      </c>
      <c r="EM133" s="610" t="s">
        <v>1707</v>
      </c>
      <c r="EN133" s="610" t="s">
        <v>1707</v>
      </c>
      <c r="EO133" s="610" t="s">
        <v>1707</v>
      </c>
      <c r="EP133" s="610" t="s">
        <v>1707</v>
      </c>
      <c r="EQ133" s="610" t="s">
        <v>1707</v>
      </c>
      <c r="ER133" s="610" t="s">
        <v>1707</v>
      </c>
      <c r="ES133" s="610" t="s">
        <v>1707</v>
      </c>
      <c r="ET133" s="610" t="s">
        <v>1707</v>
      </c>
      <c r="EU133" s="610">
        <v>4010</v>
      </c>
      <c r="EV133" s="610" t="s">
        <v>1707</v>
      </c>
      <c r="EW133" s="610" t="s">
        <v>1707</v>
      </c>
      <c r="EX133" s="610" t="s">
        <v>1707</v>
      </c>
      <c r="EY133" s="610" t="s">
        <v>1707</v>
      </c>
      <c r="EZ133" s="610" t="s">
        <v>1707</v>
      </c>
      <c r="FA133" s="610" t="s">
        <v>1707</v>
      </c>
      <c r="FB133" s="610" t="s">
        <v>1707</v>
      </c>
      <c r="FC133" s="610" t="s">
        <v>1707</v>
      </c>
      <c r="FD133" s="610" t="s">
        <v>1707</v>
      </c>
      <c r="FE133" s="610" t="s">
        <v>1707</v>
      </c>
      <c r="FF133" s="610" t="s">
        <v>1707</v>
      </c>
      <c r="FG133" s="610" t="s">
        <v>1707</v>
      </c>
      <c r="FH133" s="610">
        <v>15</v>
      </c>
      <c r="FI133" s="610">
        <v>15</v>
      </c>
      <c r="FJ133" s="610">
        <v>15</v>
      </c>
      <c r="FK133" s="610">
        <v>15</v>
      </c>
      <c r="FL133" s="610">
        <v>15</v>
      </c>
      <c r="FM133" s="610">
        <v>15</v>
      </c>
      <c r="FN133" s="610">
        <v>15</v>
      </c>
      <c r="FO133" s="610">
        <v>15</v>
      </c>
      <c r="FP133" s="610">
        <v>15</v>
      </c>
      <c r="FQ133" s="610">
        <v>15</v>
      </c>
      <c r="FR133" s="610" t="s">
        <v>2487</v>
      </c>
      <c r="FS133" s="610" t="s">
        <v>2487</v>
      </c>
      <c r="FT133" s="610" t="s">
        <v>2487</v>
      </c>
      <c r="FU133" s="610" t="s">
        <v>2487</v>
      </c>
      <c r="FV133" s="610" t="s">
        <v>2487</v>
      </c>
      <c r="FW133" s="610" t="s">
        <v>2487</v>
      </c>
      <c r="FX133" s="610" t="s">
        <v>2487</v>
      </c>
      <c r="FY133" s="610" t="s">
        <v>2487</v>
      </c>
      <c r="FZ133" s="610" t="s">
        <v>2487</v>
      </c>
      <c r="GA133" s="610" t="s">
        <v>2487</v>
      </c>
      <c r="GB133" s="610" t="s">
        <v>2487</v>
      </c>
      <c r="GC133" s="610" t="s">
        <v>2487</v>
      </c>
      <c r="GD133" s="564">
        <f t="shared" si="18"/>
        <v>79950</v>
      </c>
      <c r="GE133" s="564">
        <f t="shared" si="19"/>
        <v>79950</v>
      </c>
      <c r="GF133" s="564">
        <f t="shared" si="20"/>
        <v>79950</v>
      </c>
      <c r="GG133" s="564">
        <f t="shared" si="21"/>
        <v>79950</v>
      </c>
      <c r="GH133" s="564">
        <f t="shared" si="22"/>
        <v>79950</v>
      </c>
      <c r="GI133" s="564">
        <f t="shared" si="23"/>
        <v>79950</v>
      </c>
      <c r="GJ133" s="564">
        <f t="shared" si="24"/>
        <v>79950</v>
      </c>
      <c r="GK133" s="564">
        <f t="shared" si="25"/>
        <v>79950</v>
      </c>
      <c r="GL133" s="564">
        <f t="shared" si="26"/>
        <v>79950</v>
      </c>
      <c r="GM133" s="564">
        <f t="shared" si="27"/>
        <v>79950</v>
      </c>
      <c r="GN133" s="564">
        <f t="shared" si="28"/>
        <v>79950</v>
      </c>
      <c r="GO133" s="564">
        <f t="shared" si="29"/>
        <v>79950</v>
      </c>
      <c r="GP133" s="564"/>
      <c r="GS133" s="375" t="s">
        <v>1514</v>
      </c>
      <c r="GT133" s="374" t="str">
        <f t="shared" ref="GT133:GT164" si="31">IF(D133=GS133,"〇","✕")</f>
        <v>〇</v>
      </c>
    </row>
    <row r="134" spans="2:202">
      <c r="B134" s="371">
        <v>130</v>
      </c>
      <c r="C134" s="378">
        <v>130</v>
      </c>
      <c r="D134" s="373" t="s">
        <v>594</v>
      </c>
      <c r="E134" s="373" t="s">
        <v>14</v>
      </c>
      <c r="F134" s="603">
        <f t="shared" ref="F134:F135" si="32">SUM(G134:I134)</f>
        <v>50</v>
      </c>
      <c r="G134" s="603"/>
      <c r="H134" s="603">
        <v>30</v>
      </c>
      <c r="I134" s="603">
        <v>20</v>
      </c>
      <c r="J134" s="603"/>
      <c r="K134" s="603"/>
      <c r="L134" s="603"/>
      <c r="M134" s="603"/>
      <c r="N134" s="608"/>
      <c r="O134" s="603">
        <v>1577000</v>
      </c>
      <c r="P134" s="603">
        <v>0</v>
      </c>
      <c r="Q134" s="603">
        <v>0</v>
      </c>
      <c r="R134" s="603">
        <v>1791000</v>
      </c>
      <c r="S134" s="603">
        <v>0</v>
      </c>
      <c r="T134" s="603">
        <v>0</v>
      </c>
      <c r="U134" s="603">
        <v>0</v>
      </c>
      <c r="V134" s="603">
        <v>0</v>
      </c>
      <c r="W134" s="603">
        <v>0</v>
      </c>
      <c r="X134" s="603">
        <v>0</v>
      </c>
      <c r="Y134" s="603">
        <v>0</v>
      </c>
      <c r="Z134" s="603">
        <v>0</v>
      </c>
      <c r="AA134" s="603">
        <v>0</v>
      </c>
      <c r="AB134" s="603">
        <v>0</v>
      </c>
      <c r="AC134" s="603">
        <v>0</v>
      </c>
      <c r="AD134" s="603">
        <v>0</v>
      </c>
      <c r="AE134" s="603">
        <v>0</v>
      </c>
      <c r="AF134" s="603">
        <v>0</v>
      </c>
      <c r="AG134" s="603">
        <v>0</v>
      </c>
      <c r="AH134" s="603">
        <v>0</v>
      </c>
      <c r="AI134" s="603">
        <v>0</v>
      </c>
      <c r="AJ134" s="604" t="s">
        <v>2377</v>
      </c>
      <c r="AK134" s="605" t="s">
        <v>1545</v>
      </c>
      <c r="AL134" s="605" t="s">
        <v>1545</v>
      </c>
      <c r="AM134" s="606" t="s">
        <v>2396</v>
      </c>
      <c r="AN134" s="609" t="s">
        <v>12</v>
      </c>
      <c r="AO134" s="610" t="s">
        <v>1368</v>
      </c>
      <c r="AP134" s="610" t="s">
        <v>1368</v>
      </c>
      <c r="AQ134" s="610" t="s">
        <v>1368</v>
      </c>
      <c r="AR134" s="610" t="s">
        <v>1368</v>
      </c>
      <c r="AS134" s="610" t="s">
        <v>1368</v>
      </c>
      <c r="AT134" s="610" t="s">
        <v>1368</v>
      </c>
      <c r="AU134" s="610" t="s">
        <v>1368</v>
      </c>
      <c r="AV134" s="610" t="s">
        <v>1368</v>
      </c>
      <c r="AW134" s="610" t="s">
        <v>1368</v>
      </c>
      <c r="AX134" s="610" t="s">
        <v>1368</v>
      </c>
      <c r="AY134" s="610" t="s">
        <v>1368</v>
      </c>
      <c r="AZ134" s="610" t="s">
        <v>1368</v>
      </c>
      <c r="BA134" s="610" t="s">
        <v>1368</v>
      </c>
      <c r="BB134" s="610" t="s">
        <v>1368</v>
      </c>
      <c r="BC134" s="610" t="s">
        <v>1368</v>
      </c>
      <c r="BD134" s="610" t="s">
        <v>1368</v>
      </c>
      <c r="BE134" s="610" t="s">
        <v>1368</v>
      </c>
      <c r="BF134" s="610" t="s">
        <v>1368</v>
      </c>
      <c r="BG134" s="610" t="s">
        <v>1368</v>
      </c>
      <c r="BH134" s="610" t="s">
        <v>1368</v>
      </c>
      <c r="BI134" s="610" t="s">
        <v>1368</v>
      </c>
      <c r="BJ134" s="610" t="s">
        <v>1368</v>
      </c>
      <c r="BK134" s="610" t="s">
        <v>1368</v>
      </c>
      <c r="BL134" s="610" t="s">
        <v>1368</v>
      </c>
      <c r="BM134" s="610">
        <v>1</v>
      </c>
      <c r="BN134" s="610">
        <v>1</v>
      </c>
      <c r="BO134" s="610">
        <v>1</v>
      </c>
      <c r="BP134" s="610">
        <v>1</v>
      </c>
      <c r="BQ134" s="610">
        <v>1</v>
      </c>
      <c r="BR134" s="610">
        <v>1</v>
      </c>
      <c r="BS134" s="610">
        <v>1</v>
      </c>
      <c r="BT134" s="610">
        <v>1</v>
      </c>
      <c r="BU134" s="610">
        <v>1</v>
      </c>
      <c r="BV134" s="610">
        <v>1</v>
      </c>
      <c r="BW134" s="610">
        <v>1</v>
      </c>
      <c r="BX134" s="610">
        <v>1</v>
      </c>
      <c r="BY134" s="610">
        <v>0</v>
      </c>
      <c r="BZ134" s="610">
        <v>0</v>
      </c>
      <c r="CA134" s="610">
        <v>0</v>
      </c>
      <c r="CB134" s="610">
        <v>0</v>
      </c>
      <c r="CC134" s="610">
        <v>0</v>
      </c>
      <c r="CD134" s="610">
        <v>0</v>
      </c>
      <c r="CE134" s="610">
        <v>0</v>
      </c>
      <c r="CF134" s="610">
        <v>0</v>
      </c>
      <c r="CG134" s="610">
        <v>0</v>
      </c>
      <c r="CH134" s="610">
        <v>0</v>
      </c>
      <c r="CI134" s="610">
        <v>0</v>
      </c>
      <c r="CJ134" s="610">
        <v>0</v>
      </c>
      <c r="CK134" s="610">
        <v>0</v>
      </c>
      <c r="CL134" s="610">
        <v>0</v>
      </c>
      <c r="CM134" s="610">
        <v>0</v>
      </c>
      <c r="CN134" s="610">
        <v>0</v>
      </c>
      <c r="CO134" s="610">
        <v>0</v>
      </c>
      <c r="CP134" s="610">
        <v>0</v>
      </c>
      <c r="CQ134" s="610">
        <v>0</v>
      </c>
      <c r="CR134" s="610">
        <v>0</v>
      </c>
      <c r="CS134" s="610">
        <v>0</v>
      </c>
      <c r="CT134" s="610">
        <v>0</v>
      </c>
      <c r="CU134" s="610">
        <v>0</v>
      </c>
      <c r="CV134" s="610">
        <v>0</v>
      </c>
      <c r="CW134" s="610" t="s">
        <v>14</v>
      </c>
      <c r="CX134" s="610">
        <v>0</v>
      </c>
      <c r="CY134" s="610" t="s">
        <v>1707</v>
      </c>
      <c r="CZ134" s="610" t="s">
        <v>1707</v>
      </c>
      <c r="DA134" s="610" t="s">
        <v>1707</v>
      </c>
      <c r="DB134" s="610" t="s">
        <v>1707</v>
      </c>
      <c r="DC134" s="610" t="s">
        <v>1707</v>
      </c>
      <c r="DD134" s="610" t="s">
        <v>1707</v>
      </c>
      <c r="DE134" s="610" t="s">
        <v>1707</v>
      </c>
      <c r="DF134" s="610" t="s">
        <v>1707</v>
      </c>
      <c r="DG134" s="610" t="s">
        <v>1707</v>
      </c>
      <c r="DH134" s="610" t="s">
        <v>1707</v>
      </c>
      <c r="DI134" s="610" t="s">
        <v>1707</v>
      </c>
      <c r="DJ134" s="610" t="s">
        <v>1707</v>
      </c>
      <c r="DK134" s="610" t="s">
        <v>1368</v>
      </c>
      <c r="DL134" s="610" t="s">
        <v>1368</v>
      </c>
      <c r="DM134" s="610" t="s">
        <v>1368</v>
      </c>
      <c r="DN134" s="610" t="s">
        <v>1368</v>
      </c>
      <c r="DO134" s="610" t="s">
        <v>1368</v>
      </c>
      <c r="DP134" s="610" t="s">
        <v>1368</v>
      </c>
      <c r="DQ134" s="610" t="s">
        <v>1368</v>
      </c>
      <c r="DR134" s="610" t="s">
        <v>1368</v>
      </c>
      <c r="DS134" s="610" t="s">
        <v>1368</v>
      </c>
      <c r="DT134" s="610" t="s">
        <v>1368</v>
      </c>
      <c r="DU134" s="610" t="s">
        <v>1368</v>
      </c>
      <c r="DV134" s="610" t="s">
        <v>1368</v>
      </c>
      <c r="DW134" s="609" t="s">
        <v>1368</v>
      </c>
      <c r="DX134" s="609" t="s">
        <v>1368</v>
      </c>
      <c r="DY134" s="609" t="s">
        <v>1368</v>
      </c>
      <c r="DZ134" s="609" t="s">
        <v>1368</v>
      </c>
      <c r="EA134" s="609" t="s">
        <v>1368</v>
      </c>
      <c r="EB134" s="609" t="s">
        <v>1368</v>
      </c>
      <c r="EC134" s="609" t="s">
        <v>1368</v>
      </c>
      <c r="ED134" s="609" t="s">
        <v>1368</v>
      </c>
      <c r="EE134" s="609" t="s">
        <v>1368</v>
      </c>
      <c r="EF134" s="609" t="s">
        <v>1368</v>
      </c>
      <c r="EG134" s="609" t="s">
        <v>1368</v>
      </c>
      <c r="EH134" s="609" t="s">
        <v>1368</v>
      </c>
      <c r="EI134" s="610" t="s">
        <v>1707</v>
      </c>
      <c r="EJ134" s="610" t="s">
        <v>1707</v>
      </c>
      <c r="EK134" s="610" t="s">
        <v>1707</v>
      </c>
      <c r="EL134" s="610" t="s">
        <v>1707</v>
      </c>
      <c r="EM134" s="610" t="s">
        <v>1707</v>
      </c>
      <c r="EN134" s="610" t="s">
        <v>1707</v>
      </c>
      <c r="EO134" s="610" t="s">
        <v>1707</v>
      </c>
      <c r="EP134" s="610" t="s">
        <v>1707</v>
      </c>
      <c r="EQ134" s="610" t="s">
        <v>1707</v>
      </c>
      <c r="ER134" s="610" t="s">
        <v>1707</v>
      </c>
      <c r="ES134" s="610" t="s">
        <v>1707</v>
      </c>
      <c r="ET134" s="610" t="s">
        <v>1707</v>
      </c>
      <c r="EU134" s="610">
        <v>4070</v>
      </c>
      <c r="EV134" s="610" t="s">
        <v>1707</v>
      </c>
      <c r="EW134" s="610" t="s">
        <v>1707</v>
      </c>
      <c r="EX134" s="610" t="s">
        <v>1707</v>
      </c>
      <c r="EY134" s="610" t="s">
        <v>1707</v>
      </c>
      <c r="EZ134" s="610" t="s">
        <v>1707</v>
      </c>
      <c r="FA134" s="610" t="s">
        <v>1707</v>
      </c>
      <c r="FB134" s="610" t="s">
        <v>1707</v>
      </c>
      <c r="FC134" s="610" t="s">
        <v>1707</v>
      </c>
      <c r="FD134" s="610" t="s">
        <v>1707</v>
      </c>
      <c r="FE134" s="610" t="s">
        <v>1707</v>
      </c>
      <c r="FF134" s="610" t="s">
        <v>1707</v>
      </c>
      <c r="FG134" s="610" t="s">
        <v>1707</v>
      </c>
      <c r="FH134" s="610">
        <v>17</v>
      </c>
      <c r="FI134" s="610">
        <v>17</v>
      </c>
      <c r="FJ134" s="610">
        <v>17</v>
      </c>
      <c r="FK134" s="610">
        <v>17</v>
      </c>
      <c r="FL134" s="610">
        <v>18</v>
      </c>
      <c r="FM134" s="610">
        <v>18</v>
      </c>
      <c r="FN134" s="610">
        <v>18</v>
      </c>
      <c r="FO134" s="610">
        <v>18</v>
      </c>
      <c r="FP134" s="610">
        <v>18</v>
      </c>
      <c r="FQ134" s="610">
        <v>18</v>
      </c>
      <c r="FR134" s="610" t="s">
        <v>2487</v>
      </c>
      <c r="FS134" s="610" t="s">
        <v>2487</v>
      </c>
      <c r="FT134" s="610" t="s">
        <v>2487</v>
      </c>
      <c r="FU134" s="610" t="s">
        <v>2487</v>
      </c>
      <c r="FV134" s="610" t="s">
        <v>2487</v>
      </c>
      <c r="FW134" s="610" t="s">
        <v>2487</v>
      </c>
      <c r="FX134" s="610" t="s">
        <v>2487</v>
      </c>
      <c r="FY134" s="610" t="s">
        <v>2487</v>
      </c>
      <c r="FZ134" s="610" t="s">
        <v>2487</v>
      </c>
      <c r="GA134" s="610" t="s">
        <v>2487</v>
      </c>
      <c r="GB134" s="610" t="s">
        <v>2487</v>
      </c>
      <c r="GC134" s="610" t="s">
        <v>2487</v>
      </c>
      <c r="GD134" s="564">
        <f t="shared" ref="GD134:GD179" si="33">IF(FR134="配置",$GD$3,"")</f>
        <v>79950</v>
      </c>
      <c r="GE134" s="564">
        <f t="shared" ref="GE134:GE179" si="34">IF(FS134="配置",$GD$3,"")</f>
        <v>79950</v>
      </c>
      <c r="GF134" s="564">
        <f t="shared" ref="GF134:GF179" si="35">IF(FT134="配置",$GD$3,"")</f>
        <v>79950</v>
      </c>
      <c r="GG134" s="564">
        <f t="shared" ref="GG134:GG179" si="36">IF(FU134="配置",$GD$3,"")</f>
        <v>79950</v>
      </c>
      <c r="GH134" s="564">
        <f t="shared" ref="GH134:GH179" si="37">IF(FV134="配置",$GD$3,"")</f>
        <v>79950</v>
      </c>
      <c r="GI134" s="564">
        <f t="shared" ref="GI134:GI179" si="38">IF(FW134="配置",$GD$3,"")</f>
        <v>79950</v>
      </c>
      <c r="GJ134" s="564">
        <f t="shared" ref="GJ134:GJ179" si="39">IF(FX134="配置",$GD$3,"")</f>
        <v>79950</v>
      </c>
      <c r="GK134" s="564">
        <f t="shared" ref="GK134:GK179" si="40">IF(FY134="配置",$GD$3,"")</f>
        <v>79950</v>
      </c>
      <c r="GL134" s="564">
        <f t="shared" ref="GL134:GL179" si="41">IF(FZ134="配置",$GD$3,"")</f>
        <v>79950</v>
      </c>
      <c r="GM134" s="564">
        <f t="shared" ref="GM134:GM179" si="42">IF(GA134="配置",$GD$3,"")</f>
        <v>79950</v>
      </c>
      <c r="GN134" s="564">
        <f t="shared" ref="GN134:GN179" si="43">IF(GB134="配置",$GD$3,"")</f>
        <v>79950</v>
      </c>
      <c r="GO134" s="564">
        <f t="shared" ref="GO134:GO179" si="44">IF(GC134="配置",$GD$3,"")</f>
        <v>79950</v>
      </c>
      <c r="GP134" s="564"/>
      <c r="GS134" s="375" t="s">
        <v>594</v>
      </c>
      <c r="GT134" s="374" t="str">
        <f t="shared" si="31"/>
        <v>〇</v>
      </c>
    </row>
    <row r="135" spans="2:202">
      <c r="B135" s="371">
        <v>131</v>
      </c>
      <c r="C135" s="378">
        <v>131</v>
      </c>
      <c r="D135" s="373" t="s">
        <v>1515</v>
      </c>
      <c r="E135" s="373" t="s">
        <v>14</v>
      </c>
      <c r="F135" s="603">
        <f t="shared" si="32"/>
        <v>59</v>
      </c>
      <c r="G135" s="603"/>
      <c r="H135" s="603">
        <v>33</v>
      </c>
      <c r="I135" s="603">
        <v>26</v>
      </c>
      <c r="J135" s="603"/>
      <c r="K135" s="603"/>
      <c r="L135" s="603"/>
      <c r="M135" s="603"/>
      <c r="N135" s="608"/>
      <c r="O135" s="603">
        <v>1577000</v>
      </c>
      <c r="P135" s="603">
        <v>2721000</v>
      </c>
      <c r="Q135" s="603">
        <v>2721000</v>
      </c>
      <c r="R135" s="603">
        <v>0</v>
      </c>
      <c r="S135" s="603">
        <v>0</v>
      </c>
      <c r="T135" s="603">
        <v>0</v>
      </c>
      <c r="U135" s="603">
        <v>0</v>
      </c>
      <c r="V135" s="603">
        <v>1051000</v>
      </c>
      <c r="W135" s="603">
        <v>1814000</v>
      </c>
      <c r="X135" s="603">
        <v>1814000</v>
      </c>
      <c r="Y135" s="603">
        <v>0</v>
      </c>
      <c r="Z135" s="603">
        <v>0</v>
      </c>
      <c r="AA135" s="603">
        <v>0</v>
      </c>
      <c r="AB135" s="603">
        <v>0</v>
      </c>
      <c r="AC135" s="603">
        <v>0</v>
      </c>
      <c r="AD135" s="603">
        <v>0</v>
      </c>
      <c r="AE135" s="603">
        <v>0</v>
      </c>
      <c r="AF135" s="603">
        <v>0</v>
      </c>
      <c r="AG135" s="603">
        <v>0</v>
      </c>
      <c r="AH135" s="603">
        <v>0</v>
      </c>
      <c r="AI135" s="603">
        <v>0</v>
      </c>
      <c r="AJ135" s="604" t="s">
        <v>2377</v>
      </c>
      <c r="AK135" s="605" t="s">
        <v>2378</v>
      </c>
      <c r="AL135" s="605" t="s">
        <v>1545</v>
      </c>
      <c r="AM135" s="606" t="s">
        <v>2397</v>
      </c>
      <c r="AN135" s="609" t="s">
        <v>12</v>
      </c>
      <c r="AO135" s="610" t="s">
        <v>1368</v>
      </c>
      <c r="AP135" s="610" t="s">
        <v>1368</v>
      </c>
      <c r="AQ135" s="610" t="s">
        <v>1368</v>
      </c>
      <c r="AR135" s="610" t="s">
        <v>1368</v>
      </c>
      <c r="AS135" s="610" t="s">
        <v>1368</v>
      </c>
      <c r="AT135" s="610" t="s">
        <v>1368</v>
      </c>
      <c r="AU135" s="610" t="s">
        <v>1368</v>
      </c>
      <c r="AV135" s="610" t="s">
        <v>1368</v>
      </c>
      <c r="AW135" s="610" t="s">
        <v>1368</v>
      </c>
      <c r="AX135" s="610" t="s">
        <v>1368</v>
      </c>
      <c r="AY135" s="610" t="s">
        <v>1368</v>
      </c>
      <c r="AZ135" s="610" t="s">
        <v>1368</v>
      </c>
      <c r="BA135" s="610" t="s">
        <v>1368</v>
      </c>
      <c r="BB135" s="610" t="s">
        <v>1368</v>
      </c>
      <c r="BC135" s="610" t="s">
        <v>1368</v>
      </c>
      <c r="BD135" s="610" t="s">
        <v>1368</v>
      </c>
      <c r="BE135" s="610" t="s">
        <v>1368</v>
      </c>
      <c r="BF135" s="610" t="s">
        <v>1368</v>
      </c>
      <c r="BG135" s="610" t="s">
        <v>1368</v>
      </c>
      <c r="BH135" s="610" t="s">
        <v>1368</v>
      </c>
      <c r="BI135" s="610" t="s">
        <v>1368</v>
      </c>
      <c r="BJ135" s="610" t="s">
        <v>1368</v>
      </c>
      <c r="BK135" s="610" t="s">
        <v>1368</v>
      </c>
      <c r="BL135" s="610" t="s">
        <v>1368</v>
      </c>
      <c r="BM135" s="610">
        <v>0</v>
      </c>
      <c r="BN135" s="610">
        <v>0</v>
      </c>
      <c r="BO135" s="610">
        <v>0</v>
      </c>
      <c r="BP135" s="610">
        <v>0</v>
      </c>
      <c r="BQ135" s="610">
        <v>0</v>
      </c>
      <c r="BR135" s="610">
        <v>0</v>
      </c>
      <c r="BS135" s="610">
        <v>0</v>
      </c>
      <c r="BT135" s="610">
        <v>0</v>
      </c>
      <c r="BU135" s="610">
        <v>0</v>
      </c>
      <c r="BV135" s="610">
        <v>0</v>
      </c>
      <c r="BW135" s="610">
        <v>0</v>
      </c>
      <c r="BX135" s="610">
        <v>0</v>
      </c>
      <c r="BY135" s="610">
        <v>0</v>
      </c>
      <c r="BZ135" s="610">
        <v>0</v>
      </c>
      <c r="CA135" s="610">
        <v>0</v>
      </c>
      <c r="CB135" s="610">
        <v>0</v>
      </c>
      <c r="CC135" s="610">
        <v>0</v>
      </c>
      <c r="CD135" s="610">
        <v>0</v>
      </c>
      <c r="CE135" s="610">
        <v>0</v>
      </c>
      <c r="CF135" s="610">
        <v>0</v>
      </c>
      <c r="CG135" s="610">
        <v>0</v>
      </c>
      <c r="CH135" s="610">
        <v>0</v>
      </c>
      <c r="CI135" s="610">
        <v>0</v>
      </c>
      <c r="CJ135" s="610">
        <v>0</v>
      </c>
      <c r="CK135" s="610">
        <v>0</v>
      </c>
      <c r="CL135" s="610">
        <v>0</v>
      </c>
      <c r="CM135" s="610">
        <v>0</v>
      </c>
      <c r="CN135" s="610">
        <v>0</v>
      </c>
      <c r="CO135" s="610">
        <v>0</v>
      </c>
      <c r="CP135" s="610">
        <v>0</v>
      </c>
      <c r="CQ135" s="610">
        <v>0</v>
      </c>
      <c r="CR135" s="610">
        <v>0</v>
      </c>
      <c r="CS135" s="610">
        <v>0</v>
      </c>
      <c r="CT135" s="610">
        <v>0</v>
      </c>
      <c r="CU135" s="610">
        <v>0</v>
      </c>
      <c r="CV135" s="610">
        <v>0</v>
      </c>
      <c r="CW135" s="610" t="s">
        <v>14</v>
      </c>
      <c r="CX135" s="610">
        <v>0</v>
      </c>
      <c r="CY135" s="610" t="s">
        <v>1707</v>
      </c>
      <c r="CZ135" s="610" t="s">
        <v>1707</v>
      </c>
      <c r="DA135" s="610" t="s">
        <v>1707</v>
      </c>
      <c r="DB135" s="610" t="s">
        <v>1707</v>
      </c>
      <c r="DC135" s="610" t="s">
        <v>1707</v>
      </c>
      <c r="DD135" s="610" t="s">
        <v>1707</v>
      </c>
      <c r="DE135" s="610" t="s">
        <v>1707</v>
      </c>
      <c r="DF135" s="610" t="s">
        <v>1707</v>
      </c>
      <c r="DG135" s="610" t="s">
        <v>1707</v>
      </c>
      <c r="DH135" s="610" t="s">
        <v>1707</v>
      </c>
      <c r="DI135" s="610" t="s">
        <v>1707</v>
      </c>
      <c r="DJ135" s="610" t="s">
        <v>1707</v>
      </c>
      <c r="DK135" s="610" t="s">
        <v>1368</v>
      </c>
      <c r="DL135" s="610" t="s">
        <v>1368</v>
      </c>
      <c r="DM135" s="610" t="s">
        <v>1368</v>
      </c>
      <c r="DN135" s="610" t="s">
        <v>1368</v>
      </c>
      <c r="DO135" s="610" t="s">
        <v>1368</v>
      </c>
      <c r="DP135" s="610" t="s">
        <v>1368</v>
      </c>
      <c r="DQ135" s="610" t="s">
        <v>1368</v>
      </c>
      <c r="DR135" s="610" t="s">
        <v>1368</v>
      </c>
      <c r="DS135" s="610" t="s">
        <v>1368</v>
      </c>
      <c r="DT135" s="610" t="s">
        <v>1368</v>
      </c>
      <c r="DU135" s="610" t="s">
        <v>1368</v>
      </c>
      <c r="DV135" s="610" t="s">
        <v>1368</v>
      </c>
      <c r="DW135" s="609" t="s">
        <v>1368</v>
      </c>
      <c r="DX135" s="609" t="s">
        <v>1368</v>
      </c>
      <c r="DY135" s="609" t="s">
        <v>1368</v>
      </c>
      <c r="DZ135" s="609" t="s">
        <v>1368</v>
      </c>
      <c r="EA135" s="609" t="s">
        <v>1368</v>
      </c>
      <c r="EB135" s="609" t="s">
        <v>1368</v>
      </c>
      <c r="EC135" s="609" t="s">
        <v>1368</v>
      </c>
      <c r="ED135" s="609" t="s">
        <v>1368</v>
      </c>
      <c r="EE135" s="609" t="s">
        <v>1368</v>
      </c>
      <c r="EF135" s="609" t="s">
        <v>1368</v>
      </c>
      <c r="EG135" s="609" t="s">
        <v>1368</v>
      </c>
      <c r="EH135" s="609" t="s">
        <v>1368</v>
      </c>
      <c r="EI135" s="610" t="s">
        <v>1707</v>
      </c>
      <c r="EJ135" s="610" t="s">
        <v>1707</v>
      </c>
      <c r="EK135" s="610" t="s">
        <v>1707</v>
      </c>
      <c r="EL135" s="610" t="s">
        <v>1707</v>
      </c>
      <c r="EM135" s="610" t="s">
        <v>1707</v>
      </c>
      <c r="EN135" s="610" t="s">
        <v>1707</v>
      </c>
      <c r="EO135" s="610" t="s">
        <v>1707</v>
      </c>
      <c r="EP135" s="610" t="s">
        <v>1707</v>
      </c>
      <c r="EQ135" s="610" t="s">
        <v>1707</v>
      </c>
      <c r="ER135" s="610" t="s">
        <v>1707</v>
      </c>
      <c r="ES135" s="610" t="s">
        <v>1707</v>
      </c>
      <c r="ET135" s="610" t="s">
        <v>1707</v>
      </c>
      <c r="EU135" s="610">
        <v>3830</v>
      </c>
      <c r="EV135" s="610" t="s">
        <v>1707</v>
      </c>
      <c r="EW135" s="610" t="s">
        <v>1707</v>
      </c>
      <c r="EX135" s="610" t="s">
        <v>1707</v>
      </c>
      <c r="EY135" s="610" t="s">
        <v>1707</v>
      </c>
      <c r="EZ135" s="610" t="s">
        <v>1707</v>
      </c>
      <c r="FA135" s="610" t="s">
        <v>1707</v>
      </c>
      <c r="FB135" s="610" t="s">
        <v>1707</v>
      </c>
      <c r="FC135" s="610" t="s">
        <v>1707</v>
      </c>
      <c r="FD135" s="610" t="s">
        <v>1707</v>
      </c>
      <c r="FE135" s="610" t="s">
        <v>1707</v>
      </c>
      <c r="FF135" s="610" t="s">
        <v>1707</v>
      </c>
      <c r="FG135" s="610" t="s">
        <v>1707</v>
      </c>
      <c r="FH135" s="610">
        <v>29</v>
      </c>
      <c r="FI135" s="610">
        <v>29</v>
      </c>
      <c r="FJ135" s="610">
        <v>29</v>
      </c>
      <c r="FK135" s="610">
        <v>29</v>
      </c>
      <c r="FL135" s="610">
        <v>29</v>
      </c>
      <c r="FM135" s="610">
        <v>29</v>
      </c>
      <c r="FN135" s="610">
        <v>29</v>
      </c>
      <c r="FO135" s="610">
        <v>28</v>
      </c>
      <c r="FP135" s="610">
        <v>28</v>
      </c>
      <c r="FQ135" s="610">
        <v>28</v>
      </c>
      <c r="FR135" s="610" t="s">
        <v>2487</v>
      </c>
      <c r="FS135" s="610" t="s">
        <v>2487</v>
      </c>
      <c r="FT135" s="610" t="s">
        <v>2487</v>
      </c>
      <c r="FU135" s="610" t="s">
        <v>2487</v>
      </c>
      <c r="FV135" s="610" t="s">
        <v>2487</v>
      </c>
      <c r="FW135" s="610" t="s">
        <v>2487</v>
      </c>
      <c r="FX135" s="610" t="s">
        <v>2487</v>
      </c>
      <c r="FY135" s="610" t="s">
        <v>2487</v>
      </c>
      <c r="FZ135" s="610" t="s">
        <v>2487</v>
      </c>
      <c r="GA135" s="610" t="s">
        <v>2487</v>
      </c>
      <c r="GB135" s="610" t="s">
        <v>2487</v>
      </c>
      <c r="GC135" s="610" t="s">
        <v>2487</v>
      </c>
      <c r="GD135" s="564">
        <f t="shared" si="33"/>
        <v>79950</v>
      </c>
      <c r="GE135" s="564">
        <f t="shared" si="34"/>
        <v>79950</v>
      </c>
      <c r="GF135" s="564">
        <f t="shared" si="35"/>
        <v>79950</v>
      </c>
      <c r="GG135" s="564">
        <f t="shared" si="36"/>
        <v>79950</v>
      </c>
      <c r="GH135" s="564">
        <f t="shared" si="37"/>
        <v>79950</v>
      </c>
      <c r="GI135" s="564">
        <f t="shared" si="38"/>
        <v>79950</v>
      </c>
      <c r="GJ135" s="564">
        <f t="shared" si="39"/>
        <v>79950</v>
      </c>
      <c r="GK135" s="564">
        <f t="shared" si="40"/>
        <v>79950</v>
      </c>
      <c r="GL135" s="564">
        <f t="shared" si="41"/>
        <v>79950</v>
      </c>
      <c r="GM135" s="564">
        <f t="shared" si="42"/>
        <v>79950</v>
      </c>
      <c r="GN135" s="564">
        <f t="shared" si="43"/>
        <v>79950</v>
      </c>
      <c r="GO135" s="564">
        <f t="shared" si="44"/>
        <v>79950</v>
      </c>
      <c r="GP135" s="564"/>
      <c r="GS135" s="375" t="s">
        <v>1515</v>
      </c>
      <c r="GT135" s="374" t="str">
        <f t="shared" si="31"/>
        <v>〇</v>
      </c>
    </row>
    <row r="136" spans="2:202">
      <c r="B136" s="371">
        <v>132</v>
      </c>
      <c r="C136" s="378">
        <v>132</v>
      </c>
      <c r="D136" s="373" t="s">
        <v>1517</v>
      </c>
      <c r="E136" s="373" t="s">
        <v>14</v>
      </c>
      <c r="F136" s="603">
        <f t="shared" ref="F136:F179" si="45">SUM(G136:I136)</f>
        <v>90</v>
      </c>
      <c r="G136" s="603"/>
      <c r="H136" s="603">
        <v>50</v>
      </c>
      <c r="I136" s="603">
        <v>40</v>
      </c>
      <c r="J136" s="603"/>
      <c r="K136" s="603"/>
      <c r="L136" s="603"/>
      <c r="M136" s="603"/>
      <c r="N136" s="608"/>
      <c r="O136" s="603">
        <v>1577000</v>
      </c>
      <c r="P136" s="603">
        <v>2721000</v>
      </c>
      <c r="Q136" s="603">
        <v>2721000</v>
      </c>
      <c r="R136" s="603">
        <v>1791000</v>
      </c>
      <c r="S136" s="603">
        <v>0</v>
      </c>
      <c r="T136" s="603">
        <v>0</v>
      </c>
      <c r="U136" s="603">
        <v>0</v>
      </c>
      <c r="V136" s="603">
        <v>0</v>
      </c>
      <c r="W136" s="603">
        <v>0</v>
      </c>
      <c r="X136" s="603">
        <v>0</v>
      </c>
      <c r="Y136" s="603">
        <v>0</v>
      </c>
      <c r="Z136" s="603">
        <v>0</v>
      </c>
      <c r="AA136" s="603">
        <v>0</v>
      </c>
      <c r="AB136" s="603">
        <v>0</v>
      </c>
      <c r="AC136" s="603">
        <v>0</v>
      </c>
      <c r="AD136" s="603">
        <v>0</v>
      </c>
      <c r="AE136" s="603">
        <v>0</v>
      </c>
      <c r="AF136" s="603">
        <v>0</v>
      </c>
      <c r="AG136" s="603">
        <v>0</v>
      </c>
      <c r="AH136" s="603">
        <v>0</v>
      </c>
      <c r="AI136" s="603">
        <v>0</v>
      </c>
      <c r="AJ136" s="604" t="s">
        <v>2377</v>
      </c>
      <c r="AK136" s="605" t="s">
        <v>1545</v>
      </c>
      <c r="AL136" s="605" t="s">
        <v>1545</v>
      </c>
      <c r="AM136" s="606" t="s">
        <v>2398</v>
      </c>
      <c r="AN136" s="609" t="s">
        <v>12</v>
      </c>
      <c r="AO136" s="610" t="s">
        <v>2485</v>
      </c>
      <c r="AP136" s="610" t="s">
        <v>2485</v>
      </c>
      <c r="AQ136" s="610" t="s">
        <v>2485</v>
      </c>
      <c r="AR136" s="610" t="s">
        <v>2485</v>
      </c>
      <c r="AS136" s="610" t="s">
        <v>2485</v>
      </c>
      <c r="AT136" s="610" t="s">
        <v>2485</v>
      </c>
      <c r="AU136" s="610" t="s">
        <v>2485</v>
      </c>
      <c r="AV136" s="610" t="s">
        <v>2485</v>
      </c>
      <c r="AW136" s="610" t="s">
        <v>2485</v>
      </c>
      <c r="AX136" s="610" t="s">
        <v>2485</v>
      </c>
      <c r="AY136" s="610" t="s">
        <v>2485</v>
      </c>
      <c r="AZ136" s="610" t="s">
        <v>2485</v>
      </c>
      <c r="BA136" s="610" t="s">
        <v>1368</v>
      </c>
      <c r="BB136" s="610" t="s">
        <v>1368</v>
      </c>
      <c r="BC136" s="610" t="s">
        <v>1368</v>
      </c>
      <c r="BD136" s="610" t="s">
        <v>1368</v>
      </c>
      <c r="BE136" s="610" t="s">
        <v>1368</v>
      </c>
      <c r="BF136" s="610" t="s">
        <v>1368</v>
      </c>
      <c r="BG136" s="610" t="s">
        <v>1368</v>
      </c>
      <c r="BH136" s="610" t="s">
        <v>1368</v>
      </c>
      <c r="BI136" s="610" t="s">
        <v>1368</v>
      </c>
      <c r="BJ136" s="610" t="s">
        <v>1368</v>
      </c>
      <c r="BK136" s="610" t="s">
        <v>1368</v>
      </c>
      <c r="BL136" s="610" t="s">
        <v>1368</v>
      </c>
      <c r="BM136" s="610">
        <v>0</v>
      </c>
      <c r="BN136" s="610">
        <v>0</v>
      </c>
      <c r="BO136" s="610">
        <v>0</v>
      </c>
      <c r="BP136" s="610">
        <v>0</v>
      </c>
      <c r="BQ136" s="610">
        <v>0</v>
      </c>
      <c r="BR136" s="610">
        <v>0</v>
      </c>
      <c r="BS136" s="610">
        <v>0</v>
      </c>
      <c r="BT136" s="610">
        <v>0</v>
      </c>
      <c r="BU136" s="610">
        <v>0</v>
      </c>
      <c r="BV136" s="610">
        <v>0</v>
      </c>
      <c r="BW136" s="610">
        <v>0</v>
      </c>
      <c r="BX136" s="610">
        <v>0</v>
      </c>
      <c r="BY136" s="610">
        <v>0</v>
      </c>
      <c r="BZ136" s="610">
        <v>0</v>
      </c>
      <c r="CA136" s="610">
        <v>0</v>
      </c>
      <c r="CB136" s="610">
        <v>0</v>
      </c>
      <c r="CC136" s="610">
        <v>0</v>
      </c>
      <c r="CD136" s="610">
        <v>0</v>
      </c>
      <c r="CE136" s="610">
        <v>0</v>
      </c>
      <c r="CF136" s="610">
        <v>0</v>
      </c>
      <c r="CG136" s="610">
        <v>0</v>
      </c>
      <c r="CH136" s="610">
        <v>0</v>
      </c>
      <c r="CI136" s="610">
        <v>0</v>
      </c>
      <c r="CJ136" s="610">
        <v>0</v>
      </c>
      <c r="CK136" s="610">
        <v>0</v>
      </c>
      <c r="CL136" s="610">
        <v>0</v>
      </c>
      <c r="CM136" s="610">
        <v>0</v>
      </c>
      <c r="CN136" s="610">
        <v>0</v>
      </c>
      <c r="CO136" s="610">
        <v>0</v>
      </c>
      <c r="CP136" s="610">
        <v>0</v>
      </c>
      <c r="CQ136" s="610">
        <v>0</v>
      </c>
      <c r="CR136" s="610">
        <v>0</v>
      </c>
      <c r="CS136" s="610">
        <v>0</v>
      </c>
      <c r="CT136" s="610">
        <v>0</v>
      </c>
      <c r="CU136" s="610">
        <v>0</v>
      </c>
      <c r="CV136" s="610">
        <v>0</v>
      </c>
      <c r="CW136" s="610" t="s">
        <v>14</v>
      </c>
      <c r="CX136" s="610">
        <v>0</v>
      </c>
      <c r="CY136" s="610" t="s">
        <v>2449</v>
      </c>
      <c r="CZ136" s="610" t="s">
        <v>2449</v>
      </c>
      <c r="DA136" s="610" t="s">
        <v>2449</v>
      </c>
      <c r="DB136" s="610" t="s">
        <v>2449</v>
      </c>
      <c r="DC136" s="610" t="s">
        <v>2449</v>
      </c>
      <c r="DD136" s="610" t="s">
        <v>2449</v>
      </c>
      <c r="DE136" s="610" t="s">
        <v>2449</v>
      </c>
      <c r="DF136" s="610" t="s">
        <v>2449</v>
      </c>
      <c r="DG136" s="610" t="s">
        <v>2449</v>
      </c>
      <c r="DH136" s="610" t="s">
        <v>2449</v>
      </c>
      <c r="DI136" s="610" t="s">
        <v>2449</v>
      </c>
      <c r="DJ136" s="610" t="s">
        <v>2449</v>
      </c>
      <c r="DK136" s="610" t="s">
        <v>1368</v>
      </c>
      <c r="DL136" s="610" t="s">
        <v>1368</v>
      </c>
      <c r="DM136" s="610" t="s">
        <v>1368</v>
      </c>
      <c r="DN136" s="610" t="s">
        <v>1368</v>
      </c>
      <c r="DO136" s="610" t="s">
        <v>1368</v>
      </c>
      <c r="DP136" s="610" t="s">
        <v>1368</v>
      </c>
      <c r="DQ136" s="610" t="s">
        <v>1368</v>
      </c>
      <c r="DR136" s="610" t="s">
        <v>1368</v>
      </c>
      <c r="DS136" s="610" t="s">
        <v>1368</v>
      </c>
      <c r="DT136" s="610" t="s">
        <v>1368</v>
      </c>
      <c r="DU136" s="610" t="s">
        <v>1368</v>
      </c>
      <c r="DV136" s="610" t="s">
        <v>1368</v>
      </c>
      <c r="DW136" s="609" t="s">
        <v>1368</v>
      </c>
      <c r="DX136" s="609" t="s">
        <v>1368</v>
      </c>
      <c r="DY136" s="609" t="s">
        <v>1368</v>
      </c>
      <c r="DZ136" s="609" t="s">
        <v>1368</v>
      </c>
      <c r="EA136" s="609" t="s">
        <v>1368</v>
      </c>
      <c r="EB136" s="609" t="s">
        <v>1368</v>
      </c>
      <c r="EC136" s="609" t="s">
        <v>1368</v>
      </c>
      <c r="ED136" s="609" t="s">
        <v>1368</v>
      </c>
      <c r="EE136" s="609" t="s">
        <v>1368</v>
      </c>
      <c r="EF136" s="609" t="s">
        <v>1368</v>
      </c>
      <c r="EG136" s="609" t="s">
        <v>1368</v>
      </c>
      <c r="EH136" s="609" t="s">
        <v>1368</v>
      </c>
      <c r="EI136" s="610" t="s">
        <v>1707</v>
      </c>
      <c r="EJ136" s="610" t="s">
        <v>1707</v>
      </c>
      <c r="EK136" s="610" t="s">
        <v>1707</v>
      </c>
      <c r="EL136" s="610" t="s">
        <v>1707</v>
      </c>
      <c r="EM136" s="610" t="s">
        <v>1707</v>
      </c>
      <c r="EN136" s="610" t="s">
        <v>1707</v>
      </c>
      <c r="EO136" s="610" t="s">
        <v>1707</v>
      </c>
      <c r="EP136" s="610" t="s">
        <v>1707</v>
      </c>
      <c r="EQ136" s="610" t="s">
        <v>1707</v>
      </c>
      <c r="ER136" s="610" t="s">
        <v>1707</v>
      </c>
      <c r="ES136" s="610" t="s">
        <v>1707</v>
      </c>
      <c r="ET136" s="610" t="s">
        <v>1707</v>
      </c>
      <c r="EU136" s="610">
        <v>3920</v>
      </c>
      <c r="EV136" s="610" t="s">
        <v>1707</v>
      </c>
      <c r="EW136" s="610" t="s">
        <v>1707</v>
      </c>
      <c r="EX136" s="610" t="s">
        <v>1707</v>
      </c>
      <c r="EY136" s="610" t="s">
        <v>1707</v>
      </c>
      <c r="EZ136" s="610" t="s">
        <v>1707</v>
      </c>
      <c r="FA136" s="610" t="s">
        <v>1707</v>
      </c>
      <c r="FB136" s="610" t="s">
        <v>1707</v>
      </c>
      <c r="FC136" s="610" t="s">
        <v>1707</v>
      </c>
      <c r="FD136" s="610" t="s">
        <v>1707</v>
      </c>
      <c r="FE136" s="610" t="s">
        <v>1707</v>
      </c>
      <c r="FF136" s="610" t="s">
        <v>1707</v>
      </c>
      <c r="FG136" s="610" t="s">
        <v>1707</v>
      </c>
      <c r="FH136" s="610">
        <v>35</v>
      </c>
      <c r="FI136" s="610">
        <v>35</v>
      </c>
      <c r="FJ136" s="610">
        <v>35</v>
      </c>
      <c r="FK136" s="610">
        <v>35</v>
      </c>
      <c r="FL136" s="610">
        <v>35</v>
      </c>
      <c r="FM136" s="610">
        <v>35</v>
      </c>
      <c r="FN136" s="610">
        <v>34</v>
      </c>
      <c r="FO136" s="610">
        <v>34</v>
      </c>
      <c r="FP136" s="610">
        <v>34</v>
      </c>
      <c r="FQ136" s="610">
        <v>34</v>
      </c>
      <c r="FR136" s="610" t="s">
        <v>2487</v>
      </c>
      <c r="FS136" s="610" t="s">
        <v>2487</v>
      </c>
      <c r="FT136" s="610" t="s">
        <v>2487</v>
      </c>
      <c r="FU136" s="610" t="s">
        <v>2487</v>
      </c>
      <c r="FV136" s="610" t="s">
        <v>2487</v>
      </c>
      <c r="FW136" s="610" t="s">
        <v>2487</v>
      </c>
      <c r="FX136" s="610" t="s">
        <v>2487</v>
      </c>
      <c r="FY136" s="610" t="s">
        <v>2487</v>
      </c>
      <c r="FZ136" s="610" t="s">
        <v>2487</v>
      </c>
      <c r="GA136" s="610" t="s">
        <v>2487</v>
      </c>
      <c r="GB136" s="610" t="s">
        <v>2487</v>
      </c>
      <c r="GC136" s="610" t="s">
        <v>2487</v>
      </c>
      <c r="GD136" s="564">
        <f t="shared" si="33"/>
        <v>79950</v>
      </c>
      <c r="GE136" s="564">
        <f t="shared" si="34"/>
        <v>79950</v>
      </c>
      <c r="GF136" s="564">
        <f t="shared" si="35"/>
        <v>79950</v>
      </c>
      <c r="GG136" s="564">
        <f t="shared" si="36"/>
        <v>79950</v>
      </c>
      <c r="GH136" s="564">
        <f t="shared" si="37"/>
        <v>79950</v>
      </c>
      <c r="GI136" s="564">
        <f t="shared" si="38"/>
        <v>79950</v>
      </c>
      <c r="GJ136" s="564">
        <f t="shared" si="39"/>
        <v>79950</v>
      </c>
      <c r="GK136" s="564">
        <f t="shared" si="40"/>
        <v>79950</v>
      </c>
      <c r="GL136" s="564">
        <f t="shared" si="41"/>
        <v>79950</v>
      </c>
      <c r="GM136" s="564">
        <f t="shared" si="42"/>
        <v>79950</v>
      </c>
      <c r="GN136" s="564">
        <f t="shared" si="43"/>
        <v>79950</v>
      </c>
      <c r="GO136" s="564">
        <f t="shared" si="44"/>
        <v>79950</v>
      </c>
      <c r="GP136" s="564"/>
      <c r="GS136" s="375" t="s">
        <v>1517</v>
      </c>
      <c r="GT136" s="374" t="str">
        <f t="shared" si="31"/>
        <v>〇</v>
      </c>
    </row>
    <row r="137" spans="2:202">
      <c r="B137" s="371">
        <v>133</v>
      </c>
      <c r="C137" s="378">
        <v>133</v>
      </c>
      <c r="D137" s="373" t="s">
        <v>1777</v>
      </c>
      <c r="E137" s="373" t="s">
        <v>14</v>
      </c>
      <c r="F137" s="603">
        <f t="shared" si="45"/>
        <v>60</v>
      </c>
      <c r="G137" s="603"/>
      <c r="H137" s="603">
        <v>33</v>
      </c>
      <c r="I137" s="603">
        <v>27</v>
      </c>
      <c r="J137" s="603"/>
      <c r="K137" s="603"/>
      <c r="L137" s="603"/>
      <c r="M137" s="603"/>
      <c r="N137" s="608"/>
      <c r="O137" s="603">
        <v>1577000</v>
      </c>
      <c r="P137" s="603">
        <v>2721000</v>
      </c>
      <c r="Q137" s="603">
        <v>2721000</v>
      </c>
      <c r="R137" s="603">
        <v>1791000</v>
      </c>
      <c r="S137" s="603">
        <v>0</v>
      </c>
      <c r="T137" s="603">
        <v>0</v>
      </c>
      <c r="U137" s="603">
        <v>0</v>
      </c>
      <c r="V137" s="603">
        <v>0</v>
      </c>
      <c r="W137" s="603">
        <v>0</v>
      </c>
      <c r="X137" s="603">
        <v>0</v>
      </c>
      <c r="Y137" s="603">
        <v>0</v>
      </c>
      <c r="Z137" s="603">
        <v>0</v>
      </c>
      <c r="AA137" s="603">
        <v>0</v>
      </c>
      <c r="AB137" s="603">
        <v>0</v>
      </c>
      <c r="AC137" s="603">
        <v>0</v>
      </c>
      <c r="AD137" s="603">
        <v>0</v>
      </c>
      <c r="AE137" s="603">
        <v>0</v>
      </c>
      <c r="AF137" s="603">
        <v>0</v>
      </c>
      <c r="AG137" s="603">
        <v>0</v>
      </c>
      <c r="AH137" s="603">
        <v>0</v>
      </c>
      <c r="AI137" s="603">
        <v>0</v>
      </c>
      <c r="AJ137" s="604" t="s">
        <v>2377</v>
      </c>
      <c r="AK137" s="605" t="s">
        <v>1545</v>
      </c>
      <c r="AL137" s="605" t="s">
        <v>1545</v>
      </c>
      <c r="AM137" s="606" t="s">
        <v>2399</v>
      </c>
      <c r="AN137" s="609" t="s">
        <v>12</v>
      </c>
      <c r="AO137" s="610" t="s">
        <v>1368</v>
      </c>
      <c r="AP137" s="610" t="s">
        <v>1368</v>
      </c>
      <c r="AQ137" s="610" t="s">
        <v>1368</v>
      </c>
      <c r="AR137" s="610" t="s">
        <v>1368</v>
      </c>
      <c r="AS137" s="610" t="s">
        <v>1368</v>
      </c>
      <c r="AT137" s="610" t="s">
        <v>1368</v>
      </c>
      <c r="AU137" s="610" t="s">
        <v>1368</v>
      </c>
      <c r="AV137" s="610" t="s">
        <v>1368</v>
      </c>
      <c r="AW137" s="610" t="s">
        <v>1368</v>
      </c>
      <c r="AX137" s="610" t="s">
        <v>1368</v>
      </c>
      <c r="AY137" s="610" t="s">
        <v>1368</v>
      </c>
      <c r="AZ137" s="610" t="s">
        <v>1368</v>
      </c>
      <c r="BA137" s="610" t="s">
        <v>1368</v>
      </c>
      <c r="BB137" s="610" t="s">
        <v>1368</v>
      </c>
      <c r="BC137" s="610" t="s">
        <v>1368</v>
      </c>
      <c r="BD137" s="610" t="s">
        <v>1368</v>
      </c>
      <c r="BE137" s="610" t="s">
        <v>1368</v>
      </c>
      <c r="BF137" s="610" t="s">
        <v>1368</v>
      </c>
      <c r="BG137" s="610" t="s">
        <v>1368</v>
      </c>
      <c r="BH137" s="610" t="s">
        <v>1368</v>
      </c>
      <c r="BI137" s="610" t="s">
        <v>1368</v>
      </c>
      <c r="BJ137" s="610" t="s">
        <v>1368</v>
      </c>
      <c r="BK137" s="610" t="s">
        <v>1368</v>
      </c>
      <c r="BL137" s="610" t="s">
        <v>1368</v>
      </c>
      <c r="BM137" s="610">
        <v>2</v>
      </c>
      <c r="BN137" s="610">
        <v>2</v>
      </c>
      <c r="BO137" s="610">
        <v>2</v>
      </c>
      <c r="BP137" s="610">
        <v>3</v>
      </c>
      <c r="BQ137" s="610">
        <v>3</v>
      </c>
      <c r="BR137" s="610">
        <v>3</v>
      </c>
      <c r="BS137" s="610">
        <v>3</v>
      </c>
      <c r="BT137" s="610">
        <v>3</v>
      </c>
      <c r="BU137" s="610">
        <v>3</v>
      </c>
      <c r="BV137" s="610">
        <v>3</v>
      </c>
      <c r="BW137" s="610">
        <v>3</v>
      </c>
      <c r="BX137" s="610">
        <v>3</v>
      </c>
      <c r="BY137" s="610">
        <v>0</v>
      </c>
      <c r="BZ137" s="610">
        <v>0</v>
      </c>
      <c r="CA137" s="610">
        <v>0</v>
      </c>
      <c r="CB137" s="610">
        <v>0</v>
      </c>
      <c r="CC137" s="610">
        <v>0</v>
      </c>
      <c r="CD137" s="610">
        <v>0</v>
      </c>
      <c r="CE137" s="610">
        <v>0</v>
      </c>
      <c r="CF137" s="610">
        <v>0</v>
      </c>
      <c r="CG137" s="610">
        <v>0</v>
      </c>
      <c r="CH137" s="610">
        <v>0</v>
      </c>
      <c r="CI137" s="610">
        <v>0</v>
      </c>
      <c r="CJ137" s="610">
        <v>0</v>
      </c>
      <c r="CK137" s="610">
        <v>0</v>
      </c>
      <c r="CL137" s="610">
        <v>0</v>
      </c>
      <c r="CM137" s="610">
        <v>0</v>
      </c>
      <c r="CN137" s="610">
        <v>0</v>
      </c>
      <c r="CO137" s="610">
        <v>0</v>
      </c>
      <c r="CP137" s="610">
        <v>0</v>
      </c>
      <c r="CQ137" s="610">
        <v>0</v>
      </c>
      <c r="CR137" s="610">
        <v>0</v>
      </c>
      <c r="CS137" s="610">
        <v>0</v>
      </c>
      <c r="CT137" s="610">
        <v>0</v>
      </c>
      <c r="CU137" s="610">
        <v>0</v>
      </c>
      <c r="CV137" s="610">
        <v>0</v>
      </c>
      <c r="CW137" s="610" t="s">
        <v>14</v>
      </c>
      <c r="CX137" s="610">
        <v>0</v>
      </c>
      <c r="CY137" s="610" t="s">
        <v>1707</v>
      </c>
      <c r="CZ137" s="610" t="s">
        <v>1707</v>
      </c>
      <c r="DA137" s="610" t="s">
        <v>1707</v>
      </c>
      <c r="DB137" s="610" t="s">
        <v>1707</v>
      </c>
      <c r="DC137" s="610" t="s">
        <v>1707</v>
      </c>
      <c r="DD137" s="610" t="s">
        <v>1707</v>
      </c>
      <c r="DE137" s="610" t="s">
        <v>1707</v>
      </c>
      <c r="DF137" s="610" t="s">
        <v>1707</v>
      </c>
      <c r="DG137" s="610" t="s">
        <v>1707</v>
      </c>
      <c r="DH137" s="610" t="s">
        <v>1707</v>
      </c>
      <c r="DI137" s="610" t="s">
        <v>1707</v>
      </c>
      <c r="DJ137" s="610" t="s">
        <v>1707</v>
      </c>
      <c r="DK137" s="610" t="s">
        <v>1368</v>
      </c>
      <c r="DL137" s="610" t="s">
        <v>1368</v>
      </c>
      <c r="DM137" s="610" t="s">
        <v>1368</v>
      </c>
      <c r="DN137" s="610" t="s">
        <v>1368</v>
      </c>
      <c r="DO137" s="610" t="s">
        <v>1368</v>
      </c>
      <c r="DP137" s="610" t="s">
        <v>1368</v>
      </c>
      <c r="DQ137" s="610" t="s">
        <v>1368</v>
      </c>
      <c r="DR137" s="610" t="s">
        <v>1368</v>
      </c>
      <c r="DS137" s="610" t="s">
        <v>1368</v>
      </c>
      <c r="DT137" s="610" t="s">
        <v>1368</v>
      </c>
      <c r="DU137" s="610" t="s">
        <v>1368</v>
      </c>
      <c r="DV137" s="610" t="s">
        <v>1368</v>
      </c>
      <c r="DW137" s="609" t="s">
        <v>1368</v>
      </c>
      <c r="DX137" s="609" t="s">
        <v>1368</v>
      </c>
      <c r="DY137" s="609" t="s">
        <v>1368</v>
      </c>
      <c r="DZ137" s="609" t="s">
        <v>1368</v>
      </c>
      <c r="EA137" s="609" t="s">
        <v>1368</v>
      </c>
      <c r="EB137" s="609" t="s">
        <v>1368</v>
      </c>
      <c r="EC137" s="609" t="s">
        <v>1368</v>
      </c>
      <c r="ED137" s="609" t="s">
        <v>1368</v>
      </c>
      <c r="EE137" s="609" t="s">
        <v>1368</v>
      </c>
      <c r="EF137" s="609" t="s">
        <v>1368</v>
      </c>
      <c r="EG137" s="609" t="s">
        <v>1368</v>
      </c>
      <c r="EH137" s="609" t="s">
        <v>1368</v>
      </c>
      <c r="EI137" s="610" t="s">
        <v>1707</v>
      </c>
      <c r="EJ137" s="610" t="s">
        <v>1707</v>
      </c>
      <c r="EK137" s="610" t="s">
        <v>1707</v>
      </c>
      <c r="EL137" s="610" t="s">
        <v>1707</v>
      </c>
      <c r="EM137" s="610" t="s">
        <v>1707</v>
      </c>
      <c r="EN137" s="610" t="s">
        <v>1707</v>
      </c>
      <c r="EO137" s="610" t="s">
        <v>1707</v>
      </c>
      <c r="EP137" s="610" t="s">
        <v>1707</v>
      </c>
      <c r="EQ137" s="610" t="s">
        <v>1707</v>
      </c>
      <c r="ER137" s="610" t="s">
        <v>1707</v>
      </c>
      <c r="ES137" s="610" t="s">
        <v>1707</v>
      </c>
      <c r="ET137" s="610" t="s">
        <v>1707</v>
      </c>
      <c r="EU137" s="610">
        <v>4040</v>
      </c>
      <c r="EV137" s="610" t="s">
        <v>1707</v>
      </c>
      <c r="EW137" s="610" t="s">
        <v>1707</v>
      </c>
      <c r="EX137" s="610" t="s">
        <v>1707</v>
      </c>
      <c r="EY137" s="610" t="s">
        <v>1707</v>
      </c>
      <c r="EZ137" s="610" t="s">
        <v>1707</v>
      </c>
      <c r="FA137" s="610" t="s">
        <v>1707</v>
      </c>
      <c r="FB137" s="610" t="s">
        <v>1707</v>
      </c>
      <c r="FC137" s="610" t="s">
        <v>1707</v>
      </c>
      <c r="FD137" s="610" t="s">
        <v>1707</v>
      </c>
      <c r="FE137" s="610" t="s">
        <v>1707</v>
      </c>
      <c r="FF137" s="610" t="s">
        <v>1707</v>
      </c>
      <c r="FG137" s="610" t="s">
        <v>1707</v>
      </c>
      <c r="FH137" s="610">
        <v>24</v>
      </c>
      <c r="FI137" s="610">
        <v>24</v>
      </c>
      <c r="FJ137" s="610">
        <v>24</v>
      </c>
      <c r="FK137" s="610">
        <v>24</v>
      </c>
      <c r="FL137" s="610">
        <v>24</v>
      </c>
      <c r="FM137" s="610">
        <v>23</v>
      </c>
      <c r="FN137" s="610">
        <v>23</v>
      </c>
      <c r="FO137" s="610">
        <v>23</v>
      </c>
      <c r="FP137" s="610">
        <v>23</v>
      </c>
      <c r="FQ137" s="610">
        <v>23</v>
      </c>
      <c r="FR137" s="610" t="s">
        <v>2487</v>
      </c>
      <c r="FS137" s="610" t="s">
        <v>2487</v>
      </c>
      <c r="FT137" s="610" t="s">
        <v>2487</v>
      </c>
      <c r="FU137" s="610" t="s">
        <v>2487</v>
      </c>
      <c r="FV137" s="610" t="s">
        <v>2487</v>
      </c>
      <c r="FW137" s="610" t="s">
        <v>2487</v>
      </c>
      <c r="FX137" s="610" t="s">
        <v>2487</v>
      </c>
      <c r="FY137" s="610" t="s">
        <v>2487</v>
      </c>
      <c r="FZ137" s="610" t="s">
        <v>2487</v>
      </c>
      <c r="GA137" s="610" t="s">
        <v>2487</v>
      </c>
      <c r="GB137" s="610" t="s">
        <v>2487</v>
      </c>
      <c r="GC137" s="610" t="s">
        <v>2487</v>
      </c>
      <c r="GD137" s="564">
        <f t="shared" si="33"/>
        <v>79950</v>
      </c>
      <c r="GE137" s="564">
        <f t="shared" si="34"/>
        <v>79950</v>
      </c>
      <c r="GF137" s="564">
        <f t="shared" si="35"/>
        <v>79950</v>
      </c>
      <c r="GG137" s="564">
        <f t="shared" si="36"/>
        <v>79950</v>
      </c>
      <c r="GH137" s="564">
        <f t="shared" si="37"/>
        <v>79950</v>
      </c>
      <c r="GI137" s="564">
        <f t="shared" si="38"/>
        <v>79950</v>
      </c>
      <c r="GJ137" s="564">
        <f t="shared" si="39"/>
        <v>79950</v>
      </c>
      <c r="GK137" s="564">
        <f t="shared" si="40"/>
        <v>79950</v>
      </c>
      <c r="GL137" s="564">
        <f t="shared" si="41"/>
        <v>79950</v>
      </c>
      <c r="GM137" s="564">
        <f t="shared" si="42"/>
        <v>79950</v>
      </c>
      <c r="GN137" s="564">
        <f t="shared" si="43"/>
        <v>79950</v>
      </c>
      <c r="GO137" s="564">
        <f t="shared" si="44"/>
        <v>79950</v>
      </c>
      <c r="GP137" s="564"/>
      <c r="GS137" s="375" t="s">
        <v>1777</v>
      </c>
      <c r="GT137" s="374" t="str">
        <f t="shared" si="31"/>
        <v>〇</v>
      </c>
    </row>
    <row r="138" spans="2:202">
      <c r="B138" s="371">
        <v>134</v>
      </c>
      <c r="C138" s="378">
        <v>134</v>
      </c>
      <c r="D138" s="373" t="s">
        <v>1518</v>
      </c>
      <c r="E138" s="373" t="s">
        <v>14</v>
      </c>
      <c r="F138" s="603">
        <f t="shared" si="45"/>
        <v>50</v>
      </c>
      <c r="G138" s="603"/>
      <c r="H138" s="603">
        <v>30</v>
      </c>
      <c r="I138" s="603">
        <v>20</v>
      </c>
      <c r="J138" s="603"/>
      <c r="K138" s="603"/>
      <c r="L138" s="603"/>
      <c r="M138" s="603"/>
      <c r="N138" s="608"/>
      <c r="O138" s="603">
        <v>1577000</v>
      </c>
      <c r="P138" s="603">
        <v>2721000</v>
      </c>
      <c r="Q138" s="603">
        <v>2721000</v>
      </c>
      <c r="R138" s="603">
        <v>1791000</v>
      </c>
      <c r="S138" s="603">
        <v>0</v>
      </c>
      <c r="T138" s="603">
        <v>0</v>
      </c>
      <c r="U138" s="603">
        <v>0</v>
      </c>
      <c r="V138" s="603">
        <v>1051000</v>
      </c>
      <c r="W138" s="603">
        <v>1814000</v>
      </c>
      <c r="X138" s="603">
        <v>1814000</v>
      </c>
      <c r="Y138" s="603">
        <v>1194000</v>
      </c>
      <c r="Z138" s="603">
        <v>0</v>
      </c>
      <c r="AA138" s="603">
        <v>0</v>
      </c>
      <c r="AB138" s="603">
        <v>0</v>
      </c>
      <c r="AC138" s="603">
        <v>0</v>
      </c>
      <c r="AD138" s="603">
        <v>0</v>
      </c>
      <c r="AE138" s="603">
        <v>0</v>
      </c>
      <c r="AF138" s="603">
        <v>0</v>
      </c>
      <c r="AG138" s="603">
        <v>0</v>
      </c>
      <c r="AH138" s="603">
        <v>0</v>
      </c>
      <c r="AI138" s="603">
        <v>0</v>
      </c>
      <c r="AJ138" s="604" t="s">
        <v>2377</v>
      </c>
      <c r="AK138" s="605" t="s">
        <v>2378</v>
      </c>
      <c r="AL138" s="605" t="s">
        <v>1545</v>
      </c>
      <c r="AM138" s="606" t="s">
        <v>2400</v>
      </c>
      <c r="AN138" s="609" t="s">
        <v>12</v>
      </c>
      <c r="AO138" s="610" t="s">
        <v>1368</v>
      </c>
      <c r="AP138" s="610" t="s">
        <v>1368</v>
      </c>
      <c r="AQ138" s="610" t="s">
        <v>1368</v>
      </c>
      <c r="AR138" s="610" t="s">
        <v>1368</v>
      </c>
      <c r="AS138" s="610" t="s">
        <v>1368</v>
      </c>
      <c r="AT138" s="610" t="s">
        <v>1368</v>
      </c>
      <c r="AU138" s="610" t="s">
        <v>1368</v>
      </c>
      <c r="AV138" s="610" t="s">
        <v>1368</v>
      </c>
      <c r="AW138" s="610" t="s">
        <v>1368</v>
      </c>
      <c r="AX138" s="610" t="s">
        <v>1368</v>
      </c>
      <c r="AY138" s="610" t="s">
        <v>1368</v>
      </c>
      <c r="AZ138" s="610" t="s">
        <v>1368</v>
      </c>
      <c r="BA138" s="610" t="s">
        <v>1368</v>
      </c>
      <c r="BB138" s="610" t="s">
        <v>1368</v>
      </c>
      <c r="BC138" s="610" t="s">
        <v>1368</v>
      </c>
      <c r="BD138" s="610" t="s">
        <v>1368</v>
      </c>
      <c r="BE138" s="610" t="s">
        <v>1368</v>
      </c>
      <c r="BF138" s="610" t="s">
        <v>1368</v>
      </c>
      <c r="BG138" s="610" t="s">
        <v>1368</v>
      </c>
      <c r="BH138" s="610" t="s">
        <v>1368</v>
      </c>
      <c r="BI138" s="610" t="s">
        <v>1368</v>
      </c>
      <c r="BJ138" s="610" t="s">
        <v>1368</v>
      </c>
      <c r="BK138" s="610" t="s">
        <v>1368</v>
      </c>
      <c r="BL138" s="610" t="s">
        <v>1368</v>
      </c>
      <c r="BM138" s="610">
        <v>0</v>
      </c>
      <c r="BN138" s="610">
        <v>0</v>
      </c>
      <c r="BO138" s="610">
        <v>1</v>
      </c>
      <c r="BP138" s="610">
        <v>1</v>
      </c>
      <c r="BQ138" s="610">
        <v>1</v>
      </c>
      <c r="BR138" s="610">
        <v>1</v>
      </c>
      <c r="BS138" s="610">
        <v>1</v>
      </c>
      <c r="BT138" s="610">
        <v>1</v>
      </c>
      <c r="BU138" s="610">
        <v>1</v>
      </c>
      <c r="BV138" s="610">
        <v>1</v>
      </c>
      <c r="BW138" s="610">
        <v>1</v>
      </c>
      <c r="BX138" s="610">
        <v>1</v>
      </c>
      <c r="BY138" s="610">
        <v>0</v>
      </c>
      <c r="BZ138" s="610">
        <v>0</v>
      </c>
      <c r="CA138" s="610">
        <v>0</v>
      </c>
      <c r="CB138" s="610">
        <v>0</v>
      </c>
      <c r="CC138" s="610">
        <v>0</v>
      </c>
      <c r="CD138" s="610">
        <v>0</v>
      </c>
      <c r="CE138" s="610">
        <v>0</v>
      </c>
      <c r="CF138" s="610">
        <v>0</v>
      </c>
      <c r="CG138" s="610">
        <v>0</v>
      </c>
      <c r="CH138" s="610">
        <v>0</v>
      </c>
      <c r="CI138" s="610">
        <v>0</v>
      </c>
      <c r="CJ138" s="610">
        <v>0</v>
      </c>
      <c r="CK138" s="610">
        <v>0</v>
      </c>
      <c r="CL138" s="610">
        <v>0</v>
      </c>
      <c r="CM138" s="610">
        <v>0</v>
      </c>
      <c r="CN138" s="610">
        <v>0</v>
      </c>
      <c r="CO138" s="610">
        <v>0</v>
      </c>
      <c r="CP138" s="610">
        <v>0</v>
      </c>
      <c r="CQ138" s="610">
        <v>0</v>
      </c>
      <c r="CR138" s="610">
        <v>0</v>
      </c>
      <c r="CS138" s="610">
        <v>0</v>
      </c>
      <c r="CT138" s="610">
        <v>0</v>
      </c>
      <c r="CU138" s="610">
        <v>0</v>
      </c>
      <c r="CV138" s="610">
        <v>0</v>
      </c>
      <c r="CW138" s="610" t="s">
        <v>14</v>
      </c>
      <c r="CX138" s="610">
        <v>0</v>
      </c>
      <c r="CY138" s="610" t="s">
        <v>1707</v>
      </c>
      <c r="CZ138" s="610" t="s">
        <v>1707</v>
      </c>
      <c r="DA138" s="610" t="s">
        <v>1707</v>
      </c>
      <c r="DB138" s="610" t="s">
        <v>1707</v>
      </c>
      <c r="DC138" s="610" t="s">
        <v>1707</v>
      </c>
      <c r="DD138" s="610" t="s">
        <v>1707</v>
      </c>
      <c r="DE138" s="610" t="s">
        <v>1707</v>
      </c>
      <c r="DF138" s="610" t="s">
        <v>1707</v>
      </c>
      <c r="DG138" s="610" t="s">
        <v>1707</v>
      </c>
      <c r="DH138" s="610" t="s">
        <v>1707</v>
      </c>
      <c r="DI138" s="610" t="s">
        <v>1707</v>
      </c>
      <c r="DJ138" s="610" t="s">
        <v>1707</v>
      </c>
      <c r="DK138" s="610" t="s">
        <v>1368</v>
      </c>
      <c r="DL138" s="610" t="s">
        <v>1368</v>
      </c>
      <c r="DM138" s="610" t="s">
        <v>1368</v>
      </c>
      <c r="DN138" s="610" t="s">
        <v>1368</v>
      </c>
      <c r="DO138" s="610" t="s">
        <v>1368</v>
      </c>
      <c r="DP138" s="610" t="s">
        <v>1368</v>
      </c>
      <c r="DQ138" s="610" t="s">
        <v>1368</v>
      </c>
      <c r="DR138" s="610" t="s">
        <v>1368</v>
      </c>
      <c r="DS138" s="610" t="s">
        <v>1368</v>
      </c>
      <c r="DT138" s="610" t="s">
        <v>1368</v>
      </c>
      <c r="DU138" s="610" t="s">
        <v>1368</v>
      </c>
      <c r="DV138" s="610" t="s">
        <v>1368</v>
      </c>
      <c r="DW138" s="609" t="s">
        <v>1368</v>
      </c>
      <c r="DX138" s="609" t="s">
        <v>1368</v>
      </c>
      <c r="DY138" s="609" t="s">
        <v>1368</v>
      </c>
      <c r="DZ138" s="609" t="s">
        <v>1368</v>
      </c>
      <c r="EA138" s="609" t="s">
        <v>1368</v>
      </c>
      <c r="EB138" s="609" t="s">
        <v>1368</v>
      </c>
      <c r="EC138" s="609" t="s">
        <v>1368</v>
      </c>
      <c r="ED138" s="609" t="s">
        <v>1368</v>
      </c>
      <c r="EE138" s="609" t="s">
        <v>1368</v>
      </c>
      <c r="EF138" s="609" t="s">
        <v>1368</v>
      </c>
      <c r="EG138" s="609" t="s">
        <v>1368</v>
      </c>
      <c r="EH138" s="609" t="s">
        <v>1368</v>
      </c>
      <c r="EI138" s="610" t="s">
        <v>1707</v>
      </c>
      <c r="EJ138" s="610" t="s">
        <v>1707</v>
      </c>
      <c r="EK138" s="610" t="s">
        <v>1707</v>
      </c>
      <c r="EL138" s="610" t="s">
        <v>1707</v>
      </c>
      <c r="EM138" s="610" t="s">
        <v>1707</v>
      </c>
      <c r="EN138" s="610" t="s">
        <v>1707</v>
      </c>
      <c r="EO138" s="610" t="s">
        <v>1707</v>
      </c>
      <c r="EP138" s="610" t="s">
        <v>1707</v>
      </c>
      <c r="EQ138" s="610" t="s">
        <v>1707</v>
      </c>
      <c r="ER138" s="610" t="s">
        <v>1707</v>
      </c>
      <c r="ES138" s="610" t="s">
        <v>1707</v>
      </c>
      <c r="ET138" s="610" t="s">
        <v>1707</v>
      </c>
      <c r="EU138" s="610">
        <v>3980</v>
      </c>
      <c r="EV138" s="610" t="s">
        <v>1707</v>
      </c>
      <c r="EW138" s="610" t="s">
        <v>1707</v>
      </c>
      <c r="EX138" s="610" t="s">
        <v>1707</v>
      </c>
      <c r="EY138" s="610" t="s">
        <v>1707</v>
      </c>
      <c r="EZ138" s="610" t="s">
        <v>1707</v>
      </c>
      <c r="FA138" s="610" t="s">
        <v>1707</v>
      </c>
      <c r="FB138" s="610" t="s">
        <v>1707</v>
      </c>
      <c r="FC138" s="610" t="s">
        <v>1707</v>
      </c>
      <c r="FD138" s="610" t="s">
        <v>1707</v>
      </c>
      <c r="FE138" s="610" t="s">
        <v>1707</v>
      </c>
      <c r="FF138" s="610" t="s">
        <v>1707</v>
      </c>
      <c r="FG138" s="610" t="s">
        <v>1707</v>
      </c>
      <c r="FH138" s="610">
        <v>18</v>
      </c>
      <c r="FI138" s="610">
        <v>18</v>
      </c>
      <c r="FJ138" s="610">
        <v>18</v>
      </c>
      <c r="FK138" s="610">
        <v>18</v>
      </c>
      <c r="FL138" s="610">
        <v>18</v>
      </c>
      <c r="FM138" s="610">
        <v>18</v>
      </c>
      <c r="FN138" s="610">
        <v>19</v>
      </c>
      <c r="FO138" s="610">
        <v>19</v>
      </c>
      <c r="FP138" s="610">
        <v>19</v>
      </c>
      <c r="FQ138" s="610">
        <v>19</v>
      </c>
      <c r="FR138" s="610" t="s">
        <v>2487</v>
      </c>
      <c r="FS138" s="610" t="s">
        <v>2487</v>
      </c>
      <c r="FT138" s="610" t="s">
        <v>2487</v>
      </c>
      <c r="FU138" s="610" t="s">
        <v>2487</v>
      </c>
      <c r="FV138" s="610" t="s">
        <v>2487</v>
      </c>
      <c r="FW138" s="610" t="s">
        <v>2487</v>
      </c>
      <c r="FX138" s="610" t="s">
        <v>2487</v>
      </c>
      <c r="FY138" s="610" t="s">
        <v>2487</v>
      </c>
      <c r="FZ138" s="610" t="s">
        <v>2487</v>
      </c>
      <c r="GA138" s="610" t="s">
        <v>2487</v>
      </c>
      <c r="GB138" s="610" t="s">
        <v>2487</v>
      </c>
      <c r="GC138" s="610" t="s">
        <v>2487</v>
      </c>
      <c r="GD138" s="564">
        <f t="shared" si="33"/>
        <v>79950</v>
      </c>
      <c r="GE138" s="564">
        <f t="shared" si="34"/>
        <v>79950</v>
      </c>
      <c r="GF138" s="564">
        <f t="shared" si="35"/>
        <v>79950</v>
      </c>
      <c r="GG138" s="564">
        <f t="shared" si="36"/>
        <v>79950</v>
      </c>
      <c r="GH138" s="564">
        <f t="shared" si="37"/>
        <v>79950</v>
      </c>
      <c r="GI138" s="564">
        <f t="shared" si="38"/>
        <v>79950</v>
      </c>
      <c r="GJ138" s="564">
        <f t="shared" si="39"/>
        <v>79950</v>
      </c>
      <c r="GK138" s="564">
        <f t="shared" si="40"/>
        <v>79950</v>
      </c>
      <c r="GL138" s="564">
        <f t="shared" si="41"/>
        <v>79950</v>
      </c>
      <c r="GM138" s="564">
        <f t="shared" si="42"/>
        <v>79950</v>
      </c>
      <c r="GN138" s="564">
        <f t="shared" si="43"/>
        <v>79950</v>
      </c>
      <c r="GO138" s="564">
        <f t="shared" si="44"/>
        <v>79950</v>
      </c>
      <c r="GP138" s="564"/>
      <c r="GS138" s="375" t="s">
        <v>1518</v>
      </c>
      <c r="GT138" s="374" t="str">
        <f t="shared" si="31"/>
        <v>〇</v>
      </c>
    </row>
    <row r="139" spans="2:202">
      <c r="B139" s="371">
        <v>135</v>
      </c>
      <c r="C139" s="378">
        <v>135</v>
      </c>
      <c r="D139" s="373" t="s">
        <v>1519</v>
      </c>
      <c r="E139" s="373" t="s">
        <v>14</v>
      </c>
      <c r="F139" s="603">
        <f t="shared" si="45"/>
        <v>30</v>
      </c>
      <c r="G139" s="603"/>
      <c r="H139" s="603">
        <v>17</v>
      </c>
      <c r="I139" s="603">
        <v>13</v>
      </c>
      <c r="J139" s="603"/>
      <c r="K139" s="603"/>
      <c r="L139" s="603"/>
      <c r="M139" s="603"/>
      <c r="N139" s="608"/>
      <c r="O139" s="603">
        <v>1577000</v>
      </c>
      <c r="P139" s="603">
        <v>2721000</v>
      </c>
      <c r="Q139" s="603">
        <v>2721000</v>
      </c>
      <c r="R139" s="603">
        <v>1791000</v>
      </c>
      <c r="S139" s="603">
        <v>0</v>
      </c>
      <c r="T139" s="603">
        <v>0</v>
      </c>
      <c r="U139" s="603">
        <v>0</v>
      </c>
      <c r="V139" s="603">
        <v>0</v>
      </c>
      <c r="W139" s="603">
        <v>0</v>
      </c>
      <c r="X139" s="603">
        <v>0</v>
      </c>
      <c r="Y139" s="603">
        <v>0</v>
      </c>
      <c r="Z139" s="603">
        <v>0</v>
      </c>
      <c r="AA139" s="603">
        <v>0</v>
      </c>
      <c r="AB139" s="603">
        <v>0</v>
      </c>
      <c r="AC139" s="603">
        <v>0</v>
      </c>
      <c r="AD139" s="603">
        <v>0</v>
      </c>
      <c r="AE139" s="603">
        <v>0</v>
      </c>
      <c r="AF139" s="603">
        <v>0</v>
      </c>
      <c r="AG139" s="603">
        <v>0</v>
      </c>
      <c r="AH139" s="603">
        <v>0</v>
      </c>
      <c r="AI139" s="603">
        <v>0</v>
      </c>
      <c r="AJ139" s="604" t="s">
        <v>2377</v>
      </c>
      <c r="AK139" s="605" t="s">
        <v>1545</v>
      </c>
      <c r="AL139" s="605" t="s">
        <v>1545</v>
      </c>
      <c r="AM139" s="606" t="s">
        <v>2401</v>
      </c>
      <c r="AN139" s="609" t="s">
        <v>12</v>
      </c>
      <c r="AO139" s="610" t="s">
        <v>1368</v>
      </c>
      <c r="AP139" s="610" t="s">
        <v>1368</v>
      </c>
      <c r="AQ139" s="610" t="s">
        <v>1368</v>
      </c>
      <c r="AR139" s="610" t="s">
        <v>1368</v>
      </c>
      <c r="AS139" s="610" t="s">
        <v>1368</v>
      </c>
      <c r="AT139" s="610" t="s">
        <v>1368</v>
      </c>
      <c r="AU139" s="610" t="s">
        <v>1368</v>
      </c>
      <c r="AV139" s="610" t="s">
        <v>1368</v>
      </c>
      <c r="AW139" s="610" t="s">
        <v>1368</v>
      </c>
      <c r="AX139" s="610" t="s">
        <v>1368</v>
      </c>
      <c r="AY139" s="610" t="s">
        <v>1368</v>
      </c>
      <c r="AZ139" s="610" t="s">
        <v>1368</v>
      </c>
      <c r="BA139" s="610" t="s">
        <v>1368</v>
      </c>
      <c r="BB139" s="610" t="s">
        <v>1368</v>
      </c>
      <c r="BC139" s="610" t="s">
        <v>1368</v>
      </c>
      <c r="BD139" s="610" t="s">
        <v>1368</v>
      </c>
      <c r="BE139" s="610" t="s">
        <v>1368</v>
      </c>
      <c r="BF139" s="610" t="s">
        <v>1368</v>
      </c>
      <c r="BG139" s="610" t="s">
        <v>1368</v>
      </c>
      <c r="BH139" s="610" t="s">
        <v>1368</v>
      </c>
      <c r="BI139" s="610" t="s">
        <v>1368</v>
      </c>
      <c r="BJ139" s="610" t="s">
        <v>1368</v>
      </c>
      <c r="BK139" s="610" t="s">
        <v>1368</v>
      </c>
      <c r="BL139" s="610" t="s">
        <v>1368</v>
      </c>
      <c r="BM139" s="610">
        <v>0</v>
      </c>
      <c r="BN139" s="610">
        <v>0</v>
      </c>
      <c r="BO139" s="610">
        <v>0</v>
      </c>
      <c r="BP139" s="610">
        <v>0</v>
      </c>
      <c r="BQ139" s="610">
        <v>0</v>
      </c>
      <c r="BR139" s="610">
        <v>0</v>
      </c>
      <c r="BS139" s="610">
        <v>0</v>
      </c>
      <c r="BT139" s="610">
        <v>0</v>
      </c>
      <c r="BU139" s="610">
        <v>0</v>
      </c>
      <c r="BV139" s="610">
        <v>0</v>
      </c>
      <c r="BW139" s="610">
        <v>0</v>
      </c>
      <c r="BX139" s="610">
        <v>0</v>
      </c>
      <c r="BY139" s="610">
        <v>0</v>
      </c>
      <c r="BZ139" s="610">
        <v>0</v>
      </c>
      <c r="CA139" s="610">
        <v>0</v>
      </c>
      <c r="CB139" s="610">
        <v>0</v>
      </c>
      <c r="CC139" s="610">
        <v>0</v>
      </c>
      <c r="CD139" s="610">
        <v>0</v>
      </c>
      <c r="CE139" s="610">
        <v>0</v>
      </c>
      <c r="CF139" s="610">
        <v>0</v>
      </c>
      <c r="CG139" s="610">
        <v>0</v>
      </c>
      <c r="CH139" s="610">
        <v>0</v>
      </c>
      <c r="CI139" s="610">
        <v>0</v>
      </c>
      <c r="CJ139" s="610">
        <v>0</v>
      </c>
      <c r="CK139" s="610">
        <v>0</v>
      </c>
      <c r="CL139" s="610">
        <v>0</v>
      </c>
      <c r="CM139" s="610">
        <v>0</v>
      </c>
      <c r="CN139" s="610">
        <v>0</v>
      </c>
      <c r="CO139" s="610">
        <v>0</v>
      </c>
      <c r="CP139" s="610">
        <v>0</v>
      </c>
      <c r="CQ139" s="610">
        <v>0</v>
      </c>
      <c r="CR139" s="610">
        <v>0</v>
      </c>
      <c r="CS139" s="610">
        <v>0</v>
      </c>
      <c r="CT139" s="610">
        <v>0</v>
      </c>
      <c r="CU139" s="610">
        <v>0</v>
      </c>
      <c r="CV139" s="610">
        <v>0</v>
      </c>
      <c r="CW139" s="610" t="s">
        <v>14</v>
      </c>
      <c r="CX139" s="610">
        <v>0</v>
      </c>
      <c r="CY139" s="610" t="s">
        <v>2449</v>
      </c>
      <c r="CZ139" s="610" t="s">
        <v>2449</v>
      </c>
      <c r="DA139" s="610" t="s">
        <v>2449</v>
      </c>
      <c r="DB139" s="610" t="s">
        <v>2449</v>
      </c>
      <c r="DC139" s="610" t="s">
        <v>2449</v>
      </c>
      <c r="DD139" s="610" t="s">
        <v>2449</v>
      </c>
      <c r="DE139" s="610" t="s">
        <v>2449</v>
      </c>
      <c r="DF139" s="610" t="s">
        <v>2449</v>
      </c>
      <c r="DG139" s="610" t="s">
        <v>2449</v>
      </c>
      <c r="DH139" s="610" t="s">
        <v>2449</v>
      </c>
      <c r="DI139" s="610" t="s">
        <v>2449</v>
      </c>
      <c r="DJ139" s="610" t="s">
        <v>2449</v>
      </c>
      <c r="DK139" s="610" t="s">
        <v>1368</v>
      </c>
      <c r="DL139" s="610" t="s">
        <v>1368</v>
      </c>
      <c r="DM139" s="610" t="s">
        <v>1368</v>
      </c>
      <c r="DN139" s="610" t="s">
        <v>1368</v>
      </c>
      <c r="DO139" s="610" t="s">
        <v>1368</v>
      </c>
      <c r="DP139" s="610" t="s">
        <v>1368</v>
      </c>
      <c r="DQ139" s="610" t="s">
        <v>1368</v>
      </c>
      <c r="DR139" s="610" t="s">
        <v>1368</v>
      </c>
      <c r="DS139" s="610" t="s">
        <v>1368</v>
      </c>
      <c r="DT139" s="610" t="s">
        <v>1368</v>
      </c>
      <c r="DU139" s="610" t="s">
        <v>1368</v>
      </c>
      <c r="DV139" s="610" t="s">
        <v>1368</v>
      </c>
      <c r="DW139" s="609" t="s">
        <v>1368</v>
      </c>
      <c r="DX139" s="609" t="s">
        <v>1368</v>
      </c>
      <c r="DY139" s="609" t="s">
        <v>1368</v>
      </c>
      <c r="DZ139" s="609" t="s">
        <v>1368</v>
      </c>
      <c r="EA139" s="609" t="s">
        <v>1368</v>
      </c>
      <c r="EB139" s="609" t="s">
        <v>1368</v>
      </c>
      <c r="EC139" s="609" t="s">
        <v>1368</v>
      </c>
      <c r="ED139" s="609" t="s">
        <v>1368</v>
      </c>
      <c r="EE139" s="609" t="s">
        <v>1368</v>
      </c>
      <c r="EF139" s="609" t="s">
        <v>1368</v>
      </c>
      <c r="EG139" s="609" t="s">
        <v>1368</v>
      </c>
      <c r="EH139" s="609" t="s">
        <v>1368</v>
      </c>
      <c r="EI139" s="610" t="s">
        <v>1707</v>
      </c>
      <c r="EJ139" s="610" t="s">
        <v>1707</v>
      </c>
      <c r="EK139" s="610" t="s">
        <v>1707</v>
      </c>
      <c r="EL139" s="610" t="s">
        <v>1707</v>
      </c>
      <c r="EM139" s="610" t="s">
        <v>1707</v>
      </c>
      <c r="EN139" s="610" t="s">
        <v>1707</v>
      </c>
      <c r="EO139" s="610" t="s">
        <v>1707</v>
      </c>
      <c r="EP139" s="610" t="s">
        <v>1707</v>
      </c>
      <c r="EQ139" s="610" t="s">
        <v>1707</v>
      </c>
      <c r="ER139" s="610" t="s">
        <v>1707</v>
      </c>
      <c r="ES139" s="610" t="s">
        <v>1707</v>
      </c>
      <c r="ET139" s="610" t="s">
        <v>1707</v>
      </c>
      <c r="EU139" s="610">
        <v>3950</v>
      </c>
      <c r="EV139" s="610" t="s">
        <v>1707</v>
      </c>
      <c r="EW139" s="610" t="s">
        <v>1707</v>
      </c>
      <c r="EX139" s="610" t="s">
        <v>1707</v>
      </c>
      <c r="EY139" s="610" t="s">
        <v>1707</v>
      </c>
      <c r="EZ139" s="610" t="s">
        <v>1707</v>
      </c>
      <c r="FA139" s="610" t="s">
        <v>1707</v>
      </c>
      <c r="FB139" s="610" t="s">
        <v>1707</v>
      </c>
      <c r="FC139" s="610" t="s">
        <v>1707</v>
      </c>
      <c r="FD139" s="610" t="s">
        <v>1707</v>
      </c>
      <c r="FE139" s="610" t="s">
        <v>1707</v>
      </c>
      <c r="FF139" s="610" t="s">
        <v>1707</v>
      </c>
      <c r="FG139" s="610" t="s">
        <v>1707</v>
      </c>
      <c r="FH139" s="610">
        <v>8</v>
      </c>
      <c r="FI139" s="610">
        <v>8</v>
      </c>
      <c r="FJ139" s="610">
        <v>8</v>
      </c>
      <c r="FK139" s="610">
        <v>8</v>
      </c>
      <c r="FL139" s="610">
        <v>8</v>
      </c>
      <c r="FM139" s="610">
        <v>8</v>
      </c>
      <c r="FN139" s="610">
        <v>8</v>
      </c>
      <c r="FO139" s="610">
        <v>8</v>
      </c>
      <c r="FP139" s="610">
        <v>8</v>
      </c>
      <c r="FQ139" s="610">
        <v>8</v>
      </c>
      <c r="FR139" s="610" t="s">
        <v>2488</v>
      </c>
      <c r="FS139" s="610" t="s">
        <v>2488</v>
      </c>
      <c r="FT139" s="610" t="s">
        <v>2488</v>
      </c>
      <c r="FU139" s="610" t="s">
        <v>2488</v>
      </c>
      <c r="FV139" s="610" t="s">
        <v>2488</v>
      </c>
      <c r="FW139" s="610" t="s">
        <v>2488</v>
      </c>
      <c r="FX139" s="610" t="s">
        <v>2488</v>
      </c>
      <c r="FY139" s="610" t="s">
        <v>2488</v>
      </c>
      <c r="FZ139" s="610" t="s">
        <v>2488</v>
      </c>
      <c r="GA139" s="610" t="s">
        <v>2488</v>
      </c>
      <c r="GB139" s="610" t="s">
        <v>2488</v>
      </c>
      <c r="GC139" s="610" t="s">
        <v>2488</v>
      </c>
      <c r="GD139" s="564" t="str">
        <f t="shared" si="33"/>
        <v/>
      </c>
      <c r="GE139" s="564" t="str">
        <f t="shared" si="34"/>
        <v/>
      </c>
      <c r="GF139" s="564" t="str">
        <f t="shared" si="35"/>
        <v/>
      </c>
      <c r="GG139" s="564" t="str">
        <f t="shared" si="36"/>
        <v/>
      </c>
      <c r="GH139" s="564" t="str">
        <f t="shared" si="37"/>
        <v/>
      </c>
      <c r="GI139" s="564" t="str">
        <f t="shared" si="38"/>
        <v/>
      </c>
      <c r="GJ139" s="564" t="str">
        <f t="shared" si="39"/>
        <v/>
      </c>
      <c r="GK139" s="564" t="str">
        <f t="shared" si="40"/>
        <v/>
      </c>
      <c r="GL139" s="564" t="str">
        <f t="shared" si="41"/>
        <v/>
      </c>
      <c r="GM139" s="564" t="str">
        <f t="shared" si="42"/>
        <v/>
      </c>
      <c r="GN139" s="564" t="str">
        <f t="shared" si="43"/>
        <v/>
      </c>
      <c r="GO139" s="564" t="str">
        <f t="shared" si="44"/>
        <v/>
      </c>
      <c r="GP139" s="564"/>
      <c r="GS139" s="375" t="s">
        <v>1519</v>
      </c>
      <c r="GT139" s="374" t="str">
        <f t="shared" si="31"/>
        <v>〇</v>
      </c>
    </row>
    <row r="140" spans="2:202">
      <c r="B140" s="371">
        <v>136</v>
      </c>
      <c r="C140" s="378">
        <v>136</v>
      </c>
      <c r="D140" s="373" t="s">
        <v>1520</v>
      </c>
      <c r="E140" s="373" t="s">
        <v>14</v>
      </c>
      <c r="F140" s="603">
        <f t="shared" si="45"/>
        <v>30</v>
      </c>
      <c r="G140" s="603"/>
      <c r="H140" s="603">
        <v>18</v>
      </c>
      <c r="I140" s="603">
        <v>12</v>
      </c>
      <c r="J140" s="603"/>
      <c r="K140" s="603"/>
      <c r="L140" s="603"/>
      <c r="M140" s="603"/>
      <c r="N140" s="608"/>
      <c r="O140" s="603">
        <v>1577000</v>
      </c>
      <c r="P140" s="603">
        <v>2721000</v>
      </c>
      <c r="Q140" s="603">
        <v>2721000</v>
      </c>
      <c r="R140" s="603">
        <v>0</v>
      </c>
      <c r="S140" s="603">
        <v>0</v>
      </c>
      <c r="T140" s="603">
        <v>0</v>
      </c>
      <c r="U140" s="603">
        <v>0</v>
      </c>
      <c r="V140" s="603">
        <v>1051000</v>
      </c>
      <c r="W140" s="603">
        <v>1814000</v>
      </c>
      <c r="X140" s="603">
        <v>1814000</v>
      </c>
      <c r="Y140" s="603">
        <v>0</v>
      </c>
      <c r="Z140" s="603">
        <v>0</v>
      </c>
      <c r="AA140" s="603">
        <v>0</v>
      </c>
      <c r="AB140" s="603">
        <v>0</v>
      </c>
      <c r="AC140" s="603">
        <v>0</v>
      </c>
      <c r="AD140" s="603">
        <v>0</v>
      </c>
      <c r="AE140" s="603">
        <v>0</v>
      </c>
      <c r="AF140" s="603">
        <v>0</v>
      </c>
      <c r="AG140" s="603">
        <v>0</v>
      </c>
      <c r="AH140" s="603">
        <v>0</v>
      </c>
      <c r="AI140" s="603">
        <v>0</v>
      </c>
      <c r="AJ140" s="604" t="s">
        <v>2377</v>
      </c>
      <c r="AK140" s="605" t="s">
        <v>2378</v>
      </c>
      <c r="AL140" s="605" t="s">
        <v>1545</v>
      </c>
      <c r="AM140" s="606" t="s">
        <v>2402</v>
      </c>
      <c r="AN140" s="609" t="s">
        <v>12</v>
      </c>
      <c r="AO140" s="610" t="s">
        <v>2485</v>
      </c>
      <c r="AP140" s="610" t="s">
        <v>2485</v>
      </c>
      <c r="AQ140" s="610" t="s">
        <v>2485</v>
      </c>
      <c r="AR140" s="610" t="s">
        <v>2485</v>
      </c>
      <c r="AS140" s="610" t="s">
        <v>2485</v>
      </c>
      <c r="AT140" s="610" t="s">
        <v>2485</v>
      </c>
      <c r="AU140" s="610" t="s">
        <v>2485</v>
      </c>
      <c r="AV140" s="610" t="s">
        <v>2485</v>
      </c>
      <c r="AW140" s="610" t="s">
        <v>2485</v>
      </c>
      <c r="AX140" s="610" t="s">
        <v>2485</v>
      </c>
      <c r="AY140" s="610" t="s">
        <v>2485</v>
      </c>
      <c r="AZ140" s="610" t="s">
        <v>2485</v>
      </c>
      <c r="BA140" s="610" t="s">
        <v>1368</v>
      </c>
      <c r="BB140" s="610" t="s">
        <v>1368</v>
      </c>
      <c r="BC140" s="610" t="s">
        <v>1368</v>
      </c>
      <c r="BD140" s="610" t="s">
        <v>1368</v>
      </c>
      <c r="BE140" s="610" t="s">
        <v>1368</v>
      </c>
      <c r="BF140" s="610" t="s">
        <v>1368</v>
      </c>
      <c r="BG140" s="610" t="s">
        <v>1368</v>
      </c>
      <c r="BH140" s="610" t="s">
        <v>1368</v>
      </c>
      <c r="BI140" s="610" t="s">
        <v>1368</v>
      </c>
      <c r="BJ140" s="610" t="s">
        <v>1368</v>
      </c>
      <c r="BK140" s="610" t="s">
        <v>1368</v>
      </c>
      <c r="BL140" s="610" t="s">
        <v>1368</v>
      </c>
      <c r="BM140" s="610">
        <v>0</v>
      </c>
      <c r="BN140" s="610">
        <v>0</v>
      </c>
      <c r="BO140" s="610">
        <v>0</v>
      </c>
      <c r="BP140" s="610">
        <v>0</v>
      </c>
      <c r="BQ140" s="610">
        <v>0</v>
      </c>
      <c r="BR140" s="610">
        <v>0</v>
      </c>
      <c r="BS140" s="610">
        <v>0</v>
      </c>
      <c r="BT140" s="610">
        <v>0</v>
      </c>
      <c r="BU140" s="610">
        <v>0</v>
      </c>
      <c r="BV140" s="610">
        <v>0</v>
      </c>
      <c r="BW140" s="610">
        <v>0</v>
      </c>
      <c r="BX140" s="610">
        <v>0</v>
      </c>
      <c r="BY140" s="610">
        <v>0</v>
      </c>
      <c r="BZ140" s="610">
        <v>0</v>
      </c>
      <c r="CA140" s="610">
        <v>0</v>
      </c>
      <c r="CB140" s="610">
        <v>0</v>
      </c>
      <c r="CC140" s="610">
        <v>0</v>
      </c>
      <c r="CD140" s="610">
        <v>0</v>
      </c>
      <c r="CE140" s="610">
        <v>0</v>
      </c>
      <c r="CF140" s="610">
        <v>0</v>
      </c>
      <c r="CG140" s="610">
        <v>0</v>
      </c>
      <c r="CH140" s="610">
        <v>0</v>
      </c>
      <c r="CI140" s="610">
        <v>0</v>
      </c>
      <c r="CJ140" s="610">
        <v>0</v>
      </c>
      <c r="CK140" s="610">
        <v>0</v>
      </c>
      <c r="CL140" s="610">
        <v>0</v>
      </c>
      <c r="CM140" s="610">
        <v>0</v>
      </c>
      <c r="CN140" s="610">
        <v>0</v>
      </c>
      <c r="CO140" s="610">
        <v>0</v>
      </c>
      <c r="CP140" s="610">
        <v>0</v>
      </c>
      <c r="CQ140" s="610">
        <v>0</v>
      </c>
      <c r="CR140" s="610">
        <v>0</v>
      </c>
      <c r="CS140" s="610">
        <v>0</v>
      </c>
      <c r="CT140" s="610">
        <v>0</v>
      </c>
      <c r="CU140" s="610">
        <v>0</v>
      </c>
      <c r="CV140" s="610">
        <v>0</v>
      </c>
      <c r="CW140" s="610" t="s">
        <v>14</v>
      </c>
      <c r="CX140" s="610">
        <v>0</v>
      </c>
      <c r="CY140" s="610" t="s">
        <v>2449</v>
      </c>
      <c r="CZ140" s="610" t="s">
        <v>2449</v>
      </c>
      <c r="DA140" s="610" t="s">
        <v>2449</v>
      </c>
      <c r="DB140" s="610" t="s">
        <v>2449</v>
      </c>
      <c r="DC140" s="610" t="s">
        <v>2449</v>
      </c>
      <c r="DD140" s="610" t="s">
        <v>2449</v>
      </c>
      <c r="DE140" s="610" t="s">
        <v>2449</v>
      </c>
      <c r="DF140" s="610" t="s">
        <v>2449</v>
      </c>
      <c r="DG140" s="610" t="s">
        <v>2449</v>
      </c>
      <c r="DH140" s="610" t="s">
        <v>2449</v>
      </c>
      <c r="DI140" s="610" t="s">
        <v>2449</v>
      </c>
      <c r="DJ140" s="610" t="s">
        <v>2449</v>
      </c>
      <c r="DK140" s="610" t="s">
        <v>1368</v>
      </c>
      <c r="DL140" s="610" t="s">
        <v>1368</v>
      </c>
      <c r="DM140" s="610" t="s">
        <v>1368</v>
      </c>
      <c r="DN140" s="610" t="s">
        <v>1368</v>
      </c>
      <c r="DO140" s="610" t="s">
        <v>1368</v>
      </c>
      <c r="DP140" s="610" t="s">
        <v>1368</v>
      </c>
      <c r="DQ140" s="610" t="s">
        <v>1368</v>
      </c>
      <c r="DR140" s="610" t="s">
        <v>1368</v>
      </c>
      <c r="DS140" s="610" t="s">
        <v>1368</v>
      </c>
      <c r="DT140" s="610" t="s">
        <v>1368</v>
      </c>
      <c r="DU140" s="610" t="s">
        <v>1368</v>
      </c>
      <c r="DV140" s="610" t="s">
        <v>1368</v>
      </c>
      <c r="DW140" s="609" t="s">
        <v>1368</v>
      </c>
      <c r="DX140" s="609" t="s">
        <v>1368</v>
      </c>
      <c r="DY140" s="609" t="s">
        <v>1368</v>
      </c>
      <c r="DZ140" s="609" t="s">
        <v>1368</v>
      </c>
      <c r="EA140" s="609" t="s">
        <v>1368</v>
      </c>
      <c r="EB140" s="609" t="s">
        <v>1368</v>
      </c>
      <c r="EC140" s="609" t="s">
        <v>1368</v>
      </c>
      <c r="ED140" s="609" t="s">
        <v>1368</v>
      </c>
      <c r="EE140" s="609" t="s">
        <v>1368</v>
      </c>
      <c r="EF140" s="609" t="s">
        <v>1368</v>
      </c>
      <c r="EG140" s="609" t="s">
        <v>1368</v>
      </c>
      <c r="EH140" s="609" t="s">
        <v>1368</v>
      </c>
      <c r="EI140" s="610" t="s">
        <v>1707</v>
      </c>
      <c r="EJ140" s="610" t="s">
        <v>1707</v>
      </c>
      <c r="EK140" s="610" t="s">
        <v>1707</v>
      </c>
      <c r="EL140" s="610" t="s">
        <v>1707</v>
      </c>
      <c r="EM140" s="610" t="s">
        <v>1707</v>
      </c>
      <c r="EN140" s="610" t="s">
        <v>1707</v>
      </c>
      <c r="EO140" s="610" t="s">
        <v>1707</v>
      </c>
      <c r="EP140" s="610" t="s">
        <v>1707</v>
      </c>
      <c r="EQ140" s="610" t="s">
        <v>1707</v>
      </c>
      <c r="ER140" s="610" t="s">
        <v>1707</v>
      </c>
      <c r="ES140" s="610" t="s">
        <v>1707</v>
      </c>
      <c r="ET140" s="610" t="s">
        <v>1707</v>
      </c>
      <c r="EU140" s="610">
        <v>4010</v>
      </c>
      <c r="EV140" s="610" t="s">
        <v>1707</v>
      </c>
      <c r="EW140" s="610" t="s">
        <v>1707</v>
      </c>
      <c r="EX140" s="610" t="s">
        <v>1707</v>
      </c>
      <c r="EY140" s="610" t="s">
        <v>1707</v>
      </c>
      <c r="EZ140" s="610" t="s">
        <v>1707</v>
      </c>
      <c r="FA140" s="610" t="s">
        <v>1707</v>
      </c>
      <c r="FB140" s="610" t="s">
        <v>1707</v>
      </c>
      <c r="FC140" s="610" t="s">
        <v>1707</v>
      </c>
      <c r="FD140" s="610" t="s">
        <v>1707</v>
      </c>
      <c r="FE140" s="610" t="s">
        <v>1707</v>
      </c>
      <c r="FF140" s="610" t="s">
        <v>1707</v>
      </c>
      <c r="FG140" s="610" t="s">
        <v>1707</v>
      </c>
      <c r="FH140" s="610">
        <v>10</v>
      </c>
      <c r="FI140" s="610">
        <v>10</v>
      </c>
      <c r="FJ140" s="610">
        <v>10</v>
      </c>
      <c r="FK140" s="610">
        <v>10</v>
      </c>
      <c r="FL140" s="610">
        <v>10</v>
      </c>
      <c r="FM140" s="610">
        <v>10</v>
      </c>
      <c r="FN140" s="610">
        <v>10</v>
      </c>
      <c r="FO140" s="610">
        <v>10</v>
      </c>
      <c r="FP140" s="610">
        <v>10</v>
      </c>
      <c r="FQ140" s="610">
        <v>10</v>
      </c>
      <c r="FR140" s="610" t="s">
        <v>2487</v>
      </c>
      <c r="FS140" s="610" t="s">
        <v>2487</v>
      </c>
      <c r="FT140" s="610" t="s">
        <v>2487</v>
      </c>
      <c r="FU140" s="610" t="s">
        <v>2487</v>
      </c>
      <c r="FV140" s="610" t="s">
        <v>2487</v>
      </c>
      <c r="FW140" s="610" t="s">
        <v>2487</v>
      </c>
      <c r="FX140" s="610" t="s">
        <v>2487</v>
      </c>
      <c r="FY140" s="610" t="s">
        <v>2487</v>
      </c>
      <c r="FZ140" s="610" t="s">
        <v>2487</v>
      </c>
      <c r="GA140" s="610" t="s">
        <v>2487</v>
      </c>
      <c r="GB140" s="610" t="s">
        <v>2487</v>
      </c>
      <c r="GC140" s="610" t="s">
        <v>2487</v>
      </c>
      <c r="GD140" s="564">
        <f t="shared" si="33"/>
        <v>79950</v>
      </c>
      <c r="GE140" s="564">
        <f t="shared" si="34"/>
        <v>79950</v>
      </c>
      <c r="GF140" s="564">
        <f t="shared" si="35"/>
        <v>79950</v>
      </c>
      <c r="GG140" s="564">
        <f t="shared" si="36"/>
        <v>79950</v>
      </c>
      <c r="GH140" s="564">
        <f t="shared" si="37"/>
        <v>79950</v>
      </c>
      <c r="GI140" s="564">
        <f t="shared" si="38"/>
        <v>79950</v>
      </c>
      <c r="GJ140" s="564">
        <f t="shared" si="39"/>
        <v>79950</v>
      </c>
      <c r="GK140" s="564">
        <f t="shared" si="40"/>
        <v>79950</v>
      </c>
      <c r="GL140" s="564">
        <f t="shared" si="41"/>
        <v>79950</v>
      </c>
      <c r="GM140" s="564">
        <f t="shared" si="42"/>
        <v>79950</v>
      </c>
      <c r="GN140" s="564">
        <f t="shared" si="43"/>
        <v>79950</v>
      </c>
      <c r="GO140" s="564">
        <f t="shared" si="44"/>
        <v>79950</v>
      </c>
      <c r="GP140" s="564"/>
      <c r="GS140" s="375" t="s">
        <v>1520</v>
      </c>
      <c r="GT140" s="374" t="str">
        <f t="shared" si="31"/>
        <v>〇</v>
      </c>
    </row>
    <row r="141" spans="2:202">
      <c r="B141" s="371">
        <v>137</v>
      </c>
      <c r="C141" s="378">
        <v>137</v>
      </c>
      <c r="D141" s="373" t="s">
        <v>1521</v>
      </c>
      <c r="E141" s="373" t="s">
        <v>14</v>
      </c>
      <c r="F141" s="603">
        <f t="shared" si="45"/>
        <v>30</v>
      </c>
      <c r="G141" s="603"/>
      <c r="H141" s="603">
        <v>18</v>
      </c>
      <c r="I141" s="603">
        <v>12</v>
      </c>
      <c r="J141" s="603"/>
      <c r="K141" s="603"/>
      <c r="L141" s="603"/>
      <c r="M141" s="603"/>
      <c r="N141" s="608"/>
      <c r="O141" s="603">
        <v>1577000</v>
      </c>
      <c r="P141" s="603">
        <v>2721000</v>
      </c>
      <c r="Q141" s="603">
        <v>2721000</v>
      </c>
      <c r="R141" s="603">
        <v>1791000</v>
      </c>
      <c r="S141" s="603">
        <v>0</v>
      </c>
      <c r="T141" s="603">
        <v>0</v>
      </c>
      <c r="U141" s="603">
        <v>0</v>
      </c>
      <c r="V141" s="603">
        <v>1051000</v>
      </c>
      <c r="W141" s="603">
        <v>1814000</v>
      </c>
      <c r="X141" s="603">
        <v>1814000</v>
      </c>
      <c r="Y141" s="603">
        <v>1194000</v>
      </c>
      <c r="Z141" s="603">
        <v>0</v>
      </c>
      <c r="AA141" s="603">
        <v>0</v>
      </c>
      <c r="AB141" s="603">
        <v>0</v>
      </c>
      <c r="AC141" s="603">
        <v>526000</v>
      </c>
      <c r="AD141" s="603">
        <v>907000</v>
      </c>
      <c r="AE141" s="603">
        <v>907000</v>
      </c>
      <c r="AF141" s="603">
        <v>597000</v>
      </c>
      <c r="AG141" s="603">
        <v>0</v>
      </c>
      <c r="AH141" s="603">
        <v>0</v>
      </c>
      <c r="AI141" s="603">
        <v>0</v>
      </c>
      <c r="AJ141" s="604" t="s">
        <v>2377</v>
      </c>
      <c r="AK141" s="605" t="s">
        <v>2378</v>
      </c>
      <c r="AL141" s="605" t="s">
        <v>2490</v>
      </c>
      <c r="AM141" s="606" t="s">
        <v>2403</v>
      </c>
      <c r="AN141" s="609" t="s">
        <v>12</v>
      </c>
      <c r="AO141" s="610" t="s">
        <v>1368</v>
      </c>
      <c r="AP141" s="610" t="s">
        <v>1368</v>
      </c>
      <c r="AQ141" s="610" t="s">
        <v>1368</v>
      </c>
      <c r="AR141" s="610" t="s">
        <v>1368</v>
      </c>
      <c r="AS141" s="610" t="s">
        <v>1368</v>
      </c>
      <c r="AT141" s="610" t="s">
        <v>1368</v>
      </c>
      <c r="AU141" s="610" t="s">
        <v>1368</v>
      </c>
      <c r="AV141" s="610" t="s">
        <v>1368</v>
      </c>
      <c r="AW141" s="610" t="s">
        <v>1368</v>
      </c>
      <c r="AX141" s="610" t="s">
        <v>1368</v>
      </c>
      <c r="AY141" s="610" t="s">
        <v>1368</v>
      </c>
      <c r="AZ141" s="610" t="s">
        <v>1368</v>
      </c>
      <c r="BA141" s="610" t="s">
        <v>1368</v>
      </c>
      <c r="BB141" s="610" t="s">
        <v>1368</v>
      </c>
      <c r="BC141" s="610" t="s">
        <v>1368</v>
      </c>
      <c r="BD141" s="610" t="s">
        <v>1368</v>
      </c>
      <c r="BE141" s="610" t="s">
        <v>1368</v>
      </c>
      <c r="BF141" s="610" t="s">
        <v>1368</v>
      </c>
      <c r="BG141" s="610" t="s">
        <v>1368</v>
      </c>
      <c r="BH141" s="610" t="s">
        <v>1368</v>
      </c>
      <c r="BI141" s="610" t="s">
        <v>1368</v>
      </c>
      <c r="BJ141" s="610" t="s">
        <v>1368</v>
      </c>
      <c r="BK141" s="610" t="s">
        <v>1368</v>
      </c>
      <c r="BL141" s="610" t="s">
        <v>1368</v>
      </c>
      <c r="BM141" s="610">
        <v>0</v>
      </c>
      <c r="BN141" s="610">
        <v>0</v>
      </c>
      <c r="BO141" s="610">
        <v>0</v>
      </c>
      <c r="BP141" s="610">
        <v>0</v>
      </c>
      <c r="BQ141" s="610">
        <v>0</v>
      </c>
      <c r="BR141" s="610">
        <v>0</v>
      </c>
      <c r="BS141" s="610">
        <v>0</v>
      </c>
      <c r="BT141" s="610">
        <v>0</v>
      </c>
      <c r="BU141" s="610">
        <v>0</v>
      </c>
      <c r="BV141" s="610">
        <v>0</v>
      </c>
      <c r="BW141" s="610">
        <v>0</v>
      </c>
      <c r="BX141" s="610">
        <v>0</v>
      </c>
      <c r="BY141" s="610">
        <v>0</v>
      </c>
      <c r="BZ141" s="610">
        <v>0</v>
      </c>
      <c r="CA141" s="610">
        <v>0</v>
      </c>
      <c r="CB141" s="610">
        <v>0</v>
      </c>
      <c r="CC141" s="610">
        <v>0</v>
      </c>
      <c r="CD141" s="610">
        <v>0</v>
      </c>
      <c r="CE141" s="610">
        <v>0</v>
      </c>
      <c r="CF141" s="610">
        <v>0</v>
      </c>
      <c r="CG141" s="610">
        <v>0</v>
      </c>
      <c r="CH141" s="610">
        <v>0</v>
      </c>
      <c r="CI141" s="610">
        <v>0</v>
      </c>
      <c r="CJ141" s="610">
        <v>0</v>
      </c>
      <c r="CK141" s="610">
        <v>0</v>
      </c>
      <c r="CL141" s="610">
        <v>0</v>
      </c>
      <c r="CM141" s="610">
        <v>0</v>
      </c>
      <c r="CN141" s="610">
        <v>0</v>
      </c>
      <c r="CO141" s="610">
        <v>0</v>
      </c>
      <c r="CP141" s="610">
        <v>0</v>
      </c>
      <c r="CQ141" s="610">
        <v>0</v>
      </c>
      <c r="CR141" s="610">
        <v>0</v>
      </c>
      <c r="CS141" s="610">
        <v>0</v>
      </c>
      <c r="CT141" s="610">
        <v>0</v>
      </c>
      <c r="CU141" s="610">
        <v>0</v>
      </c>
      <c r="CV141" s="610">
        <v>0</v>
      </c>
      <c r="CW141" s="610" t="s">
        <v>14</v>
      </c>
      <c r="CX141" s="610">
        <v>0</v>
      </c>
      <c r="CY141" s="610" t="s">
        <v>1707</v>
      </c>
      <c r="CZ141" s="610" t="s">
        <v>1707</v>
      </c>
      <c r="DA141" s="610" t="s">
        <v>1707</v>
      </c>
      <c r="DB141" s="610" t="s">
        <v>1707</v>
      </c>
      <c r="DC141" s="610" t="s">
        <v>1707</v>
      </c>
      <c r="DD141" s="610" t="s">
        <v>1707</v>
      </c>
      <c r="DE141" s="610" t="s">
        <v>1707</v>
      </c>
      <c r="DF141" s="610" t="s">
        <v>1707</v>
      </c>
      <c r="DG141" s="610" t="s">
        <v>1707</v>
      </c>
      <c r="DH141" s="610" t="s">
        <v>1707</v>
      </c>
      <c r="DI141" s="610" t="s">
        <v>1707</v>
      </c>
      <c r="DJ141" s="610" t="s">
        <v>1707</v>
      </c>
      <c r="DK141" s="610" t="s">
        <v>1368</v>
      </c>
      <c r="DL141" s="610" t="s">
        <v>1368</v>
      </c>
      <c r="DM141" s="610" t="s">
        <v>1368</v>
      </c>
      <c r="DN141" s="610" t="s">
        <v>1368</v>
      </c>
      <c r="DO141" s="610" t="s">
        <v>1368</v>
      </c>
      <c r="DP141" s="610" t="s">
        <v>1368</v>
      </c>
      <c r="DQ141" s="610" t="s">
        <v>1368</v>
      </c>
      <c r="DR141" s="610" t="s">
        <v>1368</v>
      </c>
      <c r="DS141" s="610" t="s">
        <v>1368</v>
      </c>
      <c r="DT141" s="610" t="s">
        <v>1368</v>
      </c>
      <c r="DU141" s="610" t="s">
        <v>1368</v>
      </c>
      <c r="DV141" s="610" t="s">
        <v>1368</v>
      </c>
      <c r="DW141" s="609" t="s">
        <v>1368</v>
      </c>
      <c r="DX141" s="609" t="s">
        <v>1368</v>
      </c>
      <c r="DY141" s="609" t="s">
        <v>1368</v>
      </c>
      <c r="DZ141" s="609" t="s">
        <v>1368</v>
      </c>
      <c r="EA141" s="609" t="s">
        <v>1368</v>
      </c>
      <c r="EB141" s="609" t="s">
        <v>1368</v>
      </c>
      <c r="EC141" s="609" t="s">
        <v>1368</v>
      </c>
      <c r="ED141" s="609" t="s">
        <v>1368</v>
      </c>
      <c r="EE141" s="609" t="s">
        <v>1368</v>
      </c>
      <c r="EF141" s="609" t="s">
        <v>1368</v>
      </c>
      <c r="EG141" s="609" t="s">
        <v>1368</v>
      </c>
      <c r="EH141" s="609" t="s">
        <v>1368</v>
      </c>
      <c r="EI141" s="610" t="s">
        <v>1707</v>
      </c>
      <c r="EJ141" s="610" t="s">
        <v>1707</v>
      </c>
      <c r="EK141" s="610" t="s">
        <v>1707</v>
      </c>
      <c r="EL141" s="610" t="s">
        <v>1707</v>
      </c>
      <c r="EM141" s="610" t="s">
        <v>1707</v>
      </c>
      <c r="EN141" s="610" t="s">
        <v>1707</v>
      </c>
      <c r="EO141" s="610" t="s">
        <v>1707</v>
      </c>
      <c r="EP141" s="610" t="s">
        <v>1707</v>
      </c>
      <c r="EQ141" s="610" t="s">
        <v>1707</v>
      </c>
      <c r="ER141" s="610" t="s">
        <v>1707</v>
      </c>
      <c r="ES141" s="610" t="s">
        <v>1707</v>
      </c>
      <c r="ET141" s="610" t="s">
        <v>1707</v>
      </c>
      <c r="EU141" s="610">
        <v>4010</v>
      </c>
      <c r="EV141" s="610" t="s">
        <v>1707</v>
      </c>
      <c r="EW141" s="610" t="s">
        <v>1707</v>
      </c>
      <c r="EX141" s="610" t="s">
        <v>1707</v>
      </c>
      <c r="EY141" s="610" t="s">
        <v>1707</v>
      </c>
      <c r="EZ141" s="610" t="s">
        <v>1707</v>
      </c>
      <c r="FA141" s="610" t="s">
        <v>1707</v>
      </c>
      <c r="FB141" s="610" t="s">
        <v>1707</v>
      </c>
      <c r="FC141" s="610" t="s">
        <v>1707</v>
      </c>
      <c r="FD141" s="610" t="s">
        <v>1707</v>
      </c>
      <c r="FE141" s="610" t="s">
        <v>1707</v>
      </c>
      <c r="FF141" s="610" t="s">
        <v>1707</v>
      </c>
      <c r="FG141" s="610" t="s">
        <v>1707</v>
      </c>
      <c r="FH141" s="610">
        <v>12</v>
      </c>
      <c r="FI141" s="610">
        <v>12</v>
      </c>
      <c r="FJ141" s="610">
        <v>12</v>
      </c>
      <c r="FK141" s="610">
        <v>12</v>
      </c>
      <c r="FL141" s="610">
        <v>12</v>
      </c>
      <c r="FM141" s="610">
        <v>12</v>
      </c>
      <c r="FN141" s="610">
        <v>12</v>
      </c>
      <c r="FO141" s="610">
        <v>12</v>
      </c>
      <c r="FP141" s="610">
        <v>12</v>
      </c>
      <c r="FQ141" s="610">
        <v>12</v>
      </c>
      <c r="FR141" s="610" t="s">
        <v>2487</v>
      </c>
      <c r="FS141" s="610" t="s">
        <v>2487</v>
      </c>
      <c r="FT141" s="610" t="s">
        <v>2487</v>
      </c>
      <c r="FU141" s="610" t="s">
        <v>2487</v>
      </c>
      <c r="FV141" s="610" t="s">
        <v>2487</v>
      </c>
      <c r="FW141" s="610" t="s">
        <v>2487</v>
      </c>
      <c r="FX141" s="610" t="s">
        <v>2487</v>
      </c>
      <c r="FY141" s="610" t="s">
        <v>2487</v>
      </c>
      <c r="FZ141" s="610" t="s">
        <v>2487</v>
      </c>
      <c r="GA141" s="610" t="s">
        <v>2487</v>
      </c>
      <c r="GB141" s="610" t="s">
        <v>2487</v>
      </c>
      <c r="GC141" s="610" t="s">
        <v>2487</v>
      </c>
      <c r="GD141" s="564">
        <f t="shared" si="33"/>
        <v>79950</v>
      </c>
      <c r="GE141" s="564">
        <f t="shared" si="34"/>
        <v>79950</v>
      </c>
      <c r="GF141" s="564">
        <f t="shared" si="35"/>
        <v>79950</v>
      </c>
      <c r="GG141" s="564">
        <f t="shared" si="36"/>
        <v>79950</v>
      </c>
      <c r="GH141" s="564">
        <f t="shared" si="37"/>
        <v>79950</v>
      </c>
      <c r="GI141" s="564">
        <f t="shared" si="38"/>
        <v>79950</v>
      </c>
      <c r="GJ141" s="564">
        <f t="shared" si="39"/>
        <v>79950</v>
      </c>
      <c r="GK141" s="564">
        <f t="shared" si="40"/>
        <v>79950</v>
      </c>
      <c r="GL141" s="564">
        <f t="shared" si="41"/>
        <v>79950</v>
      </c>
      <c r="GM141" s="564">
        <f t="shared" si="42"/>
        <v>79950</v>
      </c>
      <c r="GN141" s="564">
        <f t="shared" si="43"/>
        <v>79950</v>
      </c>
      <c r="GO141" s="564">
        <f t="shared" si="44"/>
        <v>79950</v>
      </c>
      <c r="GP141" s="564"/>
      <c r="GS141" s="375" t="s">
        <v>1521</v>
      </c>
      <c r="GT141" s="374" t="str">
        <f t="shared" si="31"/>
        <v>〇</v>
      </c>
    </row>
    <row r="142" spans="2:202">
      <c r="B142" s="371">
        <v>138</v>
      </c>
      <c r="C142" s="378">
        <v>138</v>
      </c>
      <c r="D142" s="373" t="s">
        <v>1522</v>
      </c>
      <c r="E142" s="373" t="s">
        <v>14</v>
      </c>
      <c r="F142" s="603">
        <f t="shared" si="45"/>
        <v>30</v>
      </c>
      <c r="G142" s="603"/>
      <c r="H142" s="603">
        <v>17</v>
      </c>
      <c r="I142" s="603">
        <v>13</v>
      </c>
      <c r="J142" s="603"/>
      <c r="K142" s="603"/>
      <c r="L142" s="603"/>
      <c r="M142" s="603"/>
      <c r="N142" s="608"/>
      <c r="O142" s="603">
        <v>1577000</v>
      </c>
      <c r="P142" s="603">
        <v>2721000</v>
      </c>
      <c r="Q142" s="603">
        <v>0</v>
      </c>
      <c r="R142" s="603">
        <v>1188000</v>
      </c>
      <c r="S142" s="603">
        <v>1791000</v>
      </c>
      <c r="T142" s="603">
        <v>0</v>
      </c>
      <c r="U142" s="603">
        <v>0</v>
      </c>
      <c r="V142" s="603">
        <v>0</v>
      </c>
      <c r="W142" s="603">
        <v>0</v>
      </c>
      <c r="X142" s="603">
        <v>0</v>
      </c>
      <c r="Y142" s="603">
        <v>0</v>
      </c>
      <c r="Z142" s="603">
        <v>0</v>
      </c>
      <c r="AA142" s="603">
        <v>0</v>
      </c>
      <c r="AB142" s="603">
        <v>0</v>
      </c>
      <c r="AC142" s="603">
        <v>0</v>
      </c>
      <c r="AD142" s="603">
        <v>0</v>
      </c>
      <c r="AE142" s="603">
        <v>0</v>
      </c>
      <c r="AF142" s="603">
        <v>0</v>
      </c>
      <c r="AG142" s="603">
        <v>0</v>
      </c>
      <c r="AH142" s="603">
        <v>0</v>
      </c>
      <c r="AI142" s="603">
        <v>0</v>
      </c>
      <c r="AJ142" s="604" t="s">
        <v>2377</v>
      </c>
      <c r="AK142" s="605" t="s">
        <v>1545</v>
      </c>
      <c r="AL142" s="605" t="s">
        <v>1545</v>
      </c>
      <c r="AM142" s="606" t="s">
        <v>2404</v>
      </c>
      <c r="AN142" s="609" t="s">
        <v>12</v>
      </c>
      <c r="AO142" s="610" t="s">
        <v>2485</v>
      </c>
      <c r="AP142" s="610" t="s">
        <v>2485</v>
      </c>
      <c r="AQ142" s="610" t="s">
        <v>2485</v>
      </c>
      <c r="AR142" s="610" t="s">
        <v>2485</v>
      </c>
      <c r="AS142" s="610" t="s">
        <v>2485</v>
      </c>
      <c r="AT142" s="610" t="s">
        <v>2485</v>
      </c>
      <c r="AU142" s="610" t="s">
        <v>2485</v>
      </c>
      <c r="AV142" s="610" t="s">
        <v>2485</v>
      </c>
      <c r="AW142" s="610" t="s">
        <v>2485</v>
      </c>
      <c r="AX142" s="610" t="s">
        <v>2485</v>
      </c>
      <c r="AY142" s="610" t="s">
        <v>2485</v>
      </c>
      <c r="AZ142" s="610" t="s">
        <v>2485</v>
      </c>
      <c r="BA142" s="610" t="s">
        <v>1368</v>
      </c>
      <c r="BB142" s="610" t="s">
        <v>1368</v>
      </c>
      <c r="BC142" s="610" t="s">
        <v>1368</v>
      </c>
      <c r="BD142" s="610" t="s">
        <v>1368</v>
      </c>
      <c r="BE142" s="610" t="s">
        <v>1368</v>
      </c>
      <c r="BF142" s="610" t="s">
        <v>1368</v>
      </c>
      <c r="BG142" s="610" t="s">
        <v>1368</v>
      </c>
      <c r="BH142" s="610" t="s">
        <v>1368</v>
      </c>
      <c r="BI142" s="610" t="s">
        <v>1368</v>
      </c>
      <c r="BJ142" s="610" t="s">
        <v>1368</v>
      </c>
      <c r="BK142" s="610" t="s">
        <v>1368</v>
      </c>
      <c r="BL142" s="610" t="s">
        <v>1368</v>
      </c>
      <c r="BM142" s="610">
        <v>1</v>
      </c>
      <c r="BN142" s="610">
        <v>1</v>
      </c>
      <c r="BO142" s="610">
        <v>1</v>
      </c>
      <c r="BP142" s="610">
        <v>1</v>
      </c>
      <c r="BQ142" s="610">
        <v>1</v>
      </c>
      <c r="BR142" s="610">
        <v>1</v>
      </c>
      <c r="BS142" s="610">
        <v>1</v>
      </c>
      <c r="BT142" s="610">
        <v>1</v>
      </c>
      <c r="BU142" s="610">
        <v>1</v>
      </c>
      <c r="BV142" s="610">
        <v>1</v>
      </c>
      <c r="BW142" s="610">
        <v>1</v>
      </c>
      <c r="BX142" s="610">
        <v>1</v>
      </c>
      <c r="BY142" s="610">
        <v>0</v>
      </c>
      <c r="BZ142" s="610">
        <v>0</v>
      </c>
      <c r="CA142" s="610">
        <v>0</v>
      </c>
      <c r="CB142" s="610">
        <v>0</v>
      </c>
      <c r="CC142" s="610">
        <v>0</v>
      </c>
      <c r="CD142" s="610">
        <v>0</v>
      </c>
      <c r="CE142" s="610">
        <v>0</v>
      </c>
      <c r="CF142" s="610">
        <v>0</v>
      </c>
      <c r="CG142" s="610">
        <v>0</v>
      </c>
      <c r="CH142" s="610">
        <v>0</v>
      </c>
      <c r="CI142" s="610">
        <v>0</v>
      </c>
      <c r="CJ142" s="610">
        <v>0</v>
      </c>
      <c r="CK142" s="610">
        <v>0</v>
      </c>
      <c r="CL142" s="610">
        <v>0</v>
      </c>
      <c r="CM142" s="610">
        <v>0</v>
      </c>
      <c r="CN142" s="610">
        <v>0</v>
      </c>
      <c r="CO142" s="610">
        <v>0</v>
      </c>
      <c r="CP142" s="610">
        <v>0</v>
      </c>
      <c r="CQ142" s="610">
        <v>0</v>
      </c>
      <c r="CR142" s="610">
        <v>0</v>
      </c>
      <c r="CS142" s="610">
        <v>0</v>
      </c>
      <c r="CT142" s="610">
        <v>0</v>
      </c>
      <c r="CU142" s="610">
        <v>0</v>
      </c>
      <c r="CV142" s="610">
        <v>0</v>
      </c>
      <c r="CW142" s="610" t="s">
        <v>14</v>
      </c>
      <c r="CX142" s="610">
        <v>0</v>
      </c>
      <c r="CY142" s="610" t="s">
        <v>1707</v>
      </c>
      <c r="CZ142" s="610" t="s">
        <v>1707</v>
      </c>
      <c r="DA142" s="610" t="s">
        <v>1707</v>
      </c>
      <c r="DB142" s="610" t="s">
        <v>1707</v>
      </c>
      <c r="DC142" s="610" t="s">
        <v>1707</v>
      </c>
      <c r="DD142" s="610" t="s">
        <v>1707</v>
      </c>
      <c r="DE142" s="610" t="s">
        <v>1707</v>
      </c>
      <c r="DF142" s="610" t="s">
        <v>1707</v>
      </c>
      <c r="DG142" s="610" t="s">
        <v>1707</v>
      </c>
      <c r="DH142" s="610" t="s">
        <v>1707</v>
      </c>
      <c r="DI142" s="610" t="s">
        <v>1707</v>
      </c>
      <c r="DJ142" s="610" t="s">
        <v>1707</v>
      </c>
      <c r="DK142" s="610" t="s">
        <v>1368</v>
      </c>
      <c r="DL142" s="610" t="s">
        <v>1368</v>
      </c>
      <c r="DM142" s="610" t="s">
        <v>1368</v>
      </c>
      <c r="DN142" s="610" t="s">
        <v>1368</v>
      </c>
      <c r="DO142" s="610" t="s">
        <v>1368</v>
      </c>
      <c r="DP142" s="610" t="s">
        <v>1368</v>
      </c>
      <c r="DQ142" s="610" t="s">
        <v>1368</v>
      </c>
      <c r="DR142" s="610" t="s">
        <v>1368</v>
      </c>
      <c r="DS142" s="610" t="s">
        <v>1368</v>
      </c>
      <c r="DT142" s="610" t="s">
        <v>1368</v>
      </c>
      <c r="DU142" s="610" t="s">
        <v>1368</v>
      </c>
      <c r="DV142" s="610" t="s">
        <v>1368</v>
      </c>
      <c r="DW142" s="609" t="s">
        <v>1368</v>
      </c>
      <c r="DX142" s="609" t="s">
        <v>1368</v>
      </c>
      <c r="DY142" s="609" t="s">
        <v>1368</v>
      </c>
      <c r="DZ142" s="609" t="s">
        <v>1368</v>
      </c>
      <c r="EA142" s="609" t="s">
        <v>1368</v>
      </c>
      <c r="EB142" s="609" t="s">
        <v>1368</v>
      </c>
      <c r="EC142" s="609" t="s">
        <v>1368</v>
      </c>
      <c r="ED142" s="609" t="s">
        <v>1368</v>
      </c>
      <c r="EE142" s="609" t="s">
        <v>1368</v>
      </c>
      <c r="EF142" s="609" t="s">
        <v>1368</v>
      </c>
      <c r="EG142" s="609" t="s">
        <v>1368</v>
      </c>
      <c r="EH142" s="609" t="s">
        <v>1368</v>
      </c>
      <c r="EI142" s="610" t="s">
        <v>1707</v>
      </c>
      <c r="EJ142" s="610" t="s">
        <v>1707</v>
      </c>
      <c r="EK142" s="610" t="s">
        <v>1707</v>
      </c>
      <c r="EL142" s="610" t="s">
        <v>1707</v>
      </c>
      <c r="EM142" s="610" t="s">
        <v>1707</v>
      </c>
      <c r="EN142" s="610" t="s">
        <v>1707</v>
      </c>
      <c r="EO142" s="610" t="s">
        <v>1707</v>
      </c>
      <c r="EP142" s="610" t="s">
        <v>1707</v>
      </c>
      <c r="EQ142" s="610" t="s">
        <v>1707</v>
      </c>
      <c r="ER142" s="610" t="s">
        <v>1707</v>
      </c>
      <c r="ES142" s="610" t="s">
        <v>1707</v>
      </c>
      <c r="ET142" s="610" t="s">
        <v>1707</v>
      </c>
      <c r="EU142" s="610">
        <v>3860</v>
      </c>
      <c r="EV142" s="610" t="s">
        <v>1707</v>
      </c>
      <c r="EW142" s="610" t="s">
        <v>1707</v>
      </c>
      <c r="EX142" s="610" t="s">
        <v>1707</v>
      </c>
      <c r="EY142" s="610" t="s">
        <v>1707</v>
      </c>
      <c r="EZ142" s="610" t="s">
        <v>1707</v>
      </c>
      <c r="FA142" s="610" t="s">
        <v>1707</v>
      </c>
      <c r="FB142" s="610" t="s">
        <v>1707</v>
      </c>
      <c r="FC142" s="610" t="s">
        <v>1707</v>
      </c>
      <c r="FD142" s="610" t="s">
        <v>1707</v>
      </c>
      <c r="FE142" s="610" t="s">
        <v>1707</v>
      </c>
      <c r="FF142" s="610" t="s">
        <v>1707</v>
      </c>
      <c r="FG142" s="610" t="s">
        <v>1707</v>
      </c>
      <c r="FH142" s="610">
        <v>14</v>
      </c>
      <c r="FI142" s="610">
        <v>14</v>
      </c>
      <c r="FJ142" s="610">
        <v>13</v>
      </c>
      <c r="FK142" s="610">
        <v>13</v>
      </c>
      <c r="FL142" s="610">
        <v>13</v>
      </c>
      <c r="FM142" s="610">
        <v>12</v>
      </c>
      <c r="FN142" s="610">
        <v>13</v>
      </c>
      <c r="FO142" s="610">
        <v>13</v>
      </c>
      <c r="FP142" s="610">
        <v>13</v>
      </c>
      <c r="FQ142" s="610">
        <v>13</v>
      </c>
      <c r="FR142" s="610" t="s">
        <v>2487</v>
      </c>
      <c r="FS142" s="610" t="s">
        <v>2487</v>
      </c>
      <c r="FT142" s="610" t="s">
        <v>2487</v>
      </c>
      <c r="FU142" s="610" t="s">
        <v>2487</v>
      </c>
      <c r="FV142" s="610" t="s">
        <v>2487</v>
      </c>
      <c r="FW142" s="610" t="s">
        <v>2487</v>
      </c>
      <c r="FX142" s="610" t="s">
        <v>2487</v>
      </c>
      <c r="FY142" s="610" t="s">
        <v>2487</v>
      </c>
      <c r="FZ142" s="610" t="s">
        <v>2487</v>
      </c>
      <c r="GA142" s="610" t="s">
        <v>2487</v>
      </c>
      <c r="GB142" s="610" t="s">
        <v>2487</v>
      </c>
      <c r="GC142" s="610" t="s">
        <v>2487</v>
      </c>
      <c r="GD142" s="564">
        <f t="shared" si="33"/>
        <v>79950</v>
      </c>
      <c r="GE142" s="564">
        <f t="shared" si="34"/>
        <v>79950</v>
      </c>
      <c r="GF142" s="564">
        <f t="shared" si="35"/>
        <v>79950</v>
      </c>
      <c r="GG142" s="564">
        <f t="shared" si="36"/>
        <v>79950</v>
      </c>
      <c r="GH142" s="564">
        <f t="shared" si="37"/>
        <v>79950</v>
      </c>
      <c r="GI142" s="564">
        <f t="shared" si="38"/>
        <v>79950</v>
      </c>
      <c r="GJ142" s="564">
        <f t="shared" si="39"/>
        <v>79950</v>
      </c>
      <c r="GK142" s="564">
        <f t="shared" si="40"/>
        <v>79950</v>
      </c>
      <c r="GL142" s="564">
        <f t="shared" si="41"/>
        <v>79950</v>
      </c>
      <c r="GM142" s="564">
        <f t="shared" si="42"/>
        <v>79950</v>
      </c>
      <c r="GN142" s="564">
        <f t="shared" si="43"/>
        <v>79950</v>
      </c>
      <c r="GO142" s="564">
        <f t="shared" si="44"/>
        <v>79950</v>
      </c>
      <c r="GP142" s="564"/>
      <c r="GS142" s="375" t="s">
        <v>1522</v>
      </c>
      <c r="GT142" s="374" t="str">
        <f t="shared" si="31"/>
        <v>〇</v>
      </c>
    </row>
    <row r="143" spans="2:202">
      <c r="B143" s="371">
        <v>139</v>
      </c>
      <c r="C143" s="378">
        <v>139</v>
      </c>
      <c r="D143" s="373" t="s">
        <v>1523</v>
      </c>
      <c r="E143" s="373" t="s">
        <v>14</v>
      </c>
      <c r="F143" s="603">
        <f t="shared" si="45"/>
        <v>50</v>
      </c>
      <c r="G143" s="603"/>
      <c r="H143" s="603">
        <v>27</v>
      </c>
      <c r="I143" s="603">
        <v>23</v>
      </c>
      <c r="J143" s="603"/>
      <c r="K143" s="603"/>
      <c r="L143" s="603"/>
      <c r="M143" s="603"/>
      <c r="N143" s="608"/>
      <c r="O143" s="603">
        <v>1577000</v>
      </c>
      <c r="P143" s="603">
        <v>2721000</v>
      </c>
      <c r="Q143" s="603">
        <v>2721000</v>
      </c>
      <c r="R143" s="603">
        <v>1188000</v>
      </c>
      <c r="S143" s="603">
        <v>0</v>
      </c>
      <c r="T143" s="603">
        <v>0</v>
      </c>
      <c r="U143" s="603">
        <v>0</v>
      </c>
      <c r="V143" s="603">
        <v>1051000</v>
      </c>
      <c r="W143" s="603">
        <v>1814000</v>
      </c>
      <c r="X143" s="603">
        <v>1814000</v>
      </c>
      <c r="Y143" s="603">
        <v>792000</v>
      </c>
      <c r="Z143" s="603">
        <v>0</v>
      </c>
      <c r="AA143" s="603">
        <v>0</v>
      </c>
      <c r="AB143" s="603">
        <v>0</v>
      </c>
      <c r="AC143" s="603">
        <v>526000</v>
      </c>
      <c r="AD143" s="603">
        <v>907000</v>
      </c>
      <c r="AE143" s="603">
        <v>907000</v>
      </c>
      <c r="AF143" s="603">
        <v>396000</v>
      </c>
      <c r="AG143" s="603">
        <v>0</v>
      </c>
      <c r="AH143" s="603">
        <v>0</v>
      </c>
      <c r="AI143" s="603">
        <v>0</v>
      </c>
      <c r="AJ143" s="604" t="s">
        <v>2377</v>
      </c>
      <c r="AK143" s="605" t="s">
        <v>2378</v>
      </c>
      <c r="AL143" s="605" t="s">
        <v>2490</v>
      </c>
      <c r="AM143" s="606" t="s">
        <v>2405</v>
      </c>
      <c r="AN143" s="609" t="s">
        <v>12</v>
      </c>
      <c r="AO143" s="610" t="s">
        <v>1368</v>
      </c>
      <c r="AP143" s="610" t="s">
        <v>1368</v>
      </c>
      <c r="AQ143" s="610" t="s">
        <v>1368</v>
      </c>
      <c r="AR143" s="610" t="s">
        <v>1368</v>
      </c>
      <c r="AS143" s="610" t="s">
        <v>1368</v>
      </c>
      <c r="AT143" s="610" t="s">
        <v>1368</v>
      </c>
      <c r="AU143" s="610" t="s">
        <v>1368</v>
      </c>
      <c r="AV143" s="610" t="s">
        <v>1368</v>
      </c>
      <c r="AW143" s="610" t="s">
        <v>1368</v>
      </c>
      <c r="AX143" s="610" t="s">
        <v>1368</v>
      </c>
      <c r="AY143" s="610" t="s">
        <v>1368</v>
      </c>
      <c r="AZ143" s="610" t="s">
        <v>1368</v>
      </c>
      <c r="BA143" s="610" t="s">
        <v>1368</v>
      </c>
      <c r="BB143" s="610" t="s">
        <v>1368</v>
      </c>
      <c r="BC143" s="610" t="s">
        <v>1368</v>
      </c>
      <c r="BD143" s="610" t="s">
        <v>1368</v>
      </c>
      <c r="BE143" s="610" t="s">
        <v>1368</v>
      </c>
      <c r="BF143" s="610" t="s">
        <v>1368</v>
      </c>
      <c r="BG143" s="610" t="s">
        <v>1368</v>
      </c>
      <c r="BH143" s="610" t="s">
        <v>1368</v>
      </c>
      <c r="BI143" s="610" t="s">
        <v>1368</v>
      </c>
      <c r="BJ143" s="610" t="s">
        <v>1368</v>
      </c>
      <c r="BK143" s="610" t="s">
        <v>1368</v>
      </c>
      <c r="BL143" s="610" t="s">
        <v>1368</v>
      </c>
      <c r="BM143" s="610">
        <v>0</v>
      </c>
      <c r="BN143" s="610">
        <v>0</v>
      </c>
      <c r="BO143" s="610">
        <v>0</v>
      </c>
      <c r="BP143" s="610">
        <v>0</v>
      </c>
      <c r="BQ143" s="610">
        <v>0</v>
      </c>
      <c r="BR143" s="610">
        <v>0</v>
      </c>
      <c r="BS143" s="610">
        <v>0</v>
      </c>
      <c r="BT143" s="610">
        <v>0</v>
      </c>
      <c r="BU143" s="610">
        <v>0</v>
      </c>
      <c r="BV143" s="610">
        <v>0</v>
      </c>
      <c r="BW143" s="610">
        <v>0</v>
      </c>
      <c r="BX143" s="610">
        <v>0</v>
      </c>
      <c r="BY143" s="610">
        <v>0</v>
      </c>
      <c r="BZ143" s="610">
        <v>0</v>
      </c>
      <c r="CA143" s="610">
        <v>0</v>
      </c>
      <c r="CB143" s="610">
        <v>0</v>
      </c>
      <c r="CC143" s="610">
        <v>0</v>
      </c>
      <c r="CD143" s="610">
        <v>0</v>
      </c>
      <c r="CE143" s="610">
        <v>0</v>
      </c>
      <c r="CF143" s="610">
        <v>0</v>
      </c>
      <c r="CG143" s="610">
        <v>0</v>
      </c>
      <c r="CH143" s="610">
        <v>0</v>
      </c>
      <c r="CI143" s="610">
        <v>0</v>
      </c>
      <c r="CJ143" s="610">
        <v>0</v>
      </c>
      <c r="CK143" s="610">
        <v>0</v>
      </c>
      <c r="CL143" s="610">
        <v>0</v>
      </c>
      <c r="CM143" s="610">
        <v>0</v>
      </c>
      <c r="CN143" s="610">
        <v>0</v>
      </c>
      <c r="CO143" s="610">
        <v>0</v>
      </c>
      <c r="CP143" s="610">
        <v>0</v>
      </c>
      <c r="CQ143" s="610">
        <v>0</v>
      </c>
      <c r="CR143" s="610">
        <v>0</v>
      </c>
      <c r="CS143" s="610">
        <v>0</v>
      </c>
      <c r="CT143" s="610">
        <v>0</v>
      </c>
      <c r="CU143" s="610">
        <v>0</v>
      </c>
      <c r="CV143" s="610">
        <v>0</v>
      </c>
      <c r="CW143" s="610" t="s">
        <v>14</v>
      </c>
      <c r="CX143" s="610">
        <v>0</v>
      </c>
      <c r="CY143" s="610" t="s">
        <v>1707</v>
      </c>
      <c r="CZ143" s="610" t="s">
        <v>1707</v>
      </c>
      <c r="DA143" s="610" t="s">
        <v>1707</v>
      </c>
      <c r="DB143" s="610" t="s">
        <v>1707</v>
      </c>
      <c r="DC143" s="610" t="s">
        <v>1707</v>
      </c>
      <c r="DD143" s="610" t="s">
        <v>1707</v>
      </c>
      <c r="DE143" s="610" t="s">
        <v>1707</v>
      </c>
      <c r="DF143" s="610" t="s">
        <v>1707</v>
      </c>
      <c r="DG143" s="610" t="s">
        <v>1707</v>
      </c>
      <c r="DH143" s="610" t="s">
        <v>1707</v>
      </c>
      <c r="DI143" s="610" t="s">
        <v>1707</v>
      </c>
      <c r="DJ143" s="610" t="s">
        <v>1707</v>
      </c>
      <c r="DK143" s="610" t="s">
        <v>1368</v>
      </c>
      <c r="DL143" s="610" t="s">
        <v>1368</v>
      </c>
      <c r="DM143" s="610" t="s">
        <v>1368</v>
      </c>
      <c r="DN143" s="610" t="s">
        <v>1368</v>
      </c>
      <c r="DO143" s="610" t="s">
        <v>1368</v>
      </c>
      <c r="DP143" s="610" t="s">
        <v>1368</v>
      </c>
      <c r="DQ143" s="610" t="s">
        <v>1368</v>
      </c>
      <c r="DR143" s="610" t="s">
        <v>1368</v>
      </c>
      <c r="DS143" s="610" t="s">
        <v>1368</v>
      </c>
      <c r="DT143" s="610" t="s">
        <v>1368</v>
      </c>
      <c r="DU143" s="610" t="s">
        <v>1368</v>
      </c>
      <c r="DV143" s="610" t="s">
        <v>1368</v>
      </c>
      <c r="DW143" s="609" t="s">
        <v>1368</v>
      </c>
      <c r="DX143" s="609" t="s">
        <v>1368</v>
      </c>
      <c r="DY143" s="609" t="s">
        <v>1368</v>
      </c>
      <c r="DZ143" s="609" t="s">
        <v>1368</v>
      </c>
      <c r="EA143" s="609" t="s">
        <v>1368</v>
      </c>
      <c r="EB143" s="609" t="s">
        <v>1368</v>
      </c>
      <c r="EC143" s="609" t="s">
        <v>1368</v>
      </c>
      <c r="ED143" s="609" t="s">
        <v>1368</v>
      </c>
      <c r="EE143" s="609" t="s">
        <v>1368</v>
      </c>
      <c r="EF143" s="609" t="s">
        <v>1368</v>
      </c>
      <c r="EG143" s="609" t="s">
        <v>1368</v>
      </c>
      <c r="EH143" s="609" t="s">
        <v>1368</v>
      </c>
      <c r="EI143" s="610" t="s">
        <v>1707</v>
      </c>
      <c r="EJ143" s="610" t="s">
        <v>1707</v>
      </c>
      <c r="EK143" s="610" t="s">
        <v>1707</v>
      </c>
      <c r="EL143" s="610" t="s">
        <v>1707</v>
      </c>
      <c r="EM143" s="610" t="s">
        <v>1707</v>
      </c>
      <c r="EN143" s="610" t="s">
        <v>1707</v>
      </c>
      <c r="EO143" s="610" t="s">
        <v>1707</v>
      </c>
      <c r="EP143" s="610" t="s">
        <v>1707</v>
      </c>
      <c r="EQ143" s="610" t="s">
        <v>1707</v>
      </c>
      <c r="ER143" s="610" t="s">
        <v>1707</v>
      </c>
      <c r="ES143" s="610" t="s">
        <v>1707</v>
      </c>
      <c r="ET143" s="610" t="s">
        <v>1707</v>
      </c>
      <c r="EU143" s="610">
        <v>4070</v>
      </c>
      <c r="EV143" s="610" t="s">
        <v>1707</v>
      </c>
      <c r="EW143" s="610" t="s">
        <v>1707</v>
      </c>
      <c r="EX143" s="610" t="s">
        <v>1707</v>
      </c>
      <c r="EY143" s="610" t="s">
        <v>1707</v>
      </c>
      <c r="EZ143" s="610" t="s">
        <v>1707</v>
      </c>
      <c r="FA143" s="610" t="s">
        <v>1707</v>
      </c>
      <c r="FB143" s="610" t="s">
        <v>1707</v>
      </c>
      <c r="FC143" s="610" t="s">
        <v>1707</v>
      </c>
      <c r="FD143" s="610" t="s">
        <v>1707</v>
      </c>
      <c r="FE143" s="610" t="s">
        <v>1707</v>
      </c>
      <c r="FF143" s="610" t="s">
        <v>1707</v>
      </c>
      <c r="FG143" s="610" t="s">
        <v>1707</v>
      </c>
      <c r="FH143" s="610">
        <v>21</v>
      </c>
      <c r="FI143" s="610">
        <v>21</v>
      </c>
      <c r="FJ143" s="610">
        <v>21</v>
      </c>
      <c r="FK143" s="610">
        <v>21</v>
      </c>
      <c r="FL143" s="610">
        <v>21</v>
      </c>
      <c r="FM143" s="610">
        <v>22</v>
      </c>
      <c r="FN143" s="610">
        <v>22</v>
      </c>
      <c r="FO143" s="610">
        <v>22</v>
      </c>
      <c r="FP143" s="610">
        <v>22</v>
      </c>
      <c r="FQ143" s="610">
        <v>22</v>
      </c>
      <c r="FR143" s="610" t="s">
        <v>2487</v>
      </c>
      <c r="FS143" s="610" t="s">
        <v>2487</v>
      </c>
      <c r="FT143" s="610" t="s">
        <v>2487</v>
      </c>
      <c r="FU143" s="610" t="s">
        <v>2487</v>
      </c>
      <c r="FV143" s="610" t="s">
        <v>2487</v>
      </c>
      <c r="FW143" s="610" t="s">
        <v>2489</v>
      </c>
      <c r="FX143" s="610" t="s">
        <v>2489</v>
      </c>
      <c r="FY143" s="610" t="s">
        <v>2489</v>
      </c>
      <c r="FZ143" s="610" t="s">
        <v>2489</v>
      </c>
      <c r="GA143" s="610" t="s">
        <v>2489</v>
      </c>
      <c r="GB143" s="610" t="s">
        <v>2489</v>
      </c>
      <c r="GC143" s="610" t="s">
        <v>2489</v>
      </c>
      <c r="GD143" s="564">
        <f t="shared" si="33"/>
        <v>79950</v>
      </c>
      <c r="GE143" s="564">
        <f t="shared" si="34"/>
        <v>79950</v>
      </c>
      <c r="GF143" s="564">
        <f t="shared" si="35"/>
        <v>79950</v>
      </c>
      <c r="GG143" s="564">
        <f t="shared" si="36"/>
        <v>79950</v>
      </c>
      <c r="GH143" s="564">
        <f t="shared" si="37"/>
        <v>79950</v>
      </c>
      <c r="GI143" s="564" t="str">
        <f t="shared" si="38"/>
        <v/>
      </c>
      <c r="GJ143" s="564" t="str">
        <f t="shared" si="39"/>
        <v/>
      </c>
      <c r="GK143" s="564" t="str">
        <f t="shared" si="40"/>
        <v/>
      </c>
      <c r="GL143" s="564" t="str">
        <f t="shared" si="41"/>
        <v/>
      </c>
      <c r="GM143" s="564" t="str">
        <f t="shared" si="42"/>
        <v/>
      </c>
      <c r="GN143" s="564" t="str">
        <f t="shared" si="43"/>
        <v/>
      </c>
      <c r="GO143" s="564" t="str">
        <f t="shared" si="44"/>
        <v/>
      </c>
      <c r="GP143" s="564"/>
      <c r="GS143" s="375" t="s">
        <v>1523</v>
      </c>
      <c r="GT143" s="374" t="str">
        <f t="shared" si="31"/>
        <v>〇</v>
      </c>
    </row>
    <row r="144" spans="2:202">
      <c r="B144" s="371">
        <v>140</v>
      </c>
      <c r="C144" s="378">
        <v>140</v>
      </c>
      <c r="D144" s="373" t="s">
        <v>1524</v>
      </c>
      <c r="E144" s="373" t="s">
        <v>14</v>
      </c>
      <c r="F144" s="603">
        <f t="shared" si="45"/>
        <v>30</v>
      </c>
      <c r="G144" s="603"/>
      <c r="H144" s="603">
        <v>15</v>
      </c>
      <c r="I144" s="603">
        <v>15</v>
      </c>
      <c r="J144" s="603"/>
      <c r="K144" s="603"/>
      <c r="L144" s="603"/>
      <c r="M144" s="603"/>
      <c r="N144" s="608"/>
      <c r="O144" s="603">
        <v>1577000</v>
      </c>
      <c r="P144" s="603">
        <v>2721000</v>
      </c>
      <c r="Q144" s="603">
        <v>0</v>
      </c>
      <c r="R144" s="603">
        <v>1188000</v>
      </c>
      <c r="S144" s="603">
        <v>1791000</v>
      </c>
      <c r="T144" s="603">
        <v>0</v>
      </c>
      <c r="U144" s="603">
        <v>0</v>
      </c>
      <c r="V144" s="603">
        <v>1051000</v>
      </c>
      <c r="W144" s="603">
        <v>1814000</v>
      </c>
      <c r="X144" s="603">
        <v>0</v>
      </c>
      <c r="Y144" s="603">
        <v>792000</v>
      </c>
      <c r="Z144" s="603">
        <v>1194000</v>
      </c>
      <c r="AA144" s="603">
        <v>0</v>
      </c>
      <c r="AB144" s="603">
        <v>0</v>
      </c>
      <c r="AC144" s="603">
        <v>526000</v>
      </c>
      <c r="AD144" s="603">
        <v>907000</v>
      </c>
      <c r="AE144" s="603">
        <v>0</v>
      </c>
      <c r="AF144" s="603">
        <v>396000</v>
      </c>
      <c r="AG144" s="603">
        <v>597000</v>
      </c>
      <c r="AH144" s="603">
        <v>0</v>
      </c>
      <c r="AI144" s="603">
        <v>0</v>
      </c>
      <c r="AJ144" s="604" t="s">
        <v>2377</v>
      </c>
      <c r="AK144" s="605" t="s">
        <v>2378</v>
      </c>
      <c r="AL144" s="605" t="s">
        <v>2490</v>
      </c>
      <c r="AM144" s="606" t="s">
        <v>2406</v>
      </c>
      <c r="AN144" s="609" t="s">
        <v>12</v>
      </c>
      <c r="AO144" s="610" t="s">
        <v>1368</v>
      </c>
      <c r="AP144" s="610" t="s">
        <v>1368</v>
      </c>
      <c r="AQ144" s="610" t="s">
        <v>1368</v>
      </c>
      <c r="AR144" s="610" t="s">
        <v>1368</v>
      </c>
      <c r="AS144" s="610" t="s">
        <v>1368</v>
      </c>
      <c r="AT144" s="610" t="s">
        <v>1368</v>
      </c>
      <c r="AU144" s="610" t="s">
        <v>1368</v>
      </c>
      <c r="AV144" s="610" t="s">
        <v>1368</v>
      </c>
      <c r="AW144" s="610" t="s">
        <v>1368</v>
      </c>
      <c r="AX144" s="610" t="s">
        <v>1368</v>
      </c>
      <c r="AY144" s="610" t="s">
        <v>1368</v>
      </c>
      <c r="AZ144" s="610" t="s">
        <v>1368</v>
      </c>
      <c r="BA144" s="610" t="s">
        <v>1368</v>
      </c>
      <c r="BB144" s="610" t="s">
        <v>1368</v>
      </c>
      <c r="BC144" s="610" t="s">
        <v>1368</v>
      </c>
      <c r="BD144" s="610" t="s">
        <v>1368</v>
      </c>
      <c r="BE144" s="610" t="s">
        <v>1368</v>
      </c>
      <c r="BF144" s="610" t="s">
        <v>1368</v>
      </c>
      <c r="BG144" s="610" t="s">
        <v>1368</v>
      </c>
      <c r="BH144" s="610" t="s">
        <v>1368</v>
      </c>
      <c r="BI144" s="610" t="s">
        <v>1368</v>
      </c>
      <c r="BJ144" s="610" t="s">
        <v>1368</v>
      </c>
      <c r="BK144" s="610" t="s">
        <v>1368</v>
      </c>
      <c r="BL144" s="610" t="s">
        <v>1368</v>
      </c>
      <c r="BM144" s="610">
        <v>0</v>
      </c>
      <c r="BN144" s="610">
        <v>0</v>
      </c>
      <c r="BO144" s="610">
        <v>0</v>
      </c>
      <c r="BP144" s="610">
        <v>0</v>
      </c>
      <c r="BQ144" s="610">
        <v>0</v>
      </c>
      <c r="BR144" s="610">
        <v>0</v>
      </c>
      <c r="BS144" s="610">
        <v>0</v>
      </c>
      <c r="BT144" s="610">
        <v>0</v>
      </c>
      <c r="BU144" s="610">
        <v>1</v>
      </c>
      <c r="BV144" s="610">
        <v>1</v>
      </c>
      <c r="BW144" s="610">
        <v>1</v>
      </c>
      <c r="BX144" s="610">
        <v>1</v>
      </c>
      <c r="BY144" s="610">
        <v>0</v>
      </c>
      <c r="BZ144" s="610">
        <v>0</v>
      </c>
      <c r="CA144" s="610">
        <v>0</v>
      </c>
      <c r="CB144" s="610">
        <v>0</v>
      </c>
      <c r="CC144" s="610">
        <v>0</v>
      </c>
      <c r="CD144" s="610">
        <v>0</v>
      </c>
      <c r="CE144" s="610">
        <v>0</v>
      </c>
      <c r="CF144" s="610">
        <v>0</v>
      </c>
      <c r="CG144" s="610">
        <v>0</v>
      </c>
      <c r="CH144" s="610">
        <v>0</v>
      </c>
      <c r="CI144" s="610">
        <v>0</v>
      </c>
      <c r="CJ144" s="610">
        <v>0</v>
      </c>
      <c r="CK144" s="610">
        <v>0</v>
      </c>
      <c r="CL144" s="610">
        <v>0</v>
      </c>
      <c r="CM144" s="610">
        <v>0</v>
      </c>
      <c r="CN144" s="610">
        <v>0</v>
      </c>
      <c r="CO144" s="610">
        <v>0</v>
      </c>
      <c r="CP144" s="610">
        <v>0</v>
      </c>
      <c r="CQ144" s="610">
        <v>0</v>
      </c>
      <c r="CR144" s="610">
        <v>0</v>
      </c>
      <c r="CS144" s="610">
        <v>0</v>
      </c>
      <c r="CT144" s="610">
        <v>0</v>
      </c>
      <c r="CU144" s="610">
        <v>0</v>
      </c>
      <c r="CV144" s="610">
        <v>0</v>
      </c>
      <c r="CW144" s="610" t="s">
        <v>14</v>
      </c>
      <c r="CX144" s="610">
        <v>0</v>
      </c>
      <c r="CY144" s="610" t="s">
        <v>2449</v>
      </c>
      <c r="CZ144" s="610" t="s">
        <v>2449</v>
      </c>
      <c r="DA144" s="610" t="s">
        <v>2449</v>
      </c>
      <c r="DB144" s="610" t="s">
        <v>2449</v>
      </c>
      <c r="DC144" s="610" t="s">
        <v>1707</v>
      </c>
      <c r="DD144" s="610" t="s">
        <v>1707</v>
      </c>
      <c r="DE144" s="610" t="s">
        <v>1707</v>
      </c>
      <c r="DF144" s="610" t="s">
        <v>1707</v>
      </c>
      <c r="DG144" s="610" t="s">
        <v>1707</v>
      </c>
      <c r="DH144" s="610" t="s">
        <v>1707</v>
      </c>
      <c r="DI144" s="610" t="s">
        <v>1707</v>
      </c>
      <c r="DJ144" s="610" t="s">
        <v>1707</v>
      </c>
      <c r="DK144" s="610" t="s">
        <v>1368</v>
      </c>
      <c r="DL144" s="610" t="s">
        <v>1368</v>
      </c>
      <c r="DM144" s="610" t="s">
        <v>1368</v>
      </c>
      <c r="DN144" s="610" t="s">
        <v>1368</v>
      </c>
      <c r="DO144" s="610" t="s">
        <v>1368</v>
      </c>
      <c r="DP144" s="610" t="s">
        <v>1368</v>
      </c>
      <c r="DQ144" s="610" t="s">
        <v>1368</v>
      </c>
      <c r="DR144" s="610" t="s">
        <v>1368</v>
      </c>
      <c r="DS144" s="610" t="s">
        <v>1368</v>
      </c>
      <c r="DT144" s="610" t="s">
        <v>1368</v>
      </c>
      <c r="DU144" s="610" t="s">
        <v>1368</v>
      </c>
      <c r="DV144" s="610" t="s">
        <v>1368</v>
      </c>
      <c r="DW144" s="609" t="s">
        <v>1368</v>
      </c>
      <c r="DX144" s="609" t="s">
        <v>1368</v>
      </c>
      <c r="DY144" s="609" t="s">
        <v>1368</v>
      </c>
      <c r="DZ144" s="609" t="s">
        <v>1368</v>
      </c>
      <c r="EA144" s="609" t="s">
        <v>1368</v>
      </c>
      <c r="EB144" s="609" t="s">
        <v>1368</v>
      </c>
      <c r="EC144" s="609" t="s">
        <v>1368</v>
      </c>
      <c r="ED144" s="609" t="s">
        <v>1368</v>
      </c>
      <c r="EE144" s="609" t="s">
        <v>1368</v>
      </c>
      <c r="EF144" s="609" t="s">
        <v>1368</v>
      </c>
      <c r="EG144" s="609" t="s">
        <v>1368</v>
      </c>
      <c r="EH144" s="609" t="s">
        <v>1368</v>
      </c>
      <c r="EI144" s="610" t="s">
        <v>1707</v>
      </c>
      <c r="EJ144" s="610" t="s">
        <v>1707</v>
      </c>
      <c r="EK144" s="610" t="s">
        <v>1707</v>
      </c>
      <c r="EL144" s="610" t="s">
        <v>1707</v>
      </c>
      <c r="EM144" s="610" t="s">
        <v>1707</v>
      </c>
      <c r="EN144" s="610" t="s">
        <v>1707</v>
      </c>
      <c r="EO144" s="610" t="s">
        <v>1707</v>
      </c>
      <c r="EP144" s="610" t="s">
        <v>1707</v>
      </c>
      <c r="EQ144" s="610" t="s">
        <v>1707</v>
      </c>
      <c r="ER144" s="610" t="s">
        <v>1707</v>
      </c>
      <c r="ES144" s="610" t="s">
        <v>1707</v>
      </c>
      <c r="ET144" s="610" t="s">
        <v>1707</v>
      </c>
      <c r="EU144" s="610">
        <v>4040</v>
      </c>
      <c r="EV144" s="610" t="s">
        <v>1707</v>
      </c>
      <c r="EW144" s="610" t="s">
        <v>1707</v>
      </c>
      <c r="EX144" s="610" t="s">
        <v>1707</v>
      </c>
      <c r="EY144" s="610" t="s">
        <v>1707</v>
      </c>
      <c r="EZ144" s="610" t="s">
        <v>1707</v>
      </c>
      <c r="FA144" s="610" t="s">
        <v>1707</v>
      </c>
      <c r="FB144" s="610" t="s">
        <v>1707</v>
      </c>
      <c r="FC144" s="610" t="s">
        <v>1707</v>
      </c>
      <c r="FD144" s="610" t="s">
        <v>1707</v>
      </c>
      <c r="FE144" s="610" t="s">
        <v>1707</v>
      </c>
      <c r="FF144" s="610" t="s">
        <v>1707</v>
      </c>
      <c r="FG144" s="610" t="s">
        <v>1707</v>
      </c>
      <c r="FH144" s="610">
        <v>11</v>
      </c>
      <c r="FI144" s="610">
        <v>11</v>
      </c>
      <c r="FJ144" s="610">
        <v>11</v>
      </c>
      <c r="FK144" s="610">
        <v>11</v>
      </c>
      <c r="FL144" s="610">
        <v>11</v>
      </c>
      <c r="FM144" s="610">
        <v>11</v>
      </c>
      <c r="FN144" s="610">
        <v>11</v>
      </c>
      <c r="FO144" s="610">
        <v>11</v>
      </c>
      <c r="FP144" s="610">
        <v>11</v>
      </c>
      <c r="FQ144" s="610">
        <v>11</v>
      </c>
      <c r="FR144" s="610" t="s">
        <v>2487</v>
      </c>
      <c r="FS144" s="610" t="s">
        <v>2487</v>
      </c>
      <c r="FT144" s="610" t="s">
        <v>2487</v>
      </c>
      <c r="FU144" s="610" t="s">
        <v>2487</v>
      </c>
      <c r="FV144" s="610" t="s">
        <v>2487</v>
      </c>
      <c r="FW144" s="610" t="s">
        <v>2487</v>
      </c>
      <c r="FX144" s="610" t="s">
        <v>2487</v>
      </c>
      <c r="FY144" s="610" t="s">
        <v>2487</v>
      </c>
      <c r="FZ144" s="610" t="s">
        <v>2487</v>
      </c>
      <c r="GA144" s="610" t="s">
        <v>2487</v>
      </c>
      <c r="GB144" s="610" t="s">
        <v>2487</v>
      </c>
      <c r="GC144" s="610" t="s">
        <v>2487</v>
      </c>
      <c r="GD144" s="564">
        <f t="shared" si="33"/>
        <v>79950</v>
      </c>
      <c r="GE144" s="564">
        <f t="shared" si="34"/>
        <v>79950</v>
      </c>
      <c r="GF144" s="564">
        <f t="shared" si="35"/>
        <v>79950</v>
      </c>
      <c r="GG144" s="564">
        <f t="shared" si="36"/>
        <v>79950</v>
      </c>
      <c r="GH144" s="564">
        <f t="shared" si="37"/>
        <v>79950</v>
      </c>
      <c r="GI144" s="564">
        <f t="shared" si="38"/>
        <v>79950</v>
      </c>
      <c r="GJ144" s="564">
        <f t="shared" si="39"/>
        <v>79950</v>
      </c>
      <c r="GK144" s="564">
        <f t="shared" si="40"/>
        <v>79950</v>
      </c>
      <c r="GL144" s="564">
        <f t="shared" si="41"/>
        <v>79950</v>
      </c>
      <c r="GM144" s="564">
        <f t="shared" si="42"/>
        <v>79950</v>
      </c>
      <c r="GN144" s="564">
        <f t="shared" si="43"/>
        <v>79950</v>
      </c>
      <c r="GO144" s="564">
        <f t="shared" si="44"/>
        <v>79950</v>
      </c>
      <c r="GP144" s="564"/>
      <c r="GS144" s="375" t="s">
        <v>1524</v>
      </c>
      <c r="GT144" s="374" t="str">
        <f t="shared" si="31"/>
        <v>〇</v>
      </c>
    </row>
    <row r="145" spans="2:202">
      <c r="B145" s="371">
        <v>141</v>
      </c>
      <c r="C145" s="378">
        <v>141</v>
      </c>
      <c r="D145" s="373" t="s">
        <v>1525</v>
      </c>
      <c r="E145" s="373" t="s">
        <v>14</v>
      </c>
      <c r="F145" s="603">
        <f t="shared" si="45"/>
        <v>102</v>
      </c>
      <c r="G145" s="603"/>
      <c r="H145" s="603">
        <v>60</v>
      </c>
      <c r="I145" s="603">
        <v>42</v>
      </c>
      <c r="J145" s="603"/>
      <c r="K145" s="603"/>
      <c r="L145" s="603"/>
      <c r="M145" s="603"/>
      <c r="N145" s="608"/>
      <c r="O145" s="603">
        <v>1577000</v>
      </c>
      <c r="P145" s="603">
        <v>2721000</v>
      </c>
      <c r="Q145" s="603">
        <v>2721000</v>
      </c>
      <c r="R145" s="603">
        <v>1791000</v>
      </c>
      <c r="S145" s="603">
        <v>0</v>
      </c>
      <c r="T145" s="603">
        <v>4362000</v>
      </c>
      <c r="U145" s="603">
        <v>2181000</v>
      </c>
      <c r="V145" s="603">
        <v>1051000</v>
      </c>
      <c r="W145" s="603">
        <v>1814000</v>
      </c>
      <c r="X145" s="603">
        <v>1814000</v>
      </c>
      <c r="Y145" s="603">
        <v>1194000</v>
      </c>
      <c r="Z145" s="603">
        <v>0</v>
      </c>
      <c r="AA145" s="603">
        <v>2908000</v>
      </c>
      <c r="AB145" s="603">
        <v>1454000</v>
      </c>
      <c r="AC145" s="603">
        <v>526000</v>
      </c>
      <c r="AD145" s="603">
        <v>907000</v>
      </c>
      <c r="AE145" s="603">
        <v>907000</v>
      </c>
      <c r="AF145" s="603">
        <v>597000</v>
      </c>
      <c r="AG145" s="603">
        <v>0</v>
      </c>
      <c r="AH145" s="603">
        <v>1454000</v>
      </c>
      <c r="AI145" s="603">
        <v>727000</v>
      </c>
      <c r="AJ145" s="604" t="s">
        <v>2377</v>
      </c>
      <c r="AK145" s="605" t="s">
        <v>2378</v>
      </c>
      <c r="AL145" s="605" t="s">
        <v>2490</v>
      </c>
      <c r="AM145" s="606" t="s">
        <v>2407</v>
      </c>
      <c r="AN145" s="609" t="s">
        <v>12</v>
      </c>
      <c r="AO145" s="610" t="s">
        <v>13</v>
      </c>
      <c r="AP145" s="610" t="s">
        <v>13</v>
      </c>
      <c r="AQ145" s="610" t="s">
        <v>13</v>
      </c>
      <c r="AR145" s="610" t="s">
        <v>13</v>
      </c>
      <c r="AS145" s="610" t="s">
        <v>13</v>
      </c>
      <c r="AT145" s="610" t="s">
        <v>13</v>
      </c>
      <c r="AU145" s="610" t="s">
        <v>13</v>
      </c>
      <c r="AV145" s="610" t="s">
        <v>13</v>
      </c>
      <c r="AW145" s="610" t="s">
        <v>13</v>
      </c>
      <c r="AX145" s="610" t="s">
        <v>13</v>
      </c>
      <c r="AY145" s="610" t="s">
        <v>13</v>
      </c>
      <c r="AZ145" s="610" t="s">
        <v>13</v>
      </c>
      <c r="BA145" s="610" t="s">
        <v>12</v>
      </c>
      <c r="BB145" s="610" t="s">
        <v>12</v>
      </c>
      <c r="BC145" s="610" t="s">
        <v>12</v>
      </c>
      <c r="BD145" s="610" t="s">
        <v>12</v>
      </c>
      <c r="BE145" s="610" t="s">
        <v>12</v>
      </c>
      <c r="BF145" s="610" t="s">
        <v>12</v>
      </c>
      <c r="BG145" s="610" t="s">
        <v>12</v>
      </c>
      <c r="BH145" s="610" t="s">
        <v>12</v>
      </c>
      <c r="BI145" s="610" t="s">
        <v>12</v>
      </c>
      <c r="BJ145" s="610" t="s">
        <v>12</v>
      </c>
      <c r="BK145" s="610" t="s">
        <v>12</v>
      </c>
      <c r="BL145" s="610" t="s">
        <v>12</v>
      </c>
      <c r="BM145" s="610">
        <v>1</v>
      </c>
      <c r="BN145" s="610">
        <v>1</v>
      </c>
      <c r="BO145" s="610">
        <v>2</v>
      </c>
      <c r="BP145" s="610">
        <v>2</v>
      </c>
      <c r="BQ145" s="610">
        <v>2</v>
      </c>
      <c r="BR145" s="610">
        <v>2</v>
      </c>
      <c r="BS145" s="610">
        <v>2</v>
      </c>
      <c r="BT145" s="610">
        <v>2</v>
      </c>
      <c r="BU145" s="610">
        <v>2</v>
      </c>
      <c r="BV145" s="610">
        <v>2</v>
      </c>
      <c r="BW145" s="610">
        <v>2</v>
      </c>
      <c r="BX145" s="610">
        <v>2</v>
      </c>
      <c r="BY145" s="610">
        <v>0</v>
      </c>
      <c r="BZ145" s="610">
        <v>0</v>
      </c>
      <c r="CA145" s="610">
        <v>0</v>
      </c>
      <c r="CB145" s="610">
        <v>0</v>
      </c>
      <c r="CC145" s="610">
        <v>0</v>
      </c>
      <c r="CD145" s="610">
        <v>0</v>
      </c>
      <c r="CE145" s="610">
        <v>0</v>
      </c>
      <c r="CF145" s="610">
        <v>0</v>
      </c>
      <c r="CG145" s="610">
        <v>0</v>
      </c>
      <c r="CH145" s="610">
        <v>0</v>
      </c>
      <c r="CI145" s="610">
        <v>0</v>
      </c>
      <c r="CJ145" s="610">
        <v>0</v>
      </c>
      <c r="CK145" s="610">
        <v>0</v>
      </c>
      <c r="CL145" s="610">
        <v>0</v>
      </c>
      <c r="CM145" s="610">
        <v>0</v>
      </c>
      <c r="CN145" s="610">
        <v>0</v>
      </c>
      <c r="CO145" s="610">
        <v>0</v>
      </c>
      <c r="CP145" s="610">
        <v>0</v>
      </c>
      <c r="CQ145" s="610">
        <v>0</v>
      </c>
      <c r="CR145" s="610">
        <v>0</v>
      </c>
      <c r="CS145" s="610">
        <v>0</v>
      </c>
      <c r="CT145" s="610">
        <v>0</v>
      </c>
      <c r="CU145" s="610">
        <v>0</v>
      </c>
      <c r="CV145" s="610">
        <v>0</v>
      </c>
      <c r="CW145" s="610" t="s">
        <v>14</v>
      </c>
      <c r="CX145" s="610">
        <v>0</v>
      </c>
      <c r="CY145" s="610" t="s">
        <v>1707</v>
      </c>
      <c r="CZ145" s="610" t="s">
        <v>1707</v>
      </c>
      <c r="DA145" s="610" t="s">
        <v>1707</v>
      </c>
      <c r="DB145" s="610" t="s">
        <v>1707</v>
      </c>
      <c r="DC145" s="610" t="s">
        <v>1707</v>
      </c>
      <c r="DD145" s="610" t="s">
        <v>1707</v>
      </c>
      <c r="DE145" s="610" t="s">
        <v>1707</v>
      </c>
      <c r="DF145" s="610" t="s">
        <v>1707</v>
      </c>
      <c r="DG145" s="610" t="s">
        <v>1707</v>
      </c>
      <c r="DH145" s="610" t="s">
        <v>1707</v>
      </c>
      <c r="DI145" s="610" t="s">
        <v>1707</v>
      </c>
      <c r="DJ145" s="610" t="s">
        <v>1707</v>
      </c>
      <c r="DK145" s="610" t="s">
        <v>1368</v>
      </c>
      <c r="DL145" s="610" t="s">
        <v>1368</v>
      </c>
      <c r="DM145" s="610" t="s">
        <v>1368</v>
      </c>
      <c r="DN145" s="610" t="s">
        <v>1368</v>
      </c>
      <c r="DO145" s="610" t="s">
        <v>1368</v>
      </c>
      <c r="DP145" s="610" t="s">
        <v>1368</v>
      </c>
      <c r="DQ145" s="610" t="s">
        <v>1368</v>
      </c>
      <c r="DR145" s="610" t="s">
        <v>1368</v>
      </c>
      <c r="DS145" s="610" t="s">
        <v>1368</v>
      </c>
      <c r="DT145" s="610" t="s">
        <v>1368</v>
      </c>
      <c r="DU145" s="610" t="s">
        <v>1368</v>
      </c>
      <c r="DV145" s="610" t="s">
        <v>1368</v>
      </c>
      <c r="DW145" s="609" t="s">
        <v>1368</v>
      </c>
      <c r="DX145" s="609" t="s">
        <v>1368</v>
      </c>
      <c r="DY145" s="609" t="s">
        <v>1368</v>
      </c>
      <c r="DZ145" s="609" t="s">
        <v>1368</v>
      </c>
      <c r="EA145" s="609" t="s">
        <v>1368</v>
      </c>
      <c r="EB145" s="609" t="s">
        <v>1368</v>
      </c>
      <c r="EC145" s="609" t="s">
        <v>1368</v>
      </c>
      <c r="ED145" s="609" t="s">
        <v>1368</v>
      </c>
      <c r="EE145" s="609" t="s">
        <v>1368</v>
      </c>
      <c r="EF145" s="609" t="s">
        <v>1368</v>
      </c>
      <c r="EG145" s="609" t="s">
        <v>1368</v>
      </c>
      <c r="EH145" s="609" t="s">
        <v>1368</v>
      </c>
      <c r="EI145" s="610" t="s">
        <v>1707</v>
      </c>
      <c r="EJ145" s="610" t="s">
        <v>1707</v>
      </c>
      <c r="EK145" s="610" t="s">
        <v>1707</v>
      </c>
      <c r="EL145" s="610" t="s">
        <v>1707</v>
      </c>
      <c r="EM145" s="610" t="s">
        <v>1707</v>
      </c>
      <c r="EN145" s="610" t="s">
        <v>1707</v>
      </c>
      <c r="EO145" s="610" t="s">
        <v>1707</v>
      </c>
      <c r="EP145" s="610" t="s">
        <v>1707</v>
      </c>
      <c r="EQ145" s="610" t="s">
        <v>1707</v>
      </c>
      <c r="ER145" s="610" t="s">
        <v>1707</v>
      </c>
      <c r="ES145" s="610" t="s">
        <v>1707</v>
      </c>
      <c r="ET145" s="610" t="s">
        <v>1707</v>
      </c>
      <c r="EU145" s="610">
        <v>3950</v>
      </c>
      <c r="EV145" s="610" t="s">
        <v>1707</v>
      </c>
      <c r="EW145" s="610" t="s">
        <v>1707</v>
      </c>
      <c r="EX145" s="610" t="s">
        <v>1707</v>
      </c>
      <c r="EY145" s="610" t="s">
        <v>1707</v>
      </c>
      <c r="EZ145" s="610" t="s">
        <v>1707</v>
      </c>
      <c r="FA145" s="610" t="s">
        <v>1707</v>
      </c>
      <c r="FB145" s="610" t="s">
        <v>1707</v>
      </c>
      <c r="FC145" s="610" t="s">
        <v>1707</v>
      </c>
      <c r="FD145" s="610" t="s">
        <v>1707</v>
      </c>
      <c r="FE145" s="610" t="s">
        <v>1707</v>
      </c>
      <c r="FF145" s="610" t="s">
        <v>1707</v>
      </c>
      <c r="FG145" s="610" t="s">
        <v>1707</v>
      </c>
      <c r="FH145" s="610">
        <v>47</v>
      </c>
      <c r="FI145" s="610">
        <v>47</v>
      </c>
      <c r="FJ145" s="610">
        <v>47</v>
      </c>
      <c r="FK145" s="610">
        <v>47</v>
      </c>
      <c r="FL145" s="610">
        <v>46</v>
      </c>
      <c r="FM145" s="610">
        <v>45</v>
      </c>
      <c r="FN145" s="610">
        <v>45</v>
      </c>
      <c r="FO145" s="610">
        <v>45</v>
      </c>
      <c r="FP145" s="610">
        <v>45</v>
      </c>
      <c r="FQ145" s="610">
        <v>45</v>
      </c>
      <c r="FR145" s="610" t="s">
        <v>2487</v>
      </c>
      <c r="FS145" s="610" t="s">
        <v>2487</v>
      </c>
      <c r="FT145" s="610" t="s">
        <v>2487</v>
      </c>
      <c r="FU145" s="610" t="s">
        <v>2487</v>
      </c>
      <c r="FV145" s="610" t="s">
        <v>2487</v>
      </c>
      <c r="FW145" s="610" t="s">
        <v>2487</v>
      </c>
      <c r="FX145" s="610" t="s">
        <v>2487</v>
      </c>
      <c r="FY145" s="610" t="s">
        <v>2487</v>
      </c>
      <c r="FZ145" s="610" t="s">
        <v>2487</v>
      </c>
      <c r="GA145" s="610" t="s">
        <v>2487</v>
      </c>
      <c r="GB145" s="610" t="s">
        <v>2487</v>
      </c>
      <c r="GC145" s="610" t="s">
        <v>2487</v>
      </c>
      <c r="GD145" s="564">
        <f t="shared" si="33"/>
        <v>79950</v>
      </c>
      <c r="GE145" s="564">
        <f t="shared" si="34"/>
        <v>79950</v>
      </c>
      <c r="GF145" s="564">
        <f t="shared" si="35"/>
        <v>79950</v>
      </c>
      <c r="GG145" s="564">
        <f t="shared" si="36"/>
        <v>79950</v>
      </c>
      <c r="GH145" s="564">
        <f t="shared" si="37"/>
        <v>79950</v>
      </c>
      <c r="GI145" s="564">
        <f t="shared" si="38"/>
        <v>79950</v>
      </c>
      <c r="GJ145" s="564">
        <f t="shared" si="39"/>
        <v>79950</v>
      </c>
      <c r="GK145" s="564">
        <f t="shared" si="40"/>
        <v>79950</v>
      </c>
      <c r="GL145" s="564">
        <f t="shared" si="41"/>
        <v>79950</v>
      </c>
      <c r="GM145" s="564">
        <f t="shared" si="42"/>
        <v>79950</v>
      </c>
      <c r="GN145" s="564">
        <f t="shared" si="43"/>
        <v>79950</v>
      </c>
      <c r="GO145" s="564">
        <f t="shared" si="44"/>
        <v>79950</v>
      </c>
      <c r="GP145" s="564"/>
      <c r="GS145" s="375" t="s">
        <v>1525</v>
      </c>
      <c r="GT145" s="374" t="str">
        <f t="shared" si="31"/>
        <v>〇</v>
      </c>
    </row>
    <row r="146" spans="2:202">
      <c r="B146" s="371">
        <v>142</v>
      </c>
      <c r="C146" s="378">
        <v>142</v>
      </c>
      <c r="D146" s="373" t="s">
        <v>1526</v>
      </c>
      <c r="E146" s="373" t="s">
        <v>14</v>
      </c>
      <c r="F146" s="603">
        <f t="shared" si="45"/>
        <v>50</v>
      </c>
      <c r="G146" s="603"/>
      <c r="H146" s="603">
        <v>26</v>
      </c>
      <c r="I146" s="603">
        <v>24</v>
      </c>
      <c r="J146" s="603"/>
      <c r="K146" s="603"/>
      <c r="L146" s="603"/>
      <c r="M146" s="603"/>
      <c r="N146" s="608"/>
      <c r="O146" s="603">
        <v>1577000</v>
      </c>
      <c r="P146" s="603">
        <v>2721000</v>
      </c>
      <c r="Q146" s="603">
        <v>2721000</v>
      </c>
      <c r="R146" s="603">
        <v>1791000</v>
      </c>
      <c r="S146" s="603">
        <v>0</v>
      </c>
      <c r="T146" s="603">
        <v>2181000</v>
      </c>
      <c r="U146" s="603">
        <v>0</v>
      </c>
      <c r="V146" s="603">
        <v>1051000</v>
      </c>
      <c r="W146" s="603">
        <v>1814000</v>
      </c>
      <c r="X146" s="603">
        <v>1814000</v>
      </c>
      <c r="Y146" s="603">
        <v>1194000</v>
      </c>
      <c r="Z146" s="603">
        <v>0</v>
      </c>
      <c r="AA146" s="603">
        <v>1454000</v>
      </c>
      <c r="AB146" s="603">
        <v>0</v>
      </c>
      <c r="AC146" s="603">
        <v>526000</v>
      </c>
      <c r="AD146" s="603">
        <v>907000</v>
      </c>
      <c r="AE146" s="603">
        <v>907000</v>
      </c>
      <c r="AF146" s="603">
        <v>597000</v>
      </c>
      <c r="AG146" s="603">
        <v>0</v>
      </c>
      <c r="AH146" s="603">
        <v>727000</v>
      </c>
      <c r="AI146" s="603">
        <v>0</v>
      </c>
      <c r="AJ146" s="604" t="s">
        <v>2377</v>
      </c>
      <c r="AK146" s="605" t="s">
        <v>2378</v>
      </c>
      <c r="AL146" s="605" t="s">
        <v>2490</v>
      </c>
      <c r="AM146" s="606" t="s">
        <v>2408</v>
      </c>
      <c r="AN146" s="609" t="s">
        <v>12</v>
      </c>
      <c r="AO146" s="610" t="s">
        <v>2485</v>
      </c>
      <c r="AP146" s="610" t="s">
        <v>2485</v>
      </c>
      <c r="AQ146" s="610" t="s">
        <v>2485</v>
      </c>
      <c r="AR146" s="610" t="s">
        <v>2485</v>
      </c>
      <c r="AS146" s="610" t="s">
        <v>2485</v>
      </c>
      <c r="AT146" s="610" t="s">
        <v>2485</v>
      </c>
      <c r="AU146" s="610" t="s">
        <v>2485</v>
      </c>
      <c r="AV146" s="610" t="s">
        <v>2485</v>
      </c>
      <c r="AW146" s="610" t="s">
        <v>2485</v>
      </c>
      <c r="AX146" s="610" t="s">
        <v>2485</v>
      </c>
      <c r="AY146" s="610" t="s">
        <v>2485</v>
      </c>
      <c r="AZ146" s="610" t="s">
        <v>2485</v>
      </c>
      <c r="BA146" s="610" t="s">
        <v>1368</v>
      </c>
      <c r="BB146" s="610" t="s">
        <v>1368</v>
      </c>
      <c r="BC146" s="610" t="s">
        <v>1368</v>
      </c>
      <c r="BD146" s="610" t="s">
        <v>1368</v>
      </c>
      <c r="BE146" s="610" t="s">
        <v>1368</v>
      </c>
      <c r="BF146" s="610" t="s">
        <v>1368</v>
      </c>
      <c r="BG146" s="610" t="s">
        <v>1368</v>
      </c>
      <c r="BH146" s="610" t="s">
        <v>1368</v>
      </c>
      <c r="BI146" s="610" t="s">
        <v>1368</v>
      </c>
      <c r="BJ146" s="610" t="s">
        <v>1368</v>
      </c>
      <c r="BK146" s="610" t="s">
        <v>1368</v>
      </c>
      <c r="BL146" s="610" t="s">
        <v>1368</v>
      </c>
      <c r="BM146" s="610">
        <v>1</v>
      </c>
      <c r="BN146" s="610">
        <v>1</v>
      </c>
      <c r="BO146" s="610">
        <v>1</v>
      </c>
      <c r="BP146" s="610">
        <v>1</v>
      </c>
      <c r="BQ146" s="610">
        <v>1</v>
      </c>
      <c r="BR146" s="610">
        <v>1</v>
      </c>
      <c r="BS146" s="610">
        <v>1</v>
      </c>
      <c r="BT146" s="610">
        <v>2</v>
      </c>
      <c r="BU146" s="610">
        <v>2</v>
      </c>
      <c r="BV146" s="610">
        <v>2</v>
      </c>
      <c r="BW146" s="610">
        <v>2</v>
      </c>
      <c r="BX146" s="610">
        <v>2</v>
      </c>
      <c r="BY146" s="610">
        <v>0</v>
      </c>
      <c r="BZ146" s="610">
        <v>0</v>
      </c>
      <c r="CA146" s="610">
        <v>0</v>
      </c>
      <c r="CB146" s="610">
        <v>0</v>
      </c>
      <c r="CC146" s="610">
        <v>0</v>
      </c>
      <c r="CD146" s="610">
        <v>0</v>
      </c>
      <c r="CE146" s="610">
        <v>0</v>
      </c>
      <c r="CF146" s="610">
        <v>0</v>
      </c>
      <c r="CG146" s="610">
        <v>0</v>
      </c>
      <c r="CH146" s="610">
        <v>0</v>
      </c>
      <c r="CI146" s="610">
        <v>0</v>
      </c>
      <c r="CJ146" s="610">
        <v>0</v>
      </c>
      <c r="CK146" s="610">
        <v>0</v>
      </c>
      <c r="CL146" s="610">
        <v>0</v>
      </c>
      <c r="CM146" s="610">
        <v>0</v>
      </c>
      <c r="CN146" s="610">
        <v>0</v>
      </c>
      <c r="CO146" s="610">
        <v>0</v>
      </c>
      <c r="CP146" s="610">
        <v>0</v>
      </c>
      <c r="CQ146" s="610">
        <v>0</v>
      </c>
      <c r="CR146" s="610">
        <v>0</v>
      </c>
      <c r="CS146" s="610">
        <v>0</v>
      </c>
      <c r="CT146" s="610">
        <v>0</v>
      </c>
      <c r="CU146" s="610">
        <v>0</v>
      </c>
      <c r="CV146" s="610">
        <v>0</v>
      </c>
      <c r="CW146" s="610" t="s">
        <v>14</v>
      </c>
      <c r="CX146" s="610">
        <v>0</v>
      </c>
      <c r="CY146" s="610" t="s">
        <v>1707</v>
      </c>
      <c r="CZ146" s="610" t="s">
        <v>1707</v>
      </c>
      <c r="DA146" s="610" t="s">
        <v>1707</v>
      </c>
      <c r="DB146" s="610" t="s">
        <v>1707</v>
      </c>
      <c r="DC146" s="610" t="s">
        <v>1707</v>
      </c>
      <c r="DD146" s="610" t="s">
        <v>1707</v>
      </c>
      <c r="DE146" s="610" t="s">
        <v>1707</v>
      </c>
      <c r="DF146" s="610" t="s">
        <v>1707</v>
      </c>
      <c r="DG146" s="610" t="s">
        <v>1707</v>
      </c>
      <c r="DH146" s="610" t="s">
        <v>1707</v>
      </c>
      <c r="DI146" s="610" t="s">
        <v>1707</v>
      </c>
      <c r="DJ146" s="610" t="s">
        <v>1707</v>
      </c>
      <c r="DK146" s="610" t="s">
        <v>1368</v>
      </c>
      <c r="DL146" s="610" t="s">
        <v>1368</v>
      </c>
      <c r="DM146" s="610" t="s">
        <v>1368</v>
      </c>
      <c r="DN146" s="610" t="s">
        <v>1368</v>
      </c>
      <c r="DO146" s="610" t="s">
        <v>1368</v>
      </c>
      <c r="DP146" s="610" t="s">
        <v>1368</v>
      </c>
      <c r="DQ146" s="610" t="s">
        <v>1368</v>
      </c>
      <c r="DR146" s="610" t="s">
        <v>1368</v>
      </c>
      <c r="DS146" s="610" t="s">
        <v>1368</v>
      </c>
      <c r="DT146" s="610" t="s">
        <v>1368</v>
      </c>
      <c r="DU146" s="610" t="s">
        <v>1368</v>
      </c>
      <c r="DV146" s="610" t="s">
        <v>1368</v>
      </c>
      <c r="DW146" s="609" t="s">
        <v>1368</v>
      </c>
      <c r="DX146" s="609" t="s">
        <v>1368</v>
      </c>
      <c r="DY146" s="609" t="s">
        <v>1368</v>
      </c>
      <c r="DZ146" s="609" t="s">
        <v>1368</v>
      </c>
      <c r="EA146" s="609" t="s">
        <v>1368</v>
      </c>
      <c r="EB146" s="609" t="s">
        <v>1368</v>
      </c>
      <c r="EC146" s="609" t="s">
        <v>1368</v>
      </c>
      <c r="ED146" s="609" t="s">
        <v>1368</v>
      </c>
      <c r="EE146" s="609" t="s">
        <v>1368</v>
      </c>
      <c r="EF146" s="609" t="s">
        <v>1368</v>
      </c>
      <c r="EG146" s="609" t="s">
        <v>1368</v>
      </c>
      <c r="EH146" s="609" t="s">
        <v>1368</v>
      </c>
      <c r="EI146" s="610" t="s">
        <v>1707</v>
      </c>
      <c r="EJ146" s="610" t="s">
        <v>1707</v>
      </c>
      <c r="EK146" s="610" t="s">
        <v>1707</v>
      </c>
      <c r="EL146" s="610" t="s">
        <v>1707</v>
      </c>
      <c r="EM146" s="610" t="s">
        <v>1707</v>
      </c>
      <c r="EN146" s="610" t="s">
        <v>1707</v>
      </c>
      <c r="EO146" s="610" t="s">
        <v>1707</v>
      </c>
      <c r="EP146" s="610" t="s">
        <v>1707</v>
      </c>
      <c r="EQ146" s="610" t="s">
        <v>1707</v>
      </c>
      <c r="ER146" s="610" t="s">
        <v>1707</v>
      </c>
      <c r="ES146" s="610" t="s">
        <v>1707</v>
      </c>
      <c r="ET146" s="610" t="s">
        <v>1707</v>
      </c>
      <c r="EU146" s="610">
        <v>3860</v>
      </c>
      <c r="EV146" s="610" t="s">
        <v>1707</v>
      </c>
      <c r="EW146" s="610" t="s">
        <v>1707</v>
      </c>
      <c r="EX146" s="610" t="s">
        <v>1707</v>
      </c>
      <c r="EY146" s="610" t="s">
        <v>1707</v>
      </c>
      <c r="EZ146" s="610" t="s">
        <v>1707</v>
      </c>
      <c r="FA146" s="610" t="s">
        <v>1707</v>
      </c>
      <c r="FB146" s="610" t="s">
        <v>1707</v>
      </c>
      <c r="FC146" s="610" t="s">
        <v>1707</v>
      </c>
      <c r="FD146" s="610" t="s">
        <v>1707</v>
      </c>
      <c r="FE146" s="610" t="s">
        <v>1707</v>
      </c>
      <c r="FF146" s="610" t="s">
        <v>1707</v>
      </c>
      <c r="FG146" s="610" t="s">
        <v>1707</v>
      </c>
      <c r="FH146" s="610">
        <v>22</v>
      </c>
      <c r="FI146" s="610">
        <v>22</v>
      </c>
      <c r="FJ146" s="610">
        <v>22</v>
      </c>
      <c r="FK146" s="610">
        <v>22</v>
      </c>
      <c r="FL146" s="610">
        <v>21</v>
      </c>
      <c r="FM146" s="610">
        <v>21</v>
      </c>
      <c r="FN146" s="610">
        <v>21</v>
      </c>
      <c r="FO146" s="610">
        <v>21</v>
      </c>
      <c r="FP146" s="610">
        <v>21</v>
      </c>
      <c r="FQ146" s="610">
        <v>21</v>
      </c>
      <c r="FR146" s="610" t="s">
        <v>2487</v>
      </c>
      <c r="FS146" s="610" t="s">
        <v>2487</v>
      </c>
      <c r="FT146" s="610" t="s">
        <v>2487</v>
      </c>
      <c r="FU146" s="610" t="s">
        <v>2487</v>
      </c>
      <c r="FV146" s="610" t="s">
        <v>2487</v>
      </c>
      <c r="FW146" s="610" t="s">
        <v>2487</v>
      </c>
      <c r="FX146" s="610" t="s">
        <v>2487</v>
      </c>
      <c r="FY146" s="610" t="s">
        <v>2487</v>
      </c>
      <c r="FZ146" s="610" t="s">
        <v>2487</v>
      </c>
      <c r="GA146" s="610" t="s">
        <v>2487</v>
      </c>
      <c r="GB146" s="610" t="s">
        <v>2487</v>
      </c>
      <c r="GC146" s="610" t="s">
        <v>2487</v>
      </c>
      <c r="GD146" s="564">
        <f t="shared" si="33"/>
        <v>79950</v>
      </c>
      <c r="GE146" s="564">
        <f t="shared" si="34"/>
        <v>79950</v>
      </c>
      <c r="GF146" s="564">
        <f t="shared" si="35"/>
        <v>79950</v>
      </c>
      <c r="GG146" s="564">
        <f t="shared" si="36"/>
        <v>79950</v>
      </c>
      <c r="GH146" s="564">
        <f t="shared" si="37"/>
        <v>79950</v>
      </c>
      <c r="GI146" s="564">
        <f t="shared" si="38"/>
        <v>79950</v>
      </c>
      <c r="GJ146" s="564">
        <f t="shared" si="39"/>
        <v>79950</v>
      </c>
      <c r="GK146" s="564">
        <f t="shared" si="40"/>
        <v>79950</v>
      </c>
      <c r="GL146" s="564">
        <f t="shared" si="41"/>
        <v>79950</v>
      </c>
      <c r="GM146" s="564">
        <f t="shared" si="42"/>
        <v>79950</v>
      </c>
      <c r="GN146" s="564">
        <f t="shared" si="43"/>
        <v>79950</v>
      </c>
      <c r="GO146" s="564">
        <f t="shared" si="44"/>
        <v>79950</v>
      </c>
      <c r="GP146" s="564"/>
      <c r="GS146" s="375" t="s">
        <v>1526</v>
      </c>
      <c r="GT146" s="374" t="str">
        <f t="shared" si="31"/>
        <v>〇</v>
      </c>
    </row>
    <row r="147" spans="2:202">
      <c r="B147" s="371">
        <v>143</v>
      </c>
      <c r="C147" s="378">
        <v>143</v>
      </c>
      <c r="D147" s="373" t="s">
        <v>1527</v>
      </c>
      <c r="E147" s="373" t="s">
        <v>14</v>
      </c>
      <c r="F147" s="603">
        <f t="shared" si="45"/>
        <v>59</v>
      </c>
      <c r="G147" s="603"/>
      <c r="H147" s="603">
        <v>35</v>
      </c>
      <c r="I147" s="603">
        <v>24</v>
      </c>
      <c r="J147" s="603"/>
      <c r="K147" s="603"/>
      <c r="L147" s="603"/>
      <c r="M147" s="603"/>
      <c r="N147" s="608"/>
      <c r="O147" s="603">
        <v>1577000</v>
      </c>
      <c r="P147" s="603">
        <v>2721000</v>
      </c>
      <c r="Q147" s="603">
        <v>2721000</v>
      </c>
      <c r="R147" s="603">
        <v>1791000</v>
      </c>
      <c r="S147" s="603">
        <v>0</v>
      </c>
      <c r="T147" s="603">
        <v>2181000</v>
      </c>
      <c r="U147" s="603">
        <v>0</v>
      </c>
      <c r="V147" s="603">
        <v>1051000</v>
      </c>
      <c r="W147" s="603">
        <v>1814000</v>
      </c>
      <c r="X147" s="603">
        <v>1814000</v>
      </c>
      <c r="Y147" s="603">
        <v>1194000</v>
      </c>
      <c r="Z147" s="603">
        <v>0</v>
      </c>
      <c r="AA147" s="603">
        <v>1454000</v>
      </c>
      <c r="AB147" s="603">
        <v>0</v>
      </c>
      <c r="AC147" s="603">
        <v>526000</v>
      </c>
      <c r="AD147" s="603">
        <v>907000</v>
      </c>
      <c r="AE147" s="603">
        <v>907000</v>
      </c>
      <c r="AF147" s="603">
        <v>597000</v>
      </c>
      <c r="AG147" s="603">
        <v>0</v>
      </c>
      <c r="AH147" s="603">
        <v>727000</v>
      </c>
      <c r="AI147" s="603">
        <v>0</v>
      </c>
      <c r="AJ147" s="604" t="s">
        <v>2377</v>
      </c>
      <c r="AK147" s="605" t="s">
        <v>2378</v>
      </c>
      <c r="AL147" s="605" t="s">
        <v>2490</v>
      </c>
      <c r="AM147" s="606" t="s">
        <v>2409</v>
      </c>
      <c r="AN147" s="609" t="s">
        <v>12</v>
      </c>
      <c r="AO147" s="610" t="s">
        <v>2485</v>
      </c>
      <c r="AP147" s="610" t="s">
        <v>2485</v>
      </c>
      <c r="AQ147" s="610" t="s">
        <v>2485</v>
      </c>
      <c r="AR147" s="610" t="s">
        <v>2485</v>
      </c>
      <c r="AS147" s="610" t="s">
        <v>2485</v>
      </c>
      <c r="AT147" s="610" t="s">
        <v>2485</v>
      </c>
      <c r="AU147" s="610" t="s">
        <v>2485</v>
      </c>
      <c r="AV147" s="610" t="s">
        <v>2485</v>
      </c>
      <c r="AW147" s="610" t="s">
        <v>2485</v>
      </c>
      <c r="AX147" s="610" t="s">
        <v>2485</v>
      </c>
      <c r="AY147" s="610" t="s">
        <v>2485</v>
      </c>
      <c r="AZ147" s="610" t="s">
        <v>2485</v>
      </c>
      <c r="BA147" s="610" t="s">
        <v>1368</v>
      </c>
      <c r="BB147" s="610" t="s">
        <v>1368</v>
      </c>
      <c r="BC147" s="610" t="s">
        <v>1368</v>
      </c>
      <c r="BD147" s="610" t="s">
        <v>1368</v>
      </c>
      <c r="BE147" s="610" t="s">
        <v>1368</v>
      </c>
      <c r="BF147" s="610" t="s">
        <v>1368</v>
      </c>
      <c r="BG147" s="610" t="s">
        <v>1368</v>
      </c>
      <c r="BH147" s="610" t="s">
        <v>1368</v>
      </c>
      <c r="BI147" s="610" t="s">
        <v>1368</v>
      </c>
      <c r="BJ147" s="610" t="s">
        <v>1368</v>
      </c>
      <c r="BK147" s="610" t="s">
        <v>1368</v>
      </c>
      <c r="BL147" s="610" t="s">
        <v>1368</v>
      </c>
      <c r="BM147" s="610">
        <v>0</v>
      </c>
      <c r="BN147" s="610">
        <v>0</v>
      </c>
      <c r="BO147" s="610">
        <v>0</v>
      </c>
      <c r="BP147" s="610">
        <v>0</v>
      </c>
      <c r="BQ147" s="610">
        <v>0</v>
      </c>
      <c r="BR147" s="610">
        <v>0</v>
      </c>
      <c r="BS147" s="610">
        <v>0</v>
      </c>
      <c r="BT147" s="610">
        <v>0</v>
      </c>
      <c r="BU147" s="610">
        <v>0</v>
      </c>
      <c r="BV147" s="610">
        <v>0</v>
      </c>
      <c r="BW147" s="610">
        <v>0</v>
      </c>
      <c r="BX147" s="610">
        <v>0</v>
      </c>
      <c r="BY147" s="610">
        <v>0</v>
      </c>
      <c r="BZ147" s="610">
        <v>0</v>
      </c>
      <c r="CA147" s="610">
        <v>0</v>
      </c>
      <c r="CB147" s="610">
        <v>0</v>
      </c>
      <c r="CC147" s="610">
        <v>0</v>
      </c>
      <c r="CD147" s="610">
        <v>0</v>
      </c>
      <c r="CE147" s="610">
        <v>0</v>
      </c>
      <c r="CF147" s="610">
        <v>0</v>
      </c>
      <c r="CG147" s="610">
        <v>0</v>
      </c>
      <c r="CH147" s="610">
        <v>0</v>
      </c>
      <c r="CI147" s="610">
        <v>0</v>
      </c>
      <c r="CJ147" s="610">
        <v>0</v>
      </c>
      <c r="CK147" s="610">
        <v>0</v>
      </c>
      <c r="CL147" s="610">
        <v>0</v>
      </c>
      <c r="CM147" s="610">
        <v>0</v>
      </c>
      <c r="CN147" s="610">
        <v>0</v>
      </c>
      <c r="CO147" s="610">
        <v>0</v>
      </c>
      <c r="CP147" s="610">
        <v>0</v>
      </c>
      <c r="CQ147" s="610">
        <v>0</v>
      </c>
      <c r="CR147" s="610">
        <v>0</v>
      </c>
      <c r="CS147" s="610">
        <v>0</v>
      </c>
      <c r="CT147" s="610">
        <v>0</v>
      </c>
      <c r="CU147" s="610">
        <v>0</v>
      </c>
      <c r="CV147" s="610">
        <v>0</v>
      </c>
      <c r="CW147" s="610" t="s">
        <v>14</v>
      </c>
      <c r="CX147" s="610">
        <v>0</v>
      </c>
      <c r="CY147" s="610" t="s">
        <v>1707</v>
      </c>
      <c r="CZ147" s="610" t="s">
        <v>1707</v>
      </c>
      <c r="DA147" s="610" t="s">
        <v>1707</v>
      </c>
      <c r="DB147" s="610" t="s">
        <v>1707</v>
      </c>
      <c r="DC147" s="610" t="s">
        <v>1707</v>
      </c>
      <c r="DD147" s="610" t="s">
        <v>1707</v>
      </c>
      <c r="DE147" s="610" t="s">
        <v>1707</v>
      </c>
      <c r="DF147" s="610" t="s">
        <v>1707</v>
      </c>
      <c r="DG147" s="610" t="s">
        <v>1707</v>
      </c>
      <c r="DH147" s="610" t="s">
        <v>1707</v>
      </c>
      <c r="DI147" s="610" t="s">
        <v>1707</v>
      </c>
      <c r="DJ147" s="610" t="s">
        <v>1707</v>
      </c>
      <c r="DK147" s="610" t="s">
        <v>1368</v>
      </c>
      <c r="DL147" s="610" t="s">
        <v>1368</v>
      </c>
      <c r="DM147" s="610" t="s">
        <v>1368</v>
      </c>
      <c r="DN147" s="610" t="s">
        <v>1368</v>
      </c>
      <c r="DO147" s="610" t="s">
        <v>1368</v>
      </c>
      <c r="DP147" s="610" t="s">
        <v>1368</v>
      </c>
      <c r="DQ147" s="610" t="s">
        <v>1368</v>
      </c>
      <c r="DR147" s="610" t="s">
        <v>1368</v>
      </c>
      <c r="DS147" s="610" t="s">
        <v>1368</v>
      </c>
      <c r="DT147" s="610" t="s">
        <v>1368</v>
      </c>
      <c r="DU147" s="610" t="s">
        <v>1368</v>
      </c>
      <c r="DV147" s="610" t="s">
        <v>1368</v>
      </c>
      <c r="DW147" s="609" t="s">
        <v>1368</v>
      </c>
      <c r="DX147" s="609" t="s">
        <v>1368</v>
      </c>
      <c r="DY147" s="609" t="s">
        <v>1368</v>
      </c>
      <c r="DZ147" s="609" t="s">
        <v>1368</v>
      </c>
      <c r="EA147" s="609" t="s">
        <v>1368</v>
      </c>
      <c r="EB147" s="609" t="s">
        <v>1368</v>
      </c>
      <c r="EC147" s="609" t="s">
        <v>1368</v>
      </c>
      <c r="ED147" s="609" t="s">
        <v>1368</v>
      </c>
      <c r="EE147" s="609" t="s">
        <v>1368</v>
      </c>
      <c r="EF147" s="609" t="s">
        <v>1368</v>
      </c>
      <c r="EG147" s="609" t="s">
        <v>1368</v>
      </c>
      <c r="EH147" s="609" t="s">
        <v>1368</v>
      </c>
      <c r="EI147" s="610" t="s">
        <v>1707</v>
      </c>
      <c r="EJ147" s="610" t="s">
        <v>1707</v>
      </c>
      <c r="EK147" s="610" t="s">
        <v>1707</v>
      </c>
      <c r="EL147" s="610" t="s">
        <v>1707</v>
      </c>
      <c r="EM147" s="610" t="s">
        <v>1707</v>
      </c>
      <c r="EN147" s="610" t="s">
        <v>1707</v>
      </c>
      <c r="EO147" s="610" t="s">
        <v>1707</v>
      </c>
      <c r="EP147" s="610" t="s">
        <v>1707</v>
      </c>
      <c r="EQ147" s="610" t="s">
        <v>1707</v>
      </c>
      <c r="ER147" s="610" t="s">
        <v>1707</v>
      </c>
      <c r="ES147" s="610" t="s">
        <v>1707</v>
      </c>
      <c r="ET147" s="610" t="s">
        <v>1707</v>
      </c>
      <c r="EU147" s="610">
        <v>3980</v>
      </c>
      <c r="EV147" s="610" t="s">
        <v>1707</v>
      </c>
      <c r="EW147" s="610" t="s">
        <v>1707</v>
      </c>
      <c r="EX147" s="610" t="s">
        <v>1707</v>
      </c>
      <c r="EY147" s="610" t="s">
        <v>1707</v>
      </c>
      <c r="EZ147" s="610" t="s">
        <v>1707</v>
      </c>
      <c r="FA147" s="610" t="s">
        <v>1707</v>
      </c>
      <c r="FB147" s="610" t="s">
        <v>1707</v>
      </c>
      <c r="FC147" s="610" t="s">
        <v>1707</v>
      </c>
      <c r="FD147" s="610" t="s">
        <v>1707</v>
      </c>
      <c r="FE147" s="610" t="s">
        <v>1707</v>
      </c>
      <c r="FF147" s="610" t="s">
        <v>1707</v>
      </c>
      <c r="FG147" s="610" t="s">
        <v>1707</v>
      </c>
      <c r="FH147" s="610">
        <v>24</v>
      </c>
      <c r="FI147" s="610">
        <v>24</v>
      </c>
      <c r="FJ147" s="610">
        <v>24</v>
      </c>
      <c r="FK147" s="610">
        <v>24</v>
      </c>
      <c r="FL147" s="610">
        <v>24</v>
      </c>
      <c r="FM147" s="610">
        <v>24</v>
      </c>
      <c r="FN147" s="610">
        <v>24</v>
      </c>
      <c r="FO147" s="610">
        <v>24</v>
      </c>
      <c r="FP147" s="610">
        <v>24</v>
      </c>
      <c r="FQ147" s="610">
        <v>24</v>
      </c>
      <c r="FR147" s="610" t="s">
        <v>2487</v>
      </c>
      <c r="FS147" s="610" t="s">
        <v>2487</v>
      </c>
      <c r="FT147" s="610" t="s">
        <v>2487</v>
      </c>
      <c r="FU147" s="610" t="s">
        <v>2487</v>
      </c>
      <c r="FV147" s="610" t="s">
        <v>2487</v>
      </c>
      <c r="FW147" s="610" t="s">
        <v>2487</v>
      </c>
      <c r="FX147" s="610" t="s">
        <v>2487</v>
      </c>
      <c r="FY147" s="610" t="s">
        <v>2487</v>
      </c>
      <c r="FZ147" s="610" t="s">
        <v>2487</v>
      </c>
      <c r="GA147" s="610" t="s">
        <v>2487</v>
      </c>
      <c r="GB147" s="610" t="s">
        <v>2487</v>
      </c>
      <c r="GC147" s="610" t="s">
        <v>2487</v>
      </c>
      <c r="GD147" s="564">
        <f t="shared" si="33"/>
        <v>79950</v>
      </c>
      <c r="GE147" s="564">
        <f t="shared" si="34"/>
        <v>79950</v>
      </c>
      <c r="GF147" s="564">
        <f t="shared" si="35"/>
        <v>79950</v>
      </c>
      <c r="GG147" s="564">
        <f t="shared" si="36"/>
        <v>79950</v>
      </c>
      <c r="GH147" s="564">
        <f t="shared" si="37"/>
        <v>79950</v>
      </c>
      <c r="GI147" s="564">
        <f t="shared" si="38"/>
        <v>79950</v>
      </c>
      <c r="GJ147" s="564">
        <f t="shared" si="39"/>
        <v>79950</v>
      </c>
      <c r="GK147" s="564">
        <f t="shared" si="40"/>
        <v>79950</v>
      </c>
      <c r="GL147" s="564">
        <f t="shared" si="41"/>
        <v>79950</v>
      </c>
      <c r="GM147" s="564">
        <f t="shared" si="42"/>
        <v>79950</v>
      </c>
      <c r="GN147" s="564">
        <f t="shared" si="43"/>
        <v>79950</v>
      </c>
      <c r="GO147" s="564">
        <f t="shared" si="44"/>
        <v>79950</v>
      </c>
      <c r="GP147" s="564"/>
      <c r="GS147" s="375" t="s">
        <v>1527</v>
      </c>
      <c r="GT147" s="374" t="str">
        <f t="shared" si="31"/>
        <v>〇</v>
      </c>
    </row>
    <row r="148" spans="2:202">
      <c r="B148" s="371">
        <v>144</v>
      </c>
      <c r="C148" s="378">
        <v>144</v>
      </c>
      <c r="D148" s="373" t="s">
        <v>1528</v>
      </c>
      <c r="E148" s="373" t="s">
        <v>14</v>
      </c>
      <c r="F148" s="603">
        <f t="shared" si="45"/>
        <v>59</v>
      </c>
      <c r="G148" s="603"/>
      <c r="H148" s="603">
        <v>35</v>
      </c>
      <c r="I148" s="603">
        <v>24</v>
      </c>
      <c r="J148" s="603"/>
      <c r="K148" s="603"/>
      <c r="L148" s="603"/>
      <c r="M148" s="603"/>
      <c r="N148" s="608"/>
      <c r="O148" s="603">
        <v>1577000</v>
      </c>
      <c r="P148" s="603">
        <v>2721000</v>
      </c>
      <c r="Q148" s="603">
        <v>2721000</v>
      </c>
      <c r="R148" s="603">
        <v>1791000</v>
      </c>
      <c r="S148" s="603">
        <v>0</v>
      </c>
      <c r="T148" s="603">
        <v>0</v>
      </c>
      <c r="U148" s="603">
        <v>0</v>
      </c>
      <c r="V148" s="603">
        <v>0</v>
      </c>
      <c r="W148" s="603">
        <v>0</v>
      </c>
      <c r="X148" s="603">
        <v>0</v>
      </c>
      <c r="Y148" s="603">
        <v>0</v>
      </c>
      <c r="Z148" s="603">
        <v>0</v>
      </c>
      <c r="AA148" s="603">
        <v>0</v>
      </c>
      <c r="AB148" s="603">
        <v>0</v>
      </c>
      <c r="AC148" s="603">
        <v>0</v>
      </c>
      <c r="AD148" s="603">
        <v>0</v>
      </c>
      <c r="AE148" s="603">
        <v>0</v>
      </c>
      <c r="AF148" s="603">
        <v>0</v>
      </c>
      <c r="AG148" s="603">
        <v>0</v>
      </c>
      <c r="AH148" s="603">
        <v>0</v>
      </c>
      <c r="AI148" s="603">
        <v>0</v>
      </c>
      <c r="AJ148" s="604" t="s">
        <v>2377</v>
      </c>
      <c r="AK148" s="605" t="s">
        <v>1545</v>
      </c>
      <c r="AL148" s="605" t="s">
        <v>1545</v>
      </c>
      <c r="AM148" s="606" t="s">
        <v>2410</v>
      </c>
      <c r="AN148" s="609" t="s">
        <v>12</v>
      </c>
      <c r="AO148" s="610" t="s">
        <v>2485</v>
      </c>
      <c r="AP148" s="610" t="s">
        <v>2485</v>
      </c>
      <c r="AQ148" s="610" t="s">
        <v>2485</v>
      </c>
      <c r="AR148" s="610" t="s">
        <v>2485</v>
      </c>
      <c r="AS148" s="610" t="s">
        <v>2485</v>
      </c>
      <c r="AT148" s="610" t="s">
        <v>2485</v>
      </c>
      <c r="AU148" s="610" t="s">
        <v>2485</v>
      </c>
      <c r="AV148" s="610" t="s">
        <v>2485</v>
      </c>
      <c r="AW148" s="610" t="s">
        <v>2485</v>
      </c>
      <c r="AX148" s="610" t="s">
        <v>2485</v>
      </c>
      <c r="AY148" s="610" t="s">
        <v>2485</v>
      </c>
      <c r="AZ148" s="610" t="s">
        <v>2485</v>
      </c>
      <c r="BA148" s="610" t="s">
        <v>1368</v>
      </c>
      <c r="BB148" s="610" t="s">
        <v>1368</v>
      </c>
      <c r="BC148" s="610" t="s">
        <v>1368</v>
      </c>
      <c r="BD148" s="610" t="s">
        <v>1368</v>
      </c>
      <c r="BE148" s="610" t="s">
        <v>1368</v>
      </c>
      <c r="BF148" s="610" t="s">
        <v>1368</v>
      </c>
      <c r="BG148" s="610" t="s">
        <v>1368</v>
      </c>
      <c r="BH148" s="610" t="s">
        <v>1368</v>
      </c>
      <c r="BI148" s="610" t="s">
        <v>1368</v>
      </c>
      <c r="BJ148" s="610" t="s">
        <v>1368</v>
      </c>
      <c r="BK148" s="610" t="s">
        <v>1368</v>
      </c>
      <c r="BL148" s="610" t="s">
        <v>1368</v>
      </c>
      <c r="BM148" s="610">
        <v>0</v>
      </c>
      <c r="BN148" s="610">
        <v>0</v>
      </c>
      <c r="BO148" s="610">
        <v>0</v>
      </c>
      <c r="BP148" s="610">
        <v>0</v>
      </c>
      <c r="BQ148" s="610">
        <v>0</v>
      </c>
      <c r="BR148" s="610">
        <v>0</v>
      </c>
      <c r="BS148" s="610">
        <v>0</v>
      </c>
      <c r="BT148" s="610">
        <v>0</v>
      </c>
      <c r="BU148" s="610">
        <v>0</v>
      </c>
      <c r="BV148" s="610">
        <v>0</v>
      </c>
      <c r="BW148" s="610">
        <v>0</v>
      </c>
      <c r="BX148" s="610">
        <v>0</v>
      </c>
      <c r="BY148" s="610">
        <v>0</v>
      </c>
      <c r="BZ148" s="610">
        <v>0</v>
      </c>
      <c r="CA148" s="610">
        <v>0</v>
      </c>
      <c r="CB148" s="610">
        <v>0</v>
      </c>
      <c r="CC148" s="610">
        <v>0</v>
      </c>
      <c r="CD148" s="610">
        <v>0</v>
      </c>
      <c r="CE148" s="610">
        <v>0</v>
      </c>
      <c r="CF148" s="610">
        <v>0</v>
      </c>
      <c r="CG148" s="610">
        <v>0</v>
      </c>
      <c r="CH148" s="610">
        <v>0</v>
      </c>
      <c r="CI148" s="610">
        <v>0</v>
      </c>
      <c r="CJ148" s="610">
        <v>0</v>
      </c>
      <c r="CK148" s="610">
        <v>0</v>
      </c>
      <c r="CL148" s="610">
        <v>0</v>
      </c>
      <c r="CM148" s="610">
        <v>0</v>
      </c>
      <c r="CN148" s="610">
        <v>0</v>
      </c>
      <c r="CO148" s="610">
        <v>0</v>
      </c>
      <c r="CP148" s="610">
        <v>0</v>
      </c>
      <c r="CQ148" s="610">
        <v>0</v>
      </c>
      <c r="CR148" s="610">
        <v>0</v>
      </c>
      <c r="CS148" s="610">
        <v>0</v>
      </c>
      <c r="CT148" s="610">
        <v>0</v>
      </c>
      <c r="CU148" s="610">
        <v>0</v>
      </c>
      <c r="CV148" s="610">
        <v>0</v>
      </c>
      <c r="CW148" s="610" t="s">
        <v>14</v>
      </c>
      <c r="CX148" s="610">
        <v>0</v>
      </c>
      <c r="CY148" s="610" t="s">
        <v>2449</v>
      </c>
      <c r="CZ148" s="610" t="s">
        <v>2449</v>
      </c>
      <c r="DA148" s="610" t="s">
        <v>2449</v>
      </c>
      <c r="DB148" s="610" t="s">
        <v>2449</v>
      </c>
      <c r="DC148" s="610" t="s">
        <v>2449</v>
      </c>
      <c r="DD148" s="610" t="s">
        <v>2449</v>
      </c>
      <c r="DE148" s="610" t="s">
        <v>2449</v>
      </c>
      <c r="DF148" s="610" t="s">
        <v>2449</v>
      </c>
      <c r="DG148" s="610" t="s">
        <v>2449</v>
      </c>
      <c r="DH148" s="610" t="s">
        <v>2449</v>
      </c>
      <c r="DI148" s="610" t="s">
        <v>2449</v>
      </c>
      <c r="DJ148" s="610" t="s">
        <v>2449</v>
      </c>
      <c r="DK148" s="610" t="s">
        <v>1368</v>
      </c>
      <c r="DL148" s="610" t="s">
        <v>1368</v>
      </c>
      <c r="DM148" s="610" t="s">
        <v>1368</v>
      </c>
      <c r="DN148" s="610" t="s">
        <v>1368</v>
      </c>
      <c r="DO148" s="610" t="s">
        <v>1368</v>
      </c>
      <c r="DP148" s="610" t="s">
        <v>1368</v>
      </c>
      <c r="DQ148" s="610" t="s">
        <v>1368</v>
      </c>
      <c r="DR148" s="610" t="s">
        <v>1368</v>
      </c>
      <c r="DS148" s="610" t="s">
        <v>1368</v>
      </c>
      <c r="DT148" s="610" t="s">
        <v>1368</v>
      </c>
      <c r="DU148" s="610" t="s">
        <v>1368</v>
      </c>
      <c r="DV148" s="610" t="s">
        <v>1368</v>
      </c>
      <c r="DW148" s="609" t="s">
        <v>1368</v>
      </c>
      <c r="DX148" s="609" t="s">
        <v>1368</v>
      </c>
      <c r="DY148" s="609" t="s">
        <v>1368</v>
      </c>
      <c r="DZ148" s="609" t="s">
        <v>1368</v>
      </c>
      <c r="EA148" s="609" t="s">
        <v>1368</v>
      </c>
      <c r="EB148" s="609" t="s">
        <v>1368</v>
      </c>
      <c r="EC148" s="609" t="s">
        <v>1368</v>
      </c>
      <c r="ED148" s="609" t="s">
        <v>1368</v>
      </c>
      <c r="EE148" s="609" t="s">
        <v>1368</v>
      </c>
      <c r="EF148" s="609" t="s">
        <v>1368</v>
      </c>
      <c r="EG148" s="609" t="s">
        <v>1368</v>
      </c>
      <c r="EH148" s="609" t="s">
        <v>1368</v>
      </c>
      <c r="EI148" s="610" t="s">
        <v>1707</v>
      </c>
      <c r="EJ148" s="610" t="s">
        <v>1707</v>
      </c>
      <c r="EK148" s="610" t="s">
        <v>1707</v>
      </c>
      <c r="EL148" s="610" t="s">
        <v>1707</v>
      </c>
      <c r="EM148" s="610" t="s">
        <v>1707</v>
      </c>
      <c r="EN148" s="610" t="s">
        <v>1707</v>
      </c>
      <c r="EO148" s="610" t="s">
        <v>1707</v>
      </c>
      <c r="EP148" s="610" t="s">
        <v>1707</v>
      </c>
      <c r="EQ148" s="610" t="s">
        <v>1707</v>
      </c>
      <c r="ER148" s="610" t="s">
        <v>1707</v>
      </c>
      <c r="ES148" s="610" t="s">
        <v>1707</v>
      </c>
      <c r="ET148" s="610" t="s">
        <v>1707</v>
      </c>
      <c r="EU148" s="610">
        <v>3950</v>
      </c>
      <c r="EV148" s="610" t="s">
        <v>1707</v>
      </c>
      <c r="EW148" s="610" t="s">
        <v>1707</v>
      </c>
      <c r="EX148" s="610" t="s">
        <v>1707</v>
      </c>
      <c r="EY148" s="610" t="s">
        <v>1707</v>
      </c>
      <c r="EZ148" s="610" t="s">
        <v>1707</v>
      </c>
      <c r="FA148" s="610" t="s">
        <v>1707</v>
      </c>
      <c r="FB148" s="610" t="s">
        <v>1707</v>
      </c>
      <c r="FC148" s="610" t="s">
        <v>1707</v>
      </c>
      <c r="FD148" s="610" t="s">
        <v>1707</v>
      </c>
      <c r="FE148" s="610" t="s">
        <v>1707</v>
      </c>
      <c r="FF148" s="610" t="s">
        <v>1707</v>
      </c>
      <c r="FG148" s="610" t="s">
        <v>1707</v>
      </c>
      <c r="FH148" s="610">
        <v>24</v>
      </c>
      <c r="FI148" s="610">
        <v>24</v>
      </c>
      <c r="FJ148" s="610">
        <v>24</v>
      </c>
      <c r="FK148" s="610">
        <v>24</v>
      </c>
      <c r="FL148" s="610">
        <v>23</v>
      </c>
      <c r="FM148" s="610">
        <v>23</v>
      </c>
      <c r="FN148" s="610">
        <v>23</v>
      </c>
      <c r="FO148" s="610">
        <v>23</v>
      </c>
      <c r="FP148" s="610">
        <v>24</v>
      </c>
      <c r="FQ148" s="610">
        <v>24</v>
      </c>
      <c r="FR148" s="610" t="s">
        <v>2487</v>
      </c>
      <c r="FS148" s="610" t="s">
        <v>2489</v>
      </c>
      <c r="FT148" s="610" t="s">
        <v>2489</v>
      </c>
      <c r="FU148" s="610" t="s">
        <v>2489</v>
      </c>
      <c r="FV148" s="610" t="s">
        <v>2489</v>
      </c>
      <c r="FW148" s="610" t="s">
        <v>2489</v>
      </c>
      <c r="FX148" s="610" t="s">
        <v>2489</v>
      </c>
      <c r="FY148" s="610" t="s">
        <v>2489</v>
      </c>
      <c r="FZ148" s="610" t="s">
        <v>2489</v>
      </c>
      <c r="GA148" s="610" t="s">
        <v>2489</v>
      </c>
      <c r="GB148" s="610" t="s">
        <v>2489</v>
      </c>
      <c r="GC148" s="610" t="s">
        <v>2489</v>
      </c>
      <c r="GD148" s="564">
        <f t="shared" si="33"/>
        <v>79950</v>
      </c>
      <c r="GE148" s="564" t="str">
        <f t="shared" si="34"/>
        <v/>
      </c>
      <c r="GF148" s="564" t="str">
        <f t="shared" si="35"/>
        <v/>
      </c>
      <c r="GG148" s="564" t="str">
        <f t="shared" si="36"/>
        <v/>
      </c>
      <c r="GH148" s="564" t="str">
        <f t="shared" si="37"/>
        <v/>
      </c>
      <c r="GI148" s="564" t="str">
        <f t="shared" si="38"/>
        <v/>
      </c>
      <c r="GJ148" s="564" t="str">
        <f t="shared" si="39"/>
        <v/>
      </c>
      <c r="GK148" s="564" t="str">
        <f t="shared" si="40"/>
        <v/>
      </c>
      <c r="GL148" s="564" t="str">
        <f t="shared" si="41"/>
        <v/>
      </c>
      <c r="GM148" s="564" t="str">
        <f t="shared" si="42"/>
        <v/>
      </c>
      <c r="GN148" s="564" t="str">
        <f t="shared" si="43"/>
        <v/>
      </c>
      <c r="GO148" s="564" t="str">
        <f t="shared" si="44"/>
        <v/>
      </c>
      <c r="GP148" s="564"/>
      <c r="GS148" s="375" t="s">
        <v>1528</v>
      </c>
      <c r="GT148" s="374" t="str">
        <f t="shared" si="31"/>
        <v>〇</v>
      </c>
    </row>
    <row r="149" spans="2:202">
      <c r="B149" s="371">
        <v>145</v>
      </c>
      <c r="C149" s="378">
        <v>145</v>
      </c>
      <c r="D149" s="373" t="s">
        <v>1529</v>
      </c>
      <c r="E149" s="373" t="s">
        <v>14</v>
      </c>
      <c r="F149" s="603">
        <f t="shared" si="45"/>
        <v>46</v>
      </c>
      <c r="G149" s="603"/>
      <c r="H149" s="603">
        <v>26</v>
      </c>
      <c r="I149" s="603">
        <v>20</v>
      </c>
      <c r="J149" s="603"/>
      <c r="K149" s="603"/>
      <c r="L149" s="603"/>
      <c r="M149" s="603"/>
      <c r="N149" s="608"/>
      <c r="O149" s="603">
        <v>1577000</v>
      </c>
      <c r="P149" s="603">
        <v>2721000</v>
      </c>
      <c r="Q149" s="603">
        <v>2721000</v>
      </c>
      <c r="R149" s="603">
        <v>1791000</v>
      </c>
      <c r="S149" s="603">
        <v>0</v>
      </c>
      <c r="T149" s="603">
        <v>0</v>
      </c>
      <c r="U149" s="603">
        <v>0</v>
      </c>
      <c r="V149" s="603">
        <v>1051000</v>
      </c>
      <c r="W149" s="603">
        <v>1814000</v>
      </c>
      <c r="X149" s="603">
        <v>1814000</v>
      </c>
      <c r="Y149" s="603">
        <v>1194000</v>
      </c>
      <c r="Z149" s="603">
        <v>0</v>
      </c>
      <c r="AA149" s="603">
        <v>0</v>
      </c>
      <c r="AB149" s="603">
        <v>0</v>
      </c>
      <c r="AC149" s="603">
        <v>0</v>
      </c>
      <c r="AD149" s="603">
        <v>0</v>
      </c>
      <c r="AE149" s="603">
        <v>0</v>
      </c>
      <c r="AF149" s="603">
        <v>0</v>
      </c>
      <c r="AG149" s="603">
        <v>0</v>
      </c>
      <c r="AH149" s="603">
        <v>0</v>
      </c>
      <c r="AI149" s="603">
        <v>0</v>
      </c>
      <c r="AJ149" s="604" t="s">
        <v>2377</v>
      </c>
      <c r="AK149" s="605" t="s">
        <v>2378</v>
      </c>
      <c r="AL149" s="605" t="s">
        <v>1545</v>
      </c>
      <c r="AM149" s="606" t="s">
        <v>2411</v>
      </c>
      <c r="AN149" s="609" t="s">
        <v>12</v>
      </c>
      <c r="AO149" s="610" t="s">
        <v>2485</v>
      </c>
      <c r="AP149" s="610" t="s">
        <v>2485</v>
      </c>
      <c r="AQ149" s="610" t="s">
        <v>2485</v>
      </c>
      <c r="AR149" s="610" t="s">
        <v>2485</v>
      </c>
      <c r="AS149" s="610" t="s">
        <v>2485</v>
      </c>
      <c r="AT149" s="610" t="s">
        <v>2485</v>
      </c>
      <c r="AU149" s="610" t="s">
        <v>2485</v>
      </c>
      <c r="AV149" s="610" t="s">
        <v>2485</v>
      </c>
      <c r="AW149" s="610" t="s">
        <v>2485</v>
      </c>
      <c r="AX149" s="610" t="s">
        <v>2485</v>
      </c>
      <c r="AY149" s="610" t="s">
        <v>2485</v>
      </c>
      <c r="AZ149" s="610" t="s">
        <v>2485</v>
      </c>
      <c r="BA149" s="610" t="s">
        <v>1368</v>
      </c>
      <c r="BB149" s="610" t="s">
        <v>1368</v>
      </c>
      <c r="BC149" s="610" t="s">
        <v>1368</v>
      </c>
      <c r="BD149" s="610" t="s">
        <v>1368</v>
      </c>
      <c r="BE149" s="610" t="s">
        <v>1368</v>
      </c>
      <c r="BF149" s="610" t="s">
        <v>1368</v>
      </c>
      <c r="BG149" s="610" t="s">
        <v>1368</v>
      </c>
      <c r="BH149" s="610" t="s">
        <v>1368</v>
      </c>
      <c r="BI149" s="610" t="s">
        <v>1368</v>
      </c>
      <c r="BJ149" s="610" t="s">
        <v>1368</v>
      </c>
      <c r="BK149" s="610" t="s">
        <v>1368</v>
      </c>
      <c r="BL149" s="610" t="s">
        <v>1368</v>
      </c>
      <c r="BM149" s="610">
        <v>0</v>
      </c>
      <c r="BN149" s="610">
        <v>0</v>
      </c>
      <c r="BO149" s="610">
        <v>0</v>
      </c>
      <c r="BP149" s="610">
        <v>0</v>
      </c>
      <c r="BQ149" s="610">
        <v>0</v>
      </c>
      <c r="BR149" s="610">
        <v>0</v>
      </c>
      <c r="BS149" s="610">
        <v>0</v>
      </c>
      <c r="BT149" s="610">
        <v>0</v>
      </c>
      <c r="BU149" s="610">
        <v>0</v>
      </c>
      <c r="BV149" s="610">
        <v>0</v>
      </c>
      <c r="BW149" s="610">
        <v>0</v>
      </c>
      <c r="BX149" s="610">
        <v>0</v>
      </c>
      <c r="BY149" s="610">
        <v>0</v>
      </c>
      <c r="BZ149" s="610">
        <v>0</v>
      </c>
      <c r="CA149" s="610">
        <v>0</v>
      </c>
      <c r="CB149" s="610">
        <v>0</v>
      </c>
      <c r="CC149" s="610">
        <v>0</v>
      </c>
      <c r="CD149" s="610">
        <v>0</v>
      </c>
      <c r="CE149" s="610">
        <v>0</v>
      </c>
      <c r="CF149" s="610">
        <v>0</v>
      </c>
      <c r="CG149" s="610">
        <v>0</v>
      </c>
      <c r="CH149" s="610">
        <v>0</v>
      </c>
      <c r="CI149" s="610">
        <v>0</v>
      </c>
      <c r="CJ149" s="610">
        <v>0</v>
      </c>
      <c r="CK149" s="610">
        <v>0</v>
      </c>
      <c r="CL149" s="610">
        <v>0</v>
      </c>
      <c r="CM149" s="610">
        <v>0</v>
      </c>
      <c r="CN149" s="610">
        <v>0</v>
      </c>
      <c r="CO149" s="610">
        <v>0</v>
      </c>
      <c r="CP149" s="610">
        <v>0</v>
      </c>
      <c r="CQ149" s="610">
        <v>0</v>
      </c>
      <c r="CR149" s="610">
        <v>0</v>
      </c>
      <c r="CS149" s="610">
        <v>0</v>
      </c>
      <c r="CT149" s="610">
        <v>0</v>
      </c>
      <c r="CU149" s="610">
        <v>0</v>
      </c>
      <c r="CV149" s="610">
        <v>0</v>
      </c>
      <c r="CW149" s="610" t="s">
        <v>14</v>
      </c>
      <c r="CX149" s="610">
        <v>0</v>
      </c>
      <c r="CY149" s="610" t="s">
        <v>1707</v>
      </c>
      <c r="CZ149" s="610" t="s">
        <v>1707</v>
      </c>
      <c r="DA149" s="610" t="s">
        <v>1707</v>
      </c>
      <c r="DB149" s="610" t="s">
        <v>1707</v>
      </c>
      <c r="DC149" s="610" t="s">
        <v>1707</v>
      </c>
      <c r="DD149" s="610" t="s">
        <v>1707</v>
      </c>
      <c r="DE149" s="610" t="s">
        <v>1707</v>
      </c>
      <c r="DF149" s="610" t="s">
        <v>1707</v>
      </c>
      <c r="DG149" s="610" t="s">
        <v>1707</v>
      </c>
      <c r="DH149" s="610" t="s">
        <v>1707</v>
      </c>
      <c r="DI149" s="610" t="s">
        <v>1707</v>
      </c>
      <c r="DJ149" s="610" t="s">
        <v>1707</v>
      </c>
      <c r="DK149" s="610" t="s">
        <v>1368</v>
      </c>
      <c r="DL149" s="610" t="s">
        <v>1368</v>
      </c>
      <c r="DM149" s="610" t="s">
        <v>1368</v>
      </c>
      <c r="DN149" s="610" t="s">
        <v>1368</v>
      </c>
      <c r="DO149" s="610" t="s">
        <v>1368</v>
      </c>
      <c r="DP149" s="610" t="s">
        <v>1368</v>
      </c>
      <c r="DQ149" s="610" t="s">
        <v>1368</v>
      </c>
      <c r="DR149" s="610" t="s">
        <v>1368</v>
      </c>
      <c r="DS149" s="610" t="s">
        <v>1368</v>
      </c>
      <c r="DT149" s="610" t="s">
        <v>1368</v>
      </c>
      <c r="DU149" s="610" t="s">
        <v>1368</v>
      </c>
      <c r="DV149" s="610" t="s">
        <v>1368</v>
      </c>
      <c r="DW149" s="609" t="s">
        <v>1368</v>
      </c>
      <c r="DX149" s="609" t="s">
        <v>1368</v>
      </c>
      <c r="DY149" s="609" t="s">
        <v>1368</v>
      </c>
      <c r="DZ149" s="609" t="s">
        <v>1368</v>
      </c>
      <c r="EA149" s="609" t="s">
        <v>1368</v>
      </c>
      <c r="EB149" s="609" t="s">
        <v>1368</v>
      </c>
      <c r="EC149" s="609" t="s">
        <v>1368</v>
      </c>
      <c r="ED149" s="609" t="s">
        <v>1368</v>
      </c>
      <c r="EE149" s="609" t="s">
        <v>1368</v>
      </c>
      <c r="EF149" s="609" t="s">
        <v>1368</v>
      </c>
      <c r="EG149" s="609" t="s">
        <v>1368</v>
      </c>
      <c r="EH149" s="609" t="s">
        <v>1368</v>
      </c>
      <c r="EI149" s="610" t="s">
        <v>1707</v>
      </c>
      <c r="EJ149" s="610" t="s">
        <v>1707</v>
      </c>
      <c r="EK149" s="610" t="s">
        <v>1707</v>
      </c>
      <c r="EL149" s="610" t="s">
        <v>1707</v>
      </c>
      <c r="EM149" s="610" t="s">
        <v>1707</v>
      </c>
      <c r="EN149" s="610" t="s">
        <v>1707</v>
      </c>
      <c r="EO149" s="610" t="s">
        <v>1707</v>
      </c>
      <c r="EP149" s="610" t="s">
        <v>1707</v>
      </c>
      <c r="EQ149" s="610" t="s">
        <v>1707</v>
      </c>
      <c r="ER149" s="610" t="s">
        <v>1707</v>
      </c>
      <c r="ES149" s="610" t="s">
        <v>1707</v>
      </c>
      <c r="ET149" s="610" t="s">
        <v>1707</v>
      </c>
      <c r="EU149" s="610">
        <v>3980</v>
      </c>
      <c r="EV149" s="610" t="s">
        <v>2449</v>
      </c>
      <c r="EW149" s="610" t="s">
        <v>2449</v>
      </c>
      <c r="EX149" s="610" t="s">
        <v>2449</v>
      </c>
      <c r="EY149" s="610" t="s">
        <v>2449</v>
      </c>
      <c r="EZ149" s="610" t="s">
        <v>2449</v>
      </c>
      <c r="FA149" s="610" t="s">
        <v>2449</v>
      </c>
      <c r="FB149" s="610" t="s">
        <v>2449</v>
      </c>
      <c r="FC149" s="610" t="s">
        <v>2449</v>
      </c>
      <c r="FD149" s="610" t="s">
        <v>2449</v>
      </c>
      <c r="FE149" s="610" t="s">
        <v>2449</v>
      </c>
      <c r="FF149" s="610" t="s">
        <v>2449</v>
      </c>
      <c r="FG149" s="610" t="s">
        <v>2449</v>
      </c>
      <c r="FH149" s="610">
        <v>19</v>
      </c>
      <c r="FI149" s="610">
        <v>19</v>
      </c>
      <c r="FJ149" s="610">
        <v>19</v>
      </c>
      <c r="FK149" s="610">
        <v>19</v>
      </c>
      <c r="FL149" s="610">
        <v>19</v>
      </c>
      <c r="FM149" s="610">
        <v>19</v>
      </c>
      <c r="FN149" s="610">
        <v>19</v>
      </c>
      <c r="FO149" s="610">
        <v>19</v>
      </c>
      <c r="FP149" s="610">
        <v>19</v>
      </c>
      <c r="FQ149" s="610">
        <v>19</v>
      </c>
      <c r="FR149" s="610" t="s">
        <v>2487</v>
      </c>
      <c r="FS149" s="610" t="s">
        <v>2487</v>
      </c>
      <c r="FT149" s="610" t="s">
        <v>2487</v>
      </c>
      <c r="FU149" s="610" t="s">
        <v>2487</v>
      </c>
      <c r="FV149" s="610" t="s">
        <v>2487</v>
      </c>
      <c r="FW149" s="610" t="s">
        <v>2487</v>
      </c>
      <c r="FX149" s="610" t="s">
        <v>2487</v>
      </c>
      <c r="FY149" s="610" t="s">
        <v>2487</v>
      </c>
      <c r="FZ149" s="610" t="s">
        <v>2487</v>
      </c>
      <c r="GA149" s="610" t="s">
        <v>2487</v>
      </c>
      <c r="GB149" s="610" t="s">
        <v>2487</v>
      </c>
      <c r="GC149" s="610" t="s">
        <v>2487</v>
      </c>
      <c r="GD149" s="564">
        <f t="shared" si="33"/>
        <v>79950</v>
      </c>
      <c r="GE149" s="564">
        <f t="shared" si="34"/>
        <v>79950</v>
      </c>
      <c r="GF149" s="564">
        <f t="shared" si="35"/>
        <v>79950</v>
      </c>
      <c r="GG149" s="564">
        <f t="shared" si="36"/>
        <v>79950</v>
      </c>
      <c r="GH149" s="564">
        <f t="shared" si="37"/>
        <v>79950</v>
      </c>
      <c r="GI149" s="564">
        <f t="shared" si="38"/>
        <v>79950</v>
      </c>
      <c r="GJ149" s="564">
        <f t="shared" si="39"/>
        <v>79950</v>
      </c>
      <c r="GK149" s="564">
        <f t="shared" si="40"/>
        <v>79950</v>
      </c>
      <c r="GL149" s="564">
        <f t="shared" si="41"/>
        <v>79950</v>
      </c>
      <c r="GM149" s="564">
        <f t="shared" si="42"/>
        <v>79950</v>
      </c>
      <c r="GN149" s="564">
        <f t="shared" si="43"/>
        <v>79950</v>
      </c>
      <c r="GO149" s="564">
        <f t="shared" si="44"/>
        <v>79950</v>
      </c>
      <c r="GP149" s="564"/>
      <c r="GS149" s="375" t="s">
        <v>1529</v>
      </c>
      <c r="GT149" s="374" t="str">
        <f t="shared" si="31"/>
        <v>〇</v>
      </c>
    </row>
    <row r="150" spans="2:202">
      <c r="B150" s="371">
        <v>146</v>
      </c>
      <c r="C150" s="378">
        <v>146</v>
      </c>
      <c r="D150" s="373" t="s">
        <v>1827</v>
      </c>
      <c r="E150" s="373" t="s">
        <v>14</v>
      </c>
      <c r="F150" s="603">
        <f t="shared" si="45"/>
        <v>40</v>
      </c>
      <c r="G150" s="603"/>
      <c r="H150" s="603">
        <v>21</v>
      </c>
      <c r="I150" s="603">
        <v>19</v>
      </c>
      <c r="J150" s="603"/>
      <c r="K150" s="603"/>
      <c r="L150" s="603"/>
      <c r="M150" s="603"/>
      <c r="N150" s="608"/>
      <c r="O150" s="603">
        <v>1577000</v>
      </c>
      <c r="P150" s="603">
        <v>2721000</v>
      </c>
      <c r="Q150" s="603">
        <v>2721000</v>
      </c>
      <c r="R150" s="603">
        <v>1188000</v>
      </c>
      <c r="S150" s="603">
        <v>0</v>
      </c>
      <c r="T150" s="603">
        <v>0</v>
      </c>
      <c r="U150" s="603">
        <v>0</v>
      </c>
      <c r="V150" s="603">
        <v>0</v>
      </c>
      <c r="W150" s="603">
        <v>0</v>
      </c>
      <c r="X150" s="603">
        <v>0</v>
      </c>
      <c r="Y150" s="603">
        <v>0</v>
      </c>
      <c r="Z150" s="603">
        <v>0</v>
      </c>
      <c r="AA150" s="603">
        <v>0</v>
      </c>
      <c r="AB150" s="603">
        <v>0</v>
      </c>
      <c r="AC150" s="603">
        <v>0</v>
      </c>
      <c r="AD150" s="603">
        <v>0</v>
      </c>
      <c r="AE150" s="603">
        <v>0</v>
      </c>
      <c r="AF150" s="603">
        <v>0</v>
      </c>
      <c r="AG150" s="603">
        <v>0</v>
      </c>
      <c r="AH150" s="603">
        <v>0</v>
      </c>
      <c r="AI150" s="603">
        <v>0</v>
      </c>
      <c r="AJ150" s="604" t="s">
        <v>2377</v>
      </c>
      <c r="AK150" s="605" t="s">
        <v>1545</v>
      </c>
      <c r="AL150" s="605" t="s">
        <v>1545</v>
      </c>
      <c r="AM150" s="606" t="s">
        <v>2412</v>
      </c>
      <c r="AN150" s="609" t="s">
        <v>12</v>
      </c>
      <c r="AO150" s="610" t="s">
        <v>1368</v>
      </c>
      <c r="AP150" s="610" t="s">
        <v>1368</v>
      </c>
      <c r="AQ150" s="610" t="s">
        <v>1368</v>
      </c>
      <c r="AR150" s="610" t="s">
        <v>1368</v>
      </c>
      <c r="AS150" s="610" t="s">
        <v>1368</v>
      </c>
      <c r="AT150" s="610" t="s">
        <v>1368</v>
      </c>
      <c r="AU150" s="610" t="s">
        <v>1368</v>
      </c>
      <c r="AV150" s="610" t="s">
        <v>1368</v>
      </c>
      <c r="AW150" s="610" t="s">
        <v>1368</v>
      </c>
      <c r="AX150" s="610" t="s">
        <v>1368</v>
      </c>
      <c r="AY150" s="610" t="s">
        <v>1368</v>
      </c>
      <c r="AZ150" s="610" t="s">
        <v>1368</v>
      </c>
      <c r="BA150" s="610" t="s">
        <v>1368</v>
      </c>
      <c r="BB150" s="610" t="s">
        <v>1368</v>
      </c>
      <c r="BC150" s="610" t="s">
        <v>1368</v>
      </c>
      <c r="BD150" s="610" t="s">
        <v>1368</v>
      </c>
      <c r="BE150" s="610" t="s">
        <v>1368</v>
      </c>
      <c r="BF150" s="610" t="s">
        <v>1368</v>
      </c>
      <c r="BG150" s="610" t="s">
        <v>1368</v>
      </c>
      <c r="BH150" s="610" t="s">
        <v>1368</v>
      </c>
      <c r="BI150" s="610" t="s">
        <v>1368</v>
      </c>
      <c r="BJ150" s="610" t="s">
        <v>1368</v>
      </c>
      <c r="BK150" s="610" t="s">
        <v>1368</v>
      </c>
      <c r="BL150" s="610" t="s">
        <v>1368</v>
      </c>
      <c r="BM150" s="610">
        <v>0</v>
      </c>
      <c r="BN150" s="610">
        <v>0</v>
      </c>
      <c r="BO150" s="610">
        <v>0</v>
      </c>
      <c r="BP150" s="610">
        <v>0</v>
      </c>
      <c r="BQ150" s="610">
        <v>0</v>
      </c>
      <c r="BR150" s="610">
        <v>0</v>
      </c>
      <c r="BS150" s="610">
        <v>0</v>
      </c>
      <c r="BT150" s="610">
        <v>0</v>
      </c>
      <c r="BU150" s="610">
        <v>0</v>
      </c>
      <c r="BV150" s="610">
        <v>0</v>
      </c>
      <c r="BW150" s="610">
        <v>0</v>
      </c>
      <c r="BX150" s="610">
        <v>0</v>
      </c>
      <c r="BY150" s="610">
        <v>0</v>
      </c>
      <c r="BZ150" s="610">
        <v>0</v>
      </c>
      <c r="CA150" s="610">
        <v>0</v>
      </c>
      <c r="CB150" s="610">
        <v>0</v>
      </c>
      <c r="CC150" s="610">
        <v>0</v>
      </c>
      <c r="CD150" s="610">
        <v>0</v>
      </c>
      <c r="CE150" s="610">
        <v>0</v>
      </c>
      <c r="CF150" s="610">
        <v>0</v>
      </c>
      <c r="CG150" s="610">
        <v>0</v>
      </c>
      <c r="CH150" s="610">
        <v>0</v>
      </c>
      <c r="CI150" s="610">
        <v>0</v>
      </c>
      <c r="CJ150" s="610">
        <v>0</v>
      </c>
      <c r="CK150" s="610">
        <v>0</v>
      </c>
      <c r="CL150" s="610">
        <v>0</v>
      </c>
      <c r="CM150" s="610">
        <v>0</v>
      </c>
      <c r="CN150" s="610">
        <v>0</v>
      </c>
      <c r="CO150" s="610">
        <v>0</v>
      </c>
      <c r="CP150" s="610">
        <v>0</v>
      </c>
      <c r="CQ150" s="610">
        <v>0</v>
      </c>
      <c r="CR150" s="610">
        <v>0</v>
      </c>
      <c r="CS150" s="610">
        <v>0</v>
      </c>
      <c r="CT150" s="610">
        <v>0</v>
      </c>
      <c r="CU150" s="610">
        <v>0</v>
      </c>
      <c r="CV150" s="610">
        <v>0</v>
      </c>
      <c r="CW150" s="610" t="s">
        <v>14</v>
      </c>
      <c r="CX150" s="610">
        <v>0</v>
      </c>
      <c r="CY150" s="610" t="s">
        <v>1707</v>
      </c>
      <c r="CZ150" s="610" t="s">
        <v>1707</v>
      </c>
      <c r="DA150" s="610" t="s">
        <v>1707</v>
      </c>
      <c r="DB150" s="610" t="s">
        <v>1707</v>
      </c>
      <c r="DC150" s="610" t="s">
        <v>1707</v>
      </c>
      <c r="DD150" s="610" t="s">
        <v>1707</v>
      </c>
      <c r="DE150" s="610" t="s">
        <v>1707</v>
      </c>
      <c r="DF150" s="610" t="s">
        <v>1707</v>
      </c>
      <c r="DG150" s="610" t="s">
        <v>1707</v>
      </c>
      <c r="DH150" s="610" t="s">
        <v>1707</v>
      </c>
      <c r="DI150" s="610" t="s">
        <v>1707</v>
      </c>
      <c r="DJ150" s="610" t="s">
        <v>1707</v>
      </c>
      <c r="DK150" s="610" t="s">
        <v>1368</v>
      </c>
      <c r="DL150" s="610" t="s">
        <v>1368</v>
      </c>
      <c r="DM150" s="610" t="s">
        <v>1368</v>
      </c>
      <c r="DN150" s="610" t="s">
        <v>1368</v>
      </c>
      <c r="DO150" s="610" t="s">
        <v>1368</v>
      </c>
      <c r="DP150" s="610" t="s">
        <v>1368</v>
      </c>
      <c r="DQ150" s="610" t="s">
        <v>1368</v>
      </c>
      <c r="DR150" s="610" t="s">
        <v>1368</v>
      </c>
      <c r="DS150" s="610" t="s">
        <v>1368</v>
      </c>
      <c r="DT150" s="610" t="s">
        <v>1368</v>
      </c>
      <c r="DU150" s="610" t="s">
        <v>1368</v>
      </c>
      <c r="DV150" s="610" t="s">
        <v>1368</v>
      </c>
      <c r="DW150" s="609" t="s">
        <v>1368</v>
      </c>
      <c r="DX150" s="609" t="s">
        <v>1368</v>
      </c>
      <c r="DY150" s="609" t="s">
        <v>1368</v>
      </c>
      <c r="DZ150" s="609" t="s">
        <v>1368</v>
      </c>
      <c r="EA150" s="609" t="s">
        <v>1368</v>
      </c>
      <c r="EB150" s="609" t="s">
        <v>1368</v>
      </c>
      <c r="EC150" s="609" t="s">
        <v>1368</v>
      </c>
      <c r="ED150" s="609" t="s">
        <v>1368</v>
      </c>
      <c r="EE150" s="609" t="s">
        <v>1368</v>
      </c>
      <c r="EF150" s="609" t="s">
        <v>1368</v>
      </c>
      <c r="EG150" s="609" t="s">
        <v>1368</v>
      </c>
      <c r="EH150" s="609" t="s">
        <v>1368</v>
      </c>
      <c r="EI150" s="610" t="s">
        <v>1707</v>
      </c>
      <c r="EJ150" s="610" t="s">
        <v>1707</v>
      </c>
      <c r="EK150" s="610" t="s">
        <v>1707</v>
      </c>
      <c r="EL150" s="610" t="s">
        <v>1707</v>
      </c>
      <c r="EM150" s="610" t="s">
        <v>1707</v>
      </c>
      <c r="EN150" s="610" t="s">
        <v>1707</v>
      </c>
      <c r="EO150" s="610" t="s">
        <v>1707</v>
      </c>
      <c r="EP150" s="610" t="s">
        <v>1707</v>
      </c>
      <c r="EQ150" s="610" t="s">
        <v>1707</v>
      </c>
      <c r="ER150" s="610" t="s">
        <v>1707</v>
      </c>
      <c r="ES150" s="610" t="s">
        <v>1707</v>
      </c>
      <c r="ET150" s="610" t="s">
        <v>1707</v>
      </c>
      <c r="EU150" s="610">
        <v>4070</v>
      </c>
      <c r="EV150" s="610" t="s">
        <v>1707</v>
      </c>
      <c r="EW150" s="610" t="s">
        <v>1707</v>
      </c>
      <c r="EX150" s="610" t="s">
        <v>1707</v>
      </c>
      <c r="EY150" s="610" t="s">
        <v>1707</v>
      </c>
      <c r="EZ150" s="610" t="s">
        <v>1707</v>
      </c>
      <c r="FA150" s="610" t="s">
        <v>1707</v>
      </c>
      <c r="FB150" s="610" t="s">
        <v>1707</v>
      </c>
      <c r="FC150" s="610" t="s">
        <v>1707</v>
      </c>
      <c r="FD150" s="610" t="s">
        <v>1707</v>
      </c>
      <c r="FE150" s="610" t="s">
        <v>1707</v>
      </c>
      <c r="FF150" s="610" t="s">
        <v>1707</v>
      </c>
      <c r="FG150" s="610" t="s">
        <v>1707</v>
      </c>
      <c r="FH150" s="610">
        <v>13</v>
      </c>
      <c r="FI150" s="610">
        <v>13</v>
      </c>
      <c r="FJ150" s="610">
        <v>13</v>
      </c>
      <c r="FK150" s="610">
        <v>13</v>
      </c>
      <c r="FL150" s="610">
        <v>13</v>
      </c>
      <c r="FM150" s="610">
        <v>13</v>
      </c>
      <c r="FN150" s="610">
        <v>13</v>
      </c>
      <c r="FO150" s="610">
        <v>13</v>
      </c>
      <c r="FP150" s="610">
        <v>13</v>
      </c>
      <c r="FQ150" s="610">
        <v>13</v>
      </c>
      <c r="FR150" s="610" t="s">
        <v>2487</v>
      </c>
      <c r="FS150" s="610" t="s">
        <v>2487</v>
      </c>
      <c r="FT150" s="610" t="s">
        <v>2487</v>
      </c>
      <c r="FU150" s="610" t="s">
        <v>2487</v>
      </c>
      <c r="FV150" s="610" t="s">
        <v>2487</v>
      </c>
      <c r="FW150" s="610" t="s">
        <v>2487</v>
      </c>
      <c r="FX150" s="610" t="s">
        <v>2487</v>
      </c>
      <c r="FY150" s="610" t="s">
        <v>2487</v>
      </c>
      <c r="FZ150" s="610" t="s">
        <v>2487</v>
      </c>
      <c r="GA150" s="610" t="s">
        <v>2487</v>
      </c>
      <c r="GB150" s="610" t="s">
        <v>2487</v>
      </c>
      <c r="GC150" s="610" t="s">
        <v>2487</v>
      </c>
      <c r="GD150" s="564">
        <f t="shared" si="33"/>
        <v>79950</v>
      </c>
      <c r="GE150" s="564">
        <f t="shared" si="34"/>
        <v>79950</v>
      </c>
      <c r="GF150" s="564">
        <f t="shared" si="35"/>
        <v>79950</v>
      </c>
      <c r="GG150" s="564">
        <f t="shared" si="36"/>
        <v>79950</v>
      </c>
      <c r="GH150" s="564">
        <f t="shared" si="37"/>
        <v>79950</v>
      </c>
      <c r="GI150" s="564">
        <f t="shared" si="38"/>
        <v>79950</v>
      </c>
      <c r="GJ150" s="564">
        <f t="shared" si="39"/>
        <v>79950</v>
      </c>
      <c r="GK150" s="564">
        <f t="shared" si="40"/>
        <v>79950</v>
      </c>
      <c r="GL150" s="564">
        <f t="shared" si="41"/>
        <v>79950</v>
      </c>
      <c r="GM150" s="564">
        <f t="shared" si="42"/>
        <v>79950</v>
      </c>
      <c r="GN150" s="564">
        <f t="shared" si="43"/>
        <v>79950</v>
      </c>
      <c r="GO150" s="564">
        <f t="shared" si="44"/>
        <v>79950</v>
      </c>
      <c r="GP150" s="564"/>
      <c r="GS150" s="375" t="s">
        <v>1827</v>
      </c>
      <c r="GT150" s="374" t="str">
        <f t="shared" si="31"/>
        <v>〇</v>
      </c>
    </row>
    <row r="151" spans="2:202">
      <c r="B151" s="371">
        <v>147</v>
      </c>
      <c r="C151" s="378">
        <v>147</v>
      </c>
      <c r="D151" s="373" t="s">
        <v>1828</v>
      </c>
      <c r="E151" s="373" t="s">
        <v>14</v>
      </c>
      <c r="F151" s="603">
        <f t="shared" si="45"/>
        <v>58</v>
      </c>
      <c r="G151" s="603"/>
      <c r="H151" s="609">
        <v>33</v>
      </c>
      <c r="I151" s="609">
        <v>25</v>
      </c>
      <c r="J151" s="603"/>
      <c r="K151" s="603"/>
      <c r="L151" s="603"/>
      <c r="M151" s="603"/>
      <c r="N151" s="608"/>
      <c r="O151" s="603">
        <v>1577000</v>
      </c>
      <c r="P151" s="603">
        <v>2721000</v>
      </c>
      <c r="Q151" s="603">
        <v>2721000</v>
      </c>
      <c r="R151" s="603">
        <v>1188000</v>
      </c>
      <c r="S151" s="603">
        <v>0</v>
      </c>
      <c r="T151" s="603">
        <v>0</v>
      </c>
      <c r="U151" s="603">
        <v>0</v>
      </c>
      <c r="V151" s="603">
        <v>1051000</v>
      </c>
      <c r="W151" s="603">
        <v>1814000</v>
      </c>
      <c r="X151" s="603">
        <v>1814000</v>
      </c>
      <c r="Y151" s="603">
        <v>792000</v>
      </c>
      <c r="Z151" s="603">
        <v>0</v>
      </c>
      <c r="AA151" s="603">
        <v>0</v>
      </c>
      <c r="AB151" s="603">
        <v>0</v>
      </c>
      <c r="AC151" s="603">
        <v>526000</v>
      </c>
      <c r="AD151" s="603">
        <v>907000</v>
      </c>
      <c r="AE151" s="603">
        <v>907000</v>
      </c>
      <c r="AF151" s="603">
        <v>396000</v>
      </c>
      <c r="AG151" s="603">
        <v>0</v>
      </c>
      <c r="AH151" s="603">
        <v>0</v>
      </c>
      <c r="AI151" s="603">
        <v>0</v>
      </c>
      <c r="AJ151" s="604" t="s">
        <v>2377</v>
      </c>
      <c r="AK151" s="605" t="s">
        <v>2378</v>
      </c>
      <c r="AL151" s="605" t="s">
        <v>2490</v>
      </c>
      <c r="AM151" s="606" t="s">
        <v>2413</v>
      </c>
      <c r="AN151" s="609" t="s">
        <v>12</v>
      </c>
      <c r="AO151" s="610" t="s">
        <v>2485</v>
      </c>
      <c r="AP151" s="610" t="s">
        <v>2485</v>
      </c>
      <c r="AQ151" s="610" t="s">
        <v>2485</v>
      </c>
      <c r="AR151" s="610" t="s">
        <v>2485</v>
      </c>
      <c r="AS151" s="610" t="s">
        <v>2485</v>
      </c>
      <c r="AT151" s="610" t="s">
        <v>2485</v>
      </c>
      <c r="AU151" s="610" t="s">
        <v>2485</v>
      </c>
      <c r="AV151" s="610" t="s">
        <v>2485</v>
      </c>
      <c r="AW151" s="610" t="s">
        <v>2485</v>
      </c>
      <c r="AX151" s="610" t="s">
        <v>2485</v>
      </c>
      <c r="AY151" s="610" t="s">
        <v>2485</v>
      </c>
      <c r="AZ151" s="610" t="s">
        <v>2485</v>
      </c>
      <c r="BA151" s="610" t="s">
        <v>1368</v>
      </c>
      <c r="BB151" s="610" t="s">
        <v>1368</v>
      </c>
      <c r="BC151" s="610" t="s">
        <v>1368</v>
      </c>
      <c r="BD151" s="610" t="s">
        <v>1368</v>
      </c>
      <c r="BE151" s="610" t="s">
        <v>1368</v>
      </c>
      <c r="BF151" s="610" t="s">
        <v>1368</v>
      </c>
      <c r="BG151" s="610" t="s">
        <v>1368</v>
      </c>
      <c r="BH151" s="610" t="s">
        <v>1368</v>
      </c>
      <c r="BI151" s="610" t="s">
        <v>1368</v>
      </c>
      <c r="BJ151" s="610" t="s">
        <v>1368</v>
      </c>
      <c r="BK151" s="610" t="s">
        <v>1368</v>
      </c>
      <c r="BL151" s="610" t="s">
        <v>1368</v>
      </c>
      <c r="BM151" s="610">
        <v>1</v>
      </c>
      <c r="BN151" s="610">
        <v>1</v>
      </c>
      <c r="BO151" s="610">
        <v>1</v>
      </c>
      <c r="BP151" s="610">
        <v>1</v>
      </c>
      <c r="BQ151" s="610">
        <v>1</v>
      </c>
      <c r="BR151" s="610">
        <v>1</v>
      </c>
      <c r="BS151" s="610">
        <v>1</v>
      </c>
      <c r="BT151" s="610">
        <v>1</v>
      </c>
      <c r="BU151" s="610">
        <v>1</v>
      </c>
      <c r="BV151" s="610">
        <v>1</v>
      </c>
      <c r="BW151" s="610">
        <v>1</v>
      </c>
      <c r="BX151" s="610">
        <v>1</v>
      </c>
      <c r="BY151" s="610">
        <v>0</v>
      </c>
      <c r="BZ151" s="610">
        <v>0</v>
      </c>
      <c r="CA151" s="610">
        <v>0</v>
      </c>
      <c r="CB151" s="610">
        <v>0</v>
      </c>
      <c r="CC151" s="610">
        <v>0</v>
      </c>
      <c r="CD151" s="610">
        <v>0</v>
      </c>
      <c r="CE151" s="610">
        <v>0</v>
      </c>
      <c r="CF151" s="610">
        <v>0</v>
      </c>
      <c r="CG151" s="610">
        <v>0</v>
      </c>
      <c r="CH151" s="610">
        <v>0</v>
      </c>
      <c r="CI151" s="610">
        <v>0</v>
      </c>
      <c r="CJ151" s="610">
        <v>0</v>
      </c>
      <c r="CK151" s="610">
        <v>0</v>
      </c>
      <c r="CL151" s="610">
        <v>0</v>
      </c>
      <c r="CM151" s="610">
        <v>0</v>
      </c>
      <c r="CN151" s="610">
        <v>0</v>
      </c>
      <c r="CO151" s="610">
        <v>0</v>
      </c>
      <c r="CP151" s="610">
        <v>0</v>
      </c>
      <c r="CQ151" s="610">
        <v>0</v>
      </c>
      <c r="CR151" s="610">
        <v>0</v>
      </c>
      <c r="CS151" s="610">
        <v>0</v>
      </c>
      <c r="CT151" s="610">
        <v>0</v>
      </c>
      <c r="CU151" s="610">
        <v>0</v>
      </c>
      <c r="CV151" s="610">
        <v>0</v>
      </c>
      <c r="CW151" s="610" t="s">
        <v>14</v>
      </c>
      <c r="CX151" s="610">
        <v>0</v>
      </c>
      <c r="CY151" s="610" t="s">
        <v>1707</v>
      </c>
      <c r="CZ151" s="610" t="s">
        <v>1707</v>
      </c>
      <c r="DA151" s="610" t="s">
        <v>1707</v>
      </c>
      <c r="DB151" s="610" t="s">
        <v>1707</v>
      </c>
      <c r="DC151" s="610" t="s">
        <v>1707</v>
      </c>
      <c r="DD151" s="610" t="s">
        <v>1707</v>
      </c>
      <c r="DE151" s="610" t="s">
        <v>1707</v>
      </c>
      <c r="DF151" s="610" t="s">
        <v>1707</v>
      </c>
      <c r="DG151" s="610" t="s">
        <v>1707</v>
      </c>
      <c r="DH151" s="610" t="s">
        <v>1707</v>
      </c>
      <c r="DI151" s="610" t="s">
        <v>1707</v>
      </c>
      <c r="DJ151" s="610" t="s">
        <v>1707</v>
      </c>
      <c r="DK151" s="610" t="s">
        <v>1368</v>
      </c>
      <c r="DL151" s="610" t="s">
        <v>1368</v>
      </c>
      <c r="DM151" s="610" t="s">
        <v>1368</v>
      </c>
      <c r="DN151" s="610" t="s">
        <v>1368</v>
      </c>
      <c r="DO151" s="610" t="s">
        <v>1368</v>
      </c>
      <c r="DP151" s="610" t="s">
        <v>1368</v>
      </c>
      <c r="DQ151" s="610" t="s">
        <v>1368</v>
      </c>
      <c r="DR151" s="610" t="s">
        <v>1368</v>
      </c>
      <c r="DS151" s="610" t="s">
        <v>1368</v>
      </c>
      <c r="DT151" s="610" t="s">
        <v>1368</v>
      </c>
      <c r="DU151" s="610" t="s">
        <v>1368</v>
      </c>
      <c r="DV151" s="610" t="s">
        <v>1368</v>
      </c>
      <c r="DW151" s="609" t="s">
        <v>1368</v>
      </c>
      <c r="DX151" s="609" t="s">
        <v>1368</v>
      </c>
      <c r="DY151" s="609" t="s">
        <v>1368</v>
      </c>
      <c r="DZ151" s="609" t="s">
        <v>1368</v>
      </c>
      <c r="EA151" s="609" t="s">
        <v>1368</v>
      </c>
      <c r="EB151" s="609" t="s">
        <v>1368</v>
      </c>
      <c r="EC151" s="609" t="s">
        <v>1368</v>
      </c>
      <c r="ED151" s="609" t="s">
        <v>1368</v>
      </c>
      <c r="EE151" s="609" t="s">
        <v>1368</v>
      </c>
      <c r="EF151" s="609" t="s">
        <v>1368</v>
      </c>
      <c r="EG151" s="609" t="s">
        <v>1368</v>
      </c>
      <c r="EH151" s="609" t="s">
        <v>1368</v>
      </c>
      <c r="EI151" s="610" t="s">
        <v>1707</v>
      </c>
      <c r="EJ151" s="610" t="s">
        <v>1707</v>
      </c>
      <c r="EK151" s="610" t="s">
        <v>1707</v>
      </c>
      <c r="EL151" s="610" t="s">
        <v>1707</v>
      </c>
      <c r="EM151" s="610" t="s">
        <v>1707</v>
      </c>
      <c r="EN151" s="610" t="s">
        <v>1707</v>
      </c>
      <c r="EO151" s="610" t="s">
        <v>1707</v>
      </c>
      <c r="EP151" s="610" t="s">
        <v>1707</v>
      </c>
      <c r="EQ151" s="610" t="s">
        <v>1707</v>
      </c>
      <c r="ER151" s="610" t="s">
        <v>1707</v>
      </c>
      <c r="ES151" s="610" t="s">
        <v>1707</v>
      </c>
      <c r="ET151" s="610" t="s">
        <v>1707</v>
      </c>
      <c r="EU151" s="610">
        <v>4070</v>
      </c>
      <c r="EV151" s="610" t="s">
        <v>1707</v>
      </c>
      <c r="EW151" s="610" t="s">
        <v>1707</v>
      </c>
      <c r="EX151" s="610" t="s">
        <v>1707</v>
      </c>
      <c r="EY151" s="610" t="s">
        <v>1707</v>
      </c>
      <c r="EZ151" s="610" t="s">
        <v>1707</v>
      </c>
      <c r="FA151" s="610" t="s">
        <v>1707</v>
      </c>
      <c r="FB151" s="610" t="s">
        <v>1707</v>
      </c>
      <c r="FC151" s="610" t="s">
        <v>1707</v>
      </c>
      <c r="FD151" s="610" t="s">
        <v>1707</v>
      </c>
      <c r="FE151" s="610" t="s">
        <v>1707</v>
      </c>
      <c r="FF151" s="610" t="s">
        <v>1707</v>
      </c>
      <c r="FG151" s="610" t="s">
        <v>1707</v>
      </c>
      <c r="FH151" s="610">
        <v>21</v>
      </c>
      <c r="FI151" s="610">
        <v>21</v>
      </c>
      <c r="FJ151" s="610">
        <v>22</v>
      </c>
      <c r="FK151" s="610">
        <v>22</v>
      </c>
      <c r="FL151" s="610">
        <v>22</v>
      </c>
      <c r="FM151" s="610">
        <v>22</v>
      </c>
      <c r="FN151" s="610">
        <v>21</v>
      </c>
      <c r="FO151" s="610">
        <v>21</v>
      </c>
      <c r="FP151" s="610">
        <v>21</v>
      </c>
      <c r="FQ151" s="610">
        <v>21</v>
      </c>
      <c r="FR151" s="610" t="s">
        <v>2487</v>
      </c>
      <c r="FS151" s="610" t="s">
        <v>2487</v>
      </c>
      <c r="FT151" s="610" t="s">
        <v>2487</v>
      </c>
      <c r="FU151" s="610" t="s">
        <v>2487</v>
      </c>
      <c r="FV151" s="610" t="s">
        <v>2487</v>
      </c>
      <c r="FW151" s="610" t="s">
        <v>2487</v>
      </c>
      <c r="FX151" s="610" t="s">
        <v>2487</v>
      </c>
      <c r="FY151" s="610" t="s">
        <v>2487</v>
      </c>
      <c r="FZ151" s="610" t="s">
        <v>2487</v>
      </c>
      <c r="GA151" s="610" t="s">
        <v>2487</v>
      </c>
      <c r="GB151" s="610" t="s">
        <v>2487</v>
      </c>
      <c r="GC151" s="610" t="s">
        <v>2487</v>
      </c>
      <c r="GD151" s="564">
        <f t="shared" si="33"/>
        <v>79950</v>
      </c>
      <c r="GE151" s="564">
        <f t="shared" si="34"/>
        <v>79950</v>
      </c>
      <c r="GF151" s="564">
        <f t="shared" si="35"/>
        <v>79950</v>
      </c>
      <c r="GG151" s="564">
        <f t="shared" si="36"/>
        <v>79950</v>
      </c>
      <c r="GH151" s="564">
        <f t="shared" si="37"/>
        <v>79950</v>
      </c>
      <c r="GI151" s="564">
        <f t="shared" si="38"/>
        <v>79950</v>
      </c>
      <c r="GJ151" s="564">
        <f t="shared" si="39"/>
        <v>79950</v>
      </c>
      <c r="GK151" s="564">
        <f t="shared" si="40"/>
        <v>79950</v>
      </c>
      <c r="GL151" s="564">
        <f t="shared" si="41"/>
        <v>79950</v>
      </c>
      <c r="GM151" s="564">
        <f t="shared" si="42"/>
        <v>79950</v>
      </c>
      <c r="GN151" s="564">
        <f t="shared" si="43"/>
        <v>79950</v>
      </c>
      <c r="GO151" s="564">
        <f t="shared" si="44"/>
        <v>79950</v>
      </c>
      <c r="GP151" s="564"/>
      <c r="GS151" s="375" t="s">
        <v>1920</v>
      </c>
      <c r="GT151" s="374" t="str">
        <f t="shared" si="31"/>
        <v>〇</v>
      </c>
    </row>
    <row r="152" spans="2:202">
      <c r="B152" s="371">
        <v>148</v>
      </c>
      <c r="C152" s="378">
        <v>148</v>
      </c>
      <c r="D152" s="373" t="s">
        <v>1614</v>
      </c>
      <c r="E152" s="373" t="s">
        <v>12</v>
      </c>
      <c r="F152" s="603">
        <f t="shared" si="45"/>
        <v>20</v>
      </c>
      <c r="G152" s="603"/>
      <c r="H152" s="603">
        <v>20</v>
      </c>
      <c r="I152" s="603">
        <v>0</v>
      </c>
      <c r="J152" s="603">
        <v>13</v>
      </c>
      <c r="K152" s="603"/>
      <c r="L152" s="603">
        <v>0</v>
      </c>
      <c r="M152" s="603">
        <v>13</v>
      </c>
      <c r="N152" s="608"/>
      <c r="O152" s="603">
        <v>1577000</v>
      </c>
      <c r="P152" s="603">
        <v>2721000</v>
      </c>
      <c r="Q152" s="603">
        <v>0</v>
      </c>
      <c r="R152" s="603">
        <v>1791000</v>
      </c>
      <c r="S152" s="603">
        <v>1188000</v>
      </c>
      <c r="T152" s="603">
        <v>0</v>
      </c>
      <c r="U152" s="603">
        <v>0</v>
      </c>
      <c r="V152" s="603">
        <v>0</v>
      </c>
      <c r="W152" s="603">
        <v>0</v>
      </c>
      <c r="X152" s="603">
        <v>0</v>
      </c>
      <c r="Y152" s="603">
        <v>0</v>
      </c>
      <c r="Z152" s="603">
        <v>0</v>
      </c>
      <c r="AA152" s="603">
        <v>0</v>
      </c>
      <c r="AB152" s="603">
        <v>0</v>
      </c>
      <c r="AC152" s="603">
        <v>0</v>
      </c>
      <c r="AD152" s="603">
        <v>0</v>
      </c>
      <c r="AE152" s="603">
        <v>0</v>
      </c>
      <c r="AF152" s="603">
        <v>0</v>
      </c>
      <c r="AG152" s="603">
        <v>0</v>
      </c>
      <c r="AH152" s="603">
        <v>0</v>
      </c>
      <c r="AI152" s="603">
        <v>0</v>
      </c>
      <c r="AJ152" s="604" t="s">
        <v>2377</v>
      </c>
      <c r="AK152" s="605" t="s">
        <v>1545</v>
      </c>
      <c r="AL152" s="605" t="s">
        <v>1545</v>
      </c>
      <c r="AM152" s="606" t="s">
        <v>2414</v>
      </c>
      <c r="AN152" s="609" t="s">
        <v>12</v>
      </c>
      <c r="AO152" s="610" t="s">
        <v>2485</v>
      </c>
      <c r="AP152" s="610" t="s">
        <v>2485</v>
      </c>
      <c r="AQ152" s="610" t="s">
        <v>2485</v>
      </c>
      <c r="AR152" s="610" t="s">
        <v>2485</v>
      </c>
      <c r="AS152" s="610" t="s">
        <v>2485</v>
      </c>
      <c r="AT152" s="610" t="s">
        <v>2485</v>
      </c>
      <c r="AU152" s="610" t="s">
        <v>2485</v>
      </c>
      <c r="AV152" s="610" t="s">
        <v>2485</v>
      </c>
      <c r="AW152" s="610" t="s">
        <v>2485</v>
      </c>
      <c r="AX152" s="610" t="s">
        <v>2485</v>
      </c>
      <c r="AY152" s="610" t="s">
        <v>2485</v>
      </c>
      <c r="AZ152" s="610" t="s">
        <v>2485</v>
      </c>
      <c r="BA152" s="610" t="s">
        <v>1368</v>
      </c>
      <c r="BB152" s="610" t="s">
        <v>1368</v>
      </c>
      <c r="BC152" s="610" t="s">
        <v>1368</v>
      </c>
      <c r="BD152" s="610" t="s">
        <v>1368</v>
      </c>
      <c r="BE152" s="610" t="s">
        <v>1368</v>
      </c>
      <c r="BF152" s="610" t="s">
        <v>1368</v>
      </c>
      <c r="BG152" s="610" t="s">
        <v>1368</v>
      </c>
      <c r="BH152" s="610" t="s">
        <v>1368</v>
      </c>
      <c r="BI152" s="610" t="s">
        <v>1368</v>
      </c>
      <c r="BJ152" s="610" t="s">
        <v>1368</v>
      </c>
      <c r="BK152" s="610" t="s">
        <v>1368</v>
      </c>
      <c r="BL152" s="610" t="s">
        <v>1368</v>
      </c>
      <c r="BM152" s="610">
        <v>1</v>
      </c>
      <c r="BN152" s="610">
        <v>1</v>
      </c>
      <c r="BO152" s="610">
        <v>1</v>
      </c>
      <c r="BP152" s="610">
        <v>1</v>
      </c>
      <c r="BQ152" s="610">
        <v>1</v>
      </c>
      <c r="BR152" s="610">
        <v>1</v>
      </c>
      <c r="BS152" s="610">
        <v>1</v>
      </c>
      <c r="BT152" s="610">
        <v>1</v>
      </c>
      <c r="BU152" s="610">
        <v>1</v>
      </c>
      <c r="BV152" s="610">
        <v>1</v>
      </c>
      <c r="BW152" s="610">
        <v>1</v>
      </c>
      <c r="BX152" s="610">
        <v>1</v>
      </c>
      <c r="BY152" s="610">
        <v>0</v>
      </c>
      <c r="BZ152" s="610">
        <v>0</v>
      </c>
      <c r="CA152" s="610">
        <v>0</v>
      </c>
      <c r="CB152" s="610">
        <v>0</v>
      </c>
      <c r="CC152" s="610">
        <v>0</v>
      </c>
      <c r="CD152" s="610">
        <v>0</v>
      </c>
      <c r="CE152" s="610">
        <v>0</v>
      </c>
      <c r="CF152" s="610">
        <v>0</v>
      </c>
      <c r="CG152" s="610">
        <v>0</v>
      </c>
      <c r="CH152" s="610">
        <v>0</v>
      </c>
      <c r="CI152" s="610">
        <v>0</v>
      </c>
      <c r="CJ152" s="610">
        <v>0</v>
      </c>
      <c r="CK152" s="610">
        <v>0</v>
      </c>
      <c r="CL152" s="610">
        <v>0</v>
      </c>
      <c r="CM152" s="610">
        <v>0</v>
      </c>
      <c r="CN152" s="610">
        <v>0</v>
      </c>
      <c r="CO152" s="610">
        <v>0</v>
      </c>
      <c r="CP152" s="610">
        <v>0</v>
      </c>
      <c r="CQ152" s="610">
        <v>0</v>
      </c>
      <c r="CR152" s="610">
        <v>0</v>
      </c>
      <c r="CS152" s="610">
        <v>0</v>
      </c>
      <c r="CT152" s="610">
        <v>0</v>
      </c>
      <c r="CU152" s="610">
        <v>0</v>
      </c>
      <c r="CV152" s="610">
        <v>0</v>
      </c>
      <c r="CW152" s="610" t="s">
        <v>14</v>
      </c>
      <c r="CX152" s="610">
        <v>0</v>
      </c>
      <c r="CY152" s="610" t="s">
        <v>1707</v>
      </c>
      <c r="CZ152" s="610" t="s">
        <v>1707</v>
      </c>
      <c r="DA152" s="610" t="s">
        <v>1707</v>
      </c>
      <c r="DB152" s="610" t="s">
        <v>1707</v>
      </c>
      <c r="DC152" s="610" t="s">
        <v>1707</v>
      </c>
      <c r="DD152" s="610" t="s">
        <v>1707</v>
      </c>
      <c r="DE152" s="610" t="s">
        <v>1707</v>
      </c>
      <c r="DF152" s="610" t="s">
        <v>1707</v>
      </c>
      <c r="DG152" s="610" t="s">
        <v>1707</v>
      </c>
      <c r="DH152" s="610" t="s">
        <v>1707</v>
      </c>
      <c r="DI152" s="610" t="s">
        <v>1707</v>
      </c>
      <c r="DJ152" s="610" t="s">
        <v>1707</v>
      </c>
      <c r="DK152" s="610" t="s">
        <v>1368</v>
      </c>
      <c r="DL152" s="610" t="s">
        <v>1368</v>
      </c>
      <c r="DM152" s="610" t="s">
        <v>1368</v>
      </c>
      <c r="DN152" s="610" t="s">
        <v>1368</v>
      </c>
      <c r="DO152" s="610" t="s">
        <v>1368</v>
      </c>
      <c r="DP152" s="610" t="s">
        <v>1368</v>
      </c>
      <c r="DQ152" s="610" t="s">
        <v>1368</v>
      </c>
      <c r="DR152" s="610" t="s">
        <v>1368</v>
      </c>
      <c r="DS152" s="610" t="s">
        <v>1368</v>
      </c>
      <c r="DT152" s="610" t="s">
        <v>1368</v>
      </c>
      <c r="DU152" s="610" t="s">
        <v>1368</v>
      </c>
      <c r="DV152" s="610" t="s">
        <v>1368</v>
      </c>
      <c r="DW152" s="609" t="s">
        <v>1368</v>
      </c>
      <c r="DX152" s="609" t="s">
        <v>1368</v>
      </c>
      <c r="DY152" s="609" t="s">
        <v>1368</v>
      </c>
      <c r="DZ152" s="609" t="s">
        <v>1368</v>
      </c>
      <c r="EA152" s="609" t="s">
        <v>1368</v>
      </c>
      <c r="EB152" s="609" t="s">
        <v>1368</v>
      </c>
      <c r="EC152" s="609" t="s">
        <v>1368</v>
      </c>
      <c r="ED152" s="609" t="s">
        <v>1368</v>
      </c>
      <c r="EE152" s="609" t="s">
        <v>1368</v>
      </c>
      <c r="EF152" s="609" t="s">
        <v>1368</v>
      </c>
      <c r="EG152" s="609" t="s">
        <v>1368</v>
      </c>
      <c r="EH152" s="609" t="s">
        <v>1368</v>
      </c>
      <c r="EI152" s="610" t="s">
        <v>1707</v>
      </c>
      <c r="EJ152" s="610" t="s">
        <v>1707</v>
      </c>
      <c r="EK152" s="610" t="s">
        <v>1707</v>
      </c>
      <c r="EL152" s="610" t="s">
        <v>1707</v>
      </c>
      <c r="EM152" s="610" t="s">
        <v>1707</v>
      </c>
      <c r="EN152" s="610" t="s">
        <v>1707</v>
      </c>
      <c r="EO152" s="610" t="s">
        <v>1707</v>
      </c>
      <c r="EP152" s="610" t="s">
        <v>1707</v>
      </c>
      <c r="EQ152" s="610" t="s">
        <v>1707</v>
      </c>
      <c r="ER152" s="610" t="s">
        <v>1707</v>
      </c>
      <c r="ES152" s="610" t="s">
        <v>1707</v>
      </c>
      <c r="ET152" s="610" t="s">
        <v>1707</v>
      </c>
      <c r="EU152" s="610">
        <v>4010</v>
      </c>
      <c r="EV152" s="610" t="s">
        <v>1707</v>
      </c>
      <c r="EW152" s="610" t="s">
        <v>1707</v>
      </c>
      <c r="EX152" s="610" t="s">
        <v>1707</v>
      </c>
      <c r="EY152" s="610" t="s">
        <v>1707</v>
      </c>
      <c r="EZ152" s="610" t="s">
        <v>1707</v>
      </c>
      <c r="FA152" s="610" t="s">
        <v>1707</v>
      </c>
      <c r="FB152" s="610" t="s">
        <v>1707</v>
      </c>
      <c r="FC152" s="610" t="s">
        <v>1707</v>
      </c>
      <c r="FD152" s="610" t="s">
        <v>1707</v>
      </c>
      <c r="FE152" s="610" t="s">
        <v>1707</v>
      </c>
      <c r="FF152" s="610" t="s">
        <v>1707</v>
      </c>
      <c r="FG152" s="610" t="s">
        <v>1707</v>
      </c>
      <c r="FH152" s="610">
        <v>10</v>
      </c>
      <c r="FI152" s="610">
        <v>10</v>
      </c>
      <c r="FJ152" s="610">
        <v>10</v>
      </c>
      <c r="FK152" s="610">
        <v>10</v>
      </c>
      <c r="FL152" s="610">
        <v>10</v>
      </c>
      <c r="FM152" s="610">
        <v>10</v>
      </c>
      <c r="FN152" s="610">
        <v>9</v>
      </c>
      <c r="FO152" s="610">
        <v>9</v>
      </c>
      <c r="FP152" s="610">
        <v>9</v>
      </c>
      <c r="FQ152" s="610">
        <v>8</v>
      </c>
      <c r="FR152" s="610" t="s">
        <v>2487</v>
      </c>
      <c r="FS152" s="610" t="s">
        <v>2487</v>
      </c>
      <c r="FT152" s="610" t="s">
        <v>2487</v>
      </c>
      <c r="FU152" s="610" t="s">
        <v>2487</v>
      </c>
      <c r="FV152" s="610" t="s">
        <v>2487</v>
      </c>
      <c r="FW152" s="610" t="s">
        <v>2487</v>
      </c>
      <c r="FX152" s="610" t="s">
        <v>2487</v>
      </c>
      <c r="FY152" s="610" t="s">
        <v>2487</v>
      </c>
      <c r="FZ152" s="610" t="s">
        <v>2487</v>
      </c>
      <c r="GA152" s="610" t="s">
        <v>2487</v>
      </c>
      <c r="GB152" s="610" t="s">
        <v>2487</v>
      </c>
      <c r="GC152" s="610" t="s">
        <v>2487</v>
      </c>
      <c r="GD152" s="564">
        <f t="shared" si="33"/>
        <v>79950</v>
      </c>
      <c r="GE152" s="564">
        <f t="shared" si="34"/>
        <v>79950</v>
      </c>
      <c r="GF152" s="564">
        <f t="shared" si="35"/>
        <v>79950</v>
      </c>
      <c r="GG152" s="564">
        <f t="shared" si="36"/>
        <v>79950</v>
      </c>
      <c r="GH152" s="564">
        <f t="shared" si="37"/>
        <v>79950</v>
      </c>
      <c r="GI152" s="564">
        <f t="shared" si="38"/>
        <v>79950</v>
      </c>
      <c r="GJ152" s="564">
        <f t="shared" si="39"/>
        <v>79950</v>
      </c>
      <c r="GK152" s="564">
        <f t="shared" si="40"/>
        <v>79950</v>
      </c>
      <c r="GL152" s="564">
        <f t="shared" si="41"/>
        <v>79950</v>
      </c>
      <c r="GM152" s="564">
        <f t="shared" si="42"/>
        <v>79950</v>
      </c>
      <c r="GN152" s="564">
        <f t="shared" si="43"/>
        <v>79950</v>
      </c>
      <c r="GO152" s="564">
        <f t="shared" si="44"/>
        <v>79950</v>
      </c>
      <c r="GP152" s="564"/>
      <c r="GS152" s="375" t="s">
        <v>1614</v>
      </c>
      <c r="GT152" s="374" t="str">
        <f t="shared" si="31"/>
        <v>〇</v>
      </c>
    </row>
    <row r="153" spans="2:202">
      <c r="B153" s="371">
        <v>149</v>
      </c>
      <c r="C153" s="378">
        <v>149</v>
      </c>
      <c r="D153" s="373" t="s">
        <v>1615</v>
      </c>
      <c r="E153" s="373" t="s">
        <v>12</v>
      </c>
      <c r="F153" s="603">
        <f t="shared" si="45"/>
        <v>20</v>
      </c>
      <c r="G153" s="603"/>
      <c r="H153" s="603">
        <v>20</v>
      </c>
      <c r="I153" s="603">
        <v>0</v>
      </c>
      <c r="J153" s="603">
        <v>18</v>
      </c>
      <c r="K153" s="603"/>
      <c r="L153" s="603">
        <v>0</v>
      </c>
      <c r="M153" s="603">
        <v>18</v>
      </c>
      <c r="N153" s="608"/>
      <c r="O153" s="603">
        <v>1577000</v>
      </c>
      <c r="P153" s="603">
        <v>2721000</v>
      </c>
      <c r="Q153" s="603">
        <v>0</v>
      </c>
      <c r="R153" s="603">
        <v>1791000</v>
      </c>
      <c r="S153" s="603">
        <v>1791000</v>
      </c>
      <c r="T153" s="603">
        <v>0</v>
      </c>
      <c r="U153" s="603">
        <v>0</v>
      </c>
      <c r="V153" s="603">
        <v>1051000</v>
      </c>
      <c r="W153" s="603">
        <v>1814000</v>
      </c>
      <c r="X153" s="603">
        <v>0</v>
      </c>
      <c r="Y153" s="603">
        <v>1194000</v>
      </c>
      <c r="Z153" s="603">
        <v>1194000</v>
      </c>
      <c r="AA153" s="603">
        <v>0</v>
      </c>
      <c r="AB153" s="603">
        <v>0</v>
      </c>
      <c r="AC153" s="603">
        <v>0</v>
      </c>
      <c r="AD153" s="603">
        <v>0</v>
      </c>
      <c r="AE153" s="603">
        <v>0</v>
      </c>
      <c r="AF153" s="603">
        <v>0</v>
      </c>
      <c r="AG153" s="603">
        <v>0</v>
      </c>
      <c r="AH153" s="603">
        <v>0</v>
      </c>
      <c r="AI153" s="603">
        <v>0</v>
      </c>
      <c r="AJ153" s="604" t="s">
        <v>2377</v>
      </c>
      <c r="AK153" s="605" t="s">
        <v>2378</v>
      </c>
      <c r="AL153" s="605" t="s">
        <v>1545</v>
      </c>
      <c r="AM153" s="606" t="s">
        <v>2415</v>
      </c>
      <c r="AN153" s="609" t="s">
        <v>12</v>
      </c>
      <c r="AO153" s="610" t="s">
        <v>1368</v>
      </c>
      <c r="AP153" s="610" t="s">
        <v>1368</v>
      </c>
      <c r="AQ153" s="610" t="s">
        <v>1368</v>
      </c>
      <c r="AR153" s="610" t="s">
        <v>1368</v>
      </c>
      <c r="AS153" s="610" t="s">
        <v>1368</v>
      </c>
      <c r="AT153" s="610" t="s">
        <v>1368</v>
      </c>
      <c r="AU153" s="610" t="s">
        <v>1368</v>
      </c>
      <c r="AV153" s="610" t="s">
        <v>1368</v>
      </c>
      <c r="AW153" s="610" t="s">
        <v>1368</v>
      </c>
      <c r="AX153" s="610" t="s">
        <v>1368</v>
      </c>
      <c r="AY153" s="610" t="s">
        <v>1368</v>
      </c>
      <c r="AZ153" s="610" t="s">
        <v>1368</v>
      </c>
      <c r="BA153" s="610" t="s">
        <v>1368</v>
      </c>
      <c r="BB153" s="610" t="s">
        <v>1368</v>
      </c>
      <c r="BC153" s="610" t="s">
        <v>1368</v>
      </c>
      <c r="BD153" s="610" t="s">
        <v>1368</v>
      </c>
      <c r="BE153" s="610" t="s">
        <v>1368</v>
      </c>
      <c r="BF153" s="610" t="s">
        <v>1368</v>
      </c>
      <c r="BG153" s="610" t="s">
        <v>1368</v>
      </c>
      <c r="BH153" s="610" t="s">
        <v>1368</v>
      </c>
      <c r="BI153" s="610" t="s">
        <v>1368</v>
      </c>
      <c r="BJ153" s="610" t="s">
        <v>1368</v>
      </c>
      <c r="BK153" s="610" t="s">
        <v>1368</v>
      </c>
      <c r="BL153" s="610" t="s">
        <v>1368</v>
      </c>
      <c r="BM153" s="610">
        <v>0</v>
      </c>
      <c r="BN153" s="610">
        <v>0</v>
      </c>
      <c r="BO153" s="610">
        <v>0</v>
      </c>
      <c r="BP153" s="610">
        <v>0</v>
      </c>
      <c r="BQ153" s="610">
        <v>0</v>
      </c>
      <c r="BR153" s="610">
        <v>0</v>
      </c>
      <c r="BS153" s="610">
        <v>0</v>
      </c>
      <c r="BT153" s="610">
        <v>0</v>
      </c>
      <c r="BU153" s="610">
        <v>0</v>
      </c>
      <c r="BV153" s="610">
        <v>0</v>
      </c>
      <c r="BW153" s="610">
        <v>0</v>
      </c>
      <c r="BX153" s="610">
        <v>0</v>
      </c>
      <c r="BY153" s="610">
        <v>0</v>
      </c>
      <c r="BZ153" s="610">
        <v>0</v>
      </c>
      <c r="CA153" s="610">
        <v>0</v>
      </c>
      <c r="CB153" s="610">
        <v>0</v>
      </c>
      <c r="CC153" s="610">
        <v>0</v>
      </c>
      <c r="CD153" s="610">
        <v>0</v>
      </c>
      <c r="CE153" s="610">
        <v>0</v>
      </c>
      <c r="CF153" s="610">
        <v>0</v>
      </c>
      <c r="CG153" s="610">
        <v>0</v>
      </c>
      <c r="CH153" s="610">
        <v>0</v>
      </c>
      <c r="CI153" s="610">
        <v>0</v>
      </c>
      <c r="CJ153" s="610">
        <v>0</v>
      </c>
      <c r="CK153" s="610">
        <v>0</v>
      </c>
      <c r="CL153" s="610">
        <v>0</v>
      </c>
      <c r="CM153" s="610">
        <v>0</v>
      </c>
      <c r="CN153" s="610">
        <v>0</v>
      </c>
      <c r="CO153" s="610">
        <v>0</v>
      </c>
      <c r="CP153" s="610">
        <v>0</v>
      </c>
      <c r="CQ153" s="610">
        <v>0</v>
      </c>
      <c r="CR153" s="610">
        <v>0</v>
      </c>
      <c r="CS153" s="610">
        <v>0</v>
      </c>
      <c r="CT153" s="610">
        <v>0</v>
      </c>
      <c r="CU153" s="610">
        <v>0</v>
      </c>
      <c r="CV153" s="610">
        <v>0</v>
      </c>
      <c r="CW153" s="610" t="s">
        <v>14</v>
      </c>
      <c r="CX153" s="610">
        <v>0</v>
      </c>
      <c r="CY153" s="610" t="s">
        <v>2449</v>
      </c>
      <c r="CZ153" s="610" t="s">
        <v>2449</v>
      </c>
      <c r="DA153" s="610" t="s">
        <v>2449</v>
      </c>
      <c r="DB153" s="610" t="s">
        <v>2449</v>
      </c>
      <c r="DC153" s="610" t="s">
        <v>2449</v>
      </c>
      <c r="DD153" s="610" t="s">
        <v>2449</v>
      </c>
      <c r="DE153" s="610" t="s">
        <v>2449</v>
      </c>
      <c r="DF153" s="610" t="s">
        <v>2449</v>
      </c>
      <c r="DG153" s="610" t="s">
        <v>2449</v>
      </c>
      <c r="DH153" s="610" t="s">
        <v>2449</v>
      </c>
      <c r="DI153" s="610" t="s">
        <v>2449</v>
      </c>
      <c r="DJ153" s="610" t="s">
        <v>2449</v>
      </c>
      <c r="DK153" s="610" t="s">
        <v>1368</v>
      </c>
      <c r="DL153" s="610" t="s">
        <v>1368</v>
      </c>
      <c r="DM153" s="610" t="s">
        <v>1368</v>
      </c>
      <c r="DN153" s="610" t="s">
        <v>1368</v>
      </c>
      <c r="DO153" s="610" t="s">
        <v>1368</v>
      </c>
      <c r="DP153" s="610" t="s">
        <v>1368</v>
      </c>
      <c r="DQ153" s="610" t="s">
        <v>1368</v>
      </c>
      <c r="DR153" s="610" t="s">
        <v>1368</v>
      </c>
      <c r="DS153" s="610" t="s">
        <v>1368</v>
      </c>
      <c r="DT153" s="610" t="s">
        <v>1368</v>
      </c>
      <c r="DU153" s="610" t="s">
        <v>1368</v>
      </c>
      <c r="DV153" s="610" t="s">
        <v>1368</v>
      </c>
      <c r="DW153" s="609" t="s">
        <v>1368</v>
      </c>
      <c r="DX153" s="609" t="s">
        <v>1368</v>
      </c>
      <c r="DY153" s="609" t="s">
        <v>1368</v>
      </c>
      <c r="DZ153" s="609" t="s">
        <v>1368</v>
      </c>
      <c r="EA153" s="609" t="s">
        <v>1368</v>
      </c>
      <c r="EB153" s="609" t="s">
        <v>1368</v>
      </c>
      <c r="EC153" s="609" t="s">
        <v>1368</v>
      </c>
      <c r="ED153" s="609" t="s">
        <v>1368</v>
      </c>
      <c r="EE153" s="609" t="s">
        <v>1368</v>
      </c>
      <c r="EF153" s="609" t="s">
        <v>1368</v>
      </c>
      <c r="EG153" s="609" t="s">
        <v>1368</v>
      </c>
      <c r="EH153" s="609" t="s">
        <v>1368</v>
      </c>
      <c r="EI153" s="610" t="s">
        <v>1707</v>
      </c>
      <c r="EJ153" s="610" t="s">
        <v>1707</v>
      </c>
      <c r="EK153" s="610" t="s">
        <v>1707</v>
      </c>
      <c r="EL153" s="610" t="s">
        <v>1707</v>
      </c>
      <c r="EM153" s="610" t="s">
        <v>1707</v>
      </c>
      <c r="EN153" s="610" t="s">
        <v>1707</v>
      </c>
      <c r="EO153" s="610" t="s">
        <v>1707</v>
      </c>
      <c r="EP153" s="610" t="s">
        <v>1707</v>
      </c>
      <c r="EQ153" s="610" t="s">
        <v>1707</v>
      </c>
      <c r="ER153" s="610" t="s">
        <v>1707</v>
      </c>
      <c r="ES153" s="610" t="s">
        <v>1707</v>
      </c>
      <c r="ET153" s="610" t="s">
        <v>1707</v>
      </c>
      <c r="EU153" s="610">
        <v>3980</v>
      </c>
      <c r="EV153" s="610" t="s">
        <v>1707</v>
      </c>
      <c r="EW153" s="610" t="s">
        <v>1707</v>
      </c>
      <c r="EX153" s="610" t="s">
        <v>1707</v>
      </c>
      <c r="EY153" s="610" t="s">
        <v>1707</v>
      </c>
      <c r="EZ153" s="610" t="s">
        <v>1707</v>
      </c>
      <c r="FA153" s="610" t="s">
        <v>1707</v>
      </c>
      <c r="FB153" s="610" t="s">
        <v>1707</v>
      </c>
      <c r="FC153" s="610" t="s">
        <v>1707</v>
      </c>
      <c r="FD153" s="610" t="s">
        <v>1707</v>
      </c>
      <c r="FE153" s="610" t="s">
        <v>1707</v>
      </c>
      <c r="FF153" s="610" t="s">
        <v>1707</v>
      </c>
      <c r="FG153" s="610" t="s">
        <v>1707</v>
      </c>
      <c r="FH153" s="610">
        <v>11</v>
      </c>
      <c r="FI153" s="610">
        <v>11</v>
      </c>
      <c r="FJ153" s="610">
        <v>12</v>
      </c>
      <c r="FK153" s="610">
        <v>11</v>
      </c>
      <c r="FL153" s="610">
        <v>11</v>
      </c>
      <c r="FM153" s="610">
        <v>12</v>
      </c>
      <c r="FN153" s="610">
        <v>11</v>
      </c>
      <c r="FO153" s="610">
        <v>11</v>
      </c>
      <c r="FP153" s="610">
        <v>11</v>
      </c>
      <c r="FQ153" s="610">
        <v>11</v>
      </c>
      <c r="FR153" s="610" t="s">
        <v>2487</v>
      </c>
      <c r="FS153" s="610" t="s">
        <v>2487</v>
      </c>
      <c r="FT153" s="610" t="s">
        <v>2487</v>
      </c>
      <c r="FU153" s="610" t="s">
        <v>2487</v>
      </c>
      <c r="FV153" s="610" t="s">
        <v>2487</v>
      </c>
      <c r="FW153" s="610" t="s">
        <v>2487</v>
      </c>
      <c r="FX153" s="610" t="s">
        <v>2487</v>
      </c>
      <c r="FY153" s="610" t="s">
        <v>2487</v>
      </c>
      <c r="FZ153" s="610" t="s">
        <v>2487</v>
      </c>
      <c r="GA153" s="610" t="s">
        <v>2487</v>
      </c>
      <c r="GB153" s="610" t="s">
        <v>2487</v>
      </c>
      <c r="GC153" s="610" t="s">
        <v>2487</v>
      </c>
      <c r="GD153" s="564">
        <f t="shared" si="33"/>
        <v>79950</v>
      </c>
      <c r="GE153" s="564">
        <f t="shared" si="34"/>
        <v>79950</v>
      </c>
      <c r="GF153" s="564">
        <f t="shared" si="35"/>
        <v>79950</v>
      </c>
      <c r="GG153" s="564">
        <f t="shared" si="36"/>
        <v>79950</v>
      </c>
      <c r="GH153" s="564">
        <f t="shared" si="37"/>
        <v>79950</v>
      </c>
      <c r="GI153" s="564">
        <f t="shared" si="38"/>
        <v>79950</v>
      </c>
      <c r="GJ153" s="564">
        <f t="shared" si="39"/>
        <v>79950</v>
      </c>
      <c r="GK153" s="564">
        <f t="shared" si="40"/>
        <v>79950</v>
      </c>
      <c r="GL153" s="564">
        <f t="shared" si="41"/>
        <v>79950</v>
      </c>
      <c r="GM153" s="564">
        <f t="shared" si="42"/>
        <v>79950</v>
      </c>
      <c r="GN153" s="564">
        <f t="shared" si="43"/>
        <v>79950</v>
      </c>
      <c r="GO153" s="564">
        <f t="shared" si="44"/>
        <v>79950</v>
      </c>
      <c r="GP153" s="564"/>
      <c r="GS153" s="375" t="s">
        <v>1615</v>
      </c>
      <c r="GT153" s="374" t="str">
        <f t="shared" si="31"/>
        <v>〇</v>
      </c>
    </row>
    <row r="154" spans="2:202">
      <c r="B154" s="371">
        <v>150</v>
      </c>
      <c r="C154" s="378">
        <v>150</v>
      </c>
      <c r="D154" s="373" t="s">
        <v>1616</v>
      </c>
      <c r="E154" s="373" t="s">
        <v>14</v>
      </c>
      <c r="F154" s="603">
        <f t="shared" si="45"/>
        <v>40</v>
      </c>
      <c r="G154" s="603"/>
      <c r="H154" s="603">
        <v>21</v>
      </c>
      <c r="I154" s="603">
        <v>19</v>
      </c>
      <c r="J154" s="603"/>
      <c r="K154" s="603"/>
      <c r="L154" s="603"/>
      <c r="M154" s="603"/>
      <c r="N154" s="608"/>
      <c r="O154" s="603">
        <v>1577000</v>
      </c>
      <c r="P154" s="603">
        <v>2721000</v>
      </c>
      <c r="Q154" s="603">
        <v>2721000</v>
      </c>
      <c r="R154" s="603">
        <v>1791000</v>
      </c>
      <c r="S154" s="603">
        <v>0</v>
      </c>
      <c r="T154" s="603">
        <v>2181000</v>
      </c>
      <c r="U154" s="603">
        <v>0</v>
      </c>
      <c r="V154" s="603">
        <v>0</v>
      </c>
      <c r="W154" s="603">
        <v>0</v>
      </c>
      <c r="X154" s="603">
        <v>0</v>
      </c>
      <c r="Y154" s="603">
        <v>0</v>
      </c>
      <c r="Z154" s="603">
        <v>0</v>
      </c>
      <c r="AA154" s="603">
        <v>0</v>
      </c>
      <c r="AB154" s="603">
        <v>0</v>
      </c>
      <c r="AC154" s="603">
        <v>0</v>
      </c>
      <c r="AD154" s="603">
        <v>0</v>
      </c>
      <c r="AE154" s="603">
        <v>0</v>
      </c>
      <c r="AF154" s="603">
        <v>0</v>
      </c>
      <c r="AG154" s="603">
        <v>0</v>
      </c>
      <c r="AH154" s="603">
        <v>0</v>
      </c>
      <c r="AI154" s="603">
        <v>0</v>
      </c>
      <c r="AJ154" s="604" t="s">
        <v>2377</v>
      </c>
      <c r="AK154" s="605" t="s">
        <v>1545</v>
      </c>
      <c r="AL154" s="605" t="s">
        <v>1545</v>
      </c>
      <c r="AM154" s="606" t="s">
        <v>2416</v>
      </c>
      <c r="AN154" s="609" t="s">
        <v>12</v>
      </c>
      <c r="AO154" s="610" t="s">
        <v>2485</v>
      </c>
      <c r="AP154" s="610" t="s">
        <v>2485</v>
      </c>
      <c r="AQ154" s="610" t="s">
        <v>2485</v>
      </c>
      <c r="AR154" s="610" t="s">
        <v>2485</v>
      </c>
      <c r="AS154" s="610" t="s">
        <v>2485</v>
      </c>
      <c r="AT154" s="610" t="s">
        <v>2485</v>
      </c>
      <c r="AU154" s="610" t="s">
        <v>2485</v>
      </c>
      <c r="AV154" s="610" t="s">
        <v>2485</v>
      </c>
      <c r="AW154" s="610" t="s">
        <v>2485</v>
      </c>
      <c r="AX154" s="610" t="s">
        <v>2485</v>
      </c>
      <c r="AY154" s="610" t="s">
        <v>2485</v>
      </c>
      <c r="AZ154" s="610" t="s">
        <v>2485</v>
      </c>
      <c r="BA154" s="610" t="s">
        <v>1368</v>
      </c>
      <c r="BB154" s="610" t="s">
        <v>1368</v>
      </c>
      <c r="BC154" s="610" t="s">
        <v>1368</v>
      </c>
      <c r="BD154" s="610" t="s">
        <v>1368</v>
      </c>
      <c r="BE154" s="610" t="s">
        <v>1368</v>
      </c>
      <c r="BF154" s="610" t="s">
        <v>1368</v>
      </c>
      <c r="BG154" s="610" t="s">
        <v>1368</v>
      </c>
      <c r="BH154" s="610" t="s">
        <v>1368</v>
      </c>
      <c r="BI154" s="610" t="s">
        <v>1368</v>
      </c>
      <c r="BJ154" s="610" t="s">
        <v>1368</v>
      </c>
      <c r="BK154" s="610" t="s">
        <v>1368</v>
      </c>
      <c r="BL154" s="610" t="s">
        <v>1368</v>
      </c>
      <c r="BM154" s="610">
        <v>1</v>
      </c>
      <c r="BN154" s="610">
        <v>1</v>
      </c>
      <c r="BO154" s="610">
        <v>1</v>
      </c>
      <c r="BP154" s="610">
        <v>1</v>
      </c>
      <c r="BQ154" s="610">
        <v>1</v>
      </c>
      <c r="BR154" s="610">
        <v>1</v>
      </c>
      <c r="BS154" s="610">
        <v>1</v>
      </c>
      <c r="BT154" s="610">
        <v>1</v>
      </c>
      <c r="BU154" s="610">
        <v>1</v>
      </c>
      <c r="BV154" s="610">
        <v>1</v>
      </c>
      <c r="BW154" s="610">
        <v>1</v>
      </c>
      <c r="BX154" s="610">
        <v>1</v>
      </c>
      <c r="BY154" s="610">
        <v>0</v>
      </c>
      <c r="BZ154" s="610">
        <v>0</v>
      </c>
      <c r="CA154" s="610">
        <v>0</v>
      </c>
      <c r="CB154" s="610">
        <v>0</v>
      </c>
      <c r="CC154" s="610">
        <v>0</v>
      </c>
      <c r="CD154" s="610">
        <v>0</v>
      </c>
      <c r="CE154" s="610">
        <v>0</v>
      </c>
      <c r="CF154" s="610">
        <v>0</v>
      </c>
      <c r="CG154" s="610">
        <v>0</v>
      </c>
      <c r="CH154" s="610">
        <v>0</v>
      </c>
      <c r="CI154" s="610">
        <v>0</v>
      </c>
      <c r="CJ154" s="610">
        <v>0</v>
      </c>
      <c r="CK154" s="610">
        <v>0</v>
      </c>
      <c r="CL154" s="610">
        <v>0</v>
      </c>
      <c r="CM154" s="610">
        <v>0</v>
      </c>
      <c r="CN154" s="610">
        <v>0</v>
      </c>
      <c r="CO154" s="610">
        <v>0</v>
      </c>
      <c r="CP154" s="610">
        <v>0</v>
      </c>
      <c r="CQ154" s="610">
        <v>0</v>
      </c>
      <c r="CR154" s="610">
        <v>0</v>
      </c>
      <c r="CS154" s="610">
        <v>0</v>
      </c>
      <c r="CT154" s="610">
        <v>0</v>
      </c>
      <c r="CU154" s="610">
        <v>0</v>
      </c>
      <c r="CV154" s="610">
        <v>0</v>
      </c>
      <c r="CW154" s="610" t="s">
        <v>14</v>
      </c>
      <c r="CX154" s="610">
        <v>0</v>
      </c>
      <c r="CY154" s="610" t="s">
        <v>2449</v>
      </c>
      <c r="CZ154" s="610" t="s">
        <v>2449</v>
      </c>
      <c r="DA154" s="610" t="s">
        <v>2449</v>
      </c>
      <c r="DB154" s="610" t="s">
        <v>2449</v>
      </c>
      <c r="DC154" s="610" t="s">
        <v>2449</v>
      </c>
      <c r="DD154" s="610" t="s">
        <v>2449</v>
      </c>
      <c r="DE154" s="610" t="s">
        <v>2449</v>
      </c>
      <c r="DF154" s="610" t="s">
        <v>2449</v>
      </c>
      <c r="DG154" s="610" t="s">
        <v>2449</v>
      </c>
      <c r="DH154" s="610" t="s">
        <v>2449</v>
      </c>
      <c r="DI154" s="610" t="s">
        <v>2449</v>
      </c>
      <c r="DJ154" s="610" t="s">
        <v>2449</v>
      </c>
      <c r="DK154" s="610" t="s">
        <v>1368</v>
      </c>
      <c r="DL154" s="610" t="s">
        <v>1368</v>
      </c>
      <c r="DM154" s="610" t="s">
        <v>1368</v>
      </c>
      <c r="DN154" s="610" t="s">
        <v>1368</v>
      </c>
      <c r="DO154" s="610" t="s">
        <v>1368</v>
      </c>
      <c r="DP154" s="610" t="s">
        <v>1368</v>
      </c>
      <c r="DQ154" s="610" t="s">
        <v>1368</v>
      </c>
      <c r="DR154" s="610" t="s">
        <v>1368</v>
      </c>
      <c r="DS154" s="610" t="s">
        <v>1368</v>
      </c>
      <c r="DT154" s="610" t="s">
        <v>1368</v>
      </c>
      <c r="DU154" s="610" t="s">
        <v>1368</v>
      </c>
      <c r="DV154" s="610" t="s">
        <v>1368</v>
      </c>
      <c r="DW154" s="609" t="s">
        <v>1368</v>
      </c>
      <c r="DX154" s="609" t="s">
        <v>1368</v>
      </c>
      <c r="DY154" s="609" t="s">
        <v>1368</v>
      </c>
      <c r="DZ154" s="609" t="s">
        <v>1368</v>
      </c>
      <c r="EA154" s="609" t="s">
        <v>1368</v>
      </c>
      <c r="EB154" s="609" t="s">
        <v>1368</v>
      </c>
      <c r="EC154" s="609" t="s">
        <v>1368</v>
      </c>
      <c r="ED154" s="609" t="s">
        <v>1368</v>
      </c>
      <c r="EE154" s="609" t="s">
        <v>1368</v>
      </c>
      <c r="EF154" s="609" t="s">
        <v>1368</v>
      </c>
      <c r="EG154" s="609" t="s">
        <v>1368</v>
      </c>
      <c r="EH154" s="609" t="s">
        <v>1368</v>
      </c>
      <c r="EI154" s="610" t="s">
        <v>1707</v>
      </c>
      <c r="EJ154" s="610" t="s">
        <v>1707</v>
      </c>
      <c r="EK154" s="610" t="s">
        <v>1707</v>
      </c>
      <c r="EL154" s="610" t="s">
        <v>1707</v>
      </c>
      <c r="EM154" s="610" t="s">
        <v>1707</v>
      </c>
      <c r="EN154" s="610" t="s">
        <v>1707</v>
      </c>
      <c r="EO154" s="610" t="s">
        <v>1707</v>
      </c>
      <c r="EP154" s="610" t="s">
        <v>1707</v>
      </c>
      <c r="EQ154" s="610" t="s">
        <v>1707</v>
      </c>
      <c r="ER154" s="610" t="s">
        <v>1707</v>
      </c>
      <c r="ES154" s="610" t="s">
        <v>1707</v>
      </c>
      <c r="ET154" s="610" t="s">
        <v>1707</v>
      </c>
      <c r="EU154" s="610">
        <v>4040</v>
      </c>
      <c r="EV154" s="610" t="s">
        <v>1707</v>
      </c>
      <c r="EW154" s="610" t="s">
        <v>1707</v>
      </c>
      <c r="EX154" s="610" t="s">
        <v>1707</v>
      </c>
      <c r="EY154" s="610" t="s">
        <v>1707</v>
      </c>
      <c r="EZ154" s="610" t="s">
        <v>1707</v>
      </c>
      <c r="FA154" s="610" t="s">
        <v>1707</v>
      </c>
      <c r="FB154" s="610" t="s">
        <v>1707</v>
      </c>
      <c r="FC154" s="610" t="s">
        <v>1707</v>
      </c>
      <c r="FD154" s="610" t="s">
        <v>1707</v>
      </c>
      <c r="FE154" s="610" t="s">
        <v>1707</v>
      </c>
      <c r="FF154" s="610" t="s">
        <v>1707</v>
      </c>
      <c r="FG154" s="610" t="s">
        <v>1707</v>
      </c>
      <c r="FH154" s="610">
        <v>20</v>
      </c>
      <c r="FI154" s="610">
        <v>20</v>
      </c>
      <c r="FJ154" s="610">
        <v>20</v>
      </c>
      <c r="FK154" s="610">
        <v>20</v>
      </c>
      <c r="FL154" s="610">
        <v>20</v>
      </c>
      <c r="FM154" s="610">
        <v>20</v>
      </c>
      <c r="FN154" s="610">
        <v>20</v>
      </c>
      <c r="FO154" s="610">
        <v>20</v>
      </c>
      <c r="FP154" s="610">
        <v>20</v>
      </c>
      <c r="FQ154" s="610">
        <v>20</v>
      </c>
      <c r="FR154" s="610" t="s">
        <v>2487</v>
      </c>
      <c r="FS154" s="610" t="s">
        <v>2487</v>
      </c>
      <c r="FT154" s="610" t="s">
        <v>2487</v>
      </c>
      <c r="FU154" s="610" t="s">
        <v>2487</v>
      </c>
      <c r="FV154" s="610" t="s">
        <v>2487</v>
      </c>
      <c r="FW154" s="610" t="s">
        <v>2487</v>
      </c>
      <c r="FX154" s="610" t="s">
        <v>2487</v>
      </c>
      <c r="FY154" s="610" t="s">
        <v>2487</v>
      </c>
      <c r="FZ154" s="610" t="s">
        <v>2487</v>
      </c>
      <c r="GA154" s="610" t="s">
        <v>2487</v>
      </c>
      <c r="GB154" s="610" t="s">
        <v>2487</v>
      </c>
      <c r="GC154" s="610" t="s">
        <v>2487</v>
      </c>
      <c r="GD154" s="564">
        <f t="shared" si="33"/>
        <v>79950</v>
      </c>
      <c r="GE154" s="564">
        <f t="shared" si="34"/>
        <v>79950</v>
      </c>
      <c r="GF154" s="564">
        <f t="shared" si="35"/>
        <v>79950</v>
      </c>
      <c r="GG154" s="564">
        <f t="shared" si="36"/>
        <v>79950</v>
      </c>
      <c r="GH154" s="564">
        <f t="shared" si="37"/>
        <v>79950</v>
      </c>
      <c r="GI154" s="564">
        <f t="shared" si="38"/>
        <v>79950</v>
      </c>
      <c r="GJ154" s="564">
        <f t="shared" si="39"/>
        <v>79950</v>
      </c>
      <c r="GK154" s="564">
        <f t="shared" si="40"/>
        <v>79950</v>
      </c>
      <c r="GL154" s="564">
        <f t="shared" si="41"/>
        <v>79950</v>
      </c>
      <c r="GM154" s="564">
        <f t="shared" si="42"/>
        <v>79950</v>
      </c>
      <c r="GN154" s="564">
        <f t="shared" si="43"/>
        <v>79950</v>
      </c>
      <c r="GO154" s="564">
        <f t="shared" si="44"/>
        <v>79950</v>
      </c>
      <c r="GP154" s="564"/>
      <c r="GS154" s="375" t="s">
        <v>1616</v>
      </c>
      <c r="GT154" s="374" t="str">
        <f t="shared" si="31"/>
        <v>〇</v>
      </c>
    </row>
    <row r="155" spans="2:202">
      <c r="B155" s="371">
        <v>151</v>
      </c>
      <c r="C155" s="378">
        <v>151</v>
      </c>
      <c r="D155" s="373" t="s">
        <v>1829</v>
      </c>
      <c r="E155" s="373" t="s">
        <v>14</v>
      </c>
      <c r="F155" s="603">
        <f t="shared" si="45"/>
        <v>30</v>
      </c>
      <c r="G155" s="603"/>
      <c r="H155" s="609">
        <v>17</v>
      </c>
      <c r="I155" s="609">
        <v>13</v>
      </c>
      <c r="J155" s="603"/>
      <c r="K155" s="603"/>
      <c r="L155" s="603"/>
      <c r="M155" s="603"/>
      <c r="N155" s="608"/>
      <c r="O155" s="603">
        <v>1577000</v>
      </c>
      <c r="P155" s="603">
        <v>2721000</v>
      </c>
      <c r="Q155" s="603">
        <v>2721000</v>
      </c>
      <c r="R155" s="603">
        <v>1188000</v>
      </c>
      <c r="S155" s="603">
        <v>0</v>
      </c>
      <c r="T155" s="603">
        <v>0</v>
      </c>
      <c r="U155" s="603">
        <v>0</v>
      </c>
      <c r="V155" s="603">
        <v>1051000</v>
      </c>
      <c r="W155" s="603">
        <v>1814000</v>
      </c>
      <c r="X155" s="603">
        <v>1814000</v>
      </c>
      <c r="Y155" s="603">
        <v>792000</v>
      </c>
      <c r="Z155" s="603">
        <v>0</v>
      </c>
      <c r="AA155" s="603">
        <v>0</v>
      </c>
      <c r="AB155" s="603">
        <v>0</v>
      </c>
      <c r="AC155" s="603">
        <v>0</v>
      </c>
      <c r="AD155" s="603">
        <v>0</v>
      </c>
      <c r="AE155" s="603">
        <v>0</v>
      </c>
      <c r="AF155" s="603">
        <v>0</v>
      </c>
      <c r="AG155" s="603">
        <v>0</v>
      </c>
      <c r="AH155" s="603">
        <v>0</v>
      </c>
      <c r="AI155" s="603">
        <v>0</v>
      </c>
      <c r="AJ155" s="604" t="s">
        <v>2377</v>
      </c>
      <c r="AK155" s="605" t="s">
        <v>2378</v>
      </c>
      <c r="AL155" s="605" t="s">
        <v>1545</v>
      </c>
      <c r="AM155" s="606" t="s">
        <v>2417</v>
      </c>
      <c r="AN155" s="609" t="s">
        <v>12</v>
      </c>
      <c r="AO155" s="610" t="s">
        <v>2485</v>
      </c>
      <c r="AP155" s="610" t="s">
        <v>2485</v>
      </c>
      <c r="AQ155" s="610" t="s">
        <v>2485</v>
      </c>
      <c r="AR155" s="610" t="s">
        <v>2485</v>
      </c>
      <c r="AS155" s="610" t="s">
        <v>2485</v>
      </c>
      <c r="AT155" s="610" t="s">
        <v>2485</v>
      </c>
      <c r="AU155" s="610" t="s">
        <v>2485</v>
      </c>
      <c r="AV155" s="610" t="s">
        <v>2485</v>
      </c>
      <c r="AW155" s="610" t="s">
        <v>2485</v>
      </c>
      <c r="AX155" s="610" t="s">
        <v>2485</v>
      </c>
      <c r="AY155" s="610" t="s">
        <v>2485</v>
      </c>
      <c r="AZ155" s="610" t="s">
        <v>2485</v>
      </c>
      <c r="BA155" s="610" t="s">
        <v>1368</v>
      </c>
      <c r="BB155" s="610" t="s">
        <v>1368</v>
      </c>
      <c r="BC155" s="610" t="s">
        <v>1368</v>
      </c>
      <c r="BD155" s="610" t="s">
        <v>1368</v>
      </c>
      <c r="BE155" s="610" t="s">
        <v>1368</v>
      </c>
      <c r="BF155" s="610" t="s">
        <v>1368</v>
      </c>
      <c r="BG155" s="610" t="s">
        <v>1368</v>
      </c>
      <c r="BH155" s="610" t="s">
        <v>1368</v>
      </c>
      <c r="BI155" s="610" t="s">
        <v>1368</v>
      </c>
      <c r="BJ155" s="610" t="s">
        <v>1368</v>
      </c>
      <c r="BK155" s="610" t="s">
        <v>1368</v>
      </c>
      <c r="BL155" s="610" t="s">
        <v>1368</v>
      </c>
      <c r="BM155" s="610">
        <v>2</v>
      </c>
      <c r="BN155" s="610">
        <v>2</v>
      </c>
      <c r="BO155" s="610">
        <v>2</v>
      </c>
      <c r="BP155" s="610">
        <v>2</v>
      </c>
      <c r="BQ155" s="610">
        <v>2</v>
      </c>
      <c r="BR155" s="610">
        <v>2</v>
      </c>
      <c r="BS155" s="610">
        <v>2</v>
      </c>
      <c r="BT155" s="610">
        <v>2</v>
      </c>
      <c r="BU155" s="610">
        <v>2</v>
      </c>
      <c r="BV155" s="610">
        <v>2</v>
      </c>
      <c r="BW155" s="610">
        <v>2</v>
      </c>
      <c r="BX155" s="610">
        <v>2</v>
      </c>
      <c r="BY155" s="610">
        <v>0</v>
      </c>
      <c r="BZ155" s="610">
        <v>0</v>
      </c>
      <c r="CA155" s="610">
        <v>0</v>
      </c>
      <c r="CB155" s="610">
        <v>0</v>
      </c>
      <c r="CC155" s="610">
        <v>0</v>
      </c>
      <c r="CD155" s="610">
        <v>0</v>
      </c>
      <c r="CE155" s="610">
        <v>0</v>
      </c>
      <c r="CF155" s="610">
        <v>0</v>
      </c>
      <c r="CG155" s="610">
        <v>0</v>
      </c>
      <c r="CH155" s="610">
        <v>0</v>
      </c>
      <c r="CI155" s="610">
        <v>0</v>
      </c>
      <c r="CJ155" s="610">
        <v>0</v>
      </c>
      <c r="CK155" s="610">
        <v>0</v>
      </c>
      <c r="CL155" s="610">
        <v>0</v>
      </c>
      <c r="CM155" s="610">
        <v>0</v>
      </c>
      <c r="CN155" s="610">
        <v>0</v>
      </c>
      <c r="CO155" s="610">
        <v>0</v>
      </c>
      <c r="CP155" s="610">
        <v>0</v>
      </c>
      <c r="CQ155" s="610">
        <v>0</v>
      </c>
      <c r="CR155" s="610">
        <v>0</v>
      </c>
      <c r="CS155" s="610">
        <v>0</v>
      </c>
      <c r="CT155" s="610">
        <v>0</v>
      </c>
      <c r="CU155" s="610">
        <v>0</v>
      </c>
      <c r="CV155" s="610">
        <v>0</v>
      </c>
      <c r="CW155" s="610" t="s">
        <v>14</v>
      </c>
      <c r="CX155" s="610">
        <v>0</v>
      </c>
      <c r="CY155" s="610" t="s">
        <v>1707</v>
      </c>
      <c r="CZ155" s="610" t="s">
        <v>1707</v>
      </c>
      <c r="DA155" s="610" t="s">
        <v>1707</v>
      </c>
      <c r="DB155" s="610" t="s">
        <v>1707</v>
      </c>
      <c r="DC155" s="610" t="s">
        <v>1707</v>
      </c>
      <c r="DD155" s="610" t="s">
        <v>1707</v>
      </c>
      <c r="DE155" s="610" t="s">
        <v>1707</v>
      </c>
      <c r="DF155" s="610" t="s">
        <v>1707</v>
      </c>
      <c r="DG155" s="610" t="s">
        <v>1707</v>
      </c>
      <c r="DH155" s="610" t="s">
        <v>1707</v>
      </c>
      <c r="DI155" s="610" t="s">
        <v>1707</v>
      </c>
      <c r="DJ155" s="610" t="s">
        <v>1707</v>
      </c>
      <c r="DK155" s="610" t="s">
        <v>1368</v>
      </c>
      <c r="DL155" s="610" t="s">
        <v>1368</v>
      </c>
      <c r="DM155" s="610" t="s">
        <v>1368</v>
      </c>
      <c r="DN155" s="610" t="s">
        <v>1368</v>
      </c>
      <c r="DO155" s="610" t="s">
        <v>1368</v>
      </c>
      <c r="DP155" s="610" t="s">
        <v>1368</v>
      </c>
      <c r="DQ155" s="610" t="s">
        <v>1368</v>
      </c>
      <c r="DR155" s="610" t="s">
        <v>1368</v>
      </c>
      <c r="DS155" s="610" t="s">
        <v>1368</v>
      </c>
      <c r="DT155" s="610" t="s">
        <v>1368</v>
      </c>
      <c r="DU155" s="610" t="s">
        <v>1368</v>
      </c>
      <c r="DV155" s="610" t="s">
        <v>1368</v>
      </c>
      <c r="DW155" s="609" t="s">
        <v>1368</v>
      </c>
      <c r="DX155" s="609" t="s">
        <v>1368</v>
      </c>
      <c r="DY155" s="609" t="s">
        <v>1368</v>
      </c>
      <c r="DZ155" s="609" t="s">
        <v>1368</v>
      </c>
      <c r="EA155" s="609" t="s">
        <v>1368</v>
      </c>
      <c r="EB155" s="609" t="s">
        <v>1368</v>
      </c>
      <c r="EC155" s="609" t="s">
        <v>1368</v>
      </c>
      <c r="ED155" s="609" t="s">
        <v>1368</v>
      </c>
      <c r="EE155" s="609" t="s">
        <v>1368</v>
      </c>
      <c r="EF155" s="609" t="s">
        <v>1368</v>
      </c>
      <c r="EG155" s="609" t="s">
        <v>1368</v>
      </c>
      <c r="EH155" s="609" t="s">
        <v>1368</v>
      </c>
      <c r="EI155" s="610" t="s">
        <v>1707</v>
      </c>
      <c r="EJ155" s="610" t="s">
        <v>1707</v>
      </c>
      <c r="EK155" s="610" t="s">
        <v>1707</v>
      </c>
      <c r="EL155" s="610" t="s">
        <v>1707</v>
      </c>
      <c r="EM155" s="610" t="s">
        <v>1707</v>
      </c>
      <c r="EN155" s="610" t="s">
        <v>1707</v>
      </c>
      <c r="EO155" s="610" t="s">
        <v>1707</v>
      </c>
      <c r="EP155" s="610" t="s">
        <v>1707</v>
      </c>
      <c r="EQ155" s="610" t="s">
        <v>1707</v>
      </c>
      <c r="ER155" s="610" t="s">
        <v>1707</v>
      </c>
      <c r="ES155" s="610" t="s">
        <v>1707</v>
      </c>
      <c r="ET155" s="610" t="s">
        <v>1707</v>
      </c>
      <c r="EU155" s="610">
        <v>4010</v>
      </c>
      <c r="EV155" s="610" t="s">
        <v>1707</v>
      </c>
      <c r="EW155" s="610" t="s">
        <v>1707</v>
      </c>
      <c r="EX155" s="610" t="s">
        <v>1707</v>
      </c>
      <c r="EY155" s="610" t="s">
        <v>1707</v>
      </c>
      <c r="EZ155" s="610" t="s">
        <v>1707</v>
      </c>
      <c r="FA155" s="610" t="s">
        <v>1707</v>
      </c>
      <c r="FB155" s="610" t="s">
        <v>1707</v>
      </c>
      <c r="FC155" s="610" t="s">
        <v>1707</v>
      </c>
      <c r="FD155" s="610" t="s">
        <v>1707</v>
      </c>
      <c r="FE155" s="610" t="s">
        <v>1707</v>
      </c>
      <c r="FF155" s="610" t="s">
        <v>1707</v>
      </c>
      <c r="FG155" s="610" t="s">
        <v>1707</v>
      </c>
      <c r="FH155" s="610">
        <v>12</v>
      </c>
      <c r="FI155" s="610">
        <v>12</v>
      </c>
      <c r="FJ155" s="610">
        <v>12</v>
      </c>
      <c r="FK155" s="610">
        <v>12</v>
      </c>
      <c r="FL155" s="610">
        <v>12</v>
      </c>
      <c r="FM155" s="610">
        <v>12</v>
      </c>
      <c r="FN155" s="610">
        <v>12</v>
      </c>
      <c r="FO155" s="610">
        <v>12</v>
      </c>
      <c r="FP155" s="610">
        <v>12</v>
      </c>
      <c r="FQ155" s="610">
        <v>12</v>
      </c>
      <c r="FR155" s="610" t="s">
        <v>2487</v>
      </c>
      <c r="FS155" s="610" t="s">
        <v>2487</v>
      </c>
      <c r="FT155" s="610" t="s">
        <v>2487</v>
      </c>
      <c r="FU155" s="610" t="s">
        <v>2487</v>
      </c>
      <c r="FV155" s="610" t="s">
        <v>2487</v>
      </c>
      <c r="FW155" s="610" t="s">
        <v>2487</v>
      </c>
      <c r="FX155" s="610" t="s">
        <v>2487</v>
      </c>
      <c r="FY155" s="610" t="s">
        <v>2487</v>
      </c>
      <c r="FZ155" s="610" t="s">
        <v>2487</v>
      </c>
      <c r="GA155" s="610" t="s">
        <v>2487</v>
      </c>
      <c r="GB155" s="610" t="s">
        <v>2487</v>
      </c>
      <c r="GC155" s="610" t="s">
        <v>2487</v>
      </c>
      <c r="GD155" s="564">
        <f t="shared" si="33"/>
        <v>79950</v>
      </c>
      <c r="GE155" s="564">
        <f t="shared" si="34"/>
        <v>79950</v>
      </c>
      <c r="GF155" s="564">
        <f t="shared" si="35"/>
        <v>79950</v>
      </c>
      <c r="GG155" s="564">
        <f t="shared" si="36"/>
        <v>79950</v>
      </c>
      <c r="GH155" s="564">
        <f t="shared" si="37"/>
        <v>79950</v>
      </c>
      <c r="GI155" s="564">
        <f t="shared" si="38"/>
        <v>79950</v>
      </c>
      <c r="GJ155" s="564">
        <f t="shared" si="39"/>
        <v>79950</v>
      </c>
      <c r="GK155" s="564">
        <f t="shared" si="40"/>
        <v>79950</v>
      </c>
      <c r="GL155" s="564">
        <f t="shared" si="41"/>
        <v>79950</v>
      </c>
      <c r="GM155" s="564">
        <f t="shared" si="42"/>
        <v>79950</v>
      </c>
      <c r="GN155" s="564">
        <f t="shared" si="43"/>
        <v>79950</v>
      </c>
      <c r="GO155" s="564">
        <f t="shared" si="44"/>
        <v>79950</v>
      </c>
      <c r="GP155" s="564"/>
      <c r="GS155" s="375" t="s">
        <v>1922</v>
      </c>
      <c r="GT155" s="374" t="str">
        <f t="shared" si="31"/>
        <v>〇</v>
      </c>
    </row>
    <row r="156" spans="2:202">
      <c r="B156" s="371">
        <v>152</v>
      </c>
      <c r="C156" s="378">
        <v>152</v>
      </c>
      <c r="D156" s="373" t="s">
        <v>1618</v>
      </c>
      <c r="E156" s="373" t="s">
        <v>14</v>
      </c>
      <c r="F156" s="603">
        <f t="shared" si="45"/>
        <v>59</v>
      </c>
      <c r="G156" s="603"/>
      <c r="H156" s="609">
        <v>33</v>
      </c>
      <c r="I156" s="609">
        <v>26</v>
      </c>
      <c r="J156" s="603"/>
      <c r="K156" s="603"/>
      <c r="L156" s="603"/>
      <c r="M156" s="603"/>
      <c r="N156" s="608"/>
      <c r="O156" s="603">
        <v>1577000</v>
      </c>
      <c r="P156" s="603">
        <v>2721000</v>
      </c>
      <c r="Q156" s="603">
        <v>2721000</v>
      </c>
      <c r="R156" s="603">
        <v>1791000</v>
      </c>
      <c r="S156" s="603">
        <v>0</v>
      </c>
      <c r="T156" s="603">
        <v>2181000</v>
      </c>
      <c r="U156" s="603">
        <v>0</v>
      </c>
      <c r="V156" s="603">
        <v>1051000</v>
      </c>
      <c r="W156" s="603">
        <v>1814000</v>
      </c>
      <c r="X156" s="603">
        <v>1814000</v>
      </c>
      <c r="Y156" s="603">
        <v>1194000</v>
      </c>
      <c r="Z156" s="603">
        <v>0</v>
      </c>
      <c r="AA156" s="603">
        <v>1454000</v>
      </c>
      <c r="AB156" s="603">
        <v>0</v>
      </c>
      <c r="AC156" s="603">
        <v>526000</v>
      </c>
      <c r="AD156" s="603">
        <v>907000</v>
      </c>
      <c r="AE156" s="603">
        <v>907000</v>
      </c>
      <c r="AF156" s="603">
        <v>597000</v>
      </c>
      <c r="AG156" s="603">
        <v>0</v>
      </c>
      <c r="AH156" s="603">
        <v>727000</v>
      </c>
      <c r="AI156" s="603">
        <v>0</v>
      </c>
      <c r="AJ156" s="604" t="s">
        <v>2377</v>
      </c>
      <c r="AK156" s="605" t="s">
        <v>2378</v>
      </c>
      <c r="AL156" s="605" t="s">
        <v>2490</v>
      </c>
      <c r="AM156" s="606" t="s">
        <v>2418</v>
      </c>
      <c r="AN156" s="609" t="s">
        <v>12</v>
      </c>
      <c r="AO156" s="610" t="s">
        <v>2485</v>
      </c>
      <c r="AP156" s="610" t="s">
        <v>2485</v>
      </c>
      <c r="AQ156" s="610" t="s">
        <v>2485</v>
      </c>
      <c r="AR156" s="610" t="s">
        <v>2485</v>
      </c>
      <c r="AS156" s="610" t="s">
        <v>2485</v>
      </c>
      <c r="AT156" s="610" t="s">
        <v>2485</v>
      </c>
      <c r="AU156" s="610" t="s">
        <v>2485</v>
      </c>
      <c r="AV156" s="610" t="s">
        <v>2485</v>
      </c>
      <c r="AW156" s="610" t="s">
        <v>2485</v>
      </c>
      <c r="AX156" s="610" t="s">
        <v>2485</v>
      </c>
      <c r="AY156" s="610" t="s">
        <v>2485</v>
      </c>
      <c r="AZ156" s="610" t="s">
        <v>2485</v>
      </c>
      <c r="BA156" s="610" t="s">
        <v>1368</v>
      </c>
      <c r="BB156" s="610" t="s">
        <v>1368</v>
      </c>
      <c r="BC156" s="610" t="s">
        <v>1368</v>
      </c>
      <c r="BD156" s="610" t="s">
        <v>1368</v>
      </c>
      <c r="BE156" s="610" t="s">
        <v>1368</v>
      </c>
      <c r="BF156" s="610" t="s">
        <v>1368</v>
      </c>
      <c r="BG156" s="610" t="s">
        <v>1368</v>
      </c>
      <c r="BH156" s="610" t="s">
        <v>1368</v>
      </c>
      <c r="BI156" s="610" t="s">
        <v>1368</v>
      </c>
      <c r="BJ156" s="610" t="s">
        <v>1368</v>
      </c>
      <c r="BK156" s="610" t="s">
        <v>1368</v>
      </c>
      <c r="BL156" s="610" t="s">
        <v>1368</v>
      </c>
      <c r="BM156" s="610">
        <v>1</v>
      </c>
      <c r="BN156" s="610">
        <v>1</v>
      </c>
      <c r="BO156" s="610">
        <v>1</v>
      </c>
      <c r="BP156" s="610">
        <v>1</v>
      </c>
      <c r="BQ156" s="610">
        <v>1</v>
      </c>
      <c r="BR156" s="610">
        <v>1</v>
      </c>
      <c r="BS156" s="610">
        <v>1</v>
      </c>
      <c r="BT156" s="610">
        <v>1</v>
      </c>
      <c r="BU156" s="610">
        <v>1</v>
      </c>
      <c r="BV156" s="610">
        <v>1</v>
      </c>
      <c r="BW156" s="610">
        <v>1</v>
      </c>
      <c r="BX156" s="610">
        <v>1</v>
      </c>
      <c r="BY156" s="610">
        <v>0</v>
      </c>
      <c r="BZ156" s="610">
        <v>0</v>
      </c>
      <c r="CA156" s="610">
        <v>0</v>
      </c>
      <c r="CB156" s="610">
        <v>0</v>
      </c>
      <c r="CC156" s="610">
        <v>0</v>
      </c>
      <c r="CD156" s="610">
        <v>0</v>
      </c>
      <c r="CE156" s="610">
        <v>0</v>
      </c>
      <c r="CF156" s="610">
        <v>0</v>
      </c>
      <c r="CG156" s="610">
        <v>0</v>
      </c>
      <c r="CH156" s="610">
        <v>0</v>
      </c>
      <c r="CI156" s="610">
        <v>0</v>
      </c>
      <c r="CJ156" s="610">
        <v>0</v>
      </c>
      <c r="CK156" s="610">
        <v>0</v>
      </c>
      <c r="CL156" s="610">
        <v>0</v>
      </c>
      <c r="CM156" s="610">
        <v>0</v>
      </c>
      <c r="CN156" s="610">
        <v>0</v>
      </c>
      <c r="CO156" s="610">
        <v>0</v>
      </c>
      <c r="CP156" s="610">
        <v>0</v>
      </c>
      <c r="CQ156" s="610">
        <v>0</v>
      </c>
      <c r="CR156" s="610">
        <v>0</v>
      </c>
      <c r="CS156" s="610">
        <v>0</v>
      </c>
      <c r="CT156" s="610">
        <v>0</v>
      </c>
      <c r="CU156" s="610">
        <v>0</v>
      </c>
      <c r="CV156" s="610">
        <v>0</v>
      </c>
      <c r="CW156" s="610" t="s">
        <v>14</v>
      </c>
      <c r="CX156" s="610">
        <v>0</v>
      </c>
      <c r="CY156" s="610" t="s">
        <v>1707</v>
      </c>
      <c r="CZ156" s="610" t="s">
        <v>1707</v>
      </c>
      <c r="DA156" s="610" t="s">
        <v>1707</v>
      </c>
      <c r="DB156" s="610" t="s">
        <v>1707</v>
      </c>
      <c r="DC156" s="610" t="s">
        <v>1707</v>
      </c>
      <c r="DD156" s="610" t="s">
        <v>1707</v>
      </c>
      <c r="DE156" s="610" t="s">
        <v>1707</v>
      </c>
      <c r="DF156" s="610" t="s">
        <v>1707</v>
      </c>
      <c r="DG156" s="610" t="s">
        <v>1707</v>
      </c>
      <c r="DH156" s="610" t="s">
        <v>1707</v>
      </c>
      <c r="DI156" s="610" t="s">
        <v>1707</v>
      </c>
      <c r="DJ156" s="610" t="s">
        <v>1707</v>
      </c>
      <c r="DK156" s="610" t="s">
        <v>1368</v>
      </c>
      <c r="DL156" s="610" t="s">
        <v>1368</v>
      </c>
      <c r="DM156" s="610" t="s">
        <v>1368</v>
      </c>
      <c r="DN156" s="610" t="s">
        <v>1368</v>
      </c>
      <c r="DO156" s="610" t="s">
        <v>1368</v>
      </c>
      <c r="DP156" s="610" t="s">
        <v>1368</v>
      </c>
      <c r="DQ156" s="610" t="s">
        <v>1368</v>
      </c>
      <c r="DR156" s="610" t="s">
        <v>1368</v>
      </c>
      <c r="DS156" s="610" t="s">
        <v>1368</v>
      </c>
      <c r="DT156" s="610" t="s">
        <v>1368</v>
      </c>
      <c r="DU156" s="610" t="s">
        <v>1368</v>
      </c>
      <c r="DV156" s="610" t="s">
        <v>1368</v>
      </c>
      <c r="DW156" s="609" t="s">
        <v>1368</v>
      </c>
      <c r="DX156" s="609" t="s">
        <v>1368</v>
      </c>
      <c r="DY156" s="609" t="s">
        <v>1368</v>
      </c>
      <c r="DZ156" s="609" t="s">
        <v>1368</v>
      </c>
      <c r="EA156" s="609" t="s">
        <v>1368</v>
      </c>
      <c r="EB156" s="609" t="s">
        <v>1368</v>
      </c>
      <c r="EC156" s="609" t="s">
        <v>1368</v>
      </c>
      <c r="ED156" s="609" t="s">
        <v>1368</v>
      </c>
      <c r="EE156" s="609" t="s">
        <v>1368</v>
      </c>
      <c r="EF156" s="609" t="s">
        <v>1368</v>
      </c>
      <c r="EG156" s="609" t="s">
        <v>1368</v>
      </c>
      <c r="EH156" s="609" t="s">
        <v>1368</v>
      </c>
      <c r="EI156" s="610" t="s">
        <v>1707</v>
      </c>
      <c r="EJ156" s="610" t="s">
        <v>1707</v>
      </c>
      <c r="EK156" s="610" t="s">
        <v>1707</v>
      </c>
      <c r="EL156" s="610" t="s">
        <v>1707</v>
      </c>
      <c r="EM156" s="610" t="s">
        <v>1707</v>
      </c>
      <c r="EN156" s="610" t="s">
        <v>1707</v>
      </c>
      <c r="EO156" s="610" t="s">
        <v>1707</v>
      </c>
      <c r="EP156" s="610" t="s">
        <v>1707</v>
      </c>
      <c r="EQ156" s="610" t="s">
        <v>1707</v>
      </c>
      <c r="ER156" s="610" t="s">
        <v>1707</v>
      </c>
      <c r="ES156" s="610" t="s">
        <v>1707</v>
      </c>
      <c r="ET156" s="610" t="s">
        <v>1707</v>
      </c>
      <c r="EU156" s="610">
        <v>3980</v>
      </c>
      <c r="EV156" s="610" t="s">
        <v>1707</v>
      </c>
      <c r="EW156" s="610" t="s">
        <v>1707</v>
      </c>
      <c r="EX156" s="610" t="s">
        <v>1707</v>
      </c>
      <c r="EY156" s="610" t="s">
        <v>1707</v>
      </c>
      <c r="EZ156" s="610" t="s">
        <v>1707</v>
      </c>
      <c r="FA156" s="610" t="s">
        <v>1707</v>
      </c>
      <c r="FB156" s="610" t="s">
        <v>1707</v>
      </c>
      <c r="FC156" s="610" t="s">
        <v>1707</v>
      </c>
      <c r="FD156" s="610" t="s">
        <v>1707</v>
      </c>
      <c r="FE156" s="610" t="s">
        <v>1707</v>
      </c>
      <c r="FF156" s="610" t="s">
        <v>1707</v>
      </c>
      <c r="FG156" s="610" t="s">
        <v>1707</v>
      </c>
      <c r="FH156" s="610">
        <v>21</v>
      </c>
      <c r="FI156" s="610">
        <v>22</v>
      </c>
      <c r="FJ156" s="610">
        <v>22</v>
      </c>
      <c r="FK156" s="610">
        <v>22</v>
      </c>
      <c r="FL156" s="610">
        <v>22</v>
      </c>
      <c r="FM156" s="610">
        <v>22</v>
      </c>
      <c r="FN156" s="610">
        <v>23</v>
      </c>
      <c r="FO156" s="610">
        <v>23</v>
      </c>
      <c r="FP156" s="610">
        <v>23</v>
      </c>
      <c r="FQ156" s="610">
        <v>23</v>
      </c>
      <c r="FR156" s="610" t="s">
        <v>2487</v>
      </c>
      <c r="FS156" s="610" t="s">
        <v>2487</v>
      </c>
      <c r="FT156" s="610" t="s">
        <v>2487</v>
      </c>
      <c r="FU156" s="610" t="s">
        <v>2487</v>
      </c>
      <c r="FV156" s="610" t="s">
        <v>2487</v>
      </c>
      <c r="FW156" s="610" t="s">
        <v>2487</v>
      </c>
      <c r="FX156" s="610" t="s">
        <v>2487</v>
      </c>
      <c r="FY156" s="610" t="s">
        <v>2487</v>
      </c>
      <c r="FZ156" s="610" t="s">
        <v>2487</v>
      </c>
      <c r="GA156" s="610" t="s">
        <v>2487</v>
      </c>
      <c r="GB156" s="610" t="s">
        <v>2487</v>
      </c>
      <c r="GC156" s="610" t="s">
        <v>2487</v>
      </c>
      <c r="GD156" s="564">
        <f t="shared" si="33"/>
        <v>79950</v>
      </c>
      <c r="GE156" s="564">
        <f t="shared" si="34"/>
        <v>79950</v>
      </c>
      <c r="GF156" s="564">
        <f t="shared" si="35"/>
        <v>79950</v>
      </c>
      <c r="GG156" s="564">
        <f t="shared" si="36"/>
        <v>79950</v>
      </c>
      <c r="GH156" s="564">
        <f t="shared" si="37"/>
        <v>79950</v>
      </c>
      <c r="GI156" s="564">
        <f t="shared" si="38"/>
        <v>79950</v>
      </c>
      <c r="GJ156" s="564">
        <f t="shared" si="39"/>
        <v>79950</v>
      </c>
      <c r="GK156" s="564">
        <f t="shared" si="40"/>
        <v>79950</v>
      </c>
      <c r="GL156" s="564">
        <f t="shared" si="41"/>
        <v>79950</v>
      </c>
      <c r="GM156" s="564">
        <f t="shared" si="42"/>
        <v>79950</v>
      </c>
      <c r="GN156" s="564">
        <f t="shared" si="43"/>
        <v>79950</v>
      </c>
      <c r="GO156" s="564">
        <f t="shared" si="44"/>
        <v>79950</v>
      </c>
      <c r="GP156" s="564"/>
      <c r="GS156" s="375" t="s">
        <v>1618</v>
      </c>
      <c r="GT156" s="374" t="str">
        <f t="shared" si="31"/>
        <v>〇</v>
      </c>
    </row>
    <row r="157" spans="2:202">
      <c r="B157" s="371">
        <v>153</v>
      </c>
      <c r="C157" s="378">
        <v>153</v>
      </c>
      <c r="D157" s="373" t="s">
        <v>1619</v>
      </c>
      <c r="E157" s="373" t="s">
        <v>14</v>
      </c>
      <c r="F157" s="603">
        <f t="shared" si="45"/>
        <v>59</v>
      </c>
      <c r="G157" s="603"/>
      <c r="H157" s="603">
        <v>35</v>
      </c>
      <c r="I157" s="603">
        <v>24</v>
      </c>
      <c r="J157" s="603"/>
      <c r="K157" s="603"/>
      <c r="L157" s="603"/>
      <c r="M157" s="603"/>
      <c r="N157" s="608"/>
      <c r="O157" s="603">
        <v>0</v>
      </c>
      <c r="P157" s="603">
        <v>0</v>
      </c>
      <c r="Q157" s="603">
        <v>0</v>
      </c>
      <c r="R157" s="603">
        <v>0</v>
      </c>
      <c r="S157" s="603">
        <v>0</v>
      </c>
      <c r="T157" s="603">
        <v>0</v>
      </c>
      <c r="U157" s="603">
        <v>0</v>
      </c>
      <c r="V157" s="603">
        <v>0</v>
      </c>
      <c r="W157" s="603">
        <v>0</v>
      </c>
      <c r="X157" s="603">
        <v>0</v>
      </c>
      <c r="Y157" s="603">
        <v>0</v>
      </c>
      <c r="Z157" s="603">
        <v>0</v>
      </c>
      <c r="AA157" s="603">
        <v>0</v>
      </c>
      <c r="AB157" s="603">
        <v>0</v>
      </c>
      <c r="AC157" s="603">
        <v>0</v>
      </c>
      <c r="AD157" s="603">
        <v>0</v>
      </c>
      <c r="AE157" s="603">
        <v>0</v>
      </c>
      <c r="AF157" s="603">
        <v>0</v>
      </c>
      <c r="AG157" s="603">
        <v>0</v>
      </c>
      <c r="AH157" s="603">
        <v>0</v>
      </c>
      <c r="AI157" s="603">
        <v>0</v>
      </c>
      <c r="AJ157" s="604"/>
      <c r="AK157" s="605" t="s">
        <v>1545</v>
      </c>
      <c r="AL157" s="605" t="s">
        <v>1545</v>
      </c>
      <c r="AM157" s="606"/>
      <c r="AN157" s="609" t="s">
        <v>12</v>
      </c>
      <c r="AO157" s="610" t="s">
        <v>2485</v>
      </c>
      <c r="AP157" s="610" t="s">
        <v>2485</v>
      </c>
      <c r="AQ157" s="610" t="s">
        <v>2485</v>
      </c>
      <c r="AR157" s="610" t="s">
        <v>2485</v>
      </c>
      <c r="AS157" s="610" t="s">
        <v>2485</v>
      </c>
      <c r="AT157" s="610" t="s">
        <v>2485</v>
      </c>
      <c r="AU157" s="610" t="s">
        <v>2485</v>
      </c>
      <c r="AV157" s="610" t="s">
        <v>2485</v>
      </c>
      <c r="AW157" s="610" t="s">
        <v>2485</v>
      </c>
      <c r="AX157" s="610" t="s">
        <v>2485</v>
      </c>
      <c r="AY157" s="610" t="s">
        <v>2485</v>
      </c>
      <c r="AZ157" s="610" t="s">
        <v>2485</v>
      </c>
      <c r="BA157" s="610" t="s">
        <v>1368</v>
      </c>
      <c r="BB157" s="610" t="s">
        <v>1368</v>
      </c>
      <c r="BC157" s="610" t="s">
        <v>1368</v>
      </c>
      <c r="BD157" s="610" t="s">
        <v>1368</v>
      </c>
      <c r="BE157" s="610" t="s">
        <v>1368</v>
      </c>
      <c r="BF157" s="610" t="s">
        <v>1368</v>
      </c>
      <c r="BG157" s="610" t="s">
        <v>1368</v>
      </c>
      <c r="BH157" s="610" t="s">
        <v>1368</v>
      </c>
      <c r="BI157" s="610" t="s">
        <v>1368</v>
      </c>
      <c r="BJ157" s="610" t="s">
        <v>1368</v>
      </c>
      <c r="BK157" s="610" t="s">
        <v>1368</v>
      </c>
      <c r="BL157" s="610" t="s">
        <v>1368</v>
      </c>
      <c r="BM157" s="610">
        <v>1</v>
      </c>
      <c r="BN157" s="610">
        <v>1</v>
      </c>
      <c r="BO157" s="610">
        <v>1</v>
      </c>
      <c r="BP157" s="610">
        <v>1</v>
      </c>
      <c r="BQ157" s="610">
        <v>1</v>
      </c>
      <c r="BR157" s="610">
        <v>1</v>
      </c>
      <c r="BS157" s="610">
        <v>1</v>
      </c>
      <c r="BT157" s="610">
        <v>1</v>
      </c>
      <c r="BU157" s="610">
        <v>1</v>
      </c>
      <c r="BV157" s="610">
        <v>1</v>
      </c>
      <c r="BW157" s="610">
        <v>1</v>
      </c>
      <c r="BX157" s="610">
        <v>1</v>
      </c>
      <c r="BY157" s="610">
        <v>0</v>
      </c>
      <c r="BZ157" s="610">
        <v>0</v>
      </c>
      <c r="CA157" s="610">
        <v>0</v>
      </c>
      <c r="CB157" s="610">
        <v>0</v>
      </c>
      <c r="CC157" s="610">
        <v>0</v>
      </c>
      <c r="CD157" s="610">
        <v>0</v>
      </c>
      <c r="CE157" s="610">
        <v>0</v>
      </c>
      <c r="CF157" s="610">
        <v>0</v>
      </c>
      <c r="CG157" s="610">
        <v>0</v>
      </c>
      <c r="CH157" s="610">
        <v>0</v>
      </c>
      <c r="CI157" s="610">
        <v>0</v>
      </c>
      <c r="CJ157" s="610">
        <v>0</v>
      </c>
      <c r="CK157" s="610">
        <v>0</v>
      </c>
      <c r="CL157" s="610">
        <v>0</v>
      </c>
      <c r="CM157" s="610">
        <v>0</v>
      </c>
      <c r="CN157" s="610">
        <v>0</v>
      </c>
      <c r="CO157" s="610">
        <v>0</v>
      </c>
      <c r="CP157" s="610">
        <v>0</v>
      </c>
      <c r="CQ157" s="610">
        <v>0</v>
      </c>
      <c r="CR157" s="610">
        <v>0</v>
      </c>
      <c r="CS157" s="610">
        <v>0</v>
      </c>
      <c r="CT157" s="610">
        <v>0</v>
      </c>
      <c r="CU157" s="610">
        <v>0</v>
      </c>
      <c r="CV157" s="610">
        <v>0</v>
      </c>
      <c r="CW157" s="610" t="s">
        <v>14</v>
      </c>
      <c r="CX157" s="610">
        <v>0</v>
      </c>
      <c r="CY157" s="610" t="s">
        <v>2449</v>
      </c>
      <c r="CZ157" s="610" t="s">
        <v>2449</v>
      </c>
      <c r="DA157" s="610" t="s">
        <v>2449</v>
      </c>
      <c r="DB157" s="610" t="s">
        <v>2449</v>
      </c>
      <c r="DC157" s="610" t="s">
        <v>2449</v>
      </c>
      <c r="DD157" s="610" t="s">
        <v>2449</v>
      </c>
      <c r="DE157" s="610" t="s">
        <v>2449</v>
      </c>
      <c r="DF157" s="610" t="s">
        <v>2449</v>
      </c>
      <c r="DG157" s="610" t="s">
        <v>2449</v>
      </c>
      <c r="DH157" s="610" t="s">
        <v>2449</v>
      </c>
      <c r="DI157" s="610" t="s">
        <v>2449</v>
      </c>
      <c r="DJ157" s="610" t="s">
        <v>2449</v>
      </c>
      <c r="DK157" s="610" t="s">
        <v>1368</v>
      </c>
      <c r="DL157" s="610" t="s">
        <v>1368</v>
      </c>
      <c r="DM157" s="610" t="s">
        <v>1368</v>
      </c>
      <c r="DN157" s="610" t="s">
        <v>1368</v>
      </c>
      <c r="DO157" s="610" t="s">
        <v>1368</v>
      </c>
      <c r="DP157" s="610" t="s">
        <v>1368</v>
      </c>
      <c r="DQ157" s="610" t="s">
        <v>1368</v>
      </c>
      <c r="DR157" s="610" t="s">
        <v>1368</v>
      </c>
      <c r="DS157" s="610" t="s">
        <v>1368</v>
      </c>
      <c r="DT157" s="610" t="s">
        <v>1368</v>
      </c>
      <c r="DU157" s="610" t="s">
        <v>1368</v>
      </c>
      <c r="DV157" s="610" t="s">
        <v>1368</v>
      </c>
      <c r="DW157" s="609" t="s">
        <v>1368</v>
      </c>
      <c r="DX157" s="609" t="s">
        <v>1368</v>
      </c>
      <c r="DY157" s="609" t="s">
        <v>1368</v>
      </c>
      <c r="DZ157" s="609" t="s">
        <v>1368</v>
      </c>
      <c r="EA157" s="609" t="s">
        <v>1368</v>
      </c>
      <c r="EB157" s="609" t="s">
        <v>1368</v>
      </c>
      <c r="EC157" s="609" t="s">
        <v>1368</v>
      </c>
      <c r="ED157" s="609" t="s">
        <v>1368</v>
      </c>
      <c r="EE157" s="609" t="s">
        <v>1368</v>
      </c>
      <c r="EF157" s="609" t="s">
        <v>1368</v>
      </c>
      <c r="EG157" s="609" t="s">
        <v>1368</v>
      </c>
      <c r="EH157" s="609" t="s">
        <v>1368</v>
      </c>
      <c r="EI157" s="610" t="s">
        <v>1707</v>
      </c>
      <c r="EJ157" s="610" t="s">
        <v>1707</v>
      </c>
      <c r="EK157" s="610" t="s">
        <v>1707</v>
      </c>
      <c r="EL157" s="610" t="s">
        <v>1707</v>
      </c>
      <c r="EM157" s="610" t="s">
        <v>1707</v>
      </c>
      <c r="EN157" s="610" t="s">
        <v>1707</v>
      </c>
      <c r="EO157" s="610" t="s">
        <v>1707</v>
      </c>
      <c r="EP157" s="610" t="s">
        <v>1707</v>
      </c>
      <c r="EQ157" s="610" t="s">
        <v>1707</v>
      </c>
      <c r="ER157" s="610" t="s">
        <v>1707</v>
      </c>
      <c r="ES157" s="610" t="s">
        <v>1707</v>
      </c>
      <c r="ET157" s="610" t="s">
        <v>1707</v>
      </c>
      <c r="EU157" s="610">
        <v>3920</v>
      </c>
      <c r="EV157" s="610" t="s">
        <v>1707</v>
      </c>
      <c r="EW157" s="610" t="s">
        <v>1707</v>
      </c>
      <c r="EX157" s="610" t="s">
        <v>1707</v>
      </c>
      <c r="EY157" s="610" t="s">
        <v>1707</v>
      </c>
      <c r="EZ157" s="610" t="s">
        <v>1707</v>
      </c>
      <c r="FA157" s="610" t="s">
        <v>1707</v>
      </c>
      <c r="FB157" s="610" t="s">
        <v>1707</v>
      </c>
      <c r="FC157" s="610" t="s">
        <v>1707</v>
      </c>
      <c r="FD157" s="610" t="s">
        <v>1707</v>
      </c>
      <c r="FE157" s="610" t="s">
        <v>1707</v>
      </c>
      <c r="FF157" s="610" t="s">
        <v>1707</v>
      </c>
      <c r="FG157" s="610" t="s">
        <v>1707</v>
      </c>
      <c r="FH157" s="610">
        <v>23</v>
      </c>
      <c r="FI157" s="610">
        <v>22</v>
      </c>
      <c r="FJ157" s="610">
        <v>22</v>
      </c>
      <c r="FK157" s="610">
        <v>22</v>
      </c>
      <c r="FL157" s="610">
        <v>21</v>
      </c>
      <c r="FM157" s="610">
        <v>21</v>
      </c>
      <c r="FN157" s="610">
        <v>21</v>
      </c>
      <c r="FO157" s="610">
        <v>20</v>
      </c>
      <c r="FP157" s="610">
        <v>19</v>
      </c>
      <c r="FQ157" s="610">
        <v>19</v>
      </c>
      <c r="FR157" s="610" t="s">
        <v>2489</v>
      </c>
      <c r="FS157" s="610" t="s">
        <v>2489</v>
      </c>
      <c r="FT157" s="610" t="s">
        <v>2489</v>
      </c>
      <c r="FU157" s="610" t="s">
        <v>2489</v>
      </c>
      <c r="FV157" s="610" t="s">
        <v>2489</v>
      </c>
      <c r="FW157" s="610" t="s">
        <v>2489</v>
      </c>
      <c r="FX157" s="610" t="s">
        <v>2489</v>
      </c>
      <c r="FY157" s="610" t="s">
        <v>2489</v>
      </c>
      <c r="FZ157" s="610" t="s">
        <v>2489</v>
      </c>
      <c r="GA157" s="610" t="s">
        <v>2489</v>
      </c>
      <c r="GB157" s="610" t="s">
        <v>2489</v>
      </c>
      <c r="GC157" s="610" t="s">
        <v>2489</v>
      </c>
      <c r="GD157" s="564" t="str">
        <f t="shared" si="33"/>
        <v/>
      </c>
      <c r="GE157" s="564" t="str">
        <f t="shared" si="34"/>
        <v/>
      </c>
      <c r="GF157" s="564" t="str">
        <f t="shared" si="35"/>
        <v/>
      </c>
      <c r="GG157" s="564" t="str">
        <f t="shared" si="36"/>
        <v/>
      </c>
      <c r="GH157" s="564" t="str">
        <f t="shared" si="37"/>
        <v/>
      </c>
      <c r="GI157" s="564" t="str">
        <f t="shared" si="38"/>
        <v/>
      </c>
      <c r="GJ157" s="564" t="str">
        <f t="shared" si="39"/>
        <v/>
      </c>
      <c r="GK157" s="564" t="str">
        <f t="shared" si="40"/>
        <v/>
      </c>
      <c r="GL157" s="564" t="str">
        <f t="shared" si="41"/>
        <v/>
      </c>
      <c r="GM157" s="564" t="str">
        <f t="shared" si="42"/>
        <v/>
      </c>
      <c r="GN157" s="564" t="str">
        <f t="shared" si="43"/>
        <v/>
      </c>
      <c r="GO157" s="564" t="str">
        <f t="shared" si="44"/>
        <v/>
      </c>
      <c r="GP157" s="564"/>
      <c r="GS157" s="375" t="s">
        <v>1619</v>
      </c>
      <c r="GT157" s="374" t="str">
        <f t="shared" si="31"/>
        <v>〇</v>
      </c>
    </row>
    <row r="158" spans="2:202">
      <c r="B158" s="371">
        <v>154</v>
      </c>
      <c r="C158" s="378">
        <v>154</v>
      </c>
      <c r="D158" s="373" t="s">
        <v>1831</v>
      </c>
      <c r="E158" s="373" t="s">
        <v>14</v>
      </c>
      <c r="F158" s="603">
        <f t="shared" si="45"/>
        <v>40</v>
      </c>
      <c r="G158" s="603"/>
      <c r="H158" s="603">
        <v>24</v>
      </c>
      <c r="I158" s="603">
        <v>16</v>
      </c>
      <c r="J158" s="603"/>
      <c r="K158" s="603"/>
      <c r="L158" s="603"/>
      <c r="M158" s="603"/>
      <c r="N158" s="608"/>
      <c r="O158" s="603">
        <v>1577000</v>
      </c>
      <c r="P158" s="603">
        <v>2721000</v>
      </c>
      <c r="Q158" s="603">
        <v>2721000</v>
      </c>
      <c r="R158" s="603">
        <v>1791000</v>
      </c>
      <c r="S158" s="603">
        <v>0</v>
      </c>
      <c r="T158" s="603">
        <v>4362000</v>
      </c>
      <c r="U158" s="603">
        <v>0</v>
      </c>
      <c r="V158" s="603">
        <v>0</v>
      </c>
      <c r="W158" s="603">
        <v>0</v>
      </c>
      <c r="X158" s="603">
        <v>0</v>
      </c>
      <c r="Y158" s="603">
        <v>0</v>
      </c>
      <c r="Z158" s="603">
        <v>0</v>
      </c>
      <c r="AA158" s="603">
        <v>0</v>
      </c>
      <c r="AB158" s="603">
        <v>0</v>
      </c>
      <c r="AC158" s="603">
        <v>1577000</v>
      </c>
      <c r="AD158" s="603">
        <v>2721000</v>
      </c>
      <c r="AE158" s="603">
        <v>2721000</v>
      </c>
      <c r="AF158" s="603">
        <v>1791000</v>
      </c>
      <c r="AG158" s="603">
        <v>0</v>
      </c>
      <c r="AH158" s="603">
        <v>0</v>
      </c>
      <c r="AI158" s="603">
        <v>0</v>
      </c>
      <c r="AJ158" s="604" t="s">
        <v>2377</v>
      </c>
      <c r="AK158" s="605" t="s">
        <v>1545</v>
      </c>
      <c r="AL158" s="605" t="s">
        <v>2490</v>
      </c>
      <c r="AM158" s="606" t="s">
        <v>2419</v>
      </c>
      <c r="AN158" s="609" t="s">
        <v>12</v>
      </c>
      <c r="AO158" s="610" t="s">
        <v>1368</v>
      </c>
      <c r="AP158" s="610" t="s">
        <v>1368</v>
      </c>
      <c r="AQ158" s="610" t="s">
        <v>1368</v>
      </c>
      <c r="AR158" s="610" t="s">
        <v>1368</v>
      </c>
      <c r="AS158" s="610" t="s">
        <v>1368</v>
      </c>
      <c r="AT158" s="610" t="s">
        <v>1368</v>
      </c>
      <c r="AU158" s="610" t="s">
        <v>1368</v>
      </c>
      <c r="AV158" s="610" t="s">
        <v>1368</v>
      </c>
      <c r="AW158" s="610" t="s">
        <v>1368</v>
      </c>
      <c r="AX158" s="610" t="s">
        <v>1368</v>
      </c>
      <c r="AY158" s="610" t="s">
        <v>1368</v>
      </c>
      <c r="AZ158" s="610" t="s">
        <v>1368</v>
      </c>
      <c r="BA158" s="610" t="s">
        <v>1368</v>
      </c>
      <c r="BB158" s="610" t="s">
        <v>1368</v>
      </c>
      <c r="BC158" s="610" t="s">
        <v>1368</v>
      </c>
      <c r="BD158" s="610" t="s">
        <v>1368</v>
      </c>
      <c r="BE158" s="610" t="s">
        <v>1368</v>
      </c>
      <c r="BF158" s="610" t="s">
        <v>1368</v>
      </c>
      <c r="BG158" s="610" t="s">
        <v>1368</v>
      </c>
      <c r="BH158" s="610" t="s">
        <v>1368</v>
      </c>
      <c r="BI158" s="610" t="s">
        <v>1368</v>
      </c>
      <c r="BJ158" s="610" t="s">
        <v>1368</v>
      </c>
      <c r="BK158" s="610" t="s">
        <v>1368</v>
      </c>
      <c r="BL158" s="610" t="s">
        <v>1368</v>
      </c>
      <c r="BM158" s="610">
        <v>2</v>
      </c>
      <c r="BN158" s="610">
        <v>2</v>
      </c>
      <c r="BO158" s="610">
        <v>2</v>
      </c>
      <c r="BP158" s="610">
        <v>2</v>
      </c>
      <c r="BQ158" s="610">
        <v>2</v>
      </c>
      <c r="BR158" s="610">
        <v>2</v>
      </c>
      <c r="BS158" s="610">
        <v>2</v>
      </c>
      <c r="BT158" s="610">
        <v>2</v>
      </c>
      <c r="BU158" s="610">
        <v>2</v>
      </c>
      <c r="BV158" s="610">
        <v>2</v>
      </c>
      <c r="BW158" s="610">
        <v>2</v>
      </c>
      <c r="BX158" s="610">
        <v>2</v>
      </c>
      <c r="BY158" s="610">
        <v>0</v>
      </c>
      <c r="BZ158" s="610">
        <v>0</v>
      </c>
      <c r="CA158" s="610">
        <v>0</v>
      </c>
      <c r="CB158" s="610">
        <v>0</v>
      </c>
      <c r="CC158" s="610">
        <v>0</v>
      </c>
      <c r="CD158" s="610">
        <v>0</v>
      </c>
      <c r="CE158" s="610">
        <v>0</v>
      </c>
      <c r="CF158" s="610">
        <v>0</v>
      </c>
      <c r="CG158" s="610">
        <v>0</v>
      </c>
      <c r="CH158" s="610">
        <v>0</v>
      </c>
      <c r="CI158" s="610">
        <v>0</v>
      </c>
      <c r="CJ158" s="610">
        <v>0</v>
      </c>
      <c r="CK158" s="610">
        <v>0</v>
      </c>
      <c r="CL158" s="610">
        <v>0</v>
      </c>
      <c r="CM158" s="610">
        <v>0</v>
      </c>
      <c r="CN158" s="610">
        <v>0</v>
      </c>
      <c r="CO158" s="610">
        <v>0</v>
      </c>
      <c r="CP158" s="610">
        <v>0</v>
      </c>
      <c r="CQ158" s="610">
        <v>0</v>
      </c>
      <c r="CR158" s="610">
        <v>0</v>
      </c>
      <c r="CS158" s="610">
        <v>0</v>
      </c>
      <c r="CT158" s="610">
        <v>0</v>
      </c>
      <c r="CU158" s="610">
        <v>0</v>
      </c>
      <c r="CV158" s="610">
        <v>0</v>
      </c>
      <c r="CW158" s="610" t="s">
        <v>14</v>
      </c>
      <c r="CX158" s="610">
        <v>0</v>
      </c>
      <c r="CY158" s="610" t="s">
        <v>1707</v>
      </c>
      <c r="CZ158" s="610" t="s">
        <v>1707</v>
      </c>
      <c r="DA158" s="610" t="s">
        <v>1707</v>
      </c>
      <c r="DB158" s="610" t="s">
        <v>1707</v>
      </c>
      <c r="DC158" s="610" t="s">
        <v>1707</v>
      </c>
      <c r="DD158" s="610" t="s">
        <v>1707</v>
      </c>
      <c r="DE158" s="610" t="s">
        <v>1707</v>
      </c>
      <c r="DF158" s="610" t="s">
        <v>1707</v>
      </c>
      <c r="DG158" s="610" t="s">
        <v>1707</v>
      </c>
      <c r="DH158" s="610" t="s">
        <v>1707</v>
      </c>
      <c r="DI158" s="610" t="s">
        <v>1707</v>
      </c>
      <c r="DJ158" s="610" t="s">
        <v>1707</v>
      </c>
      <c r="DK158" s="610" t="s">
        <v>20</v>
      </c>
      <c r="DL158" s="610" t="s">
        <v>20</v>
      </c>
      <c r="DM158" s="610" t="s">
        <v>20</v>
      </c>
      <c r="DN158" s="610" t="s">
        <v>20</v>
      </c>
      <c r="DO158" s="610" t="s">
        <v>20</v>
      </c>
      <c r="DP158" s="610" t="s">
        <v>20</v>
      </c>
      <c r="DQ158" s="610" t="s">
        <v>20</v>
      </c>
      <c r="DR158" s="610" t="s">
        <v>20</v>
      </c>
      <c r="DS158" s="610" t="s">
        <v>20</v>
      </c>
      <c r="DT158" s="610" t="s">
        <v>20</v>
      </c>
      <c r="DU158" s="610" t="s">
        <v>20</v>
      </c>
      <c r="DV158" s="610" t="s">
        <v>20</v>
      </c>
      <c r="DW158" s="609" t="s">
        <v>1368</v>
      </c>
      <c r="DX158" s="609" t="s">
        <v>1368</v>
      </c>
      <c r="DY158" s="609" t="s">
        <v>1368</v>
      </c>
      <c r="DZ158" s="609" t="s">
        <v>1368</v>
      </c>
      <c r="EA158" s="609" t="s">
        <v>1368</v>
      </c>
      <c r="EB158" s="609" t="s">
        <v>1368</v>
      </c>
      <c r="EC158" s="609" t="s">
        <v>1368</v>
      </c>
      <c r="ED158" s="609" t="s">
        <v>1368</v>
      </c>
      <c r="EE158" s="609" t="s">
        <v>1368</v>
      </c>
      <c r="EF158" s="609" t="s">
        <v>1368</v>
      </c>
      <c r="EG158" s="609" t="s">
        <v>1368</v>
      </c>
      <c r="EH158" s="609" t="s">
        <v>1368</v>
      </c>
      <c r="EI158" s="610" t="s">
        <v>1707</v>
      </c>
      <c r="EJ158" s="610" t="s">
        <v>1707</v>
      </c>
      <c r="EK158" s="610" t="s">
        <v>1707</v>
      </c>
      <c r="EL158" s="610" t="s">
        <v>1707</v>
      </c>
      <c r="EM158" s="610" t="s">
        <v>1707</v>
      </c>
      <c r="EN158" s="610" t="s">
        <v>1707</v>
      </c>
      <c r="EO158" s="610" t="s">
        <v>1707</v>
      </c>
      <c r="EP158" s="610" t="s">
        <v>1707</v>
      </c>
      <c r="EQ158" s="610" t="s">
        <v>1707</v>
      </c>
      <c r="ER158" s="610" t="s">
        <v>1707</v>
      </c>
      <c r="ES158" s="610" t="s">
        <v>1707</v>
      </c>
      <c r="ET158" s="610" t="s">
        <v>1707</v>
      </c>
      <c r="EU158" s="610">
        <v>4070</v>
      </c>
      <c r="EV158" s="610" t="s">
        <v>2213</v>
      </c>
      <c r="EW158" s="610" t="s">
        <v>2213</v>
      </c>
      <c r="EX158" s="610" t="s">
        <v>2213</v>
      </c>
      <c r="EY158" s="610" t="s">
        <v>2213</v>
      </c>
      <c r="EZ158" s="610" t="s">
        <v>2213</v>
      </c>
      <c r="FA158" s="610" t="s">
        <v>2213</v>
      </c>
      <c r="FB158" s="610" t="s">
        <v>2213</v>
      </c>
      <c r="FC158" s="610" t="s">
        <v>2213</v>
      </c>
      <c r="FD158" s="610" t="s">
        <v>2213</v>
      </c>
      <c r="FE158" s="610" t="s">
        <v>2213</v>
      </c>
      <c r="FF158" s="610" t="s">
        <v>2213</v>
      </c>
      <c r="FG158" s="610" t="s">
        <v>2213</v>
      </c>
      <c r="FH158" s="610">
        <v>13</v>
      </c>
      <c r="FI158" s="610">
        <v>13</v>
      </c>
      <c r="FJ158" s="610">
        <v>13</v>
      </c>
      <c r="FK158" s="610">
        <v>13</v>
      </c>
      <c r="FL158" s="610">
        <v>13</v>
      </c>
      <c r="FM158" s="610">
        <v>13</v>
      </c>
      <c r="FN158" s="610">
        <v>13</v>
      </c>
      <c r="FO158" s="610">
        <v>13</v>
      </c>
      <c r="FP158" s="610">
        <v>13</v>
      </c>
      <c r="FQ158" s="610">
        <v>13</v>
      </c>
      <c r="FR158" s="610" t="s">
        <v>2487</v>
      </c>
      <c r="FS158" s="610" t="s">
        <v>2487</v>
      </c>
      <c r="FT158" s="610" t="s">
        <v>2487</v>
      </c>
      <c r="FU158" s="610" t="s">
        <v>2487</v>
      </c>
      <c r="FV158" s="610" t="s">
        <v>2487</v>
      </c>
      <c r="FW158" s="610" t="s">
        <v>2487</v>
      </c>
      <c r="FX158" s="610" t="s">
        <v>2487</v>
      </c>
      <c r="FY158" s="610" t="s">
        <v>2487</v>
      </c>
      <c r="FZ158" s="610" t="s">
        <v>2487</v>
      </c>
      <c r="GA158" s="610" t="s">
        <v>2487</v>
      </c>
      <c r="GB158" s="610" t="s">
        <v>2487</v>
      </c>
      <c r="GC158" s="610" t="s">
        <v>2487</v>
      </c>
      <c r="GD158" s="564">
        <f t="shared" si="33"/>
        <v>79950</v>
      </c>
      <c r="GE158" s="564">
        <f t="shared" si="34"/>
        <v>79950</v>
      </c>
      <c r="GF158" s="564">
        <f t="shared" si="35"/>
        <v>79950</v>
      </c>
      <c r="GG158" s="564">
        <f t="shared" si="36"/>
        <v>79950</v>
      </c>
      <c r="GH158" s="564">
        <f t="shared" si="37"/>
        <v>79950</v>
      </c>
      <c r="GI158" s="564">
        <f t="shared" si="38"/>
        <v>79950</v>
      </c>
      <c r="GJ158" s="564">
        <f t="shared" si="39"/>
        <v>79950</v>
      </c>
      <c r="GK158" s="564">
        <f t="shared" si="40"/>
        <v>79950</v>
      </c>
      <c r="GL158" s="564">
        <f t="shared" si="41"/>
        <v>79950</v>
      </c>
      <c r="GM158" s="564">
        <f t="shared" si="42"/>
        <v>79950</v>
      </c>
      <c r="GN158" s="564">
        <f t="shared" si="43"/>
        <v>79950</v>
      </c>
      <c r="GO158" s="564">
        <f t="shared" si="44"/>
        <v>79950</v>
      </c>
      <c r="GP158" s="564"/>
      <c r="GS158" s="375" t="s">
        <v>1923</v>
      </c>
      <c r="GT158" s="374" t="str">
        <f t="shared" si="31"/>
        <v>〇</v>
      </c>
    </row>
    <row r="159" spans="2:202">
      <c r="B159" s="371">
        <v>155</v>
      </c>
      <c r="C159" s="378">
        <v>155</v>
      </c>
      <c r="D159" s="373" t="s">
        <v>1832</v>
      </c>
      <c r="E159" s="373" t="s">
        <v>14</v>
      </c>
      <c r="F159" s="603">
        <f t="shared" si="45"/>
        <v>40</v>
      </c>
      <c r="G159" s="603"/>
      <c r="H159" s="609">
        <v>24</v>
      </c>
      <c r="I159" s="609">
        <v>16</v>
      </c>
      <c r="J159" s="603"/>
      <c r="K159" s="603"/>
      <c r="L159" s="603"/>
      <c r="M159" s="603"/>
      <c r="N159" s="608"/>
      <c r="O159" s="603">
        <v>1577000</v>
      </c>
      <c r="P159" s="603">
        <v>2721000</v>
      </c>
      <c r="Q159" s="603">
        <v>2721000</v>
      </c>
      <c r="R159" s="603">
        <v>0</v>
      </c>
      <c r="S159" s="603">
        <v>0</v>
      </c>
      <c r="T159" s="603">
        <v>0</v>
      </c>
      <c r="U159" s="603">
        <v>0</v>
      </c>
      <c r="V159" s="603">
        <v>1051000</v>
      </c>
      <c r="W159" s="603">
        <v>1814000</v>
      </c>
      <c r="X159" s="603">
        <v>1814000</v>
      </c>
      <c r="Y159" s="603">
        <v>0</v>
      </c>
      <c r="Z159" s="603">
        <v>0</v>
      </c>
      <c r="AA159" s="603">
        <v>0</v>
      </c>
      <c r="AB159" s="603">
        <v>0</v>
      </c>
      <c r="AC159" s="603">
        <v>526000</v>
      </c>
      <c r="AD159" s="603">
        <v>907000</v>
      </c>
      <c r="AE159" s="603">
        <v>907000</v>
      </c>
      <c r="AF159" s="603">
        <v>0</v>
      </c>
      <c r="AG159" s="603">
        <v>0</v>
      </c>
      <c r="AH159" s="603">
        <v>0</v>
      </c>
      <c r="AI159" s="603">
        <v>0</v>
      </c>
      <c r="AJ159" s="604" t="s">
        <v>2377</v>
      </c>
      <c r="AK159" s="605" t="s">
        <v>2378</v>
      </c>
      <c r="AL159" s="605" t="s">
        <v>2490</v>
      </c>
      <c r="AM159" s="606" t="s">
        <v>2420</v>
      </c>
      <c r="AN159" s="609" t="s">
        <v>12</v>
      </c>
      <c r="AO159" s="610" t="s">
        <v>1368</v>
      </c>
      <c r="AP159" s="610" t="s">
        <v>1368</v>
      </c>
      <c r="AQ159" s="610" t="s">
        <v>1368</v>
      </c>
      <c r="AR159" s="610" t="s">
        <v>1368</v>
      </c>
      <c r="AS159" s="610" t="s">
        <v>1368</v>
      </c>
      <c r="AT159" s="610" t="s">
        <v>1368</v>
      </c>
      <c r="AU159" s="610" t="s">
        <v>1368</v>
      </c>
      <c r="AV159" s="610" t="s">
        <v>1368</v>
      </c>
      <c r="AW159" s="610" t="s">
        <v>1368</v>
      </c>
      <c r="AX159" s="610" t="s">
        <v>1368</v>
      </c>
      <c r="AY159" s="610" t="s">
        <v>1368</v>
      </c>
      <c r="AZ159" s="610" t="s">
        <v>1368</v>
      </c>
      <c r="BA159" s="610" t="s">
        <v>1368</v>
      </c>
      <c r="BB159" s="610" t="s">
        <v>1368</v>
      </c>
      <c r="BC159" s="610" t="s">
        <v>1368</v>
      </c>
      <c r="BD159" s="610" t="s">
        <v>1368</v>
      </c>
      <c r="BE159" s="610" t="s">
        <v>1368</v>
      </c>
      <c r="BF159" s="610" t="s">
        <v>1368</v>
      </c>
      <c r="BG159" s="610" t="s">
        <v>1368</v>
      </c>
      <c r="BH159" s="610" t="s">
        <v>1368</v>
      </c>
      <c r="BI159" s="610" t="s">
        <v>1368</v>
      </c>
      <c r="BJ159" s="610" t="s">
        <v>1368</v>
      </c>
      <c r="BK159" s="610" t="s">
        <v>1368</v>
      </c>
      <c r="BL159" s="610" t="s">
        <v>1368</v>
      </c>
      <c r="BM159" s="610">
        <v>0</v>
      </c>
      <c r="BN159" s="610">
        <v>0</v>
      </c>
      <c r="BO159" s="610">
        <v>0</v>
      </c>
      <c r="BP159" s="610">
        <v>0</v>
      </c>
      <c r="BQ159" s="610">
        <v>0</v>
      </c>
      <c r="BR159" s="610">
        <v>0</v>
      </c>
      <c r="BS159" s="610">
        <v>0</v>
      </c>
      <c r="BT159" s="610">
        <v>0</v>
      </c>
      <c r="BU159" s="610">
        <v>0</v>
      </c>
      <c r="BV159" s="610">
        <v>0</v>
      </c>
      <c r="BW159" s="610">
        <v>0</v>
      </c>
      <c r="BX159" s="610">
        <v>0</v>
      </c>
      <c r="BY159" s="610">
        <v>0</v>
      </c>
      <c r="BZ159" s="610">
        <v>0</v>
      </c>
      <c r="CA159" s="610">
        <v>0</v>
      </c>
      <c r="CB159" s="610">
        <v>0</v>
      </c>
      <c r="CC159" s="610">
        <v>0</v>
      </c>
      <c r="CD159" s="610">
        <v>0</v>
      </c>
      <c r="CE159" s="610">
        <v>0</v>
      </c>
      <c r="CF159" s="610">
        <v>0</v>
      </c>
      <c r="CG159" s="610">
        <v>0</v>
      </c>
      <c r="CH159" s="610">
        <v>0</v>
      </c>
      <c r="CI159" s="610">
        <v>0</v>
      </c>
      <c r="CJ159" s="610">
        <v>0</v>
      </c>
      <c r="CK159" s="610">
        <v>0</v>
      </c>
      <c r="CL159" s="610">
        <v>0</v>
      </c>
      <c r="CM159" s="610">
        <v>0</v>
      </c>
      <c r="CN159" s="610">
        <v>0</v>
      </c>
      <c r="CO159" s="610">
        <v>0</v>
      </c>
      <c r="CP159" s="610">
        <v>0</v>
      </c>
      <c r="CQ159" s="610">
        <v>0</v>
      </c>
      <c r="CR159" s="610">
        <v>0</v>
      </c>
      <c r="CS159" s="610">
        <v>0</v>
      </c>
      <c r="CT159" s="610">
        <v>0</v>
      </c>
      <c r="CU159" s="610">
        <v>0</v>
      </c>
      <c r="CV159" s="610">
        <v>0</v>
      </c>
      <c r="CW159" s="610" t="s">
        <v>14</v>
      </c>
      <c r="CX159" s="610">
        <v>0</v>
      </c>
      <c r="CY159" s="610" t="s">
        <v>1707</v>
      </c>
      <c r="CZ159" s="610" t="s">
        <v>1707</v>
      </c>
      <c r="DA159" s="610" t="s">
        <v>1707</v>
      </c>
      <c r="DB159" s="610" t="s">
        <v>1707</v>
      </c>
      <c r="DC159" s="610" t="s">
        <v>1707</v>
      </c>
      <c r="DD159" s="610" t="s">
        <v>1707</v>
      </c>
      <c r="DE159" s="610" t="s">
        <v>1707</v>
      </c>
      <c r="DF159" s="610" t="s">
        <v>1707</v>
      </c>
      <c r="DG159" s="610" t="s">
        <v>1707</v>
      </c>
      <c r="DH159" s="610" t="s">
        <v>1707</v>
      </c>
      <c r="DI159" s="610" t="s">
        <v>1707</v>
      </c>
      <c r="DJ159" s="610" t="s">
        <v>1707</v>
      </c>
      <c r="DK159" s="610" t="s">
        <v>1368</v>
      </c>
      <c r="DL159" s="610" t="s">
        <v>1368</v>
      </c>
      <c r="DM159" s="610" t="s">
        <v>1368</v>
      </c>
      <c r="DN159" s="610" t="s">
        <v>1368</v>
      </c>
      <c r="DO159" s="610" t="s">
        <v>1368</v>
      </c>
      <c r="DP159" s="610" t="s">
        <v>1368</v>
      </c>
      <c r="DQ159" s="610" t="s">
        <v>1368</v>
      </c>
      <c r="DR159" s="610" t="s">
        <v>1368</v>
      </c>
      <c r="DS159" s="610" t="s">
        <v>1368</v>
      </c>
      <c r="DT159" s="610" t="s">
        <v>1368</v>
      </c>
      <c r="DU159" s="610" t="s">
        <v>1368</v>
      </c>
      <c r="DV159" s="610" t="s">
        <v>1368</v>
      </c>
      <c r="DW159" s="609" t="s">
        <v>1368</v>
      </c>
      <c r="DX159" s="609" t="s">
        <v>1368</v>
      </c>
      <c r="DY159" s="609" t="s">
        <v>1368</v>
      </c>
      <c r="DZ159" s="609" t="s">
        <v>1368</v>
      </c>
      <c r="EA159" s="609" t="s">
        <v>1368</v>
      </c>
      <c r="EB159" s="609" t="s">
        <v>1368</v>
      </c>
      <c r="EC159" s="609" t="s">
        <v>1368</v>
      </c>
      <c r="ED159" s="609" t="s">
        <v>1368</v>
      </c>
      <c r="EE159" s="609" t="s">
        <v>1368</v>
      </c>
      <c r="EF159" s="609" t="s">
        <v>1368</v>
      </c>
      <c r="EG159" s="609" t="s">
        <v>1368</v>
      </c>
      <c r="EH159" s="609" t="s">
        <v>1368</v>
      </c>
      <c r="EI159" s="610" t="s">
        <v>1707</v>
      </c>
      <c r="EJ159" s="610" t="s">
        <v>1707</v>
      </c>
      <c r="EK159" s="610" t="s">
        <v>1707</v>
      </c>
      <c r="EL159" s="610" t="s">
        <v>1707</v>
      </c>
      <c r="EM159" s="610" t="s">
        <v>1707</v>
      </c>
      <c r="EN159" s="610" t="s">
        <v>1707</v>
      </c>
      <c r="EO159" s="610" t="s">
        <v>1707</v>
      </c>
      <c r="EP159" s="610" t="s">
        <v>1707</v>
      </c>
      <c r="EQ159" s="610" t="s">
        <v>1707</v>
      </c>
      <c r="ER159" s="610" t="s">
        <v>1707</v>
      </c>
      <c r="ES159" s="610" t="s">
        <v>1707</v>
      </c>
      <c r="ET159" s="610" t="s">
        <v>1707</v>
      </c>
      <c r="EU159" s="610">
        <v>3980</v>
      </c>
      <c r="EV159" s="610" t="s">
        <v>1707</v>
      </c>
      <c r="EW159" s="610" t="s">
        <v>1707</v>
      </c>
      <c r="EX159" s="610" t="s">
        <v>1707</v>
      </c>
      <c r="EY159" s="610" t="s">
        <v>1707</v>
      </c>
      <c r="EZ159" s="610" t="s">
        <v>1707</v>
      </c>
      <c r="FA159" s="610" t="s">
        <v>1707</v>
      </c>
      <c r="FB159" s="610" t="s">
        <v>1707</v>
      </c>
      <c r="FC159" s="610" t="s">
        <v>1707</v>
      </c>
      <c r="FD159" s="610" t="s">
        <v>1707</v>
      </c>
      <c r="FE159" s="610" t="s">
        <v>1707</v>
      </c>
      <c r="FF159" s="610" t="s">
        <v>1707</v>
      </c>
      <c r="FG159" s="610" t="s">
        <v>1707</v>
      </c>
      <c r="FH159" s="610">
        <v>15</v>
      </c>
      <c r="FI159" s="610">
        <v>15</v>
      </c>
      <c r="FJ159" s="610">
        <v>15</v>
      </c>
      <c r="FK159" s="610">
        <v>15</v>
      </c>
      <c r="FL159" s="610">
        <v>15</v>
      </c>
      <c r="FM159" s="610">
        <v>15</v>
      </c>
      <c r="FN159" s="610">
        <v>15</v>
      </c>
      <c r="FO159" s="610">
        <v>15</v>
      </c>
      <c r="FP159" s="610">
        <v>15</v>
      </c>
      <c r="FQ159" s="610">
        <v>15</v>
      </c>
      <c r="FR159" s="610" t="s">
        <v>2487</v>
      </c>
      <c r="FS159" s="610" t="s">
        <v>2487</v>
      </c>
      <c r="FT159" s="610" t="s">
        <v>2487</v>
      </c>
      <c r="FU159" s="610" t="s">
        <v>2487</v>
      </c>
      <c r="FV159" s="610" t="s">
        <v>2487</v>
      </c>
      <c r="FW159" s="610" t="s">
        <v>2487</v>
      </c>
      <c r="FX159" s="610" t="s">
        <v>2487</v>
      </c>
      <c r="FY159" s="610" t="s">
        <v>2487</v>
      </c>
      <c r="FZ159" s="610" t="s">
        <v>2487</v>
      </c>
      <c r="GA159" s="610" t="s">
        <v>2487</v>
      </c>
      <c r="GB159" s="610" t="s">
        <v>2487</v>
      </c>
      <c r="GC159" s="610" t="s">
        <v>2487</v>
      </c>
      <c r="GD159" s="564">
        <f t="shared" si="33"/>
        <v>79950</v>
      </c>
      <c r="GE159" s="564">
        <f t="shared" si="34"/>
        <v>79950</v>
      </c>
      <c r="GF159" s="564">
        <f t="shared" si="35"/>
        <v>79950</v>
      </c>
      <c r="GG159" s="564">
        <f t="shared" si="36"/>
        <v>79950</v>
      </c>
      <c r="GH159" s="564">
        <f t="shared" si="37"/>
        <v>79950</v>
      </c>
      <c r="GI159" s="564">
        <f t="shared" si="38"/>
        <v>79950</v>
      </c>
      <c r="GJ159" s="564">
        <f t="shared" si="39"/>
        <v>79950</v>
      </c>
      <c r="GK159" s="564">
        <f t="shared" si="40"/>
        <v>79950</v>
      </c>
      <c r="GL159" s="564">
        <f t="shared" si="41"/>
        <v>79950</v>
      </c>
      <c r="GM159" s="564">
        <f t="shared" si="42"/>
        <v>79950</v>
      </c>
      <c r="GN159" s="564">
        <f t="shared" si="43"/>
        <v>79950</v>
      </c>
      <c r="GO159" s="564">
        <f t="shared" si="44"/>
        <v>79950</v>
      </c>
      <c r="GP159" s="564"/>
      <c r="GS159" s="375" t="s">
        <v>1924</v>
      </c>
      <c r="GT159" s="374" t="str">
        <f t="shared" si="31"/>
        <v>〇</v>
      </c>
    </row>
    <row r="160" spans="2:202">
      <c r="B160" s="371">
        <v>156</v>
      </c>
      <c r="C160" s="378">
        <v>156</v>
      </c>
      <c r="D160" s="373" t="s">
        <v>1775</v>
      </c>
      <c r="E160" s="373" t="s">
        <v>14</v>
      </c>
      <c r="F160" s="603">
        <f t="shared" si="45"/>
        <v>60</v>
      </c>
      <c r="G160" s="603"/>
      <c r="H160" s="609">
        <v>33</v>
      </c>
      <c r="I160" s="609">
        <v>27</v>
      </c>
      <c r="J160" s="603">
        <f>SUM(K160:M160)</f>
        <v>0</v>
      </c>
      <c r="K160" s="603"/>
      <c r="L160" s="603"/>
      <c r="M160" s="603"/>
      <c r="N160" s="608"/>
      <c r="O160" s="603">
        <v>1577000</v>
      </c>
      <c r="P160" s="603">
        <v>2721000</v>
      </c>
      <c r="Q160" s="603">
        <v>0</v>
      </c>
      <c r="R160" s="603">
        <v>1188000</v>
      </c>
      <c r="S160" s="603">
        <v>0</v>
      </c>
      <c r="T160" s="603">
        <v>0</v>
      </c>
      <c r="U160" s="603">
        <v>0</v>
      </c>
      <c r="V160" s="603">
        <v>1051000</v>
      </c>
      <c r="W160" s="603">
        <v>1814000</v>
      </c>
      <c r="X160" s="603">
        <v>0</v>
      </c>
      <c r="Y160" s="603">
        <v>792000</v>
      </c>
      <c r="Z160" s="603">
        <v>0</v>
      </c>
      <c r="AA160" s="603">
        <v>0</v>
      </c>
      <c r="AB160" s="603">
        <v>0</v>
      </c>
      <c r="AC160" s="603">
        <v>526000</v>
      </c>
      <c r="AD160" s="603">
        <v>907000</v>
      </c>
      <c r="AE160" s="603">
        <v>0</v>
      </c>
      <c r="AF160" s="603">
        <v>396000</v>
      </c>
      <c r="AG160" s="603">
        <v>0</v>
      </c>
      <c r="AH160" s="603">
        <v>0</v>
      </c>
      <c r="AI160" s="603">
        <v>0</v>
      </c>
      <c r="AJ160" s="604" t="s">
        <v>2377</v>
      </c>
      <c r="AK160" s="605" t="s">
        <v>2378</v>
      </c>
      <c r="AL160" s="605" t="s">
        <v>2490</v>
      </c>
      <c r="AM160" s="606" t="s">
        <v>2421</v>
      </c>
      <c r="AN160" s="609"/>
      <c r="AO160" s="610" t="s">
        <v>2485</v>
      </c>
      <c r="AP160" s="610" t="s">
        <v>2485</v>
      </c>
      <c r="AQ160" s="610" t="s">
        <v>2485</v>
      </c>
      <c r="AR160" s="610" t="s">
        <v>2485</v>
      </c>
      <c r="AS160" s="610" t="s">
        <v>2485</v>
      </c>
      <c r="AT160" s="610" t="s">
        <v>2485</v>
      </c>
      <c r="AU160" s="610" t="s">
        <v>2485</v>
      </c>
      <c r="AV160" s="610" t="s">
        <v>2485</v>
      </c>
      <c r="AW160" s="610" t="s">
        <v>2485</v>
      </c>
      <c r="AX160" s="610" t="s">
        <v>2485</v>
      </c>
      <c r="AY160" s="610" t="s">
        <v>2485</v>
      </c>
      <c r="AZ160" s="610" t="s">
        <v>2485</v>
      </c>
      <c r="BA160" s="610" t="s">
        <v>1368</v>
      </c>
      <c r="BB160" s="610" t="s">
        <v>1368</v>
      </c>
      <c r="BC160" s="610" t="s">
        <v>1368</v>
      </c>
      <c r="BD160" s="610" t="s">
        <v>1368</v>
      </c>
      <c r="BE160" s="610" t="s">
        <v>1368</v>
      </c>
      <c r="BF160" s="610" t="s">
        <v>1368</v>
      </c>
      <c r="BG160" s="610" t="s">
        <v>1368</v>
      </c>
      <c r="BH160" s="610" t="s">
        <v>1368</v>
      </c>
      <c r="BI160" s="610" t="s">
        <v>1368</v>
      </c>
      <c r="BJ160" s="610" t="s">
        <v>1368</v>
      </c>
      <c r="BK160" s="610" t="s">
        <v>1368</v>
      </c>
      <c r="BL160" s="610" t="s">
        <v>1368</v>
      </c>
      <c r="BM160" s="610">
        <v>1</v>
      </c>
      <c r="BN160" s="610">
        <v>0</v>
      </c>
      <c r="BO160" s="610">
        <v>0</v>
      </c>
      <c r="BP160" s="610">
        <v>0</v>
      </c>
      <c r="BQ160" s="610">
        <v>0</v>
      </c>
      <c r="BR160" s="610">
        <v>0</v>
      </c>
      <c r="BS160" s="610">
        <v>0</v>
      </c>
      <c r="BT160" s="610">
        <v>0</v>
      </c>
      <c r="BU160" s="610">
        <v>0</v>
      </c>
      <c r="BV160" s="610">
        <v>0</v>
      </c>
      <c r="BW160" s="610">
        <v>0</v>
      </c>
      <c r="BX160" s="610">
        <v>0</v>
      </c>
      <c r="BY160" s="610">
        <v>0</v>
      </c>
      <c r="BZ160" s="610">
        <v>0</v>
      </c>
      <c r="CA160" s="610">
        <v>0</v>
      </c>
      <c r="CB160" s="610">
        <v>0</v>
      </c>
      <c r="CC160" s="610">
        <v>0</v>
      </c>
      <c r="CD160" s="610">
        <v>0</v>
      </c>
      <c r="CE160" s="610">
        <v>0</v>
      </c>
      <c r="CF160" s="610">
        <v>0</v>
      </c>
      <c r="CG160" s="610">
        <v>0</v>
      </c>
      <c r="CH160" s="610">
        <v>0</v>
      </c>
      <c r="CI160" s="610">
        <v>0</v>
      </c>
      <c r="CJ160" s="610">
        <v>0</v>
      </c>
      <c r="CK160" s="610">
        <v>0</v>
      </c>
      <c r="CL160" s="610">
        <v>0</v>
      </c>
      <c r="CM160" s="610">
        <v>0</v>
      </c>
      <c r="CN160" s="610">
        <v>0</v>
      </c>
      <c r="CO160" s="610">
        <v>0</v>
      </c>
      <c r="CP160" s="610">
        <v>0</v>
      </c>
      <c r="CQ160" s="610">
        <v>0</v>
      </c>
      <c r="CR160" s="610">
        <v>0</v>
      </c>
      <c r="CS160" s="610">
        <v>0</v>
      </c>
      <c r="CT160" s="610">
        <v>0</v>
      </c>
      <c r="CU160" s="610">
        <v>0</v>
      </c>
      <c r="CV160" s="610">
        <v>0</v>
      </c>
      <c r="CW160" s="610" t="s">
        <v>14</v>
      </c>
      <c r="CX160" s="610">
        <v>0</v>
      </c>
      <c r="CY160" s="610" t="s">
        <v>2449</v>
      </c>
      <c r="CZ160" s="610" t="s">
        <v>1707</v>
      </c>
      <c r="DA160" s="610" t="s">
        <v>1707</v>
      </c>
      <c r="DB160" s="610" t="s">
        <v>1707</v>
      </c>
      <c r="DC160" s="610" t="s">
        <v>1707</v>
      </c>
      <c r="DD160" s="610" t="s">
        <v>1707</v>
      </c>
      <c r="DE160" s="610" t="s">
        <v>1707</v>
      </c>
      <c r="DF160" s="610" t="s">
        <v>1707</v>
      </c>
      <c r="DG160" s="610" t="s">
        <v>1707</v>
      </c>
      <c r="DH160" s="610" t="s">
        <v>1707</v>
      </c>
      <c r="DI160" s="610" t="s">
        <v>1707</v>
      </c>
      <c r="DJ160" s="610" t="s">
        <v>1707</v>
      </c>
      <c r="DK160" s="610" t="s">
        <v>1368</v>
      </c>
      <c r="DL160" s="610" t="s">
        <v>1368</v>
      </c>
      <c r="DM160" s="610" t="s">
        <v>1368</v>
      </c>
      <c r="DN160" s="610" t="s">
        <v>1368</v>
      </c>
      <c r="DO160" s="610" t="s">
        <v>1368</v>
      </c>
      <c r="DP160" s="610" t="s">
        <v>1368</v>
      </c>
      <c r="DQ160" s="610" t="s">
        <v>1368</v>
      </c>
      <c r="DR160" s="610" t="s">
        <v>1368</v>
      </c>
      <c r="DS160" s="610" t="s">
        <v>1368</v>
      </c>
      <c r="DT160" s="610" t="s">
        <v>1368</v>
      </c>
      <c r="DU160" s="610" t="s">
        <v>1368</v>
      </c>
      <c r="DV160" s="610" t="s">
        <v>1368</v>
      </c>
      <c r="DW160" s="609" t="s">
        <v>1368</v>
      </c>
      <c r="DX160" s="609" t="s">
        <v>1368</v>
      </c>
      <c r="DY160" s="609" t="s">
        <v>1368</v>
      </c>
      <c r="DZ160" s="609" t="s">
        <v>1368</v>
      </c>
      <c r="EA160" s="609" t="s">
        <v>1368</v>
      </c>
      <c r="EB160" s="609" t="s">
        <v>1368</v>
      </c>
      <c r="EC160" s="609" t="s">
        <v>1368</v>
      </c>
      <c r="ED160" s="609" t="s">
        <v>1368</v>
      </c>
      <c r="EE160" s="609" t="s">
        <v>1368</v>
      </c>
      <c r="EF160" s="609" t="s">
        <v>1368</v>
      </c>
      <c r="EG160" s="609" t="s">
        <v>1368</v>
      </c>
      <c r="EH160" s="609" t="s">
        <v>1368</v>
      </c>
      <c r="EI160" s="610" t="s">
        <v>1707</v>
      </c>
      <c r="EJ160" s="610" t="s">
        <v>1707</v>
      </c>
      <c r="EK160" s="610" t="s">
        <v>1707</v>
      </c>
      <c r="EL160" s="610" t="s">
        <v>1707</v>
      </c>
      <c r="EM160" s="610" t="s">
        <v>1707</v>
      </c>
      <c r="EN160" s="610" t="s">
        <v>1707</v>
      </c>
      <c r="EO160" s="610" t="s">
        <v>1707</v>
      </c>
      <c r="EP160" s="610" t="s">
        <v>1707</v>
      </c>
      <c r="EQ160" s="610" t="s">
        <v>1707</v>
      </c>
      <c r="ER160" s="610" t="s">
        <v>1707</v>
      </c>
      <c r="ES160" s="610" t="s">
        <v>1707</v>
      </c>
      <c r="ET160" s="610" t="s">
        <v>1707</v>
      </c>
      <c r="EU160" s="610">
        <v>3860</v>
      </c>
      <c r="EV160" s="610" t="s">
        <v>1707</v>
      </c>
      <c r="EW160" s="610" t="s">
        <v>1707</v>
      </c>
      <c r="EX160" s="610" t="s">
        <v>1707</v>
      </c>
      <c r="EY160" s="610" t="s">
        <v>1707</v>
      </c>
      <c r="EZ160" s="610" t="s">
        <v>1707</v>
      </c>
      <c r="FA160" s="610" t="s">
        <v>1707</v>
      </c>
      <c r="FB160" s="610" t="s">
        <v>1707</v>
      </c>
      <c r="FC160" s="610" t="s">
        <v>1707</v>
      </c>
      <c r="FD160" s="610" t="s">
        <v>1707</v>
      </c>
      <c r="FE160" s="610" t="s">
        <v>1707</v>
      </c>
      <c r="FF160" s="610" t="s">
        <v>1707</v>
      </c>
      <c r="FG160" s="610" t="s">
        <v>1707</v>
      </c>
      <c r="FH160" s="610">
        <v>22</v>
      </c>
      <c r="FI160" s="610">
        <v>22</v>
      </c>
      <c r="FJ160" s="610">
        <v>22</v>
      </c>
      <c r="FK160" s="610">
        <v>22</v>
      </c>
      <c r="FL160" s="610">
        <v>22</v>
      </c>
      <c r="FM160" s="610">
        <v>22</v>
      </c>
      <c r="FN160" s="610">
        <v>22</v>
      </c>
      <c r="FO160" s="610">
        <v>22</v>
      </c>
      <c r="FP160" s="610">
        <v>22</v>
      </c>
      <c r="FQ160" s="610">
        <v>22</v>
      </c>
      <c r="FR160" s="610" t="s">
        <v>2487</v>
      </c>
      <c r="FS160" s="610" t="s">
        <v>2487</v>
      </c>
      <c r="FT160" s="610" t="s">
        <v>2487</v>
      </c>
      <c r="FU160" s="610" t="s">
        <v>2487</v>
      </c>
      <c r="FV160" s="610" t="s">
        <v>2487</v>
      </c>
      <c r="FW160" s="610" t="s">
        <v>2487</v>
      </c>
      <c r="FX160" s="610" t="s">
        <v>2487</v>
      </c>
      <c r="FY160" s="610" t="s">
        <v>2487</v>
      </c>
      <c r="FZ160" s="610" t="s">
        <v>2487</v>
      </c>
      <c r="GA160" s="610" t="s">
        <v>2487</v>
      </c>
      <c r="GB160" s="610" t="s">
        <v>2487</v>
      </c>
      <c r="GC160" s="610" t="s">
        <v>2487</v>
      </c>
      <c r="GD160" s="564">
        <f t="shared" si="33"/>
        <v>79950</v>
      </c>
      <c r="GE160" s="564">
        <f t="shared" si="34"/>
        <v>79950</v>
      </c>
      <c r="GF160" s="564">
        <f t="shared" si="35"/>
        <v>79950</v>
      </c>
      <c r="GG160" s="564">
        <f t="shared" si="36"/>
        <v>79950</v>
      </c>
      <c r="GH160" s="564">
        <f t="shared" si="37"/>
        <v>79950</v>
      </c>
      <c r="GI160" s="564">
        <f t="shared" si="38"/>
        <v>79950</v>
      </c>
      <c r="GJ160" s="564">
        <f t="shared" si="39"/>
        <v>79950</v>
      </c>
      <c r="GK160" s="564">
        <f t="shared" si="40"/>
        <v>79950</v>
      </c>
      <c r="GL160" s="564">
        <f t="shared" si="41"/>
        <v>79950</v>
      </c>
      <c r="GM160" s="564">
        <f t="shared" si="42"/>
        <v>79950</v>
      </c>
      <c r="GN160" s="564">
        <f t="shared" si="43"/>
        <v>79950</v>
      </c>
      <c r="GO160" s="564">
        <f t="shared" si="44"/>
        <v>79950</v>
      </c>
      <c r="GP160" s="564"/>
      <c r="GS160" s="375" t="s">
        <v>2116</v>
      </c>
      <c r="GT160" s="374" t="str">
        <f t="shared" si="31"/>
        <v>〇</v>
      </c>
    </row>
    <row r="161" spans="2:202">
      <c r="B161" s="371">
        <v>157</v>
      </c>
      <c r="C161" s="378">
        <v>157</v>
      </c>
      <c r="D161" s="373" t="s">
        <v>1833</v>
      </c>
      <c r="E161" s="373" t="s">
        <v>14</v>
      </c>
      <c r="F161" s="603">
        <f t="shared" si="45"/>
        <v>59</v>
      </c>
      <c r="G161" s="603"/>
      <c r="H161" s="609">
        <v>33</v>
      </c>
      <c r="I161" s="609">
        <v>26</v>
      </c>
      <c r="J161" s="603">
        <f t="shared" ref="J161" si="46">SUM(K161:M161)</f>
        <v>0</v>
      </c>
      <c r="K161" s="603"/>
      <c r="L161" s="603"/>
      <c r="M161" s="603"/>
      <c r="N161" s="608"/>
      <c r="O161" s="603">
        <v>1577000</v>
      </c>
      <c r="P161" s="603">
        <v>0</v>
      </c>
      <c r="Q161" s="603">
        <v>0</v>
      </c>
      <c r="R161" s="603">
        <v>1188000</v>
      </c>
      <c r="S161" s="603">
        <v>0</v>
      </c>
      <c r="T161" s="603">
        <v>0</v>
      </c>
      <c r="U161" s="603">
        <v>0</v>
      </c>
      <c r="V161" s="603">
        <v>1051000</v>
      </c>
      <c r="W161" s="603">
        <v>0</v>
      </c>
      <c r="X161" s="603">
        <v>0</v>
      </c>
      <c r="Y161" s="603">
        <v>792000</v>
      </c>
      <c r="Z161" s="603">
        <v>0</v>
      </c>
      <c r="AA161" s="603">
        <v>0</v>
      </c>
      <c r="AB161" s="603">
        <v>0</v>
      </c>
      <c r="AC161" s="603">
        <v>0</v>
      </c>
      <c r="AD161" s="603">
        <v>0</v>
      </c>
      <c r="AE161" s="603">
        <v>0</v>
      </c>
      <c r="AF161" s="603">
        <v>0</v>
      </c>
      <c r="AG161" s="603">
        <v>0</v>
      </c>
      <c r="AH161" s="603">
        <v>0</v>
      </c>
      <c r="AI161" s="603">
        <v>0</v>
      </c>
      <c r="AJ161" s="604" t="s">
        <v>2377</v>
      </c>
      <c r="AK161" s="605" t="s">
        <v>2378</v>
      </c>
      <c r="AL161" s="605" t="s">
        <v>1545</v>
      </c>
      <c r="AM161" s="606" t="s">
        <v>2422</v>
      </c>
      <c r="AN161" s="609"/>
      <c r="AO161" s="610" t="s">
        <v>1368</v>
      </c>
      <c r="AP161" s="610" t="s">
        <v>1368</v>
      </c>
      <c r="AQ161" s="610" t="s">
        <v>1368</v>
      </c>
      <c r="AR161" s="610" t="s">
        <v>1368</v>
      </c>
      <c r="AS161" s="610" t="s">
        <v>1368</v>
      </c>
      <c r="AT161" s="610" t="s">
        <v>1368</v>
      </c>
      <c r="AU161" s="610" t="s">
        <v>1368</v>
      </c>
      <c r="AV161" s="610" t="s">
        <v>1368</v>
      </c>
      <c r="AW161" s="610" t="s">
        <v>1368</v>
      </c>
      <c r="AX161" s="610" t="s">
        <v>1368</v>
      </c>
      <c r="AY161" s="610" t="s">
        <v>1368</v>
      </c>
      <c r="AZ161" s="610" t="s">
        <v>1368</v>
      </c>
      <c r="BA161" s="610" t="s">
        <v>1368</v>
      </c>
      <c r="BB161" s="610" t="s">
        <v>1368</v>
      </c>
      <c r="BC161" s="610" t="s">
        <v>1368</v>
      </c>
      <c r="BD161" s="610" t="s">
        <v>1368</v>
      </c>
      <c r="BE161" s="610" t="s">
        <v>1368</v>
      </c>
      <c r="BF161" s="610" t="s">
        <v>1368</v>
      </c>
      <c r="BG161" s="610" t="s">
        <v>1368</v>
      </c>
      <c r="BH161" s="610" t="s">
        <v>1368</v>
      </c>
      <c r="BI161" s="610" t="s">
        <v>1368</v>
      </c>
      <c r="BJ161" s="610" t="s">
        <v>1368</v>
      </c>
      <c r="BK161" s="610" t="s">
        <v>1368</v>
      </c>
      <c r="BL161" s="610" t="s">
        <v>1368</v>
      </c>
      <c r="BM161" s="610">
        <v>0</v>
      </c>
      <c r="BN161" s="610">
        <v>0</v>
      </c>
      <c r="BO161" s="610">
        <v>0</v>
      </c>
      <c r="BP161" s="610">
        <v>0</v>
      </c>
      <c r="BQ161" s="610">
        <v>0</v>
      </c>
      <c r="BR161" s="610">
        <v>0</v>
      </c>
      <c r="BS161" s="610">
        <v>0</v>
      </c>
      <c r="BT161" s="610">
        <v>0</v>
      </c>
      <c r="BU161" s="610">
        <v>0</v>
      </c>
      <c r="BV161" s="610">
        <v>0</v>
      </c>
      <c r="BW161" s="610">
        <v>0</v>
      </c>
      <c r="BX161" s="610">
        <v>0</v>
      </c>
      <c r="BY161" s="610">
        <v>0</v>
      </c>
      <c r="BZ161" s="610">
        <v>0</v>
      </c>
      <c r="CA161" s="610">
        <v>0</v>
      </c>
      <c r="CB161" s="610">
        <v>0</v>
      </c>
      <c r="CC161" s="610">
        <v>0</v>
      </c>
      <c r="CD161" s="610">
        <v>0</v>
      </c>
      <c r="CE161" s="610">
        <v>0</v>
      </c>
      <c r="CF161" s="610">
        <v>0</v>
      </c>
      <c r="CG161" s="610">
        <v>0</v>
      </c>
      <c r="CH161" s="610">
        <v>0</v>
      </c>
      <c r="CI161" s="610">
        <v>0</v>
      </c>
      <c r="CJ161" s="610">
        <v>0</v>
      </c>
      <c r="CK161" s="610">
        <v>0</v>
      </c>
      <c r="CL161" s="610">
        <v>0</v>
      </c>
      <c r="CM161" s="610">
        <v>0</v>
      </c>
      <c r="CN161" s="610">
        <v>0</v>
      </c>
      <c r="CO161" s="610">
        <v>0</v>
      </c>
      <c r="CP161" s="610">
        <v>0</v>
      </c>
      <c r="CQ161" s="610">
        <v>0</v>
      </c>
      <c r="CR161" s="610">
        <v>0</v>
      </c>
      <c r="CS161" s="610">
        <v>0</v>
      </c>
      <c r="CT161" s="610">
        <v>0</v>
      </c>
      <c r="CU161" s="610">
        <v>0</v>
      </c>
      <c r="CV161" s="610">
        <v>0</v>
      </c>
      <c r="CW161" s="610" t="s">
        <v>14</v>
      </c>
      <c r="CX161" s="610">
        <v>0</v>
      </c>
      <c r="CY161" s="610" t="s">
        <v>2449</v>
      </c>
      <c r="CZ161" s="610" t="s">
        <v>2449</v>
      </c>
      <c r="DA161" s="610" t="s">
        <v>2449</v>
      </c>
      <c r="DB161" s="610" t="s">
        <v>2449</v>
      </c>
      <c r="DC161" s="610" t="s">
        <v>2449</v>
      </c>
      <c r="DD161" s="610" t="s">
        <v>2449</v>
      </c>
      <c r="DE161" s="610" t="s">
        <v>2449</v>
      </c>
      <c r="DF161" s="610" t="s">
        <v>2449</v>
      </c>
      <c r="DG161" s="610" t="s">
        <v>2449</v>
      </c>
      <c r="DH161" s="610" t="s">
        <v>2449</v>
      </c>
      <c r="DI161" s="610" t="s">
        <v>2449</v>
      </c>
      <c r="DJ161" s="610" t="s">
        <v>2449</v>
      </c>
      <c r="DK161" s="610" t="s">
        <v>1368</v>
      </c>
      <c r="DL161" s="610" t="s">
        <v>1368</v>
      </c>
      <c r="DM161" s="610" t="s">
        <v>1368</v>
      </c>
      <c r="DN161" s="610" t="s">
        <v>1368</v>
      </c>
      <c r="DO161" s="610" t="s">
        <v>1368</v>
      </c>
      <c r="DP161" s="610" t="s">
        <v>1368</v>
      </c>
      <c r="DQ161" s="610" t="s">
        <v>1368</v>
      </c>
      <c r="DR161" s="610" t="s">
        <v>1368</v>
      </c>
      <c r="DS161" s="610" t="s">
        <v>1368</v>
      </c>
      <c r="DT161" s="610" t="s">
        <v>1368</v>
      </c>
      <c r="DU161" s="610" t="s">
        <v>1368</v>
      </c>
      <c r="DV161" s="610" t="s">
        <v>1368</v>
      </c>
      <c r="DW161" s="609" t="s">
        <v>1368</v>
      </c>
      <c r="DX161" s="609" t="s">
        <v>1368</v>
      </c>
      <c r="DY161" s="609" t="s">
        <v>1368</v>
      </c>
      <c r="DZ161" s="609" t="s">
        <v>1368</v>
      </c>
      <c r="EA161" s="609" t="s">
        <v>1368</v>
      </c>
      <c r="EB161" s="609" t="s">
        <v>1368</v>
      </c>
      <c r="EC161" s="609" t="s">
        <v>1368</v>
      </c>
      <c r="ED161" s="609" t="s">
        <v>1368</v>
      </c>
      <c r="EE161" s="609" t="s">
        <v>1368</v>
      </c>
      <c r="EF161" s="609" t="s">
        <v>1368</v>
      </c>
      <c r="EG161" s="609" t="s">
        <v>1368</v>
      </c>
      <c r="EH161" s="609" t="s">
        <v>1368</v>
      </c>
      <c r="EI161" s="610" t="s">
        <v>1707</v>
      </c>
      <c r="EJ161" s="610" t="s">
        <v>1707</v>
      </c>
      <c r="EK161" s="610" t="s">
        <v>1707</v>
      </c>
      <c r="EL161" s="610" t="s">
        <v>1707</v>
      </c>
      <c r="EM161" s="610" t="s">
        <v>1707</v>
      </c>
      <c r="EN161" s="610" t="s">
        <v>1707</v>
      </c>
      <c r="EO161" s="610" t="s">
        <v>1707</v>
      </c>
      <c r="EP161" s="610" t="s">
        <v>1707</v>
      </c>
      <c r="EQ161" s="610" t="s">
        <v>1707</v>
      </c>
      <c r="ER161" s="610" t="s">
        <v>1707</v>
      </c>
      <c r="ES161" s="610" t="s">
        <v>1707</v>
      </c>
      <c r="ET161" s="610" t="s">
        <v>1707</v>
      </c>
      <c r="EU161" s="610">
        <v>3920</v>
      </c>
      <c r="EV161" s="610" t="s">
        <v>1707</v>
      </c>
      <c r="EW161" s="610" t="s">
        <v>1707</v>
      </c>
      <c r="EX161" s="610" t="s">
        <v>1707</v>
      </c>
      <c r="EY161" s="610" t="s">
        <v>1707</v>
      </c>
      <c r="EZ161" s="610" t="s">
        <v>1707</v>
      </c>
      <c r="FA161" s="610" t="s">
        <v>1707</v>
      </c>
      <c r="FB161" s="610" t="s">
        <v>1707</v>
      </c>
      <c r="FC161" s="610" t="s">
        <v>1707</v>
      </c>
      <c r="FD161" s="610" t="s">
        <v>1707</v>
      </c>
      <c r="FE161" s="610" t="s">
        <v>1707</v>
      </c>
      <c r="FF161" s="610" t="s">
        <v>1707</v>
      </c>
      <c r="FG161" s="610" t="s">
        <v>1707</v>
      </c>
      <c r="FH161" s="610">
        <v>12</v>
      </c>
      <c r="FI161" s="610">
        <v>11</v>
      </c>
      <c r="FJ161" s="610">
        <v>10</v>
      </c>
      <c r="FK161" s="610">
        <v>10</v>
      </c>
      <c r="FL161" s="610">
        <v>10</v>
      </c>
      <c r="FM161" s="610">
        <v>10</v>
      </c>
      <c r="FN161" s="610">
        <v>11</v>
      </c>
      <c r="FO161" s="610">
        <v>11</v>
      </c>
      <c r="FP161" s="610">
        <v>11</v>
      </c>
      <c r="FQ161" s="610">
        <v>11</v>
      </c>
      <c r="FR161" s="610" t="s">
        <v>2487</v>
      </c>
      <c r="FS161" s="610" t="s">
        <v>2487</v>
      </c>
      <c r="FT161" s="610" t="s">
        <v>2487</v>
      </c>
      <c r="FU161" s="610" t="s">
        <v>2487</v>
      </c>
      <c r="FV161" s="610" t="s">
        <v>2487</v>
      </c>
      <c r="FW161" s="610" t="s">
        <v>2487</v>
      </c>
      <c r="FX161" s="610" t="s">
        <v>2487</v>
      </c>
      <c r="FY161" s="610" t="s">
        <v>2487</v>
      </c>
      <c r="FZ161" s="610" t="s">
        <v>2487</v>
      </c>
      <c r="GA161" s="610" t="s">
        <v>2487</v>
      </c>
      <c r="GB161" s="610" t="s">
        <v>2487</v>
      </c>
      <c r="GC161" s="610" t="s">
        <v>2487</v>
      </c>
      <c r="GD161" s="564">
        <f t="shared" si="33"/>
        <v>79950</v>
      </c>
      <c r="GE161" s="564">
        <f t="shared" si="34"/>
        <v>79950</v>
      </c>
      <c r="GF161" s="564">
        <f t="shared" si="35"/>
        <v>79950</v>
      </c>
      <c r="GG161" s="564">
        <f t="shared" si="36"/>
        <v>79950</v>
      </c>
      <c r="GH161" s="564">
        <f t="shared" si="37"/>
        <v>79950</v>
      </c>
      <c r="GI161" s="564">
        <f t="shared" si="38"/>
        <v>79950</v>
      </c>
      <c r="GJ161" s="564">
        <f t="shared" si="39"/>
        <v>79950</v>
      </c>
      <c r="GK161" s="564">
        <f t="shared" si="40"/>
        <v>79950</v>
      </c>
      <c r="GL161" s="564">
        <f t="shared" si="41"/>
        <v>79950</v>
      </c>
      <c r="GM161" s="564">
        <f t="shared" si="42"/>
        <v>79950</v>
      </c>
      <c r="GN161" s="564">
        <f t="shared" si="43"/>
        <v>79950</v>
      </c>
      <c r="GO161" s="564">
        <f t="shared" si="44"/>
        <v>79950</v>
      </c>
      <c r="GP161" s="564"/>
      <c r="GS161" s="375" t="s">
        <v>2117</v>
      </c>
      <c r="GT161" s="374" t="str">
        <f t="shared" si="31"/>
        <v>〇</v>
      </c>
    </row>
    <row r="162" spans="2:202">
      <c r="B162" s="371">
        <v>158</v>
      </c>
      <c r="C162" s="378">
        <v>158</v>
      </c>
      <c r="D162" s="373" t="s">
        <v>1835</v>
      </c>
      <c r="E162" s="373" t="s">
        <v>12</v>
      </c>
      <c r="F162" s="603">
        <f t="shared" si="45"/>
        <v>20</v>
      </c>
      <c r="G162" s="603"/>
      <c r="H162" s="603">
        <v>0</v>
      </c>
      <c r="I162" s="603">
        <v>20</v>
      </c>
      <c r="J162" s="603">
        <f>SUM(K162:M162)</f>
        <v>20</v>
      </c>
      <c r="K162" s="603"/>
      <c r="L162" s="603">
        <v>20</v>
      </c>
      <c r="M162" s="603">
        <v>0</v>
      </c>
      <c r="N162" s="608"/>
      <c r="O162" s="603">
        <v>1577000</v>
      </c>
      <c r="P162" s="603">
        <v>2721000</v>
      </c>
      <c r="Q162" s="603">
        <v>2721000</v>
      </c>
      <c r="R162" s="603">
        <v>1791000</v>
      </c>
      <c r="S162" s="603">
        <v>0</v>
      </c>
      <c r="T162" s="603">
        <v>2181000</v>
      </c>
      <c r="U162" s="603">
        <v>0</v>
      </c>
      <c r="V162" s="603">
        <v>1051000</v>
      </c>
      <c r="W162" s="603">
        <v>1814000</v>
      </c>
      <c r="X162" s="603">
        <v>1814000</v>
      </c>
      <c r="Y162" s="603">
        <v>1194000</v>
      </c>
      <c r="Z162" s="603">
        <v>0</v>
      </c>
      <c r="AA162" s="603">
        <v>1454000</v>
      </c>
      <c r="AB162" s="603">
        <v>0</v>
      </c>
      <c r="AC162" s="603">
        <v>526000</v>
      </c>
      <c r="AD162" s="603">
        <v>907000</v>
      </c>
      <c r="AE162" s="603">
        <v>907000</v>
      </c>
      <c r="AF162" s="603">
        <v>597000</v>
      </c>
      <c r="AG162" s="603">
        <v>0</v>
      </c>
      <c r="AH162" s="603">
        <v>727000</v>
      </c>
      <c r="AI162" s="603">
        <v>0</v>
      </c>
      <c r="AJ162" s="604" t="s">
        <v>2377</v>
      </c>
      <c r="AK162" s="605" t="s">
        <v>2378</v>
      </c>
      <c r="AL162" s="605" t="s">
        <v>2490</v>
      </c>
      <c r="AM162" s="606" t="s">
        <v>2423</v>
      </c>
      <c r="AN162" s="609"/>
      <c r="AO162" s="610" t="s">
        <v>2485</v>
      </c>
      <c r="AP162" s="610" t="s">
        <v>2485</v>
      </c>
      <c r="AQ162" s="610" t="s">
        <v>2485</v>
      </c>
      <c r="AR162" s="610" t="s">
        <v>2485</v>
      </c>
      <c r="AS162" s="610" t="s">
        <v>2485</v>
      </c>
      <c r="AT162" s="610" t="s">
        <v>2485</v>
      </c>
      <c r="AU162" s="610" t="s">
        <v>2485</v>
      </c>
      <c r="AV162" s="610" t="s">
        <v>2485</v>
      </c>
      <c r="AW162" s="610" t="s">
        <v>2485</v>
      </c>
      <c r="AX162" s="610" t="s">
        <v>2485</v>
      </c>
      <c r="AY162" s="610" t="s">
        <v>2485</v>
      </c>
      <c r="AZ162" s="610" t="s">
        <v>2485</v>
      </c>
      <c r="BA162" s="610" t="s">
        <v>1368</v>
      </c>
      <c r="BB162" s="610" t="s">
        <v>1368</v>
      </c>
      <c r="BC162" s="610" t="s">
        <v>1368</v>
      </c>
      <c r="BD162" s="610" t="s">
        <v>1368</v>
      </c>
      <c r="BE162" s="610" t="s">
        <v>1368</v>
      </c>
      <c r="BF162" s="610" t="s">
        <v>1368</v>
      </c>
      <c r="BG162" s="610" t="s">
        <v>1368</v>
      </c>
      <c r="BH162" s="610" t="s">
        <v>1368</v>
      </c>
      <c r="BI162" s="610" t="s">
        <v>1368</v>
      </c>
      <c r="BJ162" s="610" t="s">
        <v>1368</v>
      </c>
      <c r="BK162" s="610" t="s">
        <v>1368</v>
      </c>
      <c r="BL162" s="610" t="s">
        <v>1368</v>
      </c>
      <c r="BM162" s="610">
        <v>1</v>
      </c>
      <c r="BN162" s="610">
        <v>1</v>
      </c>
      <c r="BO162" s="610">
        <v>1</v>
      </c>
      <c r="BP162" s="610">
        <v>1</v>
      </c>
      <c r="BQ162" s="610">
        <v>1</v>
      </c>
      <c r="BR162" s="610">
        <v>1</v>
      </c>
      <c r="BS162" s="610">
        <v>1</v>
      </c>
      <c r="BT162" s="610">
        <v>1</v>
      </c>
      <c r="BU162" s="610">
        <v>1</v>
      </c>
      <c r="BV162" s="610">
        <v>1</v>
      </c>
      <c r="BW162" s="610">
        <v>1</v>
      </c>
      <c r="BX162" s="610">
        <v>1</v>
      </c>
      <c r="BY162" s="610">
        <v>0</v>
      </c>
      <c r="BZ162" s="610">
        <v>0</v>
      </c>
      <c r="CA162" s="610">
        <v>0</v>
      </c>
      <c r="CB162" s="610">
        <v>0</v>
      </c>
      <c r="CC162" s="610">
        <v>0</v>
      </c>
      <c r="CD162" s="610">
        <v>0</v>
      </c>
      <c r="CE162" s="610">
        <v>0</v>
      </c>
      <c r="CF162" s="610">
        <v>0</v>
      </c>
      <c r="CG162" s="610">
        <v>0</v>
      </c>
      <c r="CH162" s="610">
        <v>0</v>
      </c>
      <c r="CI162" s="610">
        <v>0</v>
      </c>
      <c r="CJ162" s="610">
        <v>0</v>
      </c>
      <c r="CK162" s="610">
        <v>0</v>
      </c>
      <c r="CL162" s="610">
        <v>0</v>
      </c>
      <c r="CM162" s="610">
        <v>0</v>
      </c>
      <c r="CN162" s="610">
        <v>0</v>
      </c>
      <c r="CO162" s="610">
        <v>0</v>
      </c>
      <c r="CP162" s="610">
        <v>0</v>
      </c>
      <c r="CQ162" s="610">
        <v>0</v>
      </c>
      <c r="CR162" s="610">
        <v>0</v>
      </c>
      <c r="CS162" s="610">
        <v>0</v>
      </c>
      <c r="CT162" s="610">
        <v>0</v>
      </c>
      <c r="CU162" s="610">
        <v>0</v>
      </c>
      <c r="CV162" s="610">
        <v>0</v>
      </c>
      <c r="CW162" s="610" t="s">
        <v>14</v>
      </c>
      <c r="CX162" s="610">
        <v>0</v>
      </c>
      <c r="CY162" s="610" t="s">
        <v>1707</v>
      </c>
      <c r="CZ162" s="610" t="s">
        <v>1707</v>
      </c>
      <c r="DA162" s="610" t="s">
        <v>1707</v>
      </c>
      <c r="DB162" s="610" t="s">
        <v>1707</v>
      </c>
      <c r="DC162" s="610" t="s">
        <v>1707</v>
      </c>
      <c r="DD162" s="610" t="s">
        <v>1707</v>
      </c>
      <c r="DE162" s="610" t="s">
        <v>1707</v>
      </c>
      <c r="DF162" s="610" t="s">
        <v>1707</v>
      </c>
      <c r="DG162" s="610" t="s">
        <v>1707</v>
      </c>
      <c r="DH162" s="610" t="s">
        <v>1707</v>
      </c>
      <c r="DI162" s="610" t="s">
        <v>1707</v>
      </c>
      <c r="DJ162" s="610" t="s">
        <v>1707</v>
      </c>
      <c r="DK162" s="610" t="s">
        <v>1368</v>
      </c>
      <c r="DL162" s="610" t="s">
        <v>1368</v>
      </c>
      <c r="DM162" s="610" t="s">
        <v>1368</v>
      </c>
      <c r="DN162" s="610" t="s">
        <v>1368</v>
      </c>
      <c r="DO162" s="610" t="s">
        <v>1368</v>
      </c>
      <c r="DP162" s="610" t="s">
        <v>1368</v>
      </c>
      <c r="DQ162" s="610" t="s">
        <v>1368</v>
      </c>
      <c r="DR162" s="610" t="s">
        <v>1368</v>
      </c>
      <c r="DS162" s="610" t="s">
        <v>1368</v>
      </c>
      <c r="DT162" s="610" t="s">
        <v>1368</v>
      </c>
      <c r="DU162" s="610" t="s">
        <v>1368</v>
      </c>
      <c r="DV162" s="610" t="s">
        <v>1368</v>
      </c>
      <c r="DW162" s="609" t="s">
        <v>1368</v>
      </c>
      <c r="DX162" s="609" t="s">
        <v>1368</v>
      </c>
      <c r="DY162" s="609" t="s">
        <v>1368</v>
      </c>
      <c r="DZ162" s="609" t="s">
        <v>1368</v>
      </c>
      <c r="EA162" s="609" t="s">
        <v>1368</v>
      </c>
      <c r="EB162" s="609" t="s">
        <v>1368</v>
      </c>
      <c r="EC162" s="609" t="s">
        <v>1368</v>
      </c>
      <c r="ED162" s="609" t="s">
        <v>1368</v>
      </c>
      <c r="EE162" s="609" t="s">
        <v>1368</v>
      </c>
      <c r="EF162" s="609" t="s">
        <v>1368</v>
      </c>
      <c r="EG162" s="609" t="s">
        <v>1368</v>
      </c>
      <c r="EH162" s="609" t="s">
        <v>1368</v>
      </c>
      <c r="EI162" s="610" t="s">
        <v>1707</v>
      </c>
      <c r="EJ162" s="610" t="s">
        <v>1707</v>
      </c>
      <c r="EK162" s="610" t="s">
        <v>1707</v>
      </c>
      <c r="EL162" s="610" t="s">
        <v>1707</v>
      </c>
      <c r="EM162" s="610" t="s">
        <v>1707</v>
      </c>
      <c r="EN162" s="610" t="s">
        <v>1707</v>
      </c>
      <c r="EO162" s="610" t="s">
        <v>1707</v>
      </c>
      <c r="EP162" s="610" t="s">
        <v>1707</v>
      </c>
      <c r="EQ162" s="610" t="s">
        <v>1707</v>
      </c>
      <c r="ER162" s="610" t="s">
        <v>1707</v>
      </c>
      <c r="ES162" s="610" t="s">
        <v>1707</v>
      </c>
      <c r="ET162" s="610" t="s">
        <v>1707</v>
      </c>
      <c r="EU162" s="610">
        <v>3950</v>
      </c>
      <c r="EV162" s="610" t="s">
        <v>1707</v>
      </c>
      <c r="EW162" s="610" t="s">
        <v>1707</v>
      </c>
      <c r="EX162" s="610" t="s">
        <v>1707</v>
      </c>
      <c r="EY162" s="610" t="s">
        <v>1707</v>
      </c>
      <c r="EZ162" s="610" t="s">
        <v>1707</v>
      </c>
      <c r="FA162" s="610" t="s">
        <v>1707</v>
      </c>
      <c r="FB162" s="610" t="s">
        <v>1707</v>
      </c>
      <c r="FC162" s="610" t="s">
        <v>1707</v>
      </c>
      <c r="FD162" s="610" t="s">
        <v>1707</v>
      </c>
      <c r="FE162" s="610" t="s">
        <v>1707</v>
      </c>
      <c r="FF162" s="610" t="s">
        <v>1707</v>
      </c>
      <c r="FG162" s="610" t="s">
        <v>1707</v>
      </c>
      <c r="FH162" s="610">
        <v>7</v>
      </c>
      <c r="FI162" s="610">
        <v>9</v>
      </c>
      <c r="FJ162" s="610">
        <v>10</v>
      </c>
      <c r="FK162" s="610">
        <v>11</v>
      </c>
      <c r="FL162" s="610">
        <v>11</v>
      </c>
      <c r="FM162" s="610">
        <v>11</v>
      </c>
      <c r="FN162" s="610">
        <v>10</v>
      </c>
      <c r="FO162" s="610">
        <v>10</v>
      </c>
      <c r="FP162" s="610">
        <v>11</v>
      </c>
      <c r="FQ162" s="610">
        <v>13</v>
      </c>
      <c r="FR162" s="610" t="s">
        <v>2487</v>
      </c>
      <c r="FS162" s="610" t="s">
        <v>2487</v>
      </c>
      <c r="FT162" s="610" t="s">
        <v>2487</v>
      </c>
      <c r="FU162" s="610" t="s">
        <v>2487</v>
      </c>
      <c r="FV162" s="610" t="s">
        <v>2487</v>
      </c>
      <c r="FW162" s="610" t="s">
        <v>2487</v>
      </c>
      <c r="FX162" s="610" t="s">
        <v>2487</v>
      </c>
      <c r="FY162" s="610" t="s">
        <v>2487</v>
      </c>
      <c r="FZ162" s="610" t="s">
        <v>2487</v>
      </c>
      <c r="GA162" s="610" t="s">
        <v>2487</v>
      </c>
      <c r="GB162" s="610" t="s">
        <v>2487</v>
      </c>
      <c r="GC162" s="610" t="s">
        <v>2487</v>
      </c>
      <c r="GD162" s="564">
        <f t="shared" si="33"/>
        <v>79950</v>
      </c>
      <c r="GE162" s="564">
        <f t="shared" si="34"/>
        <v>79950</v>
      </c>
      <c r="GF162" s="564">
        <f t="shared" si="35"/>
        <v>79950</v>
      </c>
      <c r="GG162" s="564">
        <f t="shared" si="36"/>
        <v>79950</v>
      </c>
      <c r="GH162" s="564">
        <f t="shared" si="37"/>
        <v>79950</v>
      </c>
      <c r="GI162" s="564">
        <f t="shared" si="38"/>
        <v>79950</v>
      </c>
      <c r="GJ162" s="564">
        <f t="shared" si="39"/>
        <v>79950</v>
      </c>
      <c r="GK162" s="564">
        <f t="shared" si="40"/>
        <v>79950</v>
      </c>
      <c r="GL162" s="564">
        <f t="shared" si="41"/>
        <v>79950</v>
      </c>
      <c r="GM162" s="564">
        <f t="shared" si="42"/>
        <v>79950</v>
      </c>
      <c r="GN162" s="564">
        <f t="shared" si="43"/>
        <v>79950</v>
      </c>
      <c r="GO162" s="564">
        <f t="shared" si="44"/>
        <v>79950</v>
      </c>
      <c r="GP162" s="564"/>
      <c r="GS162" s="375" t="s">
        <v>1835</v>
      </c>
      <c r="GT162" s="374" t="str">
        <f t="shared" si="31"/>
        <v>〇</v>
      </c>
    </row>
    <row r="163" spans="2:202">
      <c r="B163" s="371">
        <v>159</v>
      </c>
      <c r="C163" s="378">
        <v>159</v>
      </c>
      <c r="D163" s="373" t="s">
        <v>1836</v>
      </c>
      <c r="E163" s="373" t="s">
        <v>14</v>
      </c>
      <c r="F163" s="603">
        <f t="shared" si="45"/>
        <v>40</v>
      </c>
      <c r="G163" s="603"/>
      <c r="H163" s="609">
        <v>21</v>
      </c>
      <c r="I163" s="609">
        <v>19</v>
      </c>
      <c r="J163" s="603">
        <f t="shared" ref="J163:J164" si="47">SUM(K163:M163)</f>
        <v>0</v>
      </c>
      <c r="K163" s="603"/>
      <c r="L163" s="603"/>
      <c r="M163" s="603"/>
      <c r="N163" s="608"/>
      <c r="O163" s="603">
        <v>1577000</v>
      </c>
      <c r="P163" s="603">
        <v>2721000</v>
      </c>
      <c r="Q163" s="603">
        <v>0</v>
      </c>
      <c r="R163" s="603">
        <v>1791000</v>
      </c>
      <c r="S163" s="603">
        <v>1791000</v>
      </c>
      <c r="T163" s="603">
        <v>0</v>
      </c>
      <c r="U163" s="603">
        <v>0</v>
      </c>
      <c r="V163" s="603">
        <v>1051000</v>
      </c>
      <c r="W163" s="603">
        <v>1814000</v>
      </c>
      <c r="X163" s="603">
        <v>0</v>
      </c>
      <c r="Y163" s="603">
        <v>1194000</v>
      </c>
      <c r="Z163" s="603">
        <v>1194000</v>
      </c>
      <c r="AA163" s="603">
        <v>0</v>
      </c>
      <c r="AB163" s="603">
        <v>0</v>
      </c>
      <c r="AC163" s="603">
        <v>526000</v>
      </c>
      <c r="AD163" s="603">
        <v>907000</v>
      </c>
      <c r="AE163" s="603">
        <v>0</v>
      </c>
      <c r="AF163" s="603">
        <v>597000</v>
      </c>
      <c r="AG163" s="603">
        <v>597000</v>
      </c>
      <c r="AH163" s="603">
        <v>0</v>
      </c>
      <c r="AI163" s="603">
        <v>0</v>
      </c>
      <c r="AJ163" s="604" t="s">
        <v>2377</v>
      </c>
      <c r="AK163" s="605" t="s">
        <v>2378</v>
      </c>
      <c r="AL163" s="605" t="s">
        <v>2490</v>
      </c>
      <c r="AM163" s="606" t="s">
        <v>2424</v>
      </c>
      <c r="AN163" s="609"/>
      <c r="AO163" s="610" t="s">
        <v>2485</v>
      </c>
      <c r="AP163" s="610" t="s">
        <v>2485</v>
      </c>
      <c r="AQ163" s="610" t="s">
        <v>2485</v>
      </c>
      <c r="AR163" s="610" t="s">
        <v>2485</v>
      </c>
      <c r="AS163" s="610" t="s">
        <v>2485</v>
      </c>
      <c r="AT163" s="610" t="s">
        <v>2485</v>
      </c>
      <c r="AU163" s="610" t="s">
        <v>2485</v>
      </c>
      <c r="AV163" s="610" t="s">
        <v>2485</v>
      </c>
      <c r="AW163" s="610" t="s">
        <v>2485</v>
      </c>
      <c r="AX163" s="610" t="s">
        <v>2485</v>
      </c>
      <c r="AY163" s="610" t="s">
        <v>2485</v>
      </c>
      <c r="AZ163" s="610" t="s">
        <v>2485</v>
      </c>
      <c r="BA163" s="610" t="s">
        <v>1368</v>
      </c>
      <c r="BB163" s="610" t="s">
        <v>1368</v>
      </c>
      <c r="BC163" s="610" t="s">
        <v>1368</v>
      </c>
      <c r="BD163" s="610" t="s">
        <v>1368</v>
      </c>
      <c r="BE163" s="610" t="s">
        <v>1368</v>
      </c>
      <c r="BF163" s="610" t="s">
        <v>1368</v>
      </c>
      <c r="BG163" s="610" t="s">
        <v>1368</v>
      </c>
      <c r="BH163" s="610" t="s">
        <v>1368</v>
      </c>
      <c r="BI163" s="610" t="s">
        <v>1368</v>
      </c>
      <c r="BJ163" s="610" t="s">
        <v>1368</v>
      </c>
      <c r="BK163" s="610" t="s">
        <v>1368</v>
      </c>
      <c r="BL163" s="610" t="s">
        <v>1368</v>
      </c>
      <c r="BM163" s="610">
        <v>0</v>
      </c>
      <c r="BN163" s="610">
        <v>0</v>
      </c>
      <c r="BO163" s="610">
        <v>0</v>
      </c>
      <c r="BP163" s="610">
        <v>0</v>
      </c>
      <c r="BQ163" s="610">
        <v>0</v>
      </c>
      <c r="BR163" s="610">
        <v>0</v>
      </c>
      <c r="BS163" s="610">
        <v>1</v>
      </c>
      <c r="BT163" s="610">
        <v>1</v>
      </c>
      <c r="BU163" s="610">
        <v>1</v>
      </c>
      <c r="BV163" s="610">
        <v>1</v>
      </c>
      <c r="BW163" s="610">
        <v>1</v>
      </c>
      <c r="BX163" s="610">
        <v>1</v>
      </c>
      <c r="BY163" s="610">
        <v>0</v>
      </c>
      <c r="BZ163" s="610">
        <v>0</v>
      </c>
      <c r="CA163" s="610">
        <v>0</v>
      </c>
      <c r="CB163" s="610">
        <v>0</v>
      </c>
      <c r="CC163" s="610">
        <v>0</v>
      </c>
      <c r="CD163" s="610">
        <v>0</v>
      </c>
      <c r="CE163" s="610">
        <v>0</v>
      </c>
      <c r="CF163" s="610">
        <v>0</v>
      </c>
      <c r="CG163" s="610">
        <v>0</v>
      </c>
      <c r="CH163" s="610">
        <v>0</v>
      </c>
      <c r="CI163" s="610">
        <v>0</v>
      </c>
      <c r="CJ163" s="610">
        <v>0</v>
      </c>
      <c r="CK163" s="610">
        <v>0</v>
      </c>
      <c r="CL163" s="610">
        <v>0</v>
      </c>
      <c r="CM163" s="610">
        <v>0</v>
      </c>
      <c r="CN163" s="610">
        <v>0</v>
      </c>
      <c r="CO163" s="610">
        <v>0</v>
      </c>
      <c r="CP163" s="610">
        <v>0</v>
      </c>
      <c r="CQ163" s="610">
        <v>0</v>
      </c>
      <c r="CR163" s="610">
        <v>0</v>
      </c>
      <c r="CS163" s="610">
        <v>0</v>
      </c>
      <c r="CT163" s="610">
        <v>0</v>
      </c>
      <c r="CU163" s="610">
        <v>0</v>
      </c>
      <c r="CV163" s="610">
        <v>0</v>
      </c>
      <c r="CW163" s="610" t="s">
        <v>14</v>
      </c>
      <c r="CX163" s="610">
        <v>0</v>
      </c>
      <c r="CY163" s="610" t="s">
        <v>1707</v>
      </c>
      <c r="CZ163" s="610" t="s">
        <v>1707</v>
      </c>
      <c r="DA163" s="610" t="s">
        <v>1707</v>
      </c>
      <c r="DB163" s="610" t="s">
        <v>1707</v>
      </c>
      <c r="DC163" s="610" t="s">
        <v>1707</v>
      </c>
      <c r="DD163" s="610" t="s">
        <v>1707</v>
      </c>
      <c r="DE163" s="610" t="s">
        <v>1707</v>
      </c>
      <c r="DF163" s="610" t="s">
        <v>1707</v>
      </c>
      <c r="DG163" s="610" t="s">
        <v>1707</v>
      </c>
      <c r="DH163" s="610" t="s">
        <v>1707</v>
      </c>
      <c r="DI163" s="610" t="s">
        <v>1707</v>
      </c>
      <c r="DJ163" s="610" t="s">
        <v>1707</v>
      </c>
      <c r="DK163" s="610" t="s">
        <v>18</v>
      </c>
      <c r="DL163" s="610" t="s">
        <v>18</v>
      </c>
      <c r="DM163" s="610" t="s">
        <v>18</v>
      </c>
      <c r="DN163" s="610" t="s">
        <v>18</v>
      </c>
      <c r="DO163" s="610" t="s">
        <v>18</v>
      </c>
      <c r="DP163" s="610" t="s">
        <v>18</v>
      </c>
      <c r="DQ163" s="610" t="s">
        <v>18</v>
      </c>
      <c r="DR163" s="610" t="s">
        <v>18</v>
      </c>
      <c r="DS163" s="610" t="s">
        <v>18</v>
      </c>
      <c r="DT163" s="610" t="s">
        <v>18</v>
      </c>
      <c r="DU163" s="610" t="s">
        <v>18</v>
      </c>
      <c r="DV163" s="610" t="s">
        <v>18</v>
      </c>
      <c r="DW163" s="609" t="s">
        <v>1368</v>
      </c>
      <c r="DX163" s="609" t="s">
        <v>1368</v>
      </c>
      <c r="DY163" s="609" t="s">
        <v>1368</v>
      </c>
      <c r="DZ163" s="609" t="s">
        <v>1368</v>
      </c>
      <c r="EA163" s="609" t="s">
        <v>1368</v>
      </c>
      <c r="EB163" s="609" t="s">
        <v>1368</v>
      </c>
      <c r="EC163" s="609" t="s">
        <v>1368</v>
      </c>
      <c r="ED163" s="609" t="s">
        <v>1368</v>
      </c>
      <c r="EE163" s="609" t="s">
        <v>1368</v>
      </c>
      <c r="EF163" s="609" t="s">
        <v>1368</v>
      </c>
      <c r="EG163" s="609" t="s">
        <v>1368</v>
      </c>
      <c r="EH163" s="609" t="s">
        <v>1368</v>
      </c>
      <c r="EI163" s="610" t="s">
        <v>1707</v>
      </c>
      <c r="EJ163" s="610" t="s">
        <v>1707</v>
      </c>
      <c r="EK163" s="610" t="s">
        <v>1707</v>
      </c>
      <c r="EL163" s="610" t="s">
        <v>1707</v>
      </c>
      <c r="EM163" s="610" t="s">
        <v>1707</v>
      </c>
      <c r="EN163" s="610" t="s">
        <v>1707</v>
      </c>
      <c r="EO163" s="610" t="s">
        <v>1707</v>
      </c>
      <c r="EP163" s="610" t="s">
        <v>1707</v>
      </c>
      <c r="EQ163" s="610" t="s">
        <v>1707</v>
      </c>
      <c r="ER163" s="610" t="s">
        <v>1707</v>
      </c>
      <c r="ES163" s="610" t="s">
        <v>1707</v>
      </c>
      <c r="ET163" s="610" t="s">
        <v>1707</v>
      </c>
      <c r="EU163" s="610">
        <v>4070</v>
      </c>
      <c r="EV163" s="610" t="s">
        <v>2449</v>
      </c>
      <c r="EW163" s="610" t="s">
        <v>2449</v>
      </c>
      <c r="EX163" s="610" t="s">
        <v>2449</v>
      </c>
      <c r="EY163" s="610" t="s">
        <v>2449</v>
      </c>
      <c r="EZ163" s="610" t="s">
        <v>2449</v>
      </c>
      <c r="FA163" s="610" t="s">
        <v>2449</v>
      </c>
      <c r="FB163" s="610" t="s">
        <v>2449</v>
      </c>
      <c r="FC163" s="610" t="s">
        <v>2449</v>
      </c>
      <c r="FD163" s="610" t="s">
        <v>2449</v>
      </c>
      <c r="FE163" s="610" t="s">
        <v>2449</v>
      </c>
      <c r="FF163" s="610" t="s">
        <v>2449</v>
      </c>
      <c r="FG163" s="610" t="s">
        <v>2449</v>
      </c>
      <c r="FH163" s="610">
        <v>11</v>
      </c>
      <c r="FI163" s="610">
        <v>11</v>
      </c>
      <c r="FJ163" s="610">
        <v>11</v>
      </c>
      <c r="FK163" s="610">
        <v>11</v>
      </c>
      <c r="FL163" s="610">
        <v>11</v>
      </c>
      <c r="FM163" s="610">
        <v>10</v>
      </c>
      <c r="FN163" s="610">
        <v>10</v>
      </c>
      <c r="FO163" s="610">
        <v>10</v>
      </c>
      <c r="FP163" s="610">
        <v>10</v>
      </c>
      <c r="FQ163" s="610">
        <v>10</v>
      </c>
      <c r="FR163" s="610" t="s">
        <v>2487</v>
      </c>
      <c r="FS163" s="610" t="s">
        <v>2487</v>
      </c>
      <c r="FT163" s="610" t="s">
        <v>2487</v>
      </c>
      <c r="FU163" s="610" t="s">
        <v>2487</v>
      </c>
      <c r="FV163" s="610" t="s">
        <v>2487</v>
      </c>
      <c r="FW163" s="610" t="s">
        <v>2487</v>
      </c>
      <c r="FX163" s="610" t="s">
        <v>2487</v>
      </c>
      <c r="FY163" s="610" t="s">
        <v>2487</v>
      </c>
      <c r="FZ163" s="610" t="s">
        <v>2487</v>
      </c>
      <c r="GA163" s="610" t="s">
        <v>2487</v>
      </c>
      <c r="GB163" s="610" t="s">
        <v>2487</v>
      </c>
      <c r="GC163" s="610" t="s">
        <v>2487</v>
      </c>
      <c r="GD163" s="564">
        <f t="shared" si="33"/>
        <v>79950</v>
      </c>
      <c r="GE163" s="564">
        <f t="shared" si="34"/>
        <v>79950</v>
      </c>
      <c r="GF163" s="564">
        <f t="shared" si="35"/>
        <v>79950</v>
      </c>
      <c r="GG163" s="564">
        <f t="shared" si="36"/>
        <v>79950</v>
      </c>
      <c r="GH163" s="564">
        <f t="shared" si="37"/>
        <v>79950</v>
      </c>
      <c r="GI163" s="564">
        <f t="shared" si="38"/>
        <v>79950</v>
      </c>
      <c r="GJ163" s="564">
        <f t="shared" si="39"/>
        <v>79950</v>
      </c>
      <c r="GK163" s="564">
        <f t="shared" si="40"/>
        <v>79950</v>
      </c>
      <c r="GL163" s="564">
        <f t="shared" si="41"/>
        <v>79950</v>
      </c>
      <c r="GM163" s="564">
        <f t="shared" si="42"/>
        <v>79950</v>
      </c>
      <c r="GN163" s="564">
        <f t="shared" si="43"/>
        <v>79950</v>
      </c>
      <c r="GO163" s="564">
        <f t="shared" si="44"/>
        <v>79950</v>
      </c>
      <c r="GP163" s="564"/>
      <c r="GS163" s="375" t="s">
        <v>1836</v>
      </c>
      <c r="GT163" s="374" t="str">
        <f t="shared" si="31"/>
        <v>〇</v>
      </c>
    </row>
    <row r="164" spans="2:202">
      <c r="B164" s="371">
        <v>160</v>
      </c>
      <c r="C164" s="378">
        <v>160</v>
      </c>
      <c r="D164" s="373" t="s">
        <v>1837</v>
      </c>
      <c r="E164" s="373" t="s">
        <v>14</v>
      </c>
      <c r="F164" s="603">
        <f t="shared" si="45"/>
        <v>40</v>
      </c>
      <c r="G164" s="603"/>
      <c r="H164" s="609">
        <v>21</v>
      </c>
      <c r="I164" s="609">
        <v>19</v>
      </c>
      <c r="J164" s="603">
        <f t="shared" si="47"/>
        <v>0</v>
      </c>
      <c r="K164" s="603"/>
      <c r="L164" s="603"/>
      <c r="M164" s="603"/>
      <c r="N164" s="608"/>
      <c r="O164" s="603">
        <v>0</v>
      </c>
      <c r="P164" s="603">
        <v>0</v>
      </c>
      <c r="Q164" s="603">
        <v>0</v>
      </c>
      <c r="R164" s="603">
        <v>0</v>
      </c>
      <c r="S164" s="603">
        <v>0</v>
      </c>
      <c r="T164" s="603">
        <v>0</v>
      </c>
      <c r="U164" s="603">
        <v>0</v>
      </c>
      <c r="V164" s="603">
        <v>0</v>
      </c>
      <c r="W164" s="603">
        <v>0</v>
      </c>
      <c r="X164" s="603">
        <v>0</v>
      </c>
      <c r="Y164" s="603">
        <v>0</v>
      </c>
      <c r="Z164" s="603">
        <v>0</v>
      </c>
      <c r="AA164" s="603">
        <v>0</v>
      </c>
      <c r="AB164" s="603">
        <v>0</v>
      </c>
      <c r="AC164" s="603">
        <v>0</v>
      </c>
      <c r="AD164" s="603">
        <v>0</v>
      </c>
      <c r="AE164" s="603">
        <v>0</v>
      </c>
      <c r="AF164" s="603">
        <v>0</v>
      </c>
      <c r="AG164" s="603">
        <v>0</v>
      </c>
      <c r="AH164" s="603">
        <v>0</v>
      </c>
      <c r="AI164" s="603">
        <v>0</v>
      </c>
      <c r="AJ164" s="604"/>
      <c r="AK164" s="605" t="s">
        <v>1545</v>
      </c>
      <c r="AL164" s="605" t="s">
        <v>1545</v>
      </c>
      <c r="AM164" s="606"/>
      <c r="AN164" s="609"/>
      <c r="AO164" s="610" t="s">
        <v>2485</v>
      </c>
      <c r="AP164" s="610" t="s">
        <v>2485</v>
      </c>
      <c r="AQ164" s="610" t="s">
        <v>2485</v>
      </c>
      <c r="AR164" s="610" t="s">
        <v>2485</v>
      </c>
      <c r="AS164" s="610" t="s">
        <v>2485</v>
      </c>
      <c r="AT164" s="610" t="s">
        <v>2485</v>
      </c>
      <c r="AU164" s="610" t="s">
        <v>2485</v>
      </c>
      <c r="AV164" s="610" t="s">
        <v>2485</v>
      </c>
      <c r="AW164" s="610" t="s">
        <v>2485</v>
      </c>
      <c r="AX164" s="610" t="s">
        <v>2485</v>
      </c>
      <c r="AY164" s="610" t="s">
        <v>2485</v>
      </c>
      <c r="AZ164" s="610" t="s">
        <v>2485</v>
      </c>
      <c r="BA164" s="610" t="s">
        <v>1368</v>
      </c>
      <c r="BB164" s="610" t="s">
        <v>1368</v>
      </c>
      <c r="BC164" s="610" t="s">
        <v>1368</v>
      </c>
      <c r="BD164" s="610" t="s">
        <v>1368</v>
      </c>
      <c r="BE164" s="610" t="s">
        <v>1368</v>
      </c>
      <c r="BF164" s="610" t="s">
        <v>1368</v>
      </c>
      <c r="BG164" s="610" t="s">
        <v>1368</v>
      </c>
      <c r="BH164" s="610" t="s">
        <v>1368</v>
      </c>
      <c r="BI164" s="610" t="s">
        <v>1368</v>
      </c>
      <c r="BJ164" s="610" t="s">
        <v>1368</v>
      </c>
      <c r="BK164" s="610" t="s">
        <v>1368</v>
      </c>
      <c r="BL164" s="610" t="s">
        <v>1368</v>
      </c>
      <c r="BM164" s="610">
        <v>2</v>
      </c>
      <c r="BN164" s="610">
        <v>2</v>
      </c>
      <c r="BO164" s="610">
        <v>2</v>
      </c>
      <c r="BP164" s="610">
        <v>2</v>
      </c>
      <c r="BQ164" s="610">
        <v>3</v>
      </c>
      <c r="BR164" s="610">
        <v>3</v>
      </c>
      <c r="BS164" s="610">
        <v>3</v>
      </c>
      <c r="BT164" s="610">
        <v>3</v>
      </c>
      <c r="BU164" s="610">
        <v>3</v>
      </c>
      <c r="BV164" s="610">
        <v>3</v>
      </c>
      <c r="BW164" s="610">
        <v>3</v>
      </c>
      <c r="BX164" s="610">
        <v>3</v>
      </c>
      <c r="BY164" s="610">
        <v>0</v>
      </c>
      <c r="BZ164" s="610">
        <v>0</v>
      </c>
      <c r="CA164" s="610">
        <v>0</v>
      </c>
      <c r="CB164" s="610">
        <v>0</v>
      </c>
      <c r="CC164" s="610">
        <v>0</v>
      </c>
      <c r="CD164" s="610">
        <v>0</v>
      </c>
      <c r="CE164" s="610">
        <v>0</v>
      </c>
      <c r="CF164" s="610">
        <v>0</v>
      </c>
      <c r="CG164" s="610">
        <v>0</v>
      </c>
      <c r="CH164" s="610">
        <v>0</v>
      </c>
      <c r="CI164" s="610">
        <v>0</v>
      </c>
      <c r="CJ164" s="610">
        <v>0</v>
      </c>
      <c r="CK164" s="610">
        <v>0</v>
      </c>
      <c r="CL164" s="610">
        <v>0</v>
      </c>
      <c r="CM164" s="610">
        <v>0</v>
      </c>
      <c r="CN164" s="610">
        <v>0</v>
      </c>
      <c r="CO164" s="610">
        <v>0</v>
      </c>
      <c r="CP164" s="610">
        <v>0</v>
      </c>
      <c r="CQ164" s="610">
        <v>0</v>
      </c>
      <c r="CR164" s="610">
        <v>0</v>
      </c>
      <c r="CS164" s="610">
        <v>0</v>
      </c>
      <c r="CT164" s="610">
        <v>0</v>
      </c>
      <c r="CU164" s="610">
        <v>0</v>
      </c>
      <c r="CV164" s="610">
        <v>0</v>
      </c>
      <c r="CW164" s="610" t="s">
        <v>14</v>
      </c>
      <c r="CX164" s="610">
        <v>0</v>
      </c>
      <c r="CY164" s="610" t="s">
        <v>1707</v>
      </c>
      <c r="CZ164" s="610" t="s">
        <v>1707</v>
      </c>
      <c r="DA164" s="610" t="s">
        <v>1707</v>
      </c>
      <c r="DB164" s="610" t="s">
        <v>1707</v>
      </c>
      <c r="DC164" s="610" t="s">
        <v>1707</v>
      </c>
      <c r="DD164" s="610" t="s">
        <v>1707</v>
      </c>
      <c r="DE164" s="610" t="s">
        <v>1707</v>
      </c>
      <c r="DF164" s="610" t="s">
        <v>1707</v>
      </c>
      <c r="DG164" s="610" t="s">
        <v>1707</v>
      </c>
      <c r="DH164" s="610" t="s">
        <v>1707</v>
      </c>
      <c r="DI164" s="610" t="s">
        <v>1707</v>
      </c>
      <c r="DJ164" s="610" t="s">
        <v>1707</v>
      </c>
      <c r="DK164" s="610" t="s">
        <v>1368</v>
      </c>
      <c r="DL164" s="610" t="s">
        <v>1368</v>
      </c>
      <c r="DM164" s="610" t="s">
        <v>1368</v>
      </c>
      <c r="DN164" s="610" t="s">
        <v>1368</v>
      </c>
      <c r="DO164" s="610" t="s">
        <v>1368</v>
      </c>
      <c r="DP164" s="610" t="s">
        <v>1368</v>
      </c>
      <c r="DQ164" s="610" t="s">
        <v>1368</v>
      </c>
      <c r="DR164" s="610" t="s">
        <v>1368</v>
      </c>
      <c r="DS164" s="610" t="s">
        <v>1368</v>
      </c>
      <c r="DT164" s="610" t="s">
        <v>1368</v>
      </c>
      <c r="DU164" s="610" t="s">
        <v>1368</v>
      </c>
      <c r="DV164" s="610" t="s">
        <v>1368</v>
      </c>
      <c r="DW164" s="609" t="s">
        <v>1368</v>
      </c>
      <c r="DX164" s="609" t="s">
        <v>1368</v>
      </c>
      <c r="DY164" s="609" t="s">
        <v>1368</v>
      </c>
      <c r="DZ164" s="609" t="s">
        <v>1368</v>
      </c>
      <c r="EA164" s="609" t="s">
        <v>1368</v>
      </c>
      <c r="EB164" s="609" t="s">
        <v>1368</v>
      </c>
      <c r="EC164" s="609" t="s">
        <v>1368</v>
      </c>
      <c r="ED164" s="609" t="s">
        <v>1368</v>
      </c>
      <c r="EE164" s="609" t="s">
        <v>1368</v>
      </c>
      <c r="EF164" s="609" t="s">
        <v>1368</v>
      </c>
      <c r="EG164" s="609" t="s">
        <v>1368</v>
      </c>
      <c r="EH164" s="609" t="s">
        <v>1368</v>
      </c>
      <c r="EI164" s="610" t="s">
        <v>1707</v>
      </c>
      <c r="EJ164" s="610" t="s">
        <v>1707</v>
      </c>
      <c r="EK164" s="610" t="s">
        <v>1707</v>
      </c>
      <c r="EL164" s="610" t="s">
        <v>1707</v>
      </c>
      <c r="EM164" s="610" t="s">
        <v>1707</v>
      </c>
      <c r="EN164" s="610" t="s">
        <v>1707</v>
      </c>
      <c r="EO164" s="610" t="s">
        <v>1707</v>
      </c>
      <c r="EP164" s="610" t="s">
        <v>1707</v>
      </c>
      <c r="EQ164" s="610" t="s">
        <v>1707</v>
      </c>
      <c r="ER164" s="610" t="s">
        <v>1707</v>
      </c>
      <c r="ES164" s="610" t="s">
        <v>1707</v>
      </c>
      <c r="ET164" s="610" t="s">
        <v>1707</v>
      </c>
      <c r="EU164" s="610">
        <v>3950</v>
      </c>
      <c r="EV164" s="610" t="s">
        <v>1707</v>
      </c>
      <c r="EW164" s="610" t="s">
        <v>1707</v>
      </c>
      <c r="EX164" s="610" t="s">
        <v>1707</v>
      </c>
      <c r="EY164" s="610" t="s">
        <v>1707</v>
      </c>
      <c r="EZ164" s="610" t="s">
        <v>1707</v>
      </c>
      <c r="FA164" s="610" t="s">
        <v>1707</v>
      </c>
      <c r="FB164" s="610" t="s">
        <v>1707</v>
      </c>
      <c r="FC164" s="610" t="s">
        <v>1707</v>
      </c>
      <c r="FD164" s="610" t="s">
        <v>1707</v>
      </c>
      <c r="FE164" s="610" t="s">
        <v>1707</v>
      </c>
      <c r="FF164" s="610" t="s">
        <v>1707</v>
      </c>
      <c r="FG164" s="610" t="s">
        <v>1707</v>
      </c>
      <c r="FH164" s="610">
        <v>15</v>
      </c>
      <c r="FI164" s="610">
        <v>15</v>
      </c>
      <c r="FJ164" s="610">
        <v>15</v>
      </c>
      <c r="FK164" s="610">
        <v>15</v>
      </c>
      <c r="FL164" s="610">
        <v>14</v>
      </c>
      <c r="FM164" s="610">
        <v>14</v>
      </c>
      <c r="FN164" s="610">
        <v>13</v>
      </c>
      <c r="FO164" s="610">
        <v>13</v>
      </c>
      <c r="FP164" s="610">
        <v>13</v>
      </c>
      <c r="FQ164" s="610">
        <v>13</v>
      </c>
      <c r="FR164" s="610" t="s">
        <v>2487</v>
      </c>
      <c r="FS164" s="610" t="s">
        <v>2487</v>
      </c>
      <c r="FT164" s="610" t="s">
        <v>2487</v>
      </c>
      <c r="FU164" s="610" t="s">
        <v>2487</v>
      </c>
      <c r="FV164" s="610" t="s">
        <v>2487</v>
      </c>
      <c r="FW164" s="610" t="s">
        <v>2487</v>
      </c>
      <c r="FX164" s="610" t="s">
        <v>2487</v>
      </c>
      <c r="FY164" s="610" t="s">
        <v>2487</v>
      </c>
      <c r="FZ164" s="610" t="s">
        <v>2487</v>
      </c>
      <c r="GA164" s="610" t="s">
        <v>2487</v>
      </c>
      <c r="GB164" s="610" t="s">
        <v>2487</v>
      </c>
      <c r="GC164" s="610" t="s">
        <v>2487</v>
      </c>
      <c r="GD164" s="564">
        <f t="shared" si="33"/>
        <v>79950</v>
      </c>
      <c r="GE164" s="564">
        <f t="shared" si="34"/>
        <v>79950</v>
      </c>
      <c r="GF164" s="564">
        <f t="shared" si="35"/>
        <v>79950</v>
      </c>
      <c r="GG164" s="564">
        <f t="shared" si="36"/>
        <v>79950</v>
      </c>
      <c r="GH164" s="564">
        <f t="shared" si="37"/>
        <v>79950</v>
      </c>
      <c r="GI164" s="564">
        <f t="shared" si="38"/>
        <v>79950</v>
      </c>
      <c r="GJ164" s="564">
        <f t="shared" si="39"/>
        <v>79950</v>
      </c>
      <c r="GK164" s="564">
        <f t="shared" si="40"/>
        <v>79950</v>
      </c>
      <c r="GL164" s="564">
        <f t="shared" si="41"/>
        <v>79950</v>
      </c>
      <c r="GM164" s="564">
        <f t="shared" si="42"/>
        <v>79950</v>
      </c>
      <c r="GN164" s="564">
        <f t="shared" si="43"/>
        <v>79950</v>
      </c>
      <c r="GO164" s="564">
        <f t="shared" si="44"/>
        <v>79950</v>
      </c>
      <c r="GP164" s="564"/>
      <c r="GS164" s="375" t="s">
        <v>2118</v>
      </c>
      <c r="GT164" s="374" t="str">
        <f t="shared" si="31"/>
        <v>〇</v>
      </c>
    </row>
    <row r="165" spans="2:202">
      <c r="B165" s="371">
        <v>161</v>
      </c>
      <c r="C165" s="378">
        <v>161</v>
      </c>
      <c r="D165" s="373" t="s">
        <v>1912</v>
      </c>
      <c r="E165" s="373" t="s">
        <v>14</v>
      </c>
      <c r="F165" s="603">
        <f t="shared" si="45"/>
        <v>40</v>
      </c>
      <c r="G165" s="603"/>
      <c r="H165" s="603">
        <v>24</v>
      </c>
      <c r="I165" s="603">
        <v>16</v>
      </c>
      <c r="J165" s="603"/>
      <c r="K165" s="603"/>
      <c r="L165" s="603"/>
      <c r="M165" s="603"/>
      <c r="N165" s="608"/>
      <c r="O165" s="603">
        <v>1577000</v>
      </c>
      <c r="P165" s="603">
        <v>2721000</v>
      </c>
      <c r="Q165" s="603">
        <v>2721000</v>
      </c>
      <c r="R165" s="603">
        <v>1791000</v>
      </c>
      <c r="S165" s="603">
        <v>0</v>
      </c>
      <c r="T165" s="603">
        <v>0</v>
      </c>
      <c r="U165" s="603">
        <v>0</v>
      </c>
      <c r="V165" s="603">
        <v>1051000</v>
      </c>
      <c r="W165" s="603">
        <v>1814000</v>
      </c>
      <c r="X165" s="603">
        <v>1814000</v>
      </c>
      <c r="Y165" s="603">
        <v>1194000</v>
      </c>
      <c r="Z165" s="603">
        <v>0</v>
      </c>
      <c r="AA165" s="603">
        <v>0</v>
      </c>
      <c r="AB165" s="603">
        <v>0</v>
      </c>
      <c r="AC165" s="603">
        <v>526000</v>
      </c>
      <c r="AD165" s="603">
        <v>907000</v>
      </c>
      <c r="AE165" s="603">
        <v>907000</v>
      </c>
      <c r="AF165" s="603">
        <v>597000</v>
      </c>
      <c r="AG165" s="603">
        <v>0</v>
      </c>
      <c r="AH165" s="603">
        <v>0</v>
      </c>
      <c r="AI165" s="603">
        <v>0</v>
      </c>
      <c r="AJ165" s="604" t="s">
        <v>2377</v>
      </c>
      <c r="AK165" s="605" t="s">
        <v>2378</v>
      </c>
      <c r="AL165" s="605" t="s">
        <v>2490</v>
      </c>
      <c r="AM165" s="606" t="s">
        <v>2425</v>
      </c>
      <c r="AN165" s="609"/>
      <c r="AO165" s="610" t="s">
        <v>1368</v>
      </c>
      <c r="AP165" s="610" t="s">
        <v>1368</v>
      </c>
      <c r="AQ165" s="610" t="s">
        <v>1368</v>
      </c>
      <c r="AR165" s="610" t="s">
        <v>1368</v>
      </c>
      <c r="AS165" s="610" t="s">
        <v>1368</v>
      </c>
      <c r="AT165" s="610" t="s">
        <v>1368</v>
      </c>
      <c r="AU165" s="610" t="s">
        <v>1368</v>
      </c>
      <c r="AV165" s="610" t="s">
        <v>1368</v>
      </c>
      <c r="AW165" s="610" t="s">
        <v>1368</v>
      </c>
      <c r="AX165" s="610" t="s">
        <v>1368</v>
      </c>
      <c r="AY165" s="610" t="s">
        <v>1368</v>
      </c>
      <c r="AZ165" s="610" t="s">
        <v>1368</v>
      </c>
      <c r="BA165" s="610" t="s">
        <v>1368</v>
      </c>
      <c r="BB165" s="610" t="s">
        <v>1368</v>
      </c>
      <c r="BC165" s="610" t="s">
        <v>1368</v>
      </c>
      <c r="BD165" s="610" t="s">
        <v>1368</v>
      </c>
      <c r="BE165" s="610" t="s">
        <v>1368</v>
      </c>
      <c r="BF165" s="610" t="s">
        <v>1368</v>
      </c>
      <c r="BG165" s="610" t="s">
        <v>1368</v>
      </c>
      <c r="BH165" s="610" t="s">
        <v>1368</v>
      </c>
      <c r="BI165" s="610" t="s">
        <v>1368</v>
      </c>
      <c r="BJ165" s="610" t="s">
        <v>1368</v>
      </c>
      <c r="BK165" s="610" t="s">
        <v>1368</v>
      </c>
      <c r="BL165" s="610" t="s">
        <v>1368</v>
      </c>
      <c r="BM165" s="610">
        <v>0</v>
      </c>
      <c r="BN165" s="610">
        <v>0</v>
      </c>
      <c r="BO165" s="610">
        <v>0</v>
      </c>
      <c r="BP165" s="610">
        <v>0</v>
      </c>
      <c r="BQ165" s="610">
        <v>0</v>
      </c>
      <c r="BR165" s="610">
        <v>0</v>
      </c>
      <c r="BS165" s="610">
        <v>0</v>
      </c>
      <c r="BT165" s="610">
        <v>0</v>
      </c>
      <c r="BU165" s="610">
        <v>0</v>
      </c>
      <c r="BV165" s="610">
        <v>0</v>
      </c>
      <c r="BW165" s="610">
        <v>0</v>
      </c>
      <c r="BX165" s="610">
        <v>0</v>
      </c>
      <c r="BY165" s="610">
        <v>0</v>
      </c>
      <c r="BZ165" s="610">
        <v>0</v>
      </c>
      <c r="CA165" s="610">
        <v>0</v>
      </c>
      <c r="CB165" s="610">
        <v>0</v>
      </c>
      <c r="CC165" s="610">
        <v>0</v>
      </c>
      <c r="CD165" s="610">
        <v>0</v>
      </c>
      <c r="CE165" s="610">
        <v>0</v>
      </c>
      <c r="CF165" s="610">
        <v>0</v>
      </c>
      <c r="CG165" s="610">
        <v>0</v>
      </c>
      <c r="CH165" s="610">
        <v>0</v>
      </c>
      <c r="CI165" s="610">
        <v>0</v>
      </c>
      <c r="CJ165" s="610">
        <v>0</v>
      </c>
      <c r="CK165" s="610">
        <v>0</v>
      </c>
      <c r="CL165" s="610">
        <v>0</v>
      </c>
      <c r="CM165" s="610">
        <v>0</v>
      </c>
      <c r="CN165" s="610">
        <v>0</v>
      </c>
      <c r="CO165" s="610">
        <v>0</v>
      </c>
      <c r="CP165" s="610">
        <v>0</v>
      </c>
      <c r="CQ165" s="610">
        <v>0</v>
      </c>
      <c r="CR165" s="610">
        <v>0</v>
      </c>
      <c r="CS165" s="610">
        <v>0</v>
      </c>
      <c r="CT165" s="610">
        <v>0</v>
      </c>
      <c r="CU165" s="610">
        <v>0</v>
      </c>
      <c r="CV165" s="610">
        <v>0</v>
      </c>
      <c r="CW165" s="610" t="s">
        <v>14</v>
      </c>
      <c r="CX165" s="610">
        <v>0</v>
      </c>
      <c r="CY165" s="610" t="s">
        <v>2449</v>
      </c>
      <c r="CZ165" s="610" t="s">
        <v>2449</v>
      </c>
      <c r="DA165" s="610" t="s">
        <v>2449</v>
      </c>
      <c r="DB165" s="610" t="s">
        <v>1707</v>
      </c>
      <c r="DC165" s="610" t="s">
        <v>1707</v>
      </c>
      <c r="DD165" s="610" t="s">
        <v>1707</v>
      </c>
      <c r="DE165" s="610" t="s">
        <v>1707</v>
      </c>
      <c r="DF165" s="610" t="s">
        <v>1707</v>
      </c>
      <c r="DG165" s="610" t="s">
        <v>1707</v>
      </c>
      <c r="DH165" s="610" t="s">
        <v>1707</v>
      </c>
      <c r="DI165" s="610" t="s">
        <v>1707</v>
      </c>
      <c r="DJ165" s="610" t="s">
        <v>1707</v>
      </c>
      <c r="DK165" s="610" t="s">
        <v>1368</v>
      </c>
      <c r="DL165" s="610" t="s">
        <v>1368</v>
      </c>
      <c r="DM165" s="610" t="s">
        <v>1368</v>
      </c>
      <c r="DN165" s="610" t="s">
        <v>1368</v>
      </c>
      <c r="DO165" s="610" t="s">
        <v>1368</v>
      </c>
      <c r="DP165" s="610" t="s">
        <v>1368</v>
      </c>
      <c r="DQ165" s="610" t="s">
        <v>1368</v>
      </c>
      <c r="DR165" s="610" t="s">
        <v>1368</v>
      </c>
      <c r="DS165" s="610" t="s">
        <v>1368</v>
      </c>
      <c r="DT165" s="610" t="s">
        <v>1368</v>
      </c>
      <c r="DU165" s="610" t="s">
        <v>1368</v>
      </c>
      <c r="DV165" s="610" t="s">
        <v>1368</v>
      </c>
      <c r="DW165" s="609" t="s">
        <v>1368</v>
      </c>
      <c r="DX165" s="609" t="s">
        <v>1368</v>
      </c>
      <c r="DY165" s="609" t="s">
        <v>1368</v>
      </c>
      <c r="DZ165" s="609" t="s">
        <v>1368</v>
      </c>
      <c r="EA165" s="609" t="s">
        <v>1368</v>
      </c>
      <c r="EB165" s="609" t="s">
        <v>1368</v>
      </c>
      <c r="EC165" s="609" t="s">
        <v>1368</v>
      </c>
      <c r="ED165" s="609" t="s">
        <v>1368</v>
      </c>
      <c r="EE165" s="609" t="s">
        <v>1368</v>
      </c>
      <c r="EF165" s="609" t="s">
        <v>1368</v>
      </c>
      <c r="EG165" s="609" t="s">
        <v>1368</v>
      </c>
      <c r="EH165" s="609" t="s">
        <v>1368</v>
      </c>
      <c r="EI165" s="610" t="s">
        <v>1707</v>
      </c>
      <c r="EJ165" s="610" t="s">
        <v>1707</v>
      </c>
      <c r="EK165" s="610" t="s">
        <v>1707</v>
      </c>
      <c r="EL165" s="610" t="s">
        <v>1707</v>
      </c>
      <c r="EM165" s="610" t="s">
        <v>1707</v>
      </c>
      <c r="EN165" s="610" t="s">
        <v>1707</v>
      </c>
      <c r="EO165" s="610" t="s">
        <v>1707</v>
      </c>
      <c r="EP165" s="610" t="s">
        <v>1707</v>
      </c>
      <c r="EQ165" s="610" t="s">
        <v>1707</v>
      </c>
      <c r="ER165" s="610" t="s">
        <v>1707</v>
      </c>
      <c r="ES165" s="610" t="s">
        <v>1707</v>
      </c>
      <c r="ET165" s="610" t="s">
        <v>1707</v>
      </c>
      <c r="EU165" s="610">
        <v>3980</v>
      </c>
      <c r="EV165" s="610" t="s">
        <v>1707</v>
      </c>
      <c r="EW165" s="610" t="s">
        <v>1707</v>
      </c>
      <c r="EX165" s="610" t="s">
        <v>1707</v>
      </c>
      <c r="EY165" s="610" t="s">
        <v>1707</v>
      </c>
      <c r="EZ165" s="610" t="s">
        <v>1707</v>
      </c>
      <c r="FA165" s="610" t="s">
        <v>1707</v>
      </c>
      <c r="FB165" s="610" t="s">
        <v>1707</v>
      </c>
      <c r="FC165" s="610" t="s">
        <v>1707</v>
      </c>
      <c r="FD165" s="610" t="s">
        <v>1707</v>
      </c>
      <c r="FE165" s="610" t="s">
        <v>1707</v>
      </c>
      <c r="FF165" s="610" t="s">
        <v>1707</v>
      </c>
      <c r="FG165" s="610" t="s">
        <v>1707</v>
      </c>
      <c r="FH165" s="610">
        <v>15</v>
      </c>
      <c r="FI165" s="610">
        <v>15</v>
      </c>
      <c r="FJ165" s="610">
        <v>15</v>
      </c>
      <c r="FK165" s="610">
        <v>14</v>
      </c>
      <c r="FL165" s="610">
        <v>14</v>
      </c>
      <c r="FM165" s="610">
        <v>14</v>
      </c>
      <c r="FN165" s="610">
        <v>15</v>
      </c>
      <c r="FO165" s="610">
        <v>15</v>
      </c>
      <c r="FP165" s="610">
        <v>16</v>
      </c>
      <c r="FQ165" s="610">
        <v>16</v>
      </c>
      <c r="FR165" s="610" t="s">
        <v>2487</v>
      </c>
      <c r="FS165" s="610" t="s">
        <v>2487</v>
      </c>
      <c r="FT165" s="610" t="s">
        <v>2487</v>
      </c>
      <c r="FU165" s="610" t="s">
        <v>2487</v>
      </c>
      <c r="FV165" s="610" t="s">
        <v>2487</v>
      </c>
      <c r="FW165" s="610" t="s">
        <v>2487</v>
      </c>
      <c r="FX165" s="610" t="s">
        <v>2487</v>
      </c>
      <c r="FY165" s="610" t="s">
        <v>2487</v>
      </c>
      <c r="FZ165" s="610" t="s">
        <v>2487</v>
      </c>
      <c r="GA165" s="610" t="s">
        <v>2487</v>
      </c>
      <c r="GB165" s="610" t="s">
        <v>2487</v>
      </c>
      <c r="GC165" s="610" t="s">
        <v>2487</v>
      </c>
      <c r="GD165" s="564">
        <f t="shared" si="33"/>
        <v>79950</v>
      </c>
      <c r="GE165" s="564">
        <f t="shared" si="34"/>
        <v>79950</v>
      </c>
      <c r="GF165" s="564">
        <f t="shared" si="35"/>
        <v>79950</v>
      </c>
      <c r="GG165" s="564">
        <f t="shared" si="36"/>
        <v>79950</v>
      </c>
      <c r="GH165" s="564">
        <f t="shared" si="37"/>
        <v>79950</v>
      </c>
      <c r="GI165" s="564">
        <f t="shared" si="38"/>
        <v>79950</v>
      </c>
      <c r="GJ165" s="564">
        <f t="shared" si="39"/>
        <v>79950</v>
      </c>
      <c r="GK165" s="564">
        <f t="shared" si="40"/>
        <v>79950</v>
      </c>
      <c r="GL165" s="564">
        <f t="shared" si="41"/>
        <v>79950</v>
      </c>
      <c r="GM165" s="564">
        <f t="shared" si="42"/>
        <v>79950</v>
      </c>
      <c r="GN165" s="564">
        <f t="shared" si="43"/>
        <v>79950</v>
      </c>
      <c r="GO165" s="564">
        <f t="shared" si="44"/>
        <v>79950</v>
      </c>
      <c r="GP165" s="564"/>
      <c r="GS165" s="375" t="s">
        <v>1912</v>
      </c>
      <c r="GT165" s="374" t="str">
        <f t="shared" ref="GT165:GT174" si="48">IF(D165=GS165,"〇","✕")</f>
        <v>〇</v>
      </c>
    </row>
    <row r="166" spans="2:202">
      <c r="B166" s="371">
        <v>162</v>
      </c>
      <c r="C166" s="378">
        <v>162</v>
      </c>
      <c r="D166" s="373" t="s">
        <v>1913</v>
      </c>
      <c r="E166" s="373" t="s">
        <v>14</v>
      </c>
      <c r="F166" s="603">
        <f t="shared" si="45"/>
        <v>30</v>
      </c>
      <c r="G166" s="603"/>
      <c r="H166" s="603">
        <v>17</v>
      </c>
      <c r="I166" s="603">
        <v>13</v>
      </c>
      <c r="J166" s="603"/>
      <c r="K166" s="603"/>
      <c r="L166" s="603"/>
      <c r="M166" s="603"/>
      <c r="N166" s="608"/>
      <c r="O166" s="603">
        <v>1577000</v>
      </c>
      <c r="P166" s="603">
        <v>2721000</v>
      </c>
      <c r="Q166" s="603">
        <v>2721000</v>
      </c>
      <c r="R166" s="603">
        <v>1791000</v>
      </c>
      <c r="S166" s="603">
        <v>0</v>
      </c>
      <c r="T166" s="603">
        <v>0</v>
      </c>
      <c r="U166" s="603">
        <v>0</v>
      </c>
      <c r="V166" s="603">
        <v>1051000</v>
      </c>
      <c r="W166" s="603">
        <v>1814000</v>
      </c>
      <c r="X166" s="603">
        <v>1814000</v>
      </c>
      <c r="Y166" s="603">
        <v>1194000</v>
      </c>
      <c r="Z166" s="603">
        <v>0</v>
      </c>
      <c r="AA166" s="603">
        <v>0</v>
      </c>
      <c r="AB166" s="603">
        <v>0</v>
      </c>
      <c r="AC166" s="603">
        <v>0</v>
      </c>
      <c r="AD166" s="603">
        <v>0</v>
      </c>
      <c r="AE166" s="603">
        <v>0</v>
      </c>
      <c r="AF166" s="603">
        <v>0</v>
      </c>
      <c r="AG166" s="603">
        <v>0</v>
      </c>
      <c r="AH166" s="603">
        <v>0</v>
      </c>
      <c r="AI166" s="603">
        <v>0</v>
      </c>
      <c r="AJ166" s="604" t="s">
        <v>2377</v>
      </c>
      <c r="AK166" s="605" t="s">
        <v>2378</v>
      </c>
      <c r="AL166" s="605" t="s">
        <v>1545</v>
      </c>
      <c r="AM166" s="606" t="s">
        <v>2426</v>
      </c>
      <c r="AN166" s="609"/>
      <c r="AO166" s="610" t="s">
        <v>1368</v>
      </c>
      <c r="AP166" s="610" t="s">
        <v>1368</v>
      </c>
      <c r="AQ166" s="610" t="s">
        <v>1368</v>
      </c>
      <c r="AR166" s="610" t="s">
        <v>1368</v>
      </c>
      <c r="AS166" s="610" t="s">
        <v>1368</v>
      </c>
      <c r="AT166" s="610" t="s">
        <v>1368</v>
      </c>
      <c r="AU166" s="610" t="s">
        <v>1368</v>
      </c>
      <c r="AV166" s="610" t="s">
        <v>1368</v>
      </c>
      <c r="AW166" s="610" t="s">
        <v>1368</v>
      </c>
      <c r="AX166" s="610" t="s">
        <v>1368</v>
      </c>
      <c r="AY166" s="610" t="s">
        <v>1368</v>
      </c>
      <c r="AZ166" s="610" t="s">
        <v>1368</v>
      </c>
      <c r="BA166" s="610" t="s">
        <v>1368</v>
      </c>
      <c r="BB166" s="610" t="s">
        <v>1368</v>
      </c>
      <c r="BC166" s="610" t="s">
        <v>1368</v>
      </c>
      <c r="BD166" s="610" t="s">
        <v>1368</v>
      </c>
      <c r="BE166" s="610" t="s">
        <v>1368</v>
      </c>
      <c r="BF166" s="610" t="s">
        <v>1368</v>
      </c>
      <c r="BG166" s="610" t="s">
        <v>1368</v>
      </c>
      <c r="BH166" s="610" t="s">
        <v>1368</v>
      </c>
      <c r="BI166" s="610" t="s">
        <v>1368</v>
      </c>
      <c r="BJ166" s="610" t="s">
        <v>1368</v>
      </c>
      <c r="BK166" s="610" t="s">
        <v>1368</v>
      </c>
      <c r="BL166" s="610" t="s">
        <v>1368</v>
      </c>
      <c r="BM166" s="610">
        <v>0</v>
      </c>
      <c r="BN166" s="610">
        <v>0</v>
      </c>
      <c r="BO166" s="610">
        <v>0</v>
      </c>
      <c r="BP166" s="610">
        <v>0</v>
      </c>
      <c r="BQ166" s="610">
        <v>0</v>
      </c>
      <c r="BR166" s="610">
        <v>0</v>
      </c>
      <c r="BS166" s="610">
        <v>0</v>
      </c>
      <c r="BT166" s="610">
        <v>0</v>
      </c>
      <c r="BU166" s="610">
        <v>0</v>
      </c>
      <c r="BV166" s="610">
        <v>0</v>
      </c>
      <c r="BW166" s="610">
        <v>0</v>
      </c>
      <c r="BX166" s="610">
        <v>0</v>
      </c>
      <c r="BY166" s="610">
        <v>0</v>
      </c>
      <c r="BZ166" s="610">
        <v>0</v>
      </c>
      <c r="CA166" s="610">
        <v>0</v>
      </c>
      <c r="CB166" s="610">
        <v>0</v>
      </c>
      <c r="CC166" s="610">
        <v>0</v>
      </c>
      <c r="CD166" s="610">
        <v>0</v>
      </c>
      <c r="CE166" s="610">
        <v>0</v>
      </c>
      <c r="CF166" s="610">
        <v>0</v>
      </c>
      <c r="CG166" s="610">
        <v>0</v>
      </c>
      <c r="CH166" s="610">
        <v>0</v>
      </c>
      <c r="CI166" s="610">
        <v>0</v>
      </c>
      <c r="CJ166" s="610">
        <v>0</v>
      </c>
      <c r="CK166" s="610">
        <v>0</v>
      </c>
      <c r="CL166" s="610">
        <v>0</v>
      </c>
      <c r="CM166" s="610">
        <v>0</v>
      </c>
      <c r="CN166" s="610">
        <v>0</v>
      </c>
      <c r="CO166" s="610">
        <v>0</v>
      </c>
      <c r="CP166" s="610">
        <v>0</v>
      </c>
      <c r="CQ166" s="610">
        <v>0</v>
      </c>
      <c r="CR166" s="610">
        <v>0</v>
      </c>
      <c r="CS166" s="610">
        <v>0</v>
      </c>
      <c r="CT166" s="610">
        <v>0</v>
      </c>
      <c r="CU166" s="610">
        <v>0</v>
      </c>
      <c r="CV166" s="610">
        <v>0</v>
      </c>
      <c r="CW166" s="610" t="s">
        <v>14</v>
      </c>
      <c r="CX166" s="610">
        <v>0</v>
      </c>
      <c r="CY166" s="610" t="s">
        <v>1707</v>
      </c>
      <c r="CZ166" s="610" t="s">
        <v>1707</v>
      </c>
      <c r="DA166" s="610" t="s">
        <v>1707</v>
      </c>
      <c r="DB166" s="610" t="s">
        <v>1707</v>
      </c>
      <c r="DC166" s="610" t="s">
        <v>1707</v>
      </c>
      <c r="DD166" s="610" t="s">
        <v>1707</v>
      </c>
      <c r="DE166" s="610" t="s">
        <v>1707</v>
      </c>
      <c r="DF166" s="610" t="s">
        <v>1707</v>
      </c>
      <c r="DG166" s="610" t="s">
        <v>1707</v>
      </c>
      <c r="DH166" s="610" t="s">
        <v>1707</v>
      </c>
      <c r="DI166" s="610" t="s">
        <v>1707</v>
      </c>
      <c r="DJ166" s="610" t="s">
        <v>1707</v>
      </c>
      <c r="DK166" s="610" t="s">
        <v>1368</v>
      </c>
      <c r="DL166" s="610" t="s">
        <v>1368</v>
      </c>
      <c r="DM166" s="610" t="s">
        <v>1368</v>
      </c>
      <c r="DN166" s="610" t="s">
        <v>1368</v>
      </c>
      <c r="DO166" s="610" t="s">
        <v>1368</v>
      </c>
      <c r="DP166" s="610" t="s">
        <v>1368</v>
      </c>
      <c r="DQ166" s="610" t="s">
        <v>1368</v>
      </c>
      <c r="DR166" s="610" t="s">
        <v>1368</v>
      </c>
      <c r="DS166" s="610" t="s">
        <v>1368</v>
      </c>
      <c r="DT166" s="610" t="s">
        <v>1368</v>
      </c>
      <c r="DU166" s="610" t="s">
        <v>1368</v>
      </c>
      <c r="DV166" s="610" t="s">
        <v>1368</v>
      </c>
      <c r="DW166" s="609" t="s">
        <v>1368</v>
      </c>
      <c r="DX166" s="609" t="s">
        <v>1368</v>
      </c>
      <c r="DY166" s="609" t="s">
        <v>1368</v>
      </c>
      <c r="DZ166" s="609" t="s">
        <v>1368</v>
      </c>
      <c r="EA166" s="609" t="s">
        <v>1368</v>
      </c>
      <c r="EB166" s="609" t="s">
        <v>1368</v>
      </c>
      <c r="EC166" s="609" t="s">
        <v>1368</v>
      </c>
      <c r="ED166" s="609" t="s">
        <v>1368</v>
      </c>
      <c r="EE166" s="609" t="s">
        <v>1368</v>
      </c>
      <c r="EF166" s="609" t="s">
        <v>1368</v>
      </c>
      <c r="EG166" s="609" t="s">
        <v>1368</v>
      </c>
      <c r="EH166" s="609" t="s">
        <v>1368</v>
      </c>
      <c r="EI166" s="610" t="s">
        <v>1707</v>
      </c>
      <c r="EJ166" s="610" t="s">
        <v>1707</v>
      </c>
      <c r="EK166" s="610" t="s">
        <v>1707</v>
      </c>
      <c r="EL166" s="610" t="s">
        <v>1707</v>
      </c>
      <c r="EM166" s="610" t="s">
        <v>1707</v>
      </c>
      <c r="EN166" s="610" t="s">
        <v>1707</v>
      </c>
      <c r="EO166" s="610" t="s">
        <v>1707</v>
      </c>
      <c r="EP166" s="610" t="s">
        <v>1707</v>
      </c>
      <c r="EQ166" s="610" t="s">
        <v>1707</v>
      </c>
      <c r="ER166" s="610" t="s">
        <v>1707</v>
      </c>
      <c r="ES166" s="610" t="s">
        <v>1707</v>
      </c>
      <c r="ET166" s="610" t="s">
        <v>1707</v>
      </c>
      <c r="EU166" s="610">
        <v>4070</v>
      </c>
      <c r="EV166" s="610" t="s">
        <v>1707</v>
      </c>
      <c r="EW166" s="610" t="s">
        <v>1707</v>
      </c>
      <c r="EX166" s="610" t="s">
        <v>1707</v>
      </c>
      <c r="EY166" s="610" t="s">
        <v>1707</v>
      </c>
      <c r="EZ166" s="610" t="s">
        <v>1707</v>
      </c>
      <c r="FA166" s="610" t="s">
        <v>1707</v>
      </c>
      <c r="FB166" s="610" t="s">
        <v>1707</v>
      </c>
      <c r="FC166" s="610" t="s">
        <v>1707</v>
      </c>
      <c r="FD166" s="610" t="s">
        <v>1707</v>
      </c>
      <c r="FE166" s="610" t="s">
        <v>1707</v>
      </c>
      <c r="FF166" s="610" t="s">
        <v>1707</v>
      </c>
      <c r="FG166" s="610" t="s">
        <v>1707</v>
      </c>
      <c r="FH166" s="610">
        <v>8</v>
      </c>
      <c r="FI166" s="610">
        <v>7</v>
      </c>
      <c r="FJ166" s="610">
        <v>8</v>
      </c>
      <c r="FK166" s="610">
        <v>8</v>
      </c>
      <c r="FL166" s="610">
        <v>8</v>
      </c>
      <c r="FM166" s="610">
        <v>8</v>
      </c>
      <c r="FN166" s="610">
        <v>8</v>
      </c>
      <c r="FO166" s="610">
        <v>8</v>
      </c>
      <c r="FP166" s="610">
        <v>8</v>
      </c>
      <c r="FQ166" s="610">
        <v>8</v>
      </c>
      <c r="FR166" s="610" t="s">
        <v>2487</v>
      </c>
      <c r="FS166" s="610" t="s">
        <v>2487</v>
      </c>
      <c r="FT166" s="610" t="s">
        <v>2487</v>
      </c>
      <c r="FU166" s="610" t="s">
        <v>2487</v>
      </c>
      <c r="FV166" s="610" t="s">
        <v>2487</v>
      </c>
      <c r="FW166" s="610" t="s">
        <v>2487</v>
      </c>
      <c r="FX166" s="610" t="s">
        <v>2487</v>
      </c>
      <c r="FY166" s="610" t="s">
        <v>2487</v>
      </c>
      <c r="FZ166" s="610" t="s">
        <v>2487</v>
      </c>
      <c r="GA166" s="610" t="s">
        <v>2487</v>
      </c>
      <c r="GB166" s="610" t="s">
        <v>2487</v>
      </c>
      <c r="GC166" s="610" t="s">
        <v>2487</v>
      </c>
      <c r="GD166" s="564">
        <f t="shared" si="33"/>
        <v>79950</v>
      </c>
      <c r="GE166" s="564">
        <f t="shared" si="34"/>
        <v>79950</v>
      </c>
      <c r="GF166" s="564">
        <f t="shared" si="35"/>
        <v>79950</v>
      </c>
      <c r="GG166" s="564">
        <f t="shared" si="36"/>
        <v>79950</v>
      </c>
      <c r="GH166" s="564">
        <f t="shared" si="37"/>
        <v>79950</v>
      </c>
      <c r="GI166" s="564">
        <f t="shared" si="38"/>
        <v>79950</v>
      </c>
      <c r="GJ166" s="564">
        <f t="shared" si="39"/>
        <v>79950</v>
      </c>
      <c r="GK166" s="564">
        <f t="shared" si="40"/>
        <v>79950</v>
      </c>
      <c r="GL166" s="564">
        <f t="shared" si="41"/>
        <v>79950</v>
      </c>
      <c r="GM166" s="564">
        <f t="shared" si="42"/>
        <v>79950</v>
      </c>
      <c r="GN166" s="564">
        <f t="shared" si="43"/>
        <v>79950</v>
      </c>
      <c r="GO166" s="564">
        <f t="shared" si="44"/>
        <v>79950</v>
      </c>
      <c r="GP166" s="564"/>
      <c r="GS166" s="375" t="s">
        <v>1913</v>
      </c>
      <c r="GT166" s="374" t="str">
        <f t="shared" si="48"/>
        <v>〇</v>
      </c>
    </row>
    <row r="167" spans="2:202">
      <c r="B167" s="371">
        <v>163</v>
      </c>
      <c r="C167" s="378">
        <v>163</v>
      </c>
      <c r="D167" s="373" t="s">
        <v>1915</v>
      </c>
      <c r="E167" s="373" t="s">
        <v>14</v>
      </c>
      <c r="F167" s="603">
        <f t="shared" si="45"/>
        <v>59</v>
      </c>
      <c r="G167" s="603"/>
      <c r="H167" s="565">
        <v>33</v>
      </c>
      <c r="I167" s="565">
        <v>26</v>
      </c>
      <c r="J167" s="603"/>
      <c r="K167" s="603"/>
      <c r="L167" s="603"/>
      <c r="M167" s="603"/>
      <c r="N167" s="608"/>
      <c r="O167" s="603">
        <v>1577000</v>
      </c>
      <c r="P167" s="603">
        <v>2721000</v>
      </c>
      <c r="Q167" s="603">
        <v>2721000</v>
      </c>
      <c r="R167" s="603">
        <v>0</v>
      </c>
      <c r="S167" s="603">
        <v>0</v>
      </c>
      <c r="T167" s="603">
        <v>2181000</v>
      </c>
      <c r="U167" s="603">
        <v>0</v>
      </c>
      <c r="V167" s="603">
        <v>1051000</v>
      </c>
      <c r="W167" s="603">
        <v>1814000</v>
      </c>
      <c r="X167" s="603">
        <v>1814000</v>
      </c>
      <c r="Y167" s="603">
        <v>0</v>
      </c>
      <c r="Z167" s="603">
        <v>0</v>
      </c>
      <c r="AA167" s="603">
        <v>1454000</v>
      </c>
      <c r="AB167" s="603">
        <v>0</v>
      </c>
      <c r="AC167" s="603">
        <v>526000</v>
      </c>
      <c r="AD167" s="603">
        <v>907000</v>
      </c>
      <c r="AE167" s="603">
        <v>907000</v>
      </c>
      <c r="AF167" s="603">
        <v>0</v>
      </c>
      <c r="AG167" s="603">
        <v>0</v>
      </c>
      <c r="AH167" s="603">
        <v>727000</v>
      </c>
      <c r="AI167" s="603">
        <v>0</v>
      </c>
      <c r="AJ167" s="604" t="s">
        <v>2377</v>
      </c>
      <c r="AK167" s="605" t="s">
        <v>2378</v>
      </c>
      <c r="AL167" s="605" t="s">
        <v>2490</v>
      </c>
      <c r="AM167" s="606" t="s">
        <v>2427</v>
      </c>
      <c r="AN167" s="609"/>
      <c r="AO167" s="610" t="s">
        <v>1368</v>
      </c>
      <c r="AP167" s="610" t="s">
        <v>1368</v>
      </c>
      <c r="AQ167" s="610" t="s">
        <v>1368</v>
      </c>
      <c r="AR167" s="610" t="s">
        <v>1368</v>
      </c>
      <c r="AS167" s="610" t="s">
        <v>1368</v>
      </c>
      <c r="AT167" s="610" t="s">
        <v>1368</v>
      </c>
      <c r="AU167" s="610" t="s">
        <v>1368</v>
      </c>
      <c r="AV167" s="610" t="s">
        <v>1368</v>
      </c>
      <c r="AW167" s="610" t="s">
        <v>1368</v>
      </c>
      <c r="AX167" s="610" t="s">
        <v>1368</v>
      </c>
      <c r="AY167" s="610" t="s">
        <v>1368</v>
      </c>
      <c r="AZ167" s="610" t="s">
        <v>1368</v>
      </c>
      <c r="BA167" s="610" t="s">
        <v>1368</v>
      </c>
      <c r="BB167" s="610" t="s">
        <v>1368</v>
      </c>
      <c r="BC167" s="610" t="s">
        <v>1368</v>
      </c>
      <c r="BD167" s="610" t="s">
        <v>1368</v>
      </c>
      <c r="BE167" s="610" t="s">
        <v>1368</v>
      </c>
      <c r="BF167" s="610" t="s">
        <v>1368</v>
      </c>
      <c r="BG167" s="610" t="s">
        <v>1368</v>
      </c>
      <c r="BH167" s="610" t="s">
        <v>1368</v>
      </c>
      <c r="BI167" s="610" t="s">
        <v>1368</v>
      </c>
      <c r="BJ167" s="610" t="s">
        <v>1368</v>
      </c>
      <c r="BK167" s="610" t="s">
        <v>1368</v>
      </c>
      <c r="BL167" s="610" t="s">
        <v>1368</v>
      </c>
      <c r="BM167" s="610">
        <v>1</v>
      </c>
      <c r="BN167" s="610">
        <v>1</v>
      </c>
      <c r="BO167" s="610">
        <v>1</v>
      </c>
      <c r="BP167" s="610">
        <v>1</v>
      </c>
      <c r="BQ167" s="610">
        <v>2</v>
      </c>
      <c r="BR167" s="610">
        <v>2</v>
      </c>
      <c r="BS167" s="610">
        <v>2</v>
      </c>
      <c r="BT167" s="610">
        <v>2</v>
      </c>
      <c r="BU167" s="610">
        <v>2</v>
      </c>
      <c r="BV167" s="610">
        <v>2</v>
      </c>
      <c r="BW167" s="610">
        <v>2</v>
      </c>
      <c r="BX167" s="610">
        <v>2</v>
      </c>
      <c r="BY167" s="610">
        <v>0</v>
      </c>
      <c r="BZ167" s="610">
        <v>0</v>
      </c>
      <c r="CA167" s="610">
        <v>0</v>
      </c>
      <c r="CB167" s="610">
        <v>0</v>
      </c>
      <c r="CC167" s="610">
        <v>0</v>
      </c>
      <c r="CD167" s="610">
        <v>0</v>
      </c>
      <c r="CE167" s="610">
        <v>0</v>
      </c>
      <c r="CF167" s="610">
        <v>0</v>
      </c>
      <c r="CG167" s="610">
        <v>0</v>
      </c>
      <c r="CH167" s="610">
        <v>0</v>
      </c>
      <c r="CI167" s="610">
        <v>0</v>
      </c>
      <c r="CJ167" s="610">
        <v>0</v>
      </c>
      <c r="CK167" s="610">
        <v>0</v>
      </c>
      <c r="CL167" s="610">
        <v>0</v>
      </c>
      <c r="CM167" s="610">
        <v>0</v>
      </c>
      <c r="CN167" s="610">
        <v>0</v>
      </c>
      <c r="CO167" s="610">
        <v>0</v>
      </c>
      <c r="CP167" s="610">
        <v>0</v>
      </c>
      <c r="CQ167" s="610">
        <v>0</v>
      </c>
      <c r="CR167" s="610">
        <v>0</v>
      </c>
      <c r="CS167" s="610">
        <v>0</v>
      </c>
      <c r="CT167" s="610">
        <v>0</v>
      </c>
      <c r="CU167" s="610">
        <v>0</v>
      </c>
      <c r="CV167" s="610">
        <v>0</v>
      </c>
      <c r="CW167" s="610" t="s">
        <v>14</v>
      </c>
      <c r="CX167" s="610">
        <v>0</v>
      </c>
      <c r="CY167" s="610" t="s">
        <v>1707</v>
      </c>
      <c r="CZ167" s="610" t="s">
        <v>1707</v>
      </c>
      <c r="DA167" s="610" t="s">
        <v>1707</v>
      </c>
      <c r="DB167" s="610" t="s">
        <v>1707</v>
      </c>
      <c r="DC167" s="610" t="s">
        <v>1707</v>
      </c>
      <c r="DD167" s="610" t="s">
        <v>1707</v>
      </c>
      <c r="DE167" s="610" t="s">
        <v>1707</v>
      </c>
      <c r="DF167" s="610" t="s">
        <v>1707</v>
      </c>
      <c r="DG167" s="610" t="s">
        <v>1707</v>
      </c>
      <c r="DH167" s="610" t="s">
        <v>1707</v>
      </c>
      <c r="DI167" s="610" t="s">
        <v>1707</v>
      </c>
      <c r="DJ167" s="610" t="s">
        <v>1707</v>
      </c>
      <c r="DK167" s="610" t="s">
        <v>1368</v>
      </c>
      <c r="DL167" s="610" t="s">
        <v>1368</v>
      </c>
      <c r="DM167" s="610" t="s">
        <v>1368</v>
      </c>
      <c r="DN167" s="610" t="s">
        <v>1368</v>
      </c>
      <c r="DO167" s="610" t="s">
        <v>1368</v>
      </c>
      <c r="DP167" s="610" t="s">
        <v>1368</v>
      </c>
      <c r="DQ167" s="610" t="s">
        <v>1368</v>
      </c>
      <c r="DR167" s="610" t="s">
        <v>1368</v>
      </c>
      <c r="DS167" s="610" t="s">
        <v>1368</v>
      </c>
      <c r="DT167" s="610" t="s">
        <v>1368</v>
      </c>
      <c r="DU167" s="610" t="s">
        <v>1368</v>
      </c>
      <c r="DV167" s="610" t="s">
        <v>1368</v>
      </c>
      <c r="DW167" s="609" t="s">
        <v>1368</v>
      </c>
      <c r="DX167" s="609" t="s">
        <v>1368</v>
      </c>
      <c r="DY167" s="609" t="s">
        <v>1368</v>
      </c>
      <c r="DZ167" s="609" t="s">
        <v>1368</v>
      </c>
      <c r="EA167" s="609" t="s">
        <v>1368</v>
      </c>
      <c r="EB167" s="609" t="s">
        <v>1368</v>
      </c>
      <c r="EC167" s="609" t="s">
        <v>1368</v>
      </c>
      <c r="ED167" s="609" t="s">
        <v>1368</v>
      </c>
      <c r="EE167" s="609" t="s">
        <v>1368</v>
      </c>
      <c r="EF167" s="609" t="s">
        <v>1368</v>
      </c>
      <c r="EG167" s="609" t="s">
        <v>1368</v>
      </c>
      <c r="EH167" s="609" t="s">
        <v>1368</v>
      </c>
      <c r="EI167" s="610" t="s">
        <v>1707</v>
      </c>
      <c r="EJ167" s="610" t="s">
        <v>1707</v>
      </c>
      <c r="EK167" s="610" t="s">
        <v>1707</v>
      </c>
      <c r="EL167" s="610" t="s">
        <v>1707</v>
      </c>
      <c r="EM167" s="610" t="s">
        <v>1707</v>
      </c>
      <c r="EN167" s="610" t="s">
        <v>1707</v>
      </c>
      <c r="EO167" s="610" t="s">
        <v>1707</v>
      </c>
      <c r="EP167" s="610" t="s">
        <v>1707</v>
      </c>
      <c r="EQ167" s="610" t="s">
        <v>1707</v>
      </c>
      <c r="ER167" s="610" t="s">
        <v>1707</v>
      </c>
      <c r="ES167" s="610" t="s">
        <v>1707</v>
      </c>
      <c r="ET167" s="610" t="s">
        <v>1707</v>
      </c>
      <c r="EU167" s="610">
        <v>3980</v>
      </c>
      <c r="EV167" s="610" t="s">
        <v>1707</v>
      </c>
      <c r="EW167" s="610" t="s">
        <v>1707</v>
      </c>
      <c r="EX167" s="610" t="s">
        <v>1707</v>
      </c>
      <c r="EY167" s="610" t="s">
        <v>1707</v>
      </c>
      <c r="EZ167" s="610" t="s">
        <v>1707</v>
      </c>
      <c r="FA167" s="610" t="s">
        <v>1707</v>
      </c>
      <c r="FB167" s="610" t="s">
        <v>1707</v>
      </c>
      <c r="FC167" s="610" t="s">
        <v>1707</v>
      </c>
      <c r="FD167" s="610" t="s">
        <v>1707</v>
      </c>
      <c r="FE167" s="610" t="s">
        <v>1707</v>
      </c>
      <c r="FF167" s="610" t="s">
        <v>1707</v>
      </c>
      <c r="FG167" s="610" t="s">
        <v>1707</v>
      </c>
      <c r="FH167" s="610">
        <v>13</v>
      </c>
      <c r="FI167" s="610">
        <v>14</v>
      </c>
      <c r="FJ167" s="610">
        <v>14</v>
      </c>
      <c r="FK167" s="610">
        <v>14</v>
      </c>
      <c r="FL167" s="610">
        <v>14</v>
      </c>
      <c r="FM167" s="610">
        <v>14</v>
      </c>
      <c r="FN167" s="610">
        <v>14</v>
      </c>
      <c r="FO167" s="610">
        <v>14</v>
      </c>
      <c r="FP167" s="610">
        <v>14</v>
      </c>
      <c r="FQ167" s="610">
        <v>14</v>
      </c>
      <c r="FR167" s="610" t="s">
        <v>2487</v>
      </c>
      <c r="FS167" s="610" t="s">
        <v>2487</v>
      </c>
      <c r="FT167" s="610" t="s">
        <v>2487</v>
      </c>
      <c r="FU167" s="610" t="s">
        <v>2487</v>
      </c>
      <c r="FV167" s="610" t="s">
        <v>2487</v>
      </c>
      <c r="FW167" s="610" t="s">
        <v>2487</v>
      </c>
      <c r="FX167" s="610" t="s">
        <v>2487</v>
      </c>
      <c r="FY167" s="610" t="s">
        <v>2487</v>
      </c>
      <c r="FZ167" s="610" t="s">
        <v>2487</v>
      </c>
      <c r="GA167" s="610" t="s">
        <v>2487</v>
      </c>
      <c r="GB167" s="610" t="s">
        <v>2487</v>
      </c>
      <c r="GC167" s="610" t="s">
        <v>2487</v>
      </c>
      <c r="GD167" s="564">
        <f t="shared" si="33"/>
        <v>79950</v>
      </c>
      <c r="GE167" s="564">
        <f t="shared" si="34"/>
        <v>79950</v>
      </c>
      <c r="GF167" s="564">
        <f t="shared" si="35"/>
        <v>79950</v>
      </c>
      <c r="GG167" s="564">
        <f t="shared" si="36"/>
        <v>79950</v>
      </c>
      <c r="GH167" s="564">
        <f t="shared" si="37"/>
        <v>79950</v>
      </c>
      <c r="GI167" s="564">
        <f t="shared" si="38"/>
        <v>79950</v>
      </c>
      <c r="GJ167" s="564">
        <f t="shared" si="39"/>
        <v>79950</v>
      </c>
      <c r="GK167" s="564">
        <f t="shared" si="40"/>
        <v>79950</v>
      </c>
      <c r="GL167" s="564">
        <f t="shared" si="41"/>
        <v>79950</v>
      </c>
      <c r="GM167" s="564">
        <f t="shared" si="42"/>
        <v>79950</v>
      </c>
      <c r="GN167" s="564">
        <f t="shared" si="43"/>
        <v>79950</v>
      </c>
      <c r="GO167" s="564">
        <f t="shared" si="44"/>
        <v>79950</v>
      </c>
      <c r="GP167" s="564"/>
      <c r="GS167" s="375" t="s">
        <v>1915</v>
      </c>
      <c r="GT167" s="374" t="str">
        <f t="shared" si="48"/>
        <v>〇</v>
      </c>
    </row>
    <row r="168" spans="2:202">
      <c r="B168" s="371">
        <v>164</v>
      </c>
      <c r="C168" s="378">
        <v>164</v>
      </c>
      <c r="D168" s="373" t="s">
        <v>1914</v>
      </c>
      <c r="E168" s="373" t="s">
        <v>14</v>
      </c>
      <c r="F168" s="603">
        <f t="shared" si="45"/>
        <v>60</v>
      </c>
      <c r="G168" s="603"/>
      <c r="H168" s="565">
        <v>42</v>
      </c>
      <c r="I168" s="565">
        <v>18</v>
      </c>
      <c r="J168" s="603"/>
      <c r="K168" s="603"/>
      <c r="L168" s="603"/>
      <c r="M168" s="603"/>
      <c r="N168" s="608"/>
      <c r="O168" s="603">
        <v>1577000</v>
      </c>
      <c r="P168" s="603">
        <v>2721000</v>
      </c>
      <c r="Q168" s="603">
        <v>2721000</v>
      </c>
      <c r="R168" s="603">
        <v>1791000</v>
      </c>
      <c r="S168" s="603">
        <v>0</v>
      </c>
      <c r="T168" s="603">
        <v>2181000</v>
      </c>
      <c r="U168" s="603">
        <v>0</v>
      </c>
      <c r="V168" s="603">
        <v>1051000</v>
      </c>
      <c r="W168" s="603">
        <v>1814000</v>
      </c>
      <c r="X168" s="603">
        <v>1814000</v>
      </c>
      <c r="Y168" s="603">
        <v>1194000</v>
      </c>
      <c r="Z168" s="603">
        <v>0</v>
      </c>
      <c r="AA168" s="603">
        <v>1454000</v>
      </c>
      <c r="AB168" s="603">
        <v>0</v>
      </c>
      <c r="AC168" s="603">
        <v>0</v>
      </c>
      <c r="AD168" s="603">
        <v>0</v>
      </c>
      <c r="AE168" s="603">
        <v>0</v>
      </c>
      <c r="AF168" s="603">
        <v>0</v>
      </c>
      <c r="AG168" s="603">
        <v>0</v>
      </c>
      <c r="AH168" s="603">
        <v>0</v>
      </c>
      <c r="AI168" s="603">
        <v>0</v>
      </c>
      <c r="AJ168" s="604" t="s">
        <v>2377</v>
      </c>
      <c r="AK168" s="605" t="s">
        <v>2378</v>
      </c>
      <c r="AL168" s="605" t="s">
        <v>1545</v>
      </c>
      <c r="AM168" s="606" t="s">
        <v>2428</v>
      </c>
      <c r="AN168" s="609"/>
      <c r="AO168" s="610" t="s">
        <v>2485</v>
      </c>
      <c r="AP168" s="610" t="s">
        <v>2485</v>
      </c>
      <c r="AQ168" s="610" t="s">
        <v>2485</v>
      </c>
      <c r="AR168" s="610" t="s">
        <v>2485</v>
      </c>
      <c r="AS168" s="610" t="s">
        <v>2485</v>
      </c>
      <c r="AT168" s="610" t="s">
        <v>2485</v>
      </c>
      <c r="AU168" s="610" t="s">
        <v>2485</v>
      </c>
      <c r="AV168" s="610" t="s">
        <v>2485</v>
      </c>
      <c r="AW168" s="610" t="s">
        <v>2485</v>
      </c>
      <c r="AX168" s="610" t="s">
        <v>2485</v>
      </c>
      <c r="AY168" s="610" t="s">
        <v>2485</v>
      </c>
      <c r="AZ168" s="610" t="s">
        <v>2485</v>
      </c>
      <c r="BA168" s="610" t="s">
        <v>1368</v>
      </c>
      <c r="BB168" s="610" t="s">
        <v>1368</v>
      </c>
      <c r="BC168" s="610" t="s">
        <v>1368</v>
      </c>
      <c r="BD168" s="610" t="s">
        <v>1368</v>
      </c>
      <c r="BE168" s="610" t="s">
        <v>1368</v>
      </c>
      <c r="BF168" s="610" t="s">
        <v>1368</v>
      </c>
      <c r="BG168" s="610" t="s">
        <v>1368</v>
      </c>
      <c r="BH168" s="610" t="s">
        <v>1368</v>
      </c>
      <c r="BI168" s="610" t="s">
        <v>1368</v>
      </c>
      <c r="BJ168" s="610" t="s">
        <v>1368</v>
      </c>
      <c r="BK168" s="610" t="s">
        <v>1368</v>
      </c>
      <c r="BL168" s="610" t="s">
        <v>1368</v>
      </c>
      <c r="BM168" s="610">
        <v>1</v>
      </c>
      <c r="BN168" s="610">
        <v>1</v>
      </c>
      <c r="BO168" s="610">
        <v>1</v>
      </c>
      <c r="BP168" s="610">
        <v>1</v>
      </c>
      <c r="BQ168" s="610">
        <v>1</v>
      </c>
      <c r="BR168" s="610">
        <v>1</v>
      </c>
      <c r="BS168" s="610">
        <v>1</v>
      </c>
      <c r="BT168" s="610">
        <v>1</v>
      </c>
      <c r="BU168" s="610">
        <v>1</v>
      </c>
      <c r="BV168" s="610">
        <v>1</v>
      </c>
      <c r="BW168" s="610">
        <v>1</v>
      </c>
      <c r="BX168" s="610">
        <v>1</v>
      </c>
      <c r="BY168" s="610">
        <v>0</v>
      </c>
      <c r="BZ168" s="610">
        <v>0</v>
      </c>
      <c r="CA168" s="610">
        <v>0</v>
      </c>
      <c r="CB168" s="610">
        <v>0</v>
      </c>
      <c r="CC168" s="610">
        <v>0</v>
      </c>
      <c r="CD168" s="610">
        <v>0</v>
      </c>
      <c r="CE168" s="610">
        <v>0</v>
      </c>
      <c r="CF168" s="610">
        <v>0</v>
      </c>
      <c r="CG168" s="610">
        <v>0</v>
      </c>
      <c r="CH168" s="610">
        <v>0</v>
      </c>
      <c r="CI168" s="610">
        <v>0</v>
      </c>
      <c r="CJ168" s="610">
        <v>0</v>
      </c>
      <c r="CK168" s="610">
        <v>0</v>
      </c>
      <c r="CL168" s="610">
        <v>0</v>
      </c>
      <c r="CM168" s="610">
        <v>0</v>
      </c>
      <c r="CN168" s="610">
        <v>0</v>
      </c>
      <c r="CO168" s="610">
        <v>0</v>
      </c>
      <c r="CP168" s="610">
        <v>0</v>
      </c>
      <c r="CQ168" s="610">
        <v>0</v>
      </c>
      <c r="CR168" s="610">
        <v>0</v>
      </c>
      <c r="CS168" s="610">
        <v>0</v>
      </c>
      <c r="CT168" s="610">
        <v>0</v>
      </c>
      <c r="CU168" s="610">
        <v>0</v>
      </c>
      <c r="CV168" s="610">
        <v>0</v>
      </c>
      <c r="CW168" s="610" t="s">
        <v>14</v>
      </c>
      <c r="CX168" s="610">
        <v>0</v>
      </c>
      <c r="CY168" s="610" t="s">
        <v>1707</v>
      </c>
      <c r="CZ168" s="610" t="s">
        <v>1707</v>
      </c>
      <c r="DA168" s="610" t="s">
        <v>1707</v>
      </c>
      <c r="DB168" s="610" t="s">
        <v>1707</v>
      </c>
      <c r="DC168" s="610" t="s">
        <v>1707</v>
      </c>
      <c r="DD168" s="610" t="s">
        <v>1707</v>
      </c>
      <c r="DE168" s="610" t="s">
        <v>1707</v>
      </c>
      <c r="DF168" s="610" t="s">
        <v>1707</v>
      </c>
      <c r="DG168" s="610" t="s">
        <v>1707</v>
      </c>
      <c r="DH168" s="610" t="s">
        <v>1707</v>
      </c>
      <c r="DI168" s="610" t="s">
        <v>1707</v>
      </c>
      <c r="DJ168" s="610" t="s">
        <v>1707</v>
      </c>
      <c r="DK168" s="610" t="s">
        <v>1368</v>
      </c>
      <c r="DL168" s="610" t="s">
        <v>1368</v>
      </c>
      <c r="DM168" s="610" t="s">
        <v>1368</v>
      </c>
      <c r="DN168" s="610" t="s">
        <v>1368</v>
      </c>
      <c r="DO168" s="610" t="s">
        <v>1368</v>
      </c>
      <c r="DP168" s="610" t="s">
        <v>1368</v>
      </c>
      <c r="DQ168" s="610" t="s">
        <v>1368</v>
      </c>
      <c r="DR168" s="610" t="s">
        <v>1368</v>
      </c>
      <c r="DS168" s="610" t="s">
        <v>1368</v>
      </c>
      <c r="DT168" s="610" t="s">
        <v>1368</v>
      </c>
      <c r="DU168" s="610" t="s">
        <v>1368</v>
      </c>
      <c r="DV168" s="610" t="s">
        <v>1368</v>
      </c>
      <c r="DW168" s="609" t="s">
        <v>1368</v>
      </c>
      <c r="DX168" s="609" t="s">
        <v>1368</v>
      </c>
      <c r="DY168" s="609" t="s">
        <v>1368</v>
      </c>
      <c r="DZ168" s="609" t="s">
        <v>1368</v>
      </c>
      <c r="EA168" s="609" t="s">
        <v>1368</v>
      </c>
      <c r="EB168" s="609" t="s">
        <v>1368</v>
      </c>
      <c r="EC168" s="609" t="s">
        <v>1368</v>
      </c>
      <c r="ED168" s="609" t="s">
        <v>1368</v>
      </c>
      <c r="EE168" s="609" t="s">
        <v>1368</v>
      </c>
      <c r="EF168" s="609" t="s">
        <v>1368</v>
      </c>
      <c r="EG168" s="609" t="s">
        <v>1368</v>
      </c>
      <c r="EH168" s="609" t="s">
        <v>1368</v>
      </c>
      <c r="EI168" s="610" t="s">
        <v>1707</v>
      </c>
      <c r="EJ168" s="610" t="s">
        <v>1707</v>
      </c>
      <c r="EK168" s="610" t="s">
        <v>1707</v>
      </c>
      <c r="EL168" s="610" t="s">
        <v>1707</v>
      </c>
      <c r="EM168" s="610" t="s">
        <v>1707</v>
      </c>
      <c r="EN168" s="610" t="s">
        <v>1707</v>
      </c>
      <c r="EO168" s="610" t="s">
        <v>1707</v>
      </c>
      <c r="EP168" s="610" t="s">
        <v>1707</v>
      </c>
      <c r="EQ168" s="610" t="s">
        <v>1707</v>
      </c>
      <c r="ER168" s="610" t="s">
        <v>1707</v>
      </c>
      <c r="ES168" s="610" t="s">
        <v>1707</v>
      </c>
      <c r="ET168" s="610" t="s">
        <v>1707</v>
      </c>
      <c r="EU168" s="610">
        <v>4070</v>
      </c>
      <c r="EV168" s="610" t="s">
        <v>1707</v>
      </c>
      <c r="EW168" s="610" t="s">
        <v>1707</v>
      </c>
      <c r="EX168" s="610" t="s">
        <v>1707</v>
      </c>
      <c r="EY168" s="610" t="s">
        <v>1707</v>
      </c>
      <c r="EZ168" s="610" t="s">
        <v>1707</v>
      </c>
      <c r="FA168" s="610" t="s">
        <v>1707</v>
      </c>
      <c r="FB168" s="610" t="s">
        <v>1707</v>
      </c>
      <c r="FC168" s="610" t="s">
        <v>1707</v>
      </c>
      <c r="FD168" s="610" t="s">
        <v>1707</v>
      </c>
      <c r="FE168" s="610" t="s">
        <v>1707</v>
      </c>
      <c r="FF168" s="610" t="s">
        <v>1707</v>
      </c>
      <c r="FG168" s="610" t="s">
        <v>1707</v>
      </c>
      <c r="FH168" s="610">
        <v>21</v>
      </c>
      <c r="FI168" s="610">
        <v>20</v>
      </c>
      <c r="FJ168" s="610">
        <v>21</v>
      </c>
      <c r="FK168" s="610">
        <v>21</v>
      </c>
      <c r="FL168" s="610">
        <v>21</v>
      </c>
      <c r="FM168" s="610">
        <v>21</v>
      </c>
      <c r="FN168" s="610">
        <v>21</v>
      </c>
      <c r="FO168" s="610">
        <v>21</v>
      </c>
      <c r="FP168" s="610">
        <v>21</v>
      </c>
      <c r="FQ168" s="610">
        <v>21</v>
      </c>
      <c r="FR168" s="610" t="s">
        <v>2487</v>
      </c>
      <c r="FS168" s="610" t="s">
        <v>2487</v>
      </c>
      <c r="FT168" s="610" t="s">
        <v>2487</v>
      </c>
      <c r="FU168" s="610" t="s">
        <v>2487</v>
      </c>
      <c r="FV168" s="610" t="s">
        <v>2487</v>
      </c>
      <c r="FW168" s="610" t="s">
        <v>2487</v>
      </c>
      <c r="FX168" s="610" t="s">
        <v>2487</v>
      </c>
      <c r="FY168" s="610" t="s">
        <v>2487</v>
      </c>
      <c r="FZ168" s="610" t="s">
        <v>2487</v>
      </c>
      <c r="GA168" s="610" t="s">
        <v>2487</v>
      </c>
      <c r="GB168" s="610" t="s">
        <v>2487</v>
      </c>
      <c r="GC168" s="610" t="s">
        <v>2487</v>
      </c>
      <c r="GD168" s="564">
        <f t="shared" si="33"/>
        <v>79950</v>
      </c>
      <c r="GE168" s="564">
        <f t="shared" si="34"/>
        <v>79950</v>
      </c>
      <c r="GF168" s="564">
        <f t="shared" si="35"/>
        <v>79950</v>
      </c>
      <c r="GG168" s="564">
        <f t="shared" si="36"/>
        <v>79950</v>
      </c>
      <c r="GH168" s="564">
        <f t="shared" si="37"/>
        <v>79950</v>
      </c>
      <c r="GI168" s="564">
        <f t="shared" si="38"/>
        <v>79950</v>
      </c>
      <c r="GJ168" s="564">
        <f t="shared" si="39"/>
        <v>79950</v>
      </c>
      <c r="GK168" s="564">
        <f t="shared" si="40"/>
        <v>79950</v>
      </c>
      <c r="GL168" s="564">
        <f t="shared" si="41"/>
        <v>79950</v>
      </c>
      <c r="GM168" s="564">
        <f t="shared" si="42"/>
        <v>79950</v>
      </c>
      <c r="GN168" s="564">
        <f t="shared" si="43"/>
        <v>79950</v>
      </c>
      <c r="GO168" s="564">
        <f t="shared" si="44"/>
        <v>79950</v>
      </c>
      <c r="GP168" s="564"/>
      <c r="GS168" s="375" t="s">
        <v>1914</v>
      </c>
      <c r="GT168" s="374" t="str">
        <f t="shared" si="48"/>
        <v>〇</v>
      </c>
    </row>
    <row r="169" spans="2:202">
      <c r="B169" s="371">
        <v>165</v>
      </c>
      <c r="C169" s="378">
        <v>165</v>
      </c>
      <c r="D169" s="373" t="s">
        <v>1910</v>
      </c>
      <c r="E169" s="373" t="s">
        <v>14</v>
      </c>
      <c r="F169" s="603">
        <f t="shared" si="45"/>
        <v>70</v>
      </c>
      <c r="G169" s="603"/>
      <c r="H169" s="603">
        <v>45</v>
      </c>
      <c r="I169" s="603">
        <v>25</v>
      </c>
      <c r="J169" s="603"/>
      <c r="K169" s="603"/>
      <c r="L169" s="603"/>
      <c r="M169" s="603"/>
      <c r="N169" s="608"/>
      <c r="O169" s="603">
        <v>1577000</v>
      </c>
      <c r="P169" s="603">
        <v>2721000</v>
      </c>
      <c r="Q169" s="603">
        <v>0</v>
      </c>
      <c r="R169" s="603">
        <v>1791000</v>
      </c>
      <c r="S169" s="603">
        <v>0</v>
      </c>
      <c r="T169" s="603">
        <v>0</v>
      </c>
      <c r="U169" s="603">
        <v>0</v>
      </c>
      <c r="V169" s="603">
        <v>1051000</v>
      </c>
      <c r="W169" s="603">
        <v>1814000</v>
      </c>
      <c r="X169" s="603">
        <v>0</v>
      </c>
      <c r="Y169" s="603">
        <v>1194000</v>
      </c>
      <c r="Z169" s="603">
        <v>0</v>
      </c>
      <c r="AA169" s="603">
        <v>0</v>
      </c>
      <c r="AB169" s="603">
        <v>0</v>
      </c>
      <c r="AC169" s="603">
        <v>526000</v>
      </c>
      <c r="AD169" s="603">
        <v>907000</v>
      </c>
      <c r="AE169" s="603">
        <v>0</v>
      </c>
      <c r="AF169" s="603">
        <v>597000</v>
      </c>
      <c r="AG169" s="603">
        <v>0</v>
      </c>
      <c r="AH169" s="603">
        <v>0</v>
      </c>
      <c r="AI169" s="603">
        <v>0</v>
      </c>
      <c r="AJ169" s="604" t="s">
        <v>2377</v>
      </c>
      <c r="AK169" s="605" t="s">
        <v>2378</v>
      </c>
      <c r="AL169" s="605" t="s">
        <v>2490</v>
      </c>
      <c r="AM169" s="606" t="s">
        <v>2429</v>
      </c>
      <c r="AN169" s="609"/>
      <c r="AO169" s="610" t="s">
        <v>13</v>
      </c>
      <c r="AP169" s="610" t="s">
        <v>13</v>
      </c>
      <c r="AQ169" s="610" t="s">
        <v>13</v>
      </c>
      <c r="AR169" s="610" t="s">
        <v>13</v>
      </c>
      <c r="AS169" s="610" t="s">
        <v>13</v>
      </c>
      <c r="AT169" s="610" t="s">
        <v>13</v>
      </c>
      <c r="AU169" s="610" t="s">
        <v>13</v>
      </c>
      <c r="AV169" s="610" t="s">
        <v>13</v>
      </c>
      <c r="AW169" s="610" t="s">
        <v>13</v>
      </c>
      <c r="AX169" s="610" t="s">
        <v>13</v>
      </c>
      <c r="AY169" s="610" t="s">
        <v>13</v>
      </c>
      <c r="AZ169" s="610" t="s">
        <v>13</v>
      </c>
      <c r="BA169" s="610" t="s">
        <v>12</v>
      </c>
      <c r="BB169" s="610" t="s">
        <v>12</v>
      </c>
      <c r="BC169" s="610" t="s">
        <v>12</v>
      </c>
      <c r="BD169" s="610" t="s">
        <v>12</v>
      </c>
      <c r="BE169" s="610" t="s">
        <v>12</v>
      </c>
      <c r="BF169" s="610" t="s">
        <v>12</v>
      </c>
      <c r="BG169" s="610" t="s">
        <v>12</v>
      </c>
      <c r="BH169" s="610" t="s">
        <v>12</v>
      </c>
      <c r="BI169" s="610" t="s">
        <v>12</v>
      </c>
      <c r="BJ169" s="610" t="s">
        <v>12</v>
      </c>
      <c r="BK169" s="610" t="s">
        <v>12</v>
      </c>
      <c r="BL169" s="610" t="s">
        <v>12</v>
      </c>
      <c r="BM169" s="610">
        <v>2</v>
      </c>
      <c r="BN169" s="610">
        <v>2</v>
      </c>
      <c r="BO169" s="610">
        <v>2</v>
      </c>
      <c r="BP169" s="610">
        <v>2</v>
      </c>
      <c r="BQ169" s="610">
        <v>2</v>
      </c>
      <c r="BR169" s="610">
        <v>2</v>
      </c>
      <c r="BS169" s="610">
        <v>2</v>
      </c>
      <c r="BT169" s="610">
        <v>2</v>
      </c>
      <c r="BU169" s="610">
        <v>2</v>
      </c>
      <c r="BV169" s="610">
        <v>2</v>
      </c>
      <c r="BW169" s="610">
        <v>2</v>
      </c>
      <c r="BX169" s="610">
        <v>2</v>
      </c>
      <c r="BY169" s="610">
        <v>0</v>
      </c>
      <c r="BZ169" s="610">
        <v>0</v>
      </c>
      <c r="CA169" s="610">
        <v>0</v>
      </c>
      <c r="CB169" s="610">
        <v>0</v>
      </c>
      <c r="CC169" s="610">
        <v>0</v>
      </c>
      <c r="CD169" s="610">
        <v>0</v>
      </c>
      <c r="CE169" s="610">
        <v>0</v>
      </c>
      <c r="CF169" s="610">
        <v>0</v>
      </c>
      <c r="CG169" s="610">
        <v>0</v>
      </c>
      <c r="CH169" s="610">
        <v>0</v>
      </c>
      <c r="CI169" s="610">
        <v>0</v>
      </c>
      <c r="CJ169" s="610">
        <v>0</v>
      </c>
      <c r="CK169" s="610">
        <v>0</v>
      </c>
      <c r="CL169" s="610">
        <v>0</v>
      </c>
      <c r="CM169" s="610">
        <v>0</v>
      </c>
      <c r="CN169" s="610">
        <v>0</v>
      </c>
      <c r="CO169" s="610">
        <v>0</v>
      </c>
      <c r="CP169" s="610">
        <v>0</v>
      </c>
      <c r="CQ169" s="610">
        <v>0</v>
      </c>
      <c r="CR169" s="610">
        <v>0</v>
      </c>
      <c r="CS169" s="610">
        <v>0</v>
      </c>
      <c r="CT169" s="610">
        <v>0</v>
      </c>
      <c r="CU169" s="610">
        <v>0</v>
      </c>
      <c r="CV169" s="610">
        <v>0</v>
      </c>
      <c r="CW169" s="610" t="s">
        <v>14</v>
      </c>
      <c r="CX169" s="610">
        <v>0</v>
      </c>
      <c r="CY169" s="610" t="s">
        <v>1707</v>
      </c>
      <c r="CZ169" s="610" t="s">
        <v>1707</v>
      </c>
      <c r="DA169" s="610" t="s">
        <v>1707</v>
      </c>
      <c r="DB169" s="610" t="s">
        <v>1707</v>
      </c>
      <c r="DC169" s="610" t="s">
        <v>1707</v>
      </c>
      <c r="DD169" s="610" t="s">
        <v>1707</v>
      </c>
      <c r="DE169" s="610" t="s">
        <v>1707</v>
      </c>
      <c r="DF169" s="610" t="s">
        <v>1707</v>
      </c>
      <c r="DG169" s="610" t="s">
        <v>1707</v>
      </c>
      <c r="DH169" s="610" t="s">
        <v>1707</v>
      </c>
      <c r="DI169" s="610" t="s">
        <v>1707</v>
      </c>
      <c r="DJ169" s="610" t="s">
        <v>1707</v>
      </c>
      <c r="DK169" s="610" t="s">
        <v>1368</v>
      </c>
      <c r="DL169" s="610" t="s">
        <v>1368</v>
      </c>
      <c r="DM169" s="610" t="s">
        <v>1368</v>
      </c>
      <c r="DN169" s="610" t="s">
        <v>1368</v>
      </c>
      <c r="DO169" s="610" t="s">
        <v>1368</v>
      </c>
      <c r="DP169" s="610" t="s">
        <v>1368</v>
      </c>
      <c r="DQ169" s="610" t="s">
        <v>1368</v>
      </c>
      <c r="DR169" s="610" t="s">
        <v>1368</v>
      </c>
      <c r="DS169" s="610" t="s">
        <v>1368</v>
      </c>
      <c r="DT169" s="610" t="s">
        <v>1368</v>
      </c>
      <c r="DU169" s="610" t="s">
        <v>1368</v>
      </c>
      <c r="DV169" s="610" t="s">
        <v>1368</v>
      </c>
      <c r="DW169" s="609" t="s">
        <v>1368</v>
      </c>
      <c r="DX169" s="609" t="s">
        <v>1368</v>
      </c>
      <c r="DY169" s="609" t="s">
        <v>1368</v>
      </c>
      <c r="DZ169" s="609" t="s">
        <v>1368</v>
      </c>
      <c r="EA169" s="609" t="s">
        <v>1368</v>
      </c>
      <c r="EB169" s="609" t="s">
        <v>1368</v>
      </c>
      <c r="EC169" s="609" t="s">
        <v>1368</v>
      </c>
      <c r="ED169" s="609" t="s">
        <v>1368</v>
      </c>
      <c r="EE169" s="609" t="s">
        <v>1368</v>
      </c>
      <c r="EF169" s="609" t="s">
        <v>1368</v>
      </c>
      <c r="EG169" s="609" t="s">
        <v>1368</v>
      </c>
      <c r="EH169" s="609" t="s">
        <v>1368</v>
      </c>
      <c r="EI169" s="610" t="s">
        <v>1707</v>
      </c>
      <c r="EJ169" s="610" t="s">
        <v>1707</v>
      </c>
      <c r="EK169" s="610" t="s">
        <v>1707</v>
      </c>
      <c r="EL169" s="610" t="s">
        <v>1707</v>
      </c>
      <c r="EM169" s="610" t="s">
        <v>1707</v>
      </c>
      <c r="EN169" s="610" t="s">
        <v>1707</v>
      </c>
      <c r="EO169" s="610" t="s">
        <v>1707</v>
      </c>
      <c r="EP169" s="610" t="s">
        <v>1707</v>
      </c>
      <c r="EQ169" s="610" t="s">
        <v>1707</v>
      </c>
      <c r="ER169" s="610" t="s">
        <v>1707</v>
      </c>
      <c r="ES169" s="610" t="s">
        <v>1707</v>
      </c>
      <c r="ET169" s="610" t="s">
        <v>1707</v>
      </c>
      <c r="EU169" s="610">
        <v>3950</v>
      </c>
      <c r="EV169" s="610" t="s">
        <v>1707</v>
      </c>
      <c r="EW169" s="610" t="s">
        <v>1707</v>
      </c>
      <c r="EX169" s="610" t="s">
        <v>1707</v>
      </c>
      <c r="EY169" s="610" t="s">
        <v>1707</v>
      </c>
      <c r="EZ169" s="610" t="s">
        <v>1707</v>
      </c>
      <c r="FA169" s="610" t="s">
        <v>1707</v>
      </c>
      <c r="FB169" s="610" t="s">
        <v>1707</v>
      </c>
      <c r="FC169" s="610" t="s">
        <v>1707</v>
      </c>
      <c r="FD169" s="610" t="s">
        <v>1707</v>
      </c>
      <c r="FE169" s="610" t="s">
        <v>1707</v>
      </c>
      <c r="FF169" s="610" t="s">
        <v>1707</v>
      </c>
      <c r="FG169" s="610" t="s">
        <v>1707</v>
      </c>
      <c r="FH169" s="610">
        <v>33</v>
      </c>
      <c r="FI169" s="610">
        <v>33</v>
      </c>
      <c r="FJ169" s="610">
        <v>33</v>
      </c>
      <c r="FK169" s="610">
        <v>33</v>
      </c>
      <c r="FL169" s="610">
        <v>34</v>
      </c>
      <c r="FM169" s="610">
        <v>34</v>
      </c>
      <c r="FN169" s="610">
        <v>34</v>
      </c>
      <c r="FO169" s="610">
        <v>34</v>
      </c>
      <c r="FP169" s="610">
        <v>34</v>
      </c>
      <c r="FQ169" s="610">
        <v>34</v>
      </c>
      <c r="FR169" s="610" t="s">
        <v>2487</v>
      </c>
      <c r="FS169" s="610" t="s">
        <v>2487</v>
      </c>
      <c r="FT169" s="610" t="s">
        <v>2487</v>
      </c>
      <c r="FU169" s="610" t="s">
        <v>2487</v>
      </c>
      <c r="FV169" s="610" t="s">
        <v>2487</v>
      </c>
      <c r="FW169" s="610" t="s">
        <v>2487</v>
      </c>
      <c r="FX169" s="610" t="s">
        <v>2487</v>
      </c>
      <c r="FY169" s="610" t="s">
        <v>2487</v>
      </c>
      <c r="FZ169" s="610" t="s">
        <v>2487</v>
      </c>
      <c r="GA169" s="610" t="s">
        <v>2487</v>
      </c>
      <c r="GB169" s="610" t="s">
        <v>2487</v>
      </c>
      <c r="GC169" s="610" t="s">
        <v>2487</v>
      </c>
      <c r="GD169" s="564">
        <f t="shared" si="33"/>
        <v>79950</v>
      </c>
      <c r="GE169" s="564">
        <f t="shared" si="34"/>
        <v>79950</v>
      </c>
      <c r="GF169" s="564">
        <f t="shared" si="35"/>
        <v>79950</v>
      </c>
      <c r="GG169" s="564">
        <f t="shared" si="36"/>
        <v>79950</v>
      </c>
      <c r="GH169" s="564">
        <f t="shared" si="37"/>
        <v>79950</v>
      </c>
      <c r="GI169" s="564">
        <f t="shared" si="38"/>
        <v>79950</v>
      </c>
      <c r="GJ169" s="564">
        <f t="shared" si="39"/>
        <v>79950</v>
      </c>
      <c r="GK169" s="564">
        <f t="shared" si="40"/>
        <v>79950</v>
      </c>
      <c r="GL169" s="564">
        <f t="shared" si="41"/>
        <v>79950</v>
      </c>
      <c r="GM169" s="564">
        <f t="shared" si="42"/>
        <v>79950</v>
      </c>
      <c r="GN169" s="564">
        <f t="shared" si="43"/>
        <v>79950</v>
      </c>
      <c r="GO169" s="564">
        <f t="shared" si="44"/>
        <v>79950</v>
      </c>
      <c r="GP169" s="564"/>
      <c r="GS169" s="375" t="s">
        <v>1910</v>
      </c>
      <c r="GT169" s="374" t="str">
        <f t="shared" si="48"/>
        <v>〇</v>
      </c>
    </row>
    <row r="170" spans="2:202">
      <c r="B170" s="371">
        <v>166</v>
      </c>
      <c r="C170" s="378">
        <v>166</v>
      </c>
      <c r="D170" s="373" t="s">
        <v>1916</v>
      </c>
      <c r="E170" s="373" t="s">
        <v>14</v>
      </c>
      <c r="F170" s="603">
        <f t="shared" si="45"/>
        <v>50</v>
      </c>
      <c r="G170" s="603"/>
      <c r="H170" s="565">
        <v>30</v>
      </c>
      <c r="I170" s="565">
        <v>20</v>
      </c>
      <c r="J170" s="603"/>
      <c r="K170" s="603"/>
      <c r="L170" s="603"/>
      <c r="M170" s="603"/>
      <c r="N170" s="608"/>
      <c r="O170" s="603">
        <v>1577000</v>
      </c>
      <c r="P170" s="603">
        <v>2721000</v>
      </c>
      <c r="Q170" s="603">
        <v>2721000</v>
      </c>
      <c r="R170" s="603">
        <v>1791000</v>
      </c>
      <c r="S170" s="603">
        <v>0</v>
      </c>
      <c r="T170" s="603">
        <v>2181000</v>
      </c>
      <c r="U170" s="603">
        <v>0</v>
      </c>
      <c r="V170" s="603">
        <v>1051000</v>
      </c>
      <c r="W170" s="603">
        <v>1814000</v>
      </c>
      <c r="X170" s="603">
        <v>1814000</v>
      </c>
      <c r="Y170" s="603">
        <v>1194000</v>
      </c>
      <c r="Z170" s="603">
        <v>0</v>
      </c>
      <c r="AA170" s="603">
        <v>1454000</v>
      </c>
      <c r="AB170" s="603">
        <v>0</v>
      </c>
      <c r="AC170" s="603">
        <v>0</v>
      </c>
      <c r="AD170" s="603">
        <v>0</v>
      </c>
      <c r="AE170" s="603">
        <v>0</v>
      </c>
      <c r="AF170" s="603">
        <v>0</v>
      </c>
      <c r="AG170" s="603">
        <v>0</v>
      </c>
      <c r="AH170" s="603">
        <v>0</v>
      </c>
      <c r="AI170" s="603">
        <v>0</v>
      </c>
      <c r="AJ170" s="604" t="s">
        <v>2377</v>
      </c>
      <c r="AK170" s="605" t="s">
        <v>2378</v>
      </c>
      <c r="AL170" s="605" t="s">
        <v>1545</v>
      </c>
      <c r="AM170" s="606" t="s">
        <v>2430</v>
      </c>
      <c r="AN170" s="609"/>
      <c r="AO170" s="610" t="s">
        <v>1368</v>
      </c>
      <c r="AP170" s="610" t="s">
        <v>1368</v>
      </c>
      <c r="AQ170" s="610" t="s">
        <v>1368</v>
      </c>
      <c r="AR170" s="610" t="s">
        <v>1368</v>
      </c>
      <c r="AS170" s="610" t="s">
        <v>1368</v>
      </c>
      <c r="AT170" s="610" t="s">
        <v>1368</v>
      </c>
      <c r="AU170" s="610" t="s">
        <v>1368</v>
      </c>
      <c r="AV170" s="610" t="s">
        <v>1368</v>
      </c>
      <c r="AW170" s="610" t="s">
        <v>1368</v>
      </c>
      <c r="AX170" s="610" t="s">
        <v>1368</v>
      </c>
      <c r="AY170" s="610" t="s">
        <v>1368</v>
      </c>
      <c r="AZ170" s="610" t="s">
        <v>1368</v>
      </c>
      <c r="BA170" s="610" t="s">
        <v>1368</v>
      </c>
      <c r="BB170" s="610" t="s">
        <v>1368</v>
      </c>
      <c r="BC170" s="610" t="s">
        <v>1368</v>
      </c>
      <c r="BD170" s="610" t="s">
        <v>1368</v>
      </c>
      <c r="BE170" s="610" t="s">
        <v>1368</v>
      </c>
      <c r="BF170" s="610" t="s">
        <v>1368</v>
      </c>
      <c r="BG170" s="610" t="s">
        <v>1368</v>
      </c>
      <c r="BH170" s="610" t="s">
        <v>1368</v>
      </c>
      <c r="BI170" s="610" t="s">
        <v>1368</v>
      </c>
      <c r="BJ170" s="610" t="s">
        <v>1368</v>
      </c>
      <c r="BK170" s="610" t="s">
        <v>1368</v>
      </c>
      <c r="BL170" s="610" t="s">
        <v>1368</v>
      </c>
      <c r="BM170" s="610">
        <v>1</v>
      </c>
      <c r="BN170" s="610">
        <v>1</v>
      </c>
      <c r="BO170" s="610">
        <v>1</v>
      </c>
      <c r="BP170" s="610">
        <v>1</v>
      </c>
      <c r="BQ170" s="610">
        <v>1</v>
      </c>
      <c r="BR170" s="610">
        <v>1</v>
      </c>
      <c r="BS170" s="610">
        <v>1</v>
      </c>
      <c r="BT170" s="610">
        <v>1</v>
      </c>
      <c r="BU170" s="610">
        <v>1</v>
      </c>
      <c r="BV170" s="610">
        <v>1</v>
      </c>
      <c r="BW170" s="610">
        <v>1</v>
      </c>
      <c r="BX170" s="610">
        <v>1</v>
      </c>
      <c r="BY170" s="610">
        <v>0</v>
      </c>
      <c r="BZ170" s="610">
        <v>0</v>
      </c>
      <c r="CA170" s="610">
        <v>0</v>
      </c>
      <c r="CB170" s="610">
        <v>0</v>
      </c>
      <c r="CC170" s="610">
        <v>0</v>
      </c>
      <c r="CD170" s="610">
        <v>0</v>
      </c>
      <c r="CE170" s="610">
        <v>0</v>
      </c>
      <c r="CF170" s="610">
        <v>0</v>
      </c>
      <c r="CG170" s="610">
        <v>0</v>
      </c>
      <c r="CH170" s="610">
        <v>0</v>
      </c>
      <c r="CI170" s="610">
        <v>0</v>
      </c>
      <c r="CJ170" s="610">
        <v>0</v>
      </c>
      <c r="CK170" s="610">
        <v>0</v>
      </c>
      <c r="CL170" s="610">
        <v>0</v>
      </c>
      <c r="CM170" s="610">
        <v>0</v>
      </c>
      <c r="CN170" s="610">
        <v>0</v>
      </c>
      <c r="CO170" s="610">
        <v>0</v>
      </c>
      <c r="CP170" s="610">
        <v>0</v>
      </c>
      <c r="CQ170" s="610">
        <v>0</v>
      </c>
      <c r="CR170" s="610">
        <v>0</v>
      </c>
      <c r="CS170" s="610">
        <v>0</v>
      </c>
      <c r="CT170" s="610">
        <v>0</v>
      </c>
      <c r="CU170" s="610">
        <v>0</v>
      </c>
      <c r="CV170" s="610">
        <v>0</v>
      </c>
      <c r="CW170" s="610" t="s">
        <v>14</v>
      </c>
      <c r="CX170" s="610">
        <v>0</v>
      </c>
      <c r="CY170" s="610" t="s">
        <v>1707</v>
      </c>
      <c r="CZ170" s="610" t="s">
        <v>1707</v>
      </c>
      <c r="DA170" s="610" t="s">
        <v>1707</v>
      </c>
      <c r="DB170" s="610" t="s">
        <v>1707</v>
      </c>
      <c r="DC170" s="610" t="s">
        <v>1707</v>
      </c>
      <c r="DD170" s="610" t="s">
        <v>1707</v>
      </c>
      <c r="DE170" s="610" t="s">
        <v>1707</v>
      </c>
      <c r="DF170" s="610" t="s">
        <v>1707</v>
      </c>
      <c r="DG170" s="610" t="s">
        <v>1707</v>
      </c>
      <c r="DH170" s="610" t="s">
        <v>1707</v>
      </c>
      <c r="DI170" s="610" t="s">
        <v>1707</v>
      </c>
      <c r="DJ170" s="610" t="s">
        <v>1707</v>
      </c>
      <c r="DK170" s="610" t="s">
        <v>18</v>
      </c>
      <c r="DL170" s="610" t="s">
        <v>18</v>
      </c>
      <c r="DM170" s="610" t="s">
        <v>18</v>
      </c>
      <c r="DN170" s="610" t="s">
        <v>18</v>
      </c>
      <c r="DO170" s="610" t="s">
        <v>18</v>
      </c>
      <c r="DP170" s="610" t="s">
        <v>18</v>
      </c>
      <c r="DQ170" s="610" t="s">
        <v>18</v>
      </c>
      <c r="DR170" s="610" t="s">
        <v>18</v>
      </c>
      <c r="DS170" s="610" t="s">
        <v>18</v>
      </c>
      <c r="DT170" s="610" t="s">
        <v>18</v>
      </c>
      <c r="DU170" s="610" t="s">
        <v>18</v>
      </c>
      <c r="DV170" s="610" t="s">
        <v>18</v>
      </c>
      <c r="DW170" s="609" t="s">
        <v>1368</v>
      </c>
      <c r="DX170" s="609" t="s">
        <v>1368</v>
      </c>
      <c r="DY170" s="609" t="s">
        <v>1368</v>
      </c>
      <c r="DZ170" s="609" t="s">
        <v>1368</v>
      </c>
      <c r="EA170" s="609" t="s">
        <v>1368</v>
      </c>
      <c r="EB170" s="609" t="s">
        <v>1368</v>
      </c>
      <c r="EC170" s="609" t="s">
        <v>1368</v>
      </c>
      <c r="ED170" s="609" t="s">
        <v>1368</v>
      </c>
      <c r="EE170" s="609" t="s">
        <v>1368</v>
      </c>
      <c r="EF170" s="609" t="s">
        <v>1368</v>
      </c>
      <c r="EG170" s="609" t="s">
        <v>1368</v>
      </c>
      <c r="EH170" s="609" t="s">
        <v>1368</v>
      </c>
      <c r="EI170" s="610" t="s">
        <v>1707</v>
      </c>
      <c r="EJ170" s="610" t="s">
        <v>1707</v>
      </c>
      <c r="EK170" s="610" t="s">
        <v>1707</v>
      </c>
      <c r="EL170" s="610" t="s">
        <v>1707</v>
      </c>
      <c r="EM170" s="610" t="s">
        <v>1707</v>
      </c>
      <c r="EN170" s="610" t="s">
        <v>1707</v>
      </c>
      <c r="EO170" s="610" t="s">
        <v>1707</v>
      </c>
      <c r="EP170" s="610" t="s">
        <v>1707</v>
      </c>
      <c r="EQ170" s="610" t="s">
        <v>1707</v>
      </c>
      <c r="ER170" s="610" t="s">
        <v>1707</v>
      </c>
      <c r="ES170" s="610" t="s">
        <v>1707</v>
      </c>
      <c r="ET170" s="610" t="s">
        <v>1707</v>
      </c>
      <c r="EU170" s="610">
        <v>4070</v>
      </c>
      <c r="EV170" s="610" t="s">
        <v>2449</v>
      </c>
      <c r="EW170" s="610" t="s">
        <v>2449</v>
      </c>
      <c r="EX170" s="610" t="s">
        <v>2449</v>
      </c>
      <c r="EY170" s="610" t="s">
        <v>2449</v>
      </c>
      <c r="EZ170" s="610" t="s">
        <v>2449</v>
      </c>
      <c r="FA170" s="610" t="s">
        <v>2449</v>
      </c>
      <c r="FB170" s="610" t="s">
        <v>2449</v>
      </c>
      <c r="FC170" s="610" t="s">
        <v>2449</v>
      </c>
      <c r="FD170" s="610" t="s">
        <v>2449</v>
      </c>
      <c r="FE170" s="610" t="s">
        <v>2449</v>
      </c>
      <c r="FF170" s="610" t="s">
        <v>2449</v>
      </c>
      <c r="FG170" s="610" t="s">
        <v>2449</v>
      </c>
      <c r="FH170" s="610">
        <v>15</v>
      </c>
      <c r="FI170" s="610">
        <v>15</v>
      </c>
      <c r="FJ170" s="610">
        <v>15</v>
      </c>
      <c r="FK170" s="610">
        <v>15</v>
      </c>
      <c r="FL170" s="610">
        <v>15</v>
      </c>
      <c r="FM170" s="610">
        <v>14</v>
      </c>
      <c r="FN170" s="610">
        <v>15</v>
      </c>
      <c r="FO170" s="610">
        <v>15</v>
      </c>
      <c r="FP170" s="610">
        <v>15</v>
      </c>
      <c r="FQ170" s="610">
        <v>15</v>
      </c>
      <c r="FR170" s="610" t="s">
        <v>2487</v>
      </c>
      <c r="FS170" s="610" t="s">
        <v>2487</v>
      </c>
      <c r="FT170" s="610" t="s">
        <v>2487</v>
      </c>
      <c r="FU170" s="610" t="s">
        <v>2487</v>
      </c>
      <c r="FV170" s="610" t="s">
        <v>2487</v>
      </c>
      <c r="FW170" s="610" t="s">
        <v>2487</v>
      </c>
      <c r="FX170" s="610" t="s">
        <v>2487</v>
      </c>
      <c r="FY170" s="610" t="s">
        <v>2487</v>
      </c>
      <c r="FZ170" s="610" t="s">
        <v>2487</v>
      </c>
      <c r="GA170" s="610" t="s">
        <v>2487</v>
      </c>
      <c r="GB170" s="610" t="s">
        <v>2487</v>
      </c>
      <c r="GC170" s="610" t="s">
        <v>2487</v>
      </c>
      <c r="GD170" s="564">
        <f t="shared" si="33"/>
        <v>79950</v>
      </c>
      <c r="GE170" s="564">
        <f t="shared" si="34"/>
        <v>79950</v>
      </c>
      <c r="GF170" s="564">
        <f t="shared" si="35"/>
        <v>79950</v>
      </c>
      <c r="GG170" s="564">
        <f t="shared" si="36"/>
        <v>79950</v>
      </c>
      <c r="GH170" s="564">
        <f t="shared" si="37"/>
        <v>79950</v>
      </c>
      <c r="GI170" s="564">
        <f t="shared" si="38"/>
        <v>79950</v>
      </c>
      <c r="GJ170" s="564">
        <f t="shared" si="39"/>
        <v>79950</v>
      </c>
      <c r="GK170" s="564">
        <f t="shared" si="40"/>
        <v>79950</v>
      </c>
      <c r="GL170" s="564">
        <f t="shared" si="41"/>
        <v>79950</v>
      </c>
      <c r="GM170" s="564">
        <f t="shared" si="42"/>
        <v>79950</v>
      </c>
      <c r="GN170" s="564">
        <f t="shared" si="43"/>
        <v>79950</v>
      </c>
      <c r="GO170" s="564">
        <f t="shared" si="44"/>
        <v>79950</v>
      </c>
      <c r="GP170" s="564"/>
      <c r="GS170" s="375" t="s">
        <v>1916</v>
      </c>
      <c r="GT170" s="374" t="str">
        <f t="shared" si="48"/>
        <v>〇</v>
      </c>
    </row>
    <row r="171" spans="2:202">
      <c r="B171" s="371">
        <v>167</v>
      </c>
      <c r="C171" s="378">
        <v>167</v>
      </c>
      <c r="D171" s="373" t="s">
        <v>1983</v>
      </c>
      <c r="E171" s="373" t="s">
        <v>14</v>
      </c>
      <c r="F171" s="603">
        <f t="shared" si="45"/>
        <v>49</v>
      </c>
      <c r="G171" s="603"/>
      <c r="H171" s="565">
        <v>27</v>
      </c>
      <c r="I171" s="565">
        <v>22</v>
      </c>
      <c r="J171" s="603"/>
      <c r="K171" s="603"/>
      <c r="L171" s="603"/>
      <c r="M171" s="603"/>
      <c r="N171" s="608"/>
      <c r="O171" s="603">
        <v>1577000</v>
      </c>
      <c r="P171" s="603">
        <v>2721000</v>
      </c>
      <c r="Q171" s="603">
        <v>2721000</v>
      </c>
      <c r="R171" s="603">
        <v>1188000</v>
      </c>
      <c r="S171" s="603">
        <v>0</v>
      </c>
      <c r="T171" s="603">
        <v>2181000</v>
      </c>
      <c r="U171" s="603">
        <v>0</v>
      </c>
      <c r="V171" s="603">
        <v>1051000</v>
      </c>
      <c r="W171" s="603">
        <v>1814000</v>
      </c>
      <c r="X171" s="603">
        <v>1814000</v>
      </c>
      <c r="Y171" s="603">
        <v>792000</v>
      </c>
      <c r="Z171" s="603">
        <v>0</v>
      </c>
      <c r="AA171" s="603">
        <v>1454000</v>
      </c>
      <c r="AB171" s="603">
        <v>0</v>
      </c>
      <c r="AC171" s="603">
        <v>0</v>
      </c>
      <c r="AD171" s="603">
        <v>0</v>
      </c>
      <c r="AE171" s="603">
        <v>0</v>
      </c>
      <c r="AF171" s="603">
        <v>0</v>
      </c>
      <c r="AG171" s="603">
        <v>0</v>
      </c>
      <c r="AH171" s="603">
        <v>0</v>
      </c>
      <c r="AI171" s="603">
        <v>0</v>
      </c>
      <c r="AJ171" s="604" t="s">
        <v>2377</v>
      </c>
      <c r="AK171" s="605" t="s">
        <v>2378</v>
      </c>
      <c r="AL171" s="605" t="s">
        <v>1545</v>
      </c>
      <c r="AM171" s="606" t="s">
        <v>2431</v>
      </c>
      <c r="AN171" s="609"/>
      <c r="AO171" s="610" t="s">
        <v>2485</v>
      </c>
      <c r="AP171" s="610" t="s">
        <v>2485</v>
      </c>
      <c r="AQ171" s="610" t="s">
        <v>2485</v>
      </c>
      <c r="AR171" s="610" t="s">
        <v>2485</v>
      </c>
      <c r="AS171" s="610" t="s">
        <v>2485</v>
      </c>
      <c r="AT171" s="610" t="s">
        <v>2485</v>
      </c>
      <c r="AU171" s="610" t="s">
        <v>2485</v>
      </c>
      <c r="AV171" s="610" t="s">
        <v>2485</v>
      </c>
      <c r="AW171" s="610" t="s">
        <v>2485</v>
      </c>
      <c r="AX171" s="610" t="s">
        <v>2485</v>
      </c>
      <c r="AY171" s="610" t="s">
        <v>2485</v>
      </c>
      <c r="AZ171" s="610" t="s">
        <v>2485</v>
      </c>
      <c r="BA171" s="610" t="s">
        <v>1368</v>
      </c>
      <c r="BB171" s="610" t="s">
        <v>1368</v>
      </c>
      <c r="BC171" s="610" t="s">
        <v>1368</v>
      </c>
      <c r="BD171" s="610" t="s">
        <v>1368</v>
      </c>
      <c r="BE171" s="610" t="s">
        <v>1368</v>
      </c>
      <c r="BF171" s="610" t="s">
        <v>1368</v>
      </c>
      <c r="BG171" s="610" t="s">
        <v>1368</v>
      </c>
      <c r="BH171" s="610" t="s">
        <v>1368</v>
      </c>
      <c r="BI171" s="610" t="s">
        <v>1368</v>
      </c>
      <c r="BJ171" s="610" t="s">
        <v>1368</v>
      </c>
      <c r="BK171" s="610" t="s">
        <v>1368</v>
      </c>
      <c r="BL171" s="610" t="s">
        <v>1368</v>
      </c>
      <c r="BM171" s="610">
        <v>1</v>
      </c>
      <c r="BN171" s="610">
        <v>1</v>
      </c>
      <c r="BO171" s="610">
        <v>1</v>
      </c>
      <c r="BP171" s="610">
        <v>1</v>
      </c>
      <c r="BQ171" s="610">
        <v>1</v>
      </c>
      <c r="BR171" s="610">
        <v>1</v>
      </c>
      <c r="BS171" s="610">
        <v>1</v>
      </c>
      <c r="BT171" s="610">
        <v>1</v>
      </c>
      <c r="BU171" s="610">
        <v>1</v>
      </c>
      <c r="BV171" s="610">
        <v>1</v>
      </c>
      <c r="BW171" s="610">
        <v>1</v>
      </c>
      <c r="BX171" s="610">
        <v>1</v>
      </c>
      <c r="BY171" s="610">
        <v>0</v>
      </c>
      <c r="BZ171" s="610">
        <v>0</v>
      </c>
      <c r="CA171" s="610">
        <v>0</v>
      </c>
      <c r="CB171" s="610">
        <v>0</v>
      </c>
      <c r="CC171" s="610">
        <v>0</v>
      </c>
      <c r="CD171" s="610">
        <v>0</v>
      </c>
      <c r="CE171" s="610">
        <v>0</v>
      </c>
      <c r="CF171" s="610">
        <v>0</v>
      </c>
      <c r="CG171" s="610">
        <v>0</v>
      </c>
      <c r="CH171" s="610">
        <v>0</v>
      </c>
      <c r="CI171" s="610">
        <v>0</v>
      </c>
      <c r="CJ171" s="610">
        <v>0</v>
      </c>
      <c r="CK171" s="610">
        <v>0</v>
      </c>
      <c r="CL171" s="610">
        <v>0</v>
      </c>
      <c r="CM171" s="610">
        <v>0</v>
      </c>
      <c r="CN171" s="610">
        <v>0</v>
      </c>
      <c r="CO171" s="610">
        <v>0</v>
      </c>
      <c r="CP171" s="610">
        <v>0</v>
      </c>
      <c r="CQ171" s="610">
        <v>0</v>
      </c>
      <c r="CR171" s="610">
        <v>0</v>
      </c>
      <c r="CS171" s="610">
        <v>0</v>
      </c>
      <c r="CT171" s="610">
        <v>0</v>
      </c>
      <c r="CU171" s="610">
        <v>0</v>
      </c>
      <c r="CV171" s="610">
        <v>0</v>
      </c>
      <c r="CW171" s="610" t="s">
        <v>14</v>
      </c>
      <c r="CX171" s="610">
        <v>0</v>
      </c>
      <c r="CY171" s="610" t="s">
        <v>1707</v>
      </c>
      <c r="CZ171" s="610" t="s">
        <v>1707</v>
      </c>
      <c r="DA171" s="610" t="s">
        <v>1707</v>
      </c>
      <c r="DB171" s="610" t="s">
        <v>1707</v>
      </c>
      <c r="DC171" s="610" t="s">
        <v>1707</v>
      </c>
      <c r="DD171" s="610" t="s">
        <v>1707</v>
      </c>
      <c r="DE171" s="610" t="s">
        <v>1707</v>
      </c>
      <c r="DF171" s="610" t="s">
        <v>1707</v>
      </c>
      <c r="DG171" s="610" t="s">
        <v>1707</v>
      </c>
      <c r="DH171" s="610" t="s">
        <v>1707</v>
      </c>
      <c r="DI171" s="610" t="s">
        <v>1707</v>
      </c>
      <c r="DJ171" s="610" t="s">
        <v>1707</v>
      </c>
      <c r="DK171" s="610" t="s">
        <v>1368</v>
      </c>
      <c r="DL171" s="610" t="s">
        <v>1368</v>
      </c>
      <c r="DM171" s="610" t="s">
        <v>1368</v>
      </c>
      <c r="DN171" s="610" t="s">
        <v>1368</v>
      </c>
      <c r="DO171" s="610" t="s">
        <v>1368</v>
      </c>
      <c r="DP171" s="610" t="s">
        <v>1368</v>
      </c>
      <c r="DQ171" s="610" t="s">
        <v>1368</v>
      </c>
      <c r="DR171" s="610" t="s">
        <v>1368</v>
      </c>
      <c r="DS171" s="610" t="s">
        <v>1368</v>
      </c>
      <c r="DT171" s="610" t="s">
        <v>1368</v>
      </c>
      <c r="DU171" s="610" t="s">
        <v>1368</v>
      </c>
      <c r="DV171" s="610" t="s">
        <v>1368</v>
      </c>
      <c r="DW171" s="609" t="s">
        <v>1368</v>
      </c>
      <c r="DX171" s="609" t="s">
        <v>1368</v>
      </c>
      <c r="DY171" s="609" t="s">
        <v>1368</v>
      </c>
      <c r="DZ171" s="609" t="s">
        <v>1368</v>
      </c>
      <c r="EA171" s="609" t="s">
        <v>1368</v>
      </c>
      <c r="EB171" s="609" t="s">
        <v>1368</v>
      </c>
      <c r="EC171" s="609" t="s">
        <v>1368</v>
      </c>
      <c r="ED171" s="609" t="s">
        <v>1368</v>
      </c>
      <c r="EE171" s="609" t="s">
        <v>1368</v>
      </c>
      <c r="EF171" s="609" t="s">
        <v>1368</v>
      </c>
      <c r="EG171" s="609" t="s">
        <v>1368</v>
      </c>
      <c r="EH171" s="609" t="s">
        <v>1368</v>
      </c>
      <c r="EI171" s="610" t="s">
        <v>1707</v>
      </c>
      <c r="EJ171" s="610" t="s">
        <v>1707</v>
      </c>
      <c r="EK171" s="610" t="s">
        <v>1707</v>
      </c>
      <c r="EL171" s="610" t="s">
        <v>1707</v>
      </c>
      <c r="EM171" s="610" t="s">
        <v>1707</v>
      </c>
      <c r="EN171" s="610" t="s">
        <v>1707</v>
      </c>
      <c r="EO171" s="610" t="s">
        <v>1707</v>
      </c>
      <c r="EP171" s="610" t="s">
        <v>1707</v>
      </c>
      <c r="EQ171" s="610" t="s">
        <v>1707</v>
      </c>
      <c r="ER171" s="610" t="s">
        <v>1707</v>
      </c>
      <c r="ES171" s="610" t="s">
        <v>1707</v>
      </c>
      <c r="ET171" s="610" t="s">
        <v>1707</v>
      </c>
      <c r="EU171" s="610">
        <v>3920</v>
      </c>
      <c r="EV171" s="610" t="s">
        <v>1707</v>
      </c>
      <c r="EW171" s="610" t="s">
        <v>1707</v>
      </c>
      <c r="EX171" s="610" t="s">
        <v>1707</v>
      </c>
      <c r="EY171" s="610" t="s">
        <v>1707</v>
      </c>
      <c r="EZ171" s="610" t="s">
        <v>1707</v>
      </c>
      <c r="FA171" s="610" t="s">
        <v>1707</v>
      </c>
      <c r="FB171" s="610" t="s">
        <v>1707</v>
      </c>
      <c r="FC171" s="610" t="s">
        <v>1707</v>
      </c>
      <c r="FD171" s="610" t="s">
        <v>1707</v>
      </c>
      <c r="FE171" s="610" t="s">
        <v>1707</v>
      </c>
      <c r="FF171" s="610" t="s">
        <v>1707</v>
      </c>
      <c r="FG171" s="610" t="s">
        <v>1707</v>
      </c>
      <c r="FH171" s="610">
        <v>10</v>
      </c>
      <c r="FI171" s="610">
        <v>11</v>
      </c>
      <c r="FJ171" s="610">
        <v>11</v>
      </c>
      <c r="FK171" s="610">
        <v>11</v>
      </c>
      <c r="FL171" s="610">
        <v>11</v>
      </c>
      <c r="FM171" s="610">
        <v>10</v>
      </c>
      <c r="FN171" s="610">
        <v>10</v>
      </c>
      <c r="FO171" s="610">
        <v>11</v>
      </c>
      <c r="FP171" s="610">
        <v>11</v>
      </c>
      <c r="FQ171" s="610">
        <v>11</v>
      </c>
      <c r="FR171" s="610" t="s">
        <v>2487</v>
      </c>
      <c r="FS171" s="610" t="s">
        <v>2487</v>
      </c>
      <c r="FT171" s="610" t="s">
        <v>2487</v>
      </c>
      <c r="FU171" s="610" t="s">
        <v>2487</v>
      </c>
      <c r="FV171" s="610" t="s">
        <v>2487</v>
      </c>
      <c r="FW171" s="610" t="s">
        <v>2487</v>
      </c>
      <c r="FX171" s="610" t="s">
        <v>2487</v>
      </c>
      <c r="FY171" s="610" t="s">
        <v>2487</v>
      </c>
      <c r="FZ171" s="610" t="s">
        <v>2487</v>
      </c>
      <c r="GA171" s="610" t="s">
        <v>2487</v>
      </c>
      <c r="GB171" s="610" t="s">
        <v>2487</v>
      </c>
      <c r="GC171" s="610" t="s">
        <v>2487</v>
      </c>
      <c r="GD171" s="564">
        <f t="shared" si="33"/>
        <v>79950</v>
      </c>
      <c r="GE171" s="564">
        <f t="shared" si="34"/>
        <v>79950</v>
      </c>
      <c r="GF171" s="564">
        <f t="shared" si="35"/>
        <v>79950</v>
      </c>
      <c r="GG171" s="564">
        <f t="shared" si="36"/>
        <v>79950</v>
      </c>
      <c r="GH171" s="564">
        <f t="shared" si="37"/>
        <v>79950</v>
      </c>
      <c r="GI171" s="564">
        <f t="shared" si="38"/>
        <v>79950</v>
      </c>
      <c r="GJ171" s="564">
        <f t="shared" si="39"/>
        <v>79950</v>
      </c>
      <c r="GK171" s="564">
        <f t="shared" si="40"/>
        <v>79950</v>
      </c>
      <c r="GL171" s="564">
        <f t="shared" si="41"/>
        <v>79950</v>
      </c>
      <c r="GM171" s="564">
        <f t="shared" si="42"/>
        <v>79950</v>
      </c>
      <c r="GN171" s="564">
        <f t="shared" si="43"/>
        <v>79950</v>
      </c>
      <c r="GO171" s="564">
        <f t="shared" si="44"/>
        <v>79950</v>
      </c>
      <c r="GP171" s="564"/>
      <c r="GS171" s="375" t="s">
        <v>1983</v>
      </c>
      <c r="GT171" s="374" t="str">
        <f t="shared" si="48"/>
        <v>〇</v>
      </c>
    </row>
    <row r="172" spans="2:202">
      <c r="B172" s="371">
        <v>168</v>
      </c>
      <c r="C172" s="378">
        <v>168</v>
      </c>
      <c r="D172" s="373" t="s">
        <v>1911</v>
      </c>
      <c r="E172" s="373" t="s">
        <v>14</v>
      </c>
      <c r="F172" s="603">
        <f t="shared" si="45"/>
        <v>20</v>
      </c>
      <c r="G172" s="603"/>
      <c r="H172" s="565">
        <v>11</v>
      </c>
      <c r="I172" s="565">
        <v>9</v>
      </c>
      <c r="J172" s="603"/>
      <c r="K172" s="603"/>
      <c r="L172" s="603"/>
      <c r="M172" s="603"/>
      <c r="N172" s="608"/>
      <c r="O172" s="603">
        <v>1577000</v>
      </c>
      <c r="P172" s="603">
        <v>2721000</v>
      </c>
      <c r="Q172" s="603">
        <v>2721000</v>
      </c>
      <c r="R172" s="603">
        <v>1188000</v>
      </c>
      <c r="S172" s="603">
        <v>0</v>
      </c>
      <c r="T172" s="603">
        <v>0</v>
      </c>
      <c r="U172" s="603">
        <v>0</v>
      </c>
      <c r="V172" s="603">
        <v>1051000</v>
      </c>
      <c r="W172" s="603">
        <v>1814000</v>
      </c>
      <c r="X172" s="603">
        <v>1814000</v>
      </c>
      <c r="Y172" s="603">
        <v>792000</v>
      </c>
      <c r="Z172" s="603">
        <v>0</v>
      </c>
      <c r="AA172" s="603">
        <v>0</v>
      </c>
      <c r="AB172" s="603">
        <v>0</v>
      </c>
      <c r="AC172" s="603">
        <v>526000</v>
      </c>
      <c r="AD172" s="603">
        <v>907000</v>
      </c>
      <c r="AE172" s="603">
        <v>907000</v>
      </c>
      <c r="AF172" s="603">
        <v>396000</v>
      </c>
      <c r="AG172" s="603">
        <v>0</v>
      </c>
      <c r="AH172" s="603">
        <v>0</v>
      </c>
      <c r="AI172" s="603">
        <v>0</v>
      </c>
      <c r="AJ172" s="604" t="s">
        <v>2377</v>
      </c>
      <c r="AK172" s="605" t="s">
        <v>2378</v>
      </c>
      <c r="AL172" s="605" t="s">
        <v>2490</v>
      </c>
      <c r="AM172" s="606" t="s">
        <v>2432</v>
      </c>
      <c r="AN172" s="609"/>
      <c r="AO172" s="610" t="s">
        <v>1368</v>
      </c>
      <c r="AP172" s="610" t="s">
        <v>1368</v>
      </c>
      <c r="AQ172" s="610" t="s">
        <v>1368</v>
      </c>
      <c r="AR172" s="610" t="s">
        <v>1368</v>
      </c>
      <c r="AS172" s="610" t="s">
        <v>1368</v>
      </c>
      <c r="AT172" s="610" t="s">
        <v>1368</v>
      </c>
      <c r="AU172" s="610" t="s">
        <v>1368</v>
      </c>
      <c r="AV172" s="610" t="s">
        <v>1368</v>
      </c>
      <c r="AW172" s="610" t="s">
        <v>1368</v>
      </c>
      <c r="AX172" s="610" t="s">
        <v>1368</v>
      </c>
      <c r="AY172" s="610" t="s">
        <v>1368</v>
      </c>
      <c r="AZ172" s="610" t="s">
        <v>1368</v>
      </c>
      <c r="BA172" s="610" t="s">
        <v>1368</v>
      </c>
      <c r="BB172" s="610" t="s">
        <v>1368</v>
      </c>
      <c r="BC172" s="610" t="s">
        <v>1368</v>
      </c>
      <c r="BD172" s="610" t="s">
        <v>1368</v>
      </c>
      <c r="BE172" s="610" t="s">
        <v>1368</v>
      </c>
      <c r="BF172" s="610" t="s">
        <v>1368</v>
      </c>
      <c r="BG172" s="610" t="s">
        <v>1368</v>
      </c>
      <c r="BH172" s="610" t="s">
        <v>1368</v>
      </c>
      <c r="BI172" s="610" t="s">
        <v>1368</v>
      </c>
      <c r="BJ172" s="610" t="s">
        <v>1368</v>
      </c>
      <c r="BK172" s="610" t="s">
        <v>1368</v>
      </c>
      <c r="BL172" s="610" t="s">
        <v>1368</v>
      </c>
      <c r="BM172" s="610">
        <v>0</v>
      </c>
      <c r="BN172" s="610">
        <v>0</v>
      </c>
      <c r="BO172" s="610">
        <v>0</v>
      </c>
      <c r="BP172" s="610">
        <v>0</v>
      </c>
      <c r="BQ172" s="610">
        <v>0</v>
      </c>
      <c r="BR172" s="610">
        <v>0</v>
      </c>
      <c r="BS172" s="610">
        <v>0</v>
      </c>
      <c r="BT172" s="610">
        <v>0</v>
      </c>
      <c r="BU172" s="610">
        <v>0</v>
      </c>
      <c r="BV172" s="610">
        <v>0</v>
      </c>
      <c r="BW172" s="610">
        <v>0</v>
      </c>
      <c r="BX172" s="610">
        <v>0</v>
      </c>
      <c r="BY172" s="610">
        <v>0</v>
      </c>
      <c r="BZ172" s="610">
        <v>0</v>
      </c>
      <c r="CA172" s="610">
        <v>0</v>
      </c>
      <c r="CB172" s="610">
        <v>0</v>
      </c>
      <c r="CC172" s="610">
        <v>0</v>
      </c>
      <c r="CD172" s="610">
        <v>0</v>
      </c>
      <c r="CE172" s="610">
        <v>0</v>
      </c>
      <c r="CF172" s="610">
        <v>0</v>
      </c>
      <c r="CG172" s="610">
        <v>0</v>
      </c>
      <c r="CH172" s="610">
        <v>0</v>
      </c>
      <c r="CI172" s="610">
        <v>0</v>
      </c>
      <c r="CJ172" s="610">
        <v>0</v>
      </c>
      <c r="CK172" s="610">
        <v>0</v>
      </c>
      <c r="CL172" s="610">
        <v>0</v>
      </c>
      <c r="CM172" s="610">
        <v>0</v>
      </c>
      <c r="CN172" s="610">
        <v>0</v>
      </c>
      <c r="CO172" s="610">
        <v>0</v>
      </c>
      <c r="CP172" s="610">
        <v>0</v>
      </c>
      <c r="CQ172" s="610">
        <v>0</v>
      </c>
      <c r="CR172" s="610">
        <v>0</v>
      </c>
      <c r="CS172" s="610">
        <v>0</v>
      </c>
      <c r="CT172" s="610">
        <v>0</v>
      </c>
      <c r="CU172" s="610">
        <v>0</v>
      </c>
      <c r="CV172" s="610">
        <v>0</v>
      </c>
      <c r="CW172" s="610" t="s">
        <v>14</v>
      </c>
      <c r="CX172" s="610">
        <v>0</v>
      </c>
      <c r="CY172" s="610" t="s">
        <v>2449</v>
      </c>
      <c r="CZ172" s="610" t="s">
        <v>2449</v>
      </c>
      <c r="DA172" s="610" t="s">
        <v>2449</v>
      </c>
      <c r="DB172" s="610" t="s">
        <v>1707</v>
      </c>
      <c r="DC172" s="610" t="s">
        <v>1707</v>
      </c>
      <c r="DD172" s="610" t="s">
        <v>1707</v>
      </c>
      <c r="DE172" s="610" t="s">
        <v>1707</v>
      </c>
      <c r="DF172" s="610" t="s">
        <v>1707</v>
      </c>
      <c r="DG172" s="610" t="s">
        <v>1707</v>
      </c>
      <c r="DH172" s="610" t="s">
        <v>1707</v>
      </c>
      <c r="DI172" s="610" t="s">
        <v>1707</v>
      </c>
      <c r="DJ172" s="610" t="s">
        <v>1707</v>
      </c>
      <c r="DK172" s="610" t="s">
        <v>1368</v>
      </c>
      <c r="DL172" s="610" t="s">
        <v>1368</v>
      </c>
      <c r="DM172" s="610" t="s">
        <v>1368</v>
      </c>
      <c r="DN172" s="610" t="s">
        <v>1368</v>
      </c>
      <c r="DO172" s="610" t="s">
        <v>1368</v>
      </c>
      <c r="DP172" s="610" t="s">
        <v>1368</v>
      </c>
      <c r="DQ172" s="610" t="s">
        <v>1368</v>
      </c>
      <c r="DR172" s="610" t="s">
        <v>1368</v>
      </c>
      <c r="DS172" s="610" t="s">
        <v>1368</v>
      </c>
      <c r="DT172" s="610" t="s">
        <v>1368</v>
      </c>
      <c r="DU172" s="610" t="s">
        <v>1368</v>
      </c>
      <c r="DV172" s="610" t="s">
        <v>1368</v>
      </c>
      <c r="DW172" s="609" t="s">
        <v>1368</v>
      </c>
      <c r="DX172" s="609" t="s">
        <v>1368</v>
      </c>
      <c r="DY172" s="609" t="s">
        <v>1368</v>
      </c>
      <c r="DZ172" s="609" t="s">
        <v>1368</v>
      </c>
      <c r="EA172" s="609" t="s">
        <v>1368</v>
      </c>
      <c r="EB172" s="609" t="s">
        <v>1368</v>
      </c>
      <c r="EC172" s="609" t="s">
        <v>1368</v>
      </c>
      <c r="ED172" s="609" t="s">
        <v>1368</v>
      </c>
      <c r="EE172" s="609" t="s">
        <v>1368</v>
      </c>
      <c r="EF172" s="609" t="s">
        <v>1368</v>
      </c>
      <c r="EG172" s="609" t="s">
        <v>1368</v>
      </c>
      <c r="EH172" s="609" t="s">
        <v>1368</v>
      </c>
      <c r="EI172" s="610" t="s">
        <v>1707</v>
      </c>
      <c r="EJ172" s="610" t="s">
        <v>1707</v>
      </c>
      <c r="EK172" s="610" t="s">
        <v>1707</v>
      </c>
      <c r="EL172" s="610" t="s">
        <v>1707</v>
      </c>
      <c r="EM172" s="610" t="s">
        <v>1707</v>
      </c>
      <c r="EN172" s="610" t="s">
        <v>1707</v>
      </c>
      <c r="EO172" s="610" t="s">
        <v>1707</v>
      </c>
      <c r="EP172" s="610" t="s">
        <v>1707</v>
      </c>
      <c r="EQ172" s="610" t="s">
        <v>1707</v>
      </c>
      <c r="ER172" s="610" t="s">
        <v>1707</v>
      </c>
      <c r="ES172" s="610" t="s">
        <v>1707</v>
      </c>
      <c r="ET172" s="610" t="s">
        <v>1707</v>
      </c>
      <c r="EU172" s="610">
        <v>3950</v>
      </c>
      <c r="EV172" s="610" t="s">
        <v>2449</v>
      </c>
      <c r="EW172" s="610" t="s">
        <v>2449</v>
      </c>
      <c r="EX172" s="610" t="s">
        <v>2449</v>
      </c>
      <c r="EY172" s="610" t="s">
        <v>2449</v>
      </c>
      <c r="EZ172" s="610" t="s">
        <v>2449</v>
      </c>
      <c r="FA172" s="610" t="s">
        <v>2449</v>
      </c>
      <c r="FB172" s="610" t="s">
        <v>2449</v>
      </c>
      <c r="FC172" s="610" t="s">
        <v>2449</v>
      </c>
      <c r="FD172" s="610" t="s">
        <v>2449</v>
      </c>
      <c r="FE172" s="610" t="s">
        <v>2449</v>
      </c>
      <c r="FF172" s="610" t="s">
        <v>2449</v>
      </c>
      <c r="FG172" s="610" t="s">
        <v>2449</v>
      </c>
      <c r="FH172" s="610">
        <v>0</v>
      </c>
      <c r="FI172" s="610">
        <v>0</v>
      </c>
      <c r="FJ172" s="610">
        <v>0</v>
      </c>
      <c r="FK172" s="610">
        <v>0</v>
      </c>
      <c r="FL172" s="610">
        <v>0</v>
      </c>
      <c r="FM172" s="610">
        <v>0</v>
      </c>
      <c r="FN172" s="610">
        <v>0</v>
      </c>
      <c r="FO172" s="610">
        <v>0</v>
      </c>
      <c r="FP172" s="610">
        <v>0</v>
      </c>
      <c r="FQ172" s="610">
        <v>0</v>
      </c>
      <c r="FR172" s="610" t="s">
        <v>2487</v>
      </c>
      <c r="FS172" s="610" t="s">
        <v>2487</v>
      </c>
      <c r="FT172" s="610" t="s">
        <v>2487</v>
      </c>
      <c r="FU172" s="610" t="s">
        <v>2487</v>
      </c>
      <c r="FV172" s="610" t="s">
        <v>2487</v>
      </c>
      <c r="FW172" s="610" t="s">
        <v>2487</v>
      </c>
      <c r="FX172" s="610" t="s">
        <v>2487</v>
      </c>
      <c r="FY172" s="610" t="s">
        <v>2487</v>
      </c>
      <c r="FZ172" s="610" t="s">
        <v>2487</v>
      </c>
      <c r="GA172" s="610" t="s">
        <v>2487</v>
      </c>
      <c r="GB172" s="610" t="s">
        <v>2487</v>
      </c>
      <c r="GC172" s="610" t="s">
        <v>2487</v>
      </c>
      <c r="GD172" s="564">
        <f t="shared" si="33"/>
        <v>79950</v>
      </c>
      <c r="GE172" s="564">
        <f t="shared" si="34"/>
        <v>79950</v>
      </c>
      <c r="GF172" s="564">
        <f t="shared" si="35"/>
        <v>79950</v>
      </c>
      <c r="GG172" s="564">
        <f t="shared" si="36"/>
        <v>79950</v>
      </c>
      <c r="GH172" s="564">
        <f t="shared" si="37"/>
        <v>79950</v>
      </c>
      <c r="GI172" s="564">
        <f t="shared" si="38"/>
        <v>79950</v>
      </c>
      <c r="GJ172" s="564">
        <f t="shared" si="39"/>
        <v>79950</v>
      </c>
      <c r="GK172" s="564">
        <f t="shared" si="40"/>
        <v>79950</v>
      </c>
      <c r="GL172" s="564">
        <f t="shared" si="41"/>
        <v>79950</v>
      </c>
      <c r="GM172" s="564">
        <f t="shared" si="42"/>
        <v>79950</v>
      </c>
      <c r="GN172" s="564">
        <f t="shared" si="43"/>
        <v>79950</v>
      </c>
      <c r="GO172" s="564">
        <f t="shared" si="44"/>
        <v>79950</v>
      </c>
      <c r="GP172" s="564"/>
      <c r="GS172" s="375" t="s">
        <v>1911</v>
      </c>
      <c r="GT172" s="374" t="str">
        <f t="shared" si="48"/>
        <v>〇</v>
      </c>
    </row>
    <row r="173" spans="2:202">
      <c r="B173" s="371">
        <v>169</v>
      </c>
      <c r="C173" s="378">
        <v>169</v>
      </c>
      <c r="D173" s="373" t="s">
        <v>1917</v>
      </c>
      <c r="E173" s="373" t="s">
        <v>14</v>
      </c>
      <c r="F173" s="603">
        <f t="shared" si="45"/>
        <v>50</v>
      </c>
      <c r="G173" s="603"/>
      <c r="H173" s="565">
        <v>27</v>
      </c>
      <c r="I173" s="565">
        <v>23</v>
      </c>
      <c r="J173" s="603"/>
      <c r="K173" s="603"/>
      <c r="L173" s="603"/>
      <c r="M173" s="603"/>
      <c r="N173" s="608"/>
      <c r="O173" s="603">
        <v>974000</v>
      </c>
      <c r="P173" s="603">
        <v>0</v>
      </c>
      <c r="Q173" s="603">
        <v>0</v>
      </c>
      <c r="R173" s="603">
        <v>0</v>
      </c>
      <c r="S173" s="603">
        <v>0</v>
      </c>
      <c r="T173" s="603">
        <v>0</v>
      </c>
      <c r="U173" s="603">
        <v>0</v>
      </c>
      <c r="V173" s="603">
        <v>649000</v>
      </c>
      <c r="W173" s="603">
        <v>0</v>
      </c>
      <c r="X173" s="603">
        <v>0</v>
      </c>
      <c r="Y173" s="603">
        <v>0</v>
      </c>
      <c r="Z173" s="603">
        <v>0</v>
      </c>
      <c r="AA173" s="603">
        <v>0</v>
      </c>
      <c r="AB173" s="603">
        <v>0</v>
      </c>
      <c r="AC173" s="603">
        <v>325000</v>
      </c>
      <c r="AD173" s="603">
        <v>0</v>
      </c>
      <c r="AE173" s="603">
        <v>0</v>
      </c>
      <c r="AF173" s="603">
        <v>0</v>
      </c>
      <c r="AG173" s="603">
        <v>0</v>
      </c>
      <c r="AH173" s="603">
        <v>0</v>
      </c>
      <c r="AI173" s="603">
        <v>0</v>
      </c>
      <c r="AJ173" s="604" t="s">
        <v>2377</v>
      </c>
      <c r="AK173" s="605" t="s">
        <v>2378</v>
      </c>
      <c r="AL173" s="605" t="s">
        <v>2490</v>
      </c>
      <c r="AM173" s="606" t="s">
        <v>2433</v>
      </c>
      <c r="AN173" s="609"/>
      <c r="AO173" s="610" t="s">
        <v>1368</v>
      </c>
      <c r="AP173" s="610" t="s">
        <v>1368</v>
      </c>
      <c r="AQ173" s="610" t="s">
        <v>1368</v>
      </c>
      <c r="AR173" s="610" t="s">
        <v>1368</v>
      </c>
      <c r="AS173" s="610" t="s">
        <v>1368</v>
      </c>
      <c r="AT173" s="610" t="s">
        <v>1368</v>
      </c>
      <c r="AU173" s="610" t="s">
        <v>1368</v>
      </c>
      <c r="AV173" s="610" t="s">
        <v>1368</v>
      </c>
      <c r="AW173" s="610" t="s">
        <v>1368</v>
      </c>
      <c r="AX173" s="610" t="s">
        <v>1368</v>
      </c>
      <c r="AY173" s="610" t="s">
        <v>1368</v>
      </c>
      <c r="AZ173" s="610" t="s">
        <v>1368</v>
      </c>
      <c r="BA173" s="610" t="s">
        <v>1368</v>
      </c>
      <c r="BB173" s="610" t="s">
        <v>1368</v>
      </c>
      <c r="BC173" s="610" t="s">
        <v>1368</v>
      </c>
      <c r="BD173" s="610" t="s">
        <v>1368</v>
      </c>
      <c r="BE173" s="610" t="s">
        <v>1368</v>
      </c>
      <c r="BF173" s="610" t="s">
        <v>1368</v>
      </c>
      <c r="BG173" s="610" t="s">
        <v>1368</v>
      </c>
      <c r="BH173" s="610" t="s">
        <v>1368</v>
      </c>
      <c r="BI173" s="610" t="s">
        <v>1368</v>
      </c>
      <c r="BJ173" s="610" t="s">
        <v>1368</v>
      </c>
      <c r="BK173" s="610" t="s">
        <v>1368</v>
      </c>
      <c r="BL173" s="610" t="s">
        <v>1368</v>
      </c>
      <c r="BM173" s="610">
        <v>0</v>
      </c>
      <c r="BN173" s="610">
        <v>0</v>
      </c>
      <c r="BO173" s="610">
        <v>0</v>
      </c>
      <c r="BP173" s="610">
        <v>0</v>
      </c>
      <c r="BQ173" s="610">
        <v>0</v>
      </c>
      <c r="BR173" s="610">
        <v>0</v>
      </c>
      <c r="BS173" s="610">
        <v>0</v>
      </c>
      <c r="BT173" s="610">
        <v>0</v>
      </c>
      <c r="BU173" s="610">
        <v>0</v>
      </c>
      <c r="BV173" s="610">
        <v>0</v>
      </c>
      <c r="BW173" s="610">
        <v>0</v>
      </c>
      <c r="BX173" s="610">
        <v>0</v>
      </c>
      <c r="BY173" s="610">
        <v>0</v>
      </c>
      <c r="BZ173" s="610">
        <v>0</v>
      </c>
      <c r="CA173" s="610">
        <v>0</v>
      </c>
      <c r="CB173" s="610">
        <v>0</v>
      </c>
      <c r="CC173" s="610">
        <v>0</v>
      </c>
      <c r="CD173" s="610">
        <v>0</v>
      </c>
      <c r="CE173" s="610">
        <v>0</v>
      </c>
      <c r="CF173" s="610">
        <v>0</v>
      </c>
      <c r="CG173" s="610">
        <v>0</v>
      </c>
      <c r="CH173" s="610">
        <v>0</v>
      </c>
      <c r="CI173" s="610">
        <v>0</v>
      </c>
      <c r="CJ173" s="610">
        <v>0</v>
      </c>
      <c r="CK173" s="610">
        <v>0</v>
      </c>
      <c r="CL173" s="610">
        <v>0</v>
      </c>
      <c r="CM173" s="610">
        <v>0</v>
      </c>
      <c r="CN173" s="610">
        <v>0</v>
      </c>
      <c r="CO173" s="610">
        <v>0</v>
      </c>
      <c r="CP173" s="610">
        <v>0</v>
      </c>
      <c r="CQ173" s="610">
        <v>0</v>
      </c>
      <c r="CR173" s="610">
        <v>0</v>
      </c>
      <c r="CS173" s="610">
        <v>0</v>
      </c>
      <c r="CT173" s="610">
        <v>0</v>
      </c>
      <c r="CU173" s="610">
        <v>0</v>
      </c>
      <c r="CV173" s="610">
        <v>0</v>
      </c>
      <c r="CW173" s="610" t="s">
        <v>14</v>
      </c>
      <c r="CX173" s="610">
        <v>0</v>
      </c>
      <c r="CY173" s="610" t="s">
        <v>1707</v>
      </c>
      <c r="CZ173" s="610" t="s">
        <v>1707</v>
      </c>
      <c r="DA173" s="610" t="s">
        <v>1707</v>
      </c>
      <c r="DB173" s="610" t="s">
        <v>1707</v>
      </c>
      <c r="DC173" s="610" t="s">
        <v>1707</v>
      </c>
      <c r="DD173" s="610" t="s">
        <v>1707</v>
      </c>
      <c r="DE173" s="610" t="s">
        <v>1707</v>
      </c>
      <c r="DF173" s="610" t="s">
        <v>1707</v>
      </c>
      <c r="DG173" s="610" t="s">
        <v>1707</v>
      </c>
      <c r="DH173" s="610" t="s">
        <v>1707</v>
      </c>
      <c r="DI173" s="610" t="s">
        <v>1707</v>
      </c>
      <c r="DJ173" s="610" t="s">
        <v>1707</v>
      </c>
      <c r="DK173" s="610" t="s">
        <v>1368</v>
      </c>
      <c r="DL173" s="610" t="s">
        <v>1368</v>
      </c>
      <c r="DM173" s="610" t="s">
        <v>1368</v>
      </c>
      <c r="DN173" s="610" t="s">
        <v>1368</v>
      </c>
      <c r="DO173" s="610" t="s">
        <v>1368</v>
      </c>
      <c r="DP173" s="610" t="s">
        <v>1368</v>
      </c>
      <c r="DQ173" s="610" t="s">
        <v>1368</v>
      </c>
      <c r="DR173" s="610" t="s">
        <v>1368</v>
      </c>
      <c r="DS173" s="610" t="s">
        <v>1368</v>
      </c>
      <c r="DT173" s="610" t="s">
        <v>1368</v>
      </c>
      <c r="DU173" s="610" t="s">
        <v>1368</v>
      </c>
      <c r="DV173" s="610" t="s">
        <v>1368</v>
      </c>
      <c r="DW173" s="609" t="s">
        <v>1368</v>
      </c>
      <c r="DX173" s="609" t="s">
        <v>1368</v>
      </c>
      <c r="DY173" s="609" t="s">
        <v>1368</v>
      </c>
      <c r="DZ173" s="609" t="s">
        <v>1368</v>
      </c>
      <c r="EA173" s="609" t="s">
        <v>1368</v>
      </c>
      <c r="EB173" s="609" t="s">
        <v>1368</v>
      </c>
      <c r="EC173" s="609" t="s">
        <v>1368</v>
      </c>
      <c r="ED173" s="609" t="s">
        <v>1368</v>
      </c>
      <c r="EE173" s="609" t="s">
        <v>1368</v>
      </c>
      <c r="EF173" s="609" t="s">
        <v>1368</v>
      </c>
      <c r="EG173" s="609" t="s">
        <v>1368</v>
      </c>
      <c r="EH173" s="609" t="s">
        <v>1368</v>
      </c>
      <c r="EI173" s="610" t="s">
        <v>1707</v>
      </c>
      <c r="EJ173" s="610" t="s">
        <v>1707</v>
      </c>
      <c r="EK173" s="610" t="s">
        <v>1707</v>
      </c>
      <c r="EL173" s="610" t="s">
        <v>1707</v>
      </c>
      <c r="EM173" s="610" t="s">
        <v>1707</v>
      </c>
      <c r="EN173" s="610" t="s">
        <v>1707</v>
      </c>
      <c r="EO173" s="610" t="s">
        <v>1707</v>
      </c>
      <c r="EP173" s="610" t="s">
        <v>1707</v>
      </c>
      <c r="EQ173" s="610" t="s">
        <v>1707</v>
      </c>
      <c r="ER173" s="610" t="s">
        <v>1707</v>
      </c>
      <c r="ES173" s="610" t="s">
        <v>1707</v>
      </c>
      <c r="ET173" s="610" t="s">
        <v>1707</v>
      </c>
      <c r="EU173" s="610">
        <v>3920</v>
      </c>
      <c r="EV173" s="610" t="s">
        <v>1707</v>
      </c>
      <c r="EW173" s="610" t="s">
        <v>1707</v>
      </c>
      <c r="EX173" s="610" t="s">
        <v>1707</v>
      </c>
      <c r="EY173" s="610" t="s">
        <v>1707</v>
      </c>
      <c r="EZ173" s="610" t="s">
        <v>1707</v>
      </c>
      <c r="FA173" s="610" t="s">
        <v>1707</v>
      </c>
      <c r="FB173" s="610" t="s">
        <v>1707</v>
      </c>
      <c r="FC173" s="610" t="s">
        <v>1707</v>
      </c>
      <c r="FD173" s="610" t="s">
        <v>1707</v>
      </c>
      <c r="FE173" s="610" t="s">
        <v>1707</v>
      </c>
      <c r="FF173" s="610" t="s">
        <v>1707</v>
      </c>
      <c r="FG173" s="610" t="s">
        <v>1707</v>
      </c>
      <c r="FH173" s="610">
        <v>11</v>
      </c>
      <c r="FI173" s="610">
        <v>11</v>
      </c>
      <c r="FJ173" s="610">
        <v>10</v>
      </c>
      <c r="FK173" s="610">
        <v>10</v>
      </c>
      <c r="FL173" s="610">
        <v>11</v>
      </c>
      <c r="FM173" s="610">
        <v>12</v>
      </c>
      <c r="FN173" s="610">
        <v>12</v>
      </c>
      <c r="FO173" s="610">
        <v>12</v>
      </c>
      <c r="FP173" s="610">
        <v>12</v>
      </c>
      <c r="FQ173" s="610">
        <v>12</v>
      </c>
      <c r="FR173" s="610" t="s">
        <v>2489</v>
      </c>
      <c r="FS173" s="610" t="s">
        <v>2489</v>
      </c>
      <c r="FT173" s="610" t="s">
        <v>2489</v>
      </c>
      <c r="FU173" s="610" t="s">
        <v>2489</v>
      </c>
      <c r="FV173" s="610" t="s">
        <v>2489</v>
      </c>
      <c r="FW173" s="610" t="s">
        <v>2489</v>
      </c>
      <c r="FX173" s="610" t="s">
        <v>2489</v>
      </c>
      <c r="FY173" s="610" t="s">
        <v>2489</v>
      </c>
      <c r="FZ173" s="610" t="s">
        <v>2489</v>
      </c>
      <c r="GA173" s="610" t="s">
        <v>2489</v>
      </c>
      <c r="GB173" s="610" t="s">
        <v>2489</v>
      </c>
      <c r="GC173" s="610" t="s">
        <v>2489</v>
      </c>
      <c r="GD173" s="564" t="str">
        <f t="shared" si="33"/>
        <v/>
      </c>
      <c r="GE173" s="564" t="str">
        <f t="shared" si="34"/>
        <v/>
      </c>
      <c r="GF173" s="564" t="str">
        <f t="shared" si="35"/>
        <v/>
      </c>
      <c r="GG173" s="564" t="str">
        <f t="shared" si="36"/>
        <v/>
      </c>
      <c r="GH173" s="564" t="str">
        <f t="shared" si="37"/>
        <v/>
      </c>
      <c r="GI173" s="564" t="str">
        <f t="shared" si="38"/>
        <v/>
      </c>
      <c r="GJ173" s="564" t="str">
        <f t="shared" si="39"/>
        <v/>
      </c>
      <c r="GK173" s="564" t="str">
        <f t="shared" si="40"/>
        <v/>
      </c>
      <c r="GL173" s="564" t="str">
        <f t="shared" si="41"/>
        <v/>
      </c>
      <c r="GM173" s="564" t="str">
        <f t="shared" si="42"/>
        <v/>
      </c>
      <c r="GN173" s="564" t="str">
        <f t="shared" si="43"/>
        <v/>
      </c>
      <c r="GO173" s="564" t="str">
        <f t="shared" si="44"/>
        <v/>
      </c>
      <c r="GP173" s="564"/>
      <c r="GS173" s="375" t="s">
        <v>1917</v>
      </c>
      <c r="GT173" s="374" t="str">
        <f t="shared" si="48"/>
        <v>〇</v>
      </c>
    </row>
    <row r="174" spans="2:202">
      <c r="B174" s="371">
        <v>170</v>
      </c>
      <c r="C174" s="378">
        <v>170</v>
      </c>
      <c r="D174" s="373" t="s">
        <v>2323</v>
      </c>
      <c r="E174" s="373" t="s">
        <v>14</v>
      </c>
      <c r="F174" s="603">
        <f t="shared" si="45"/>
        <v>120</v>
      </c>
      <c r="G174" s="603"/>
      <c r="H174" s="565">
        <v>68</v>
      </c>
      <c r="I174" s="565">
        <v>52</v>
      </c>
      <c r="J174" s="603"/>
      <c r="K174" s="603"/>
      <c r="L174" s="603"/>
      <c r="M174" s="603"/>
      <c r="N174" s="608"/>
      <c r="O174" s="603">
        <v>1577000</v>
      </c>
      <c r="P174" s="603">
        <v>2721000</v>
      </c>
      <c r="Q174" s="603">
        <v>2721000</v>
      </c>
      <c r="R174" s="603">
        <v>1791000</v>
      </c>
      <c r="S174" s="603">
        <v>0</v>
      </c>
      <c r="T174" s="603">
        <v>6262000</v>
      </c>
      <c r="U174" s="603">
        <v>2181000</v>
      </c>
      <c r="V174" s="603">
        <v>0</v>
      </c>
      <c r="W174" s="603">
        <v>0</v>
      </c>
      <c r="X174" s="603">
        <v>0</v>
      </c>
      <c r="Y174" s="603">
        <v>0</v>
      </c>
      <c r="Z174" s="603">
        <v>0</v>
      </c>
      <c r="AA174" s="603">
        <v>0</v>
      </c>
      <c r="AB174" s="603">
        <v>0</v>
      </c>
      <c r="AC174" s="603">
        <v>0</v>
      </c>
      <c r="AD174" s="603">
        <v>0</v>
      </c>
      <c r="AE174" s="603">
        <v>0</v>
      </c>
      <c r="AF174" s="603">
        <v>0</v>
      </c>
      <c r="AG174" s="603">
        <v>0</v>
      </c>
      <c r="AH174" s="603">
        <v>0</v>
      </c>
      <c r="AI174" s="603">
        <v>0</v>
      </c>
      <c r="AJ174" s="604" t="s">
        <v>2377</v>
      </c>
      <c r="AK174" s="605" t="s">
        <v>1545</v>
      </c>
      <c r="AL174" s="605" t="s">
        <v>1545</v>
      </c>
      <c r="AM174" s="606" t="s">
        <v>2434</v>
      </c>
      <c r="AN174" s="609"/>
      <c r="AO174" s="610" t="s">
        <v>1368</v>
      </c>
      <c r="AP174" s="610" t="s">
        <v>1368</v>
      </c>
      <c r="AQ174" s="610" t="s">
        <v>1368</v>
      </c>
      <c r="AR174" s="610" t="s">
        <v>1368</v>
      </c>
      <c r="AS174" s="610" t="s">
        <v>1368</v>
      </c>
      <c r="AT174" s="610" t="s">
        <v>1368</v>
      </c>
      <c r="AU174" s="610" t="s">
        <v>1368</v>
      </c>
      <c r="AV174" s="610" t="s">
        <v>1368</v>
      </c>
      <c r="AW174" s="610" t="s">
        <v>1368</v>
      </c>
      <c r="AX174" s="610" t="s">
        <v>1368</v>
      </c>
      <c r="AY174" s="610" t="s">
        <v>1368</v>
      </c>
      <c r="AZ174" s="610" t="s">
        <v>1368</v>
      </c>
      <c r="BA174" s="610" t="s">
        <v>1368</v>
      </c>
      <c r="BB174" s="610" t="s">
        <v>1368</v>
      </c>
      <c r="BC174" s="610" t="s">
        <v>1368</v>
      </c>
      <c r="BD174" s="610" t="s">
        <v>1368</v>
      </c>
      <c r="BE174" s="610" t="s">
        <v>1368</v>
      </c>
      <c r="BF174" s="610" t="s">
        <v>1368</v>
      </c>
      <c r="BG174" s="610" t="s">
        <v>1368</v>
      </c>
      <c r="BH174" s="610" t="s">
        <v>1368</v>
      </c>
      <c r="BI174" s="610" t="s">
        <v>1368</v>
      </c>
      <c r="BJ174" s="610" t="s">
        <v>1368</v>
      </c>
      <c r="BK174" s="610" t="s">
        <v>1368</v>
      </c>
      <c r="BL174" s="610" t="s">
        <v>1368</v>
      </c>
      <c r="BM174" s="610">
        <v>2</v>
      </c>
      <c r="BN174" s="610">
        <v>2</v>
      </c>
      <c r="BO174" s="610">
        <v>3</v>
      </c>
      <c r="BP174" s="610">
        <v>4</v>
      </c>
      <c r="BQ174" s="610">
        <v>4</v>
      </c>
      <c r="BR174" s="610">
        <v>4</v>
      </c>
      <c r="BS174" s="610">
        <v>4</v>
      </c>
      <c r="BT174" s="610">
        <v>4</v>
      </c>
      <c r="BU174" s="610">
        <v>4</v>
      </c>
      <c r="BV174" s="610">
        <v>4</v>
      </c>
      <c r="BW174" s="610">
        <v>4</v>
      </c>
      <c r="BX174" s="610">
        <v>4</v>
      </c>
      <c r="BY174" s="610">
        <v>0</v>
      </c>
      <c r="BZ174" s="610">
        <v>0</v>
      </c>
      <c r="CA174" s="610">
        <v>0</v>
      </c>
      <c r="CB174" s="610">
        <v>0</v>
      </c>
      <c r="CC174" s="610">
        <v>0</v>
      </c>
      <c r="CD174" s="610">
        <v>0</v>
      </c>
      <c r="CE174" s="610">
        <v>0</v>
      </c>
      <c r="CF174" s="610">
        <v>0</v>
      </c>
      <c r="CG174" s="610">
        <v>0</v>
      </c>
      <c r="CH174" s="610">
        <v>0</v>
      </c>
      <c r="CI174" s="610">
        <v>0</v>
      </c>
      <c r="CJ174" s="610">
        <v>0</v>
      </c>
      <c r="CK174" s="610">
        <v>0</v>
      </c>
      <c r="CL174" s="610">
        <v>0</v>
      </c>
      <c r="CM174" s="610">
        <v>0</v>
      </c>
      <c r="CN174" s="610">
        <v>0</v>
      </c>
      <c r="CO174" s="610">
        <v>0</v>
      </c>
      <c r="CP174" s="610">
        <v>0</v>
      </c>
      <c r="CQ174" s="610">
        <v>0</v>
      </c>
      <c r="CR174" s="610">
        <v>0</v>
      </c>
      <c r="CS174" s="610">
        <v>0</v>
      </c>
      <c r="CT174" s="610">
        <v>0</v>
      </c>
      <c r="CU174" s="610">
        <v>0</v>
      </c>
      <c r="CV174" s="610">
        <v>0</v>
      </c>
      <c r="CW174" s="610" t="s">
        <v>14</v>
      </c>
      <c r="CX174" s="610">
        <v>0</v>
      </c>
      <c r="CY174" s="610" t="s">
        <v>1707</v>
      </c>
      <c r="CZ174" s="610" t="s">
        <v>1707</v>
      </c>
      <c r="DA174" s="610" t="s">
        <v>1707</v>
      </c>
      <c r="DB174" s="610" t="s">
        <v>1707</v>
      </c>
      <c r="DC174" s="610" t="s">
        <v>1707</v>
      </c>
      <c r="DD174" s="610" t="s">
        <v>1707</v>
      </c>
      <c r="DE174" s="610" t="s">
        <v>1707</v>
      </c>
      <c r="DF174" s="610" t="s">
        <v>1707</v>
      </c>
      <c r="DG174" s="610" t="s">
        <v>1707</v>
      </c>
      <c r="DH174" s="610" t="s">
        <v>1707</v>
      </c>
      <c r="DI174" s="610" t="s">
        <v>1707</v>
      </c>
      <c r="DJ174" s="610" t="s">
        <v>1707</v>
      </c>
      <c r="DK174" s="610" t="s">
        <v>1368</v>
      </c>
      <c r="DL174" s="610" t="s">
        <v>1368</v>
      </c>
      <c r="DM174" s="610" t="s">
        <v>1368</v>
      </c>
      <c r="DN174" s="610" t="s">
        <v>1368</v>
      </c>
      <c r="DO174" s="610" t="s">
        <v>1368</v>
      </c>
      <c r="DP174" s="610" t="s">
        <v>1368</v>
      </c>
      <c r="DQ174" s="610" t="s">
        <v>1368</v>
      </c>
      <c r="DR174" s="610" t="s">
        <v>1368</v>
      </c>
      <c r="DS174" s="610" t="s">
        <v>1368</v>
      </c>
      <c r="DT174" s="610" t="s">
        <v>1368</v>
      </c>
      <c r="DU174" s="610" t="s">
        <v>1368</v>
      </c>
      <c r="DV174" s="610" t="s">
        <v>1368</v>
      </c>
      <c r="DW174" s="609" t="s">
        <v>1368</v>
      </c>
      <c r="DX174" s="609" t="s">
        <v>1368</v>
      </c>
      <c r="DY174" s="609" t="s">
        <v>1368</v>
      </c>
      <c r="DZ174" s="609" t="s">
        <v>1368</v>
      </c>
      <c r="EA174" s="609" t="s">
        <v>1368</v>
      </c>
      <c r="EB174" s="609" t="s">
        <v>1368</v>
      </c>
      <c r="EC174" s="609" t="s">
        <v>1368</v>
      </c>
      <c r="ED174" s="609" t="s">
        <v>1368</v>
      </c>
      <c r="EE174" s="609" t="s">
        <v>1368</v>
      </c>
      <c r="EF174" s="609" t="s">
        <v>1368</v>
      </c>
      <c r="EG174" s="609" t="s">
        <v>1368</v>
      </c>
      <c r="EH174" s="609" t="s">
        <v>1368</v>
      </c>
      <c r="EI174" s="610" t="s">
        <v>1707</v>
      </c>
      <c r="EJ174" s="610" t="s">
        <v>1707</v>
      </c>
      <c r="EK174" s="610" t="s">
        <v>1707</v>
      </c>
      <c r="EL174" s="610" t="s">
        <v>1707</v>
      </c>
      <c r="EM174" s="610" t="s">
        <v>1707</v>
      </c>
      <c r="EN174" s="610" t="s">
        <v>1707</v>
      </c>
      <c r="EO174" s="610" t="s">
        <v>1707</v>
      </c>
      <c r="EP174" s="610" t="s">
        <v>1707</v>
      </c>
      <c r="EQ174" s="610" t="s">
        <v>1707</v>
      </c>
      <c r="ER174" s="610" t="s">
        <v>1707</v>
      </c>
      <c r="ES174" s="610" t="s">
        <v>1707</v>
      </c>
      <c r="ET174" s="610" t="s">
        <v>1707</v>
      </c>
      <c r="EU174" s="610">
        <v>3920</v>
      </c>
      <c r="EV174" s="610" t="s">
        <v>1707</v>
      </c>
      <c r="EW174" s="610" t="s">
        <v>1707</v>
      </c>
      <c r="EX174" s="610" t="s">
        <v>1707</v>
      </c>
      <c r="EY174" s="610" t="s">
        <v>1707</v>
      </c>
      <c r="EZ174" s="610" t="s">
        <v>1707</v>
      </c>
      <c r="FA174" s="610" t="s">
        <v>1707</v>
      </c>
      <c r="FB174" s="610" t="s">
        <v>1707</v>
      </c>
      <c r="FC174" s="610" t="s">
        <v>1707</v>
      </c>
      <c r="FD174" s="610" t="s">
        <v>1707</v>
      </c>
      <c r="FE174" s="610" t="s">
        <v>1707</v>
      </c>
      <c r="FF174" s="610" t="s">
        <v>1707</v>
      </c>
      <c r="FG174" s="610" t="s">
        <v>1707</v>
      </c>
      <c r="FH174" s="610">
        <v>38</v>
      </c>
      <c r="FI174" s="610">
        <v>39</v>
      </c>
      <c r="FJ174" s="610">
        <v>40</v>
      </c>
      <c r="FK174" s="610">
        <v>41</v>
      </c>
      <c r="FL174" s="610">
        <v>41</v>
      </c>
      <c r="FM174" s="610">
        <v>41</v>
      </c>
      <c r="FN174" s="610">
        <v>41</v>
      </c>
      <c r="FO174" s="610">
        <v>41</v>
      </c>
      <c r="FP174" s="610">
        <v>41</v>
      </c>
      <c r="FQ174" s="610">
        <v>41</v>
      </c>
      <c r="FR174" s="610" t="s">
        <v>2487</v>
      </c>
      <c r="FS174" s="610" t="s">
        <v>2487</v>
      </c>
      <c r="FT174" s="610" t="s">
        <v>2487</v>
      </c>
      <c r="FU174" s="610" t="s">
        <v>2487</v>
      </c>
      <c r="FV174" s="610" t="s">
        <v>2487</v>
      </c>
      <c r="FW174" s="610" t="s">
        <v>2487</v>
      </c>
      <c r="FX174" s="610" t="s">
        <v>2487</v>
      </c>
      <c r="FY174" s="610" t="s">
        <v>2487</v>
      </c>
      <c r="FZ174" s="610" t="s">
        <v>2487</v>
      </c>
      <c r="GA174" s="610" t="s">
        <v>2487</v>
      </c>
      <c r="GB174" s="610" t="s">
        <v>2487</v>
      </c>
      <c r="GC174" s="610" t="s">
        <v>2487</v>
      </c>
      <c r="GD174" s="564">
        <f t="shared" si="33"/>
        <v>79950</v>
      </c>
      <c r="GE174" s="564">
        <f t="shared" si="34"/>
        <v>79950</v>
      </c>
      <c r="GF174" s="564">
        <f t="shared" si="35"/>
        <v>79950</v>
      </c>
      <c r="GG174" s="564">
        <f t="shared" si="36"/>
        <v>79950</v>
      </c>
      <c r="GH174" s="564">
        <f t="shared" si="37"/>
        <v>79950</v>
      </c>
      <c r="GI174" s="564">
        <f t="shared" si="38"/>
        <v>79950</v>
      </c>
      <c r="GJ174" s="564">
        <f t="shared" si="39"/>
        <v>79950</v>
      </c>
      <c r="GK174" s="564">
        <f t="shared" si="40"/>
        <v>79950</v>
      </c>
      <c r="GL174" s="564">
        <f t="shared" si="41"/>
        <v>79950</v>
      </c>
      <c r="GM174" s="564">
        <f t="shared" si="42"/>
        <v>79950</v>
      </c>
      <c r="GN174" s="564">
        <f t="shared" si="43"/>
        <v>79950</v>
      </c>
      <c r="GO174" s="564">
        <f t="shared" si="44"/>
        <v>79950</v>
      </c>
      <c r="GP174" s="564"/>
      <c r="GS174" s="375" t="s">
        <v>2323</v>
      </c>
      <c r="GT174" s="374" t="str">
        <f t="shared" si="48"/>
        <v>〇</v>
      </c>
    </row>
    <row r="175" spans="2:202">
      <c r="B175" s="371">
        <v>171</v>
      </c>
      <c r="C175" s="378">
        <v>171</v>
      </c>
      <c r="D175" s="373" t="s">
        <v>2325</v>
      </c>
      <c r="E175" s="373" t="s">
        <v>14</v>
      </c>
      <c r="F175" s="603">
        <f t="shared" si="45"/>
        <v>40</v>
      </c>
      <c r="G175" s="603"/>
      <c r="H175" s="565">
        <v>23</v>
      </c>
      <c r="I175" s="565">
        <v>17</v>
      </c>
      <c r="J175" s="603"/>
      <c r="K175" s="603"/>
      <c r="L175" s="603"/>
      <c r="M175" s="603"/>
      <c r="N175" s="608"/>
      <c r="O175" s="603">
        <v>1577000</v>
      </c>
      <c r="P175" s="603">
        <v>2721000</v>
      </c>
      <c r="Q175" s="603">
        <v>0</v>
      </c>
      <c r="R175" s="603">
        <v>1188000</v>
      </c>
      <c r="S175" s="603">
        <v>1791000</v>
      </c>
      <c r="T175" s="603">
        <v>0</v>
      </c>
      <c r="U175" s="603">
        <v>0</v>
      </c>
      <c r="V175" s="603">
        <v>0</v>
      </c>
      <c r="W175" s="603">
        <v>0</v>
      </c>
      <c r="X175" s="603">
        <v>0</v>
      </c>
      <c r="Y175" s="603">
        <v>0</v>
      </c>
      <c r="Z175" s="603">
        <v>0</v>
      </c>
      <c r="AA175" s="603">
        <v>0</v>
      </c>
      <c r="AB175" s="603">
        <v>0</v>
      </c>
      <c r="AC175" s="603">
        <v>0</v>
      </c>
      <c r="AD175" s="603">
        <v>0</v>
      </c>
      <c r="AE175" s="603">
        <v>0</v>
      </c>
      <c r="AF175" s="603">
        <v>0</v>
      </c>
      <c r="AG175" s="603">
        <v>0</v>
      </c>
      <c r="AH175" s="603">
        <v>0</v>
      </c>
      <c r="AI175" s="603">
        <v>0</v>
      </c>
      <c r="AJ175" s="604" t="s">
        <v>2377</v>
      </c>
      <c r="AK175" s="605" t="s">
        <v>1545</v>
      </c>
      <c r="AL175" s="605" t="s">
        <v>1545</v>
      </c>
      <c r="AM175" s="606" t="s">
        <v>2435</v>
      </c>
      <c r="AN175" s="609"/>
      <c r="AO175" s="610" t="s">
        <v>13</v>
      </c>
      <c r="AP175" s="610" t="s">
        <v>13</v>
      </c>
      <c r="AQ175" s="610" t="s">
        <v>13</v>
      </c>
      <c r="AR175" s="610" t="s">
        <v>13</v>
      </c>
      <c r="AS175" s="610" t="s">
        <v>13</v>
      </c>
      <c r="AT175" s="610" t="s">
        <v>13</v>
      </c>
      <c r="AU175" s="610" t="s">
        <v>13</v>
      </c>
      <c r="AV175" s="610" t="s">
        <v>13</v>
      </c>
      <c r="AW175" s="610" t="s">
        <v>13</v>
      </c>
      <c r="AX175" s="610" t="s">
        <v>13</v>
      </c>
      <c r="AY175" s="610" t="s">
        <v>13</v>
      </c>
      <c r="AZ175" s="610" t="s">
        <v>13</v>
      </c>
      <c r="BA175" s="610" t="s">
        <v>12</v>
      </c>
      <c r="BB175" s="610" t="s">
        <v>12</v>
      </c>
      <c r="BC175" s="610" t="s">
        <v>12</v>
      </c>
      <c r="BD175" s="610" t="s">
        <v>12</v>
      </c>
      <c r="BE175" s="610" t="s">
        <v>12</v>
      </c>
      <c r="BF175" s="610" t="s">
        <v>12</v>
      </c>
      <c r="BG175" s="610" t="s">
        <v>12</v>
      </c>
      <c r="BH175" s="610" t="s">
        <v>12</v>
      </c>
      <c r="BI175" s="610" t="s">
        <v>12</v>
      </c>
      <c r="BJ175" s="610" t="s">
        <v>12</v>
      </c>
      <c r="BK175" s="610" t="s">
        <v>12</v>
      </c>
      <c r="BL175" s="610" t="s">
        <v>12</v>
      </c>
      <c r="BM175" s="610">
        <v>0</v>
      </c>
      <c r="BN175" s="610">
        <v>0</v>
      </c>
      <c r="BO175" s="610">
        <v>0</v>
      </c>
      <c r="BP175" s="610">
        <v>0</v>
      </c>
      <c r="BQ175" s="610">
        <v>0</v>
      </c>
      <c r="BR175" s="610">
        <v>0</v>
      </c>
      <c r="BS175" s="610">
        <v>0</v>
      </c>
      <c r="BT175" s="610">
        <v>0</v>
      </c>
      <c r="BU175" s="610">
        <v>0</v>
      </c>
      <c r="BV175" s="610">
        <v>0</v>
      </c>
      <c r="BW175" s="610">
        <v>0</v>
      </c>
      <c r="BX175" s="610">
        <v>0</v>
      </c>
      <c r="BY175" s="610">
        <v>0</v>
      </c>
      <c r="BZ175" s="610">
        <v>0</v>
      </c>
      <c r="CA175" s="610">
        <v>0</v>
      </c>
      <c r="CB175" s="610">
        <v>0</v>
      </c>
      <c r="CC175" s="610">
        <v>0</v>
      </c>
      <c r="CD175" s="610">
        <v>0</v>
      </c>
      <c r="CE175" s="610">
        <v>0</v>
      </c>
      <c r="CF175" s="610">
        <v>0</v>
      </c>
      <c r="CG175" s="610">
        <v>0</v>
      </c>
      <c r="CH175" s="610">
        <v>0</v>
      </c>
      <c r="CI175" s="610">
        <v>0</v>
      </c>
      <c r="CJ175" s="610">
        <v>0</v>
      </c>
      <c r="CK175" s="610">
        <v>0</v>
      </c>
      <c r="CL175" s="610">
        <v>0</v>
      </c>
      <c r="CM175" s="610">
        <v>0</v>
      </c>
      <c r="CN175" s="610">
        <v>0</v>
      </c>
      <c r="CO175" s="610">
        <v>0</v>
      </c>
      <c r="CP175" s="610">
        <v>0</v>
      </c>
      <c r="CQ175" s="610">
        <v>0</v>
      </c>
      <c r="CR175" s="610">
        <v>0</v>
      </c>
      <c r="CS175" s="610">
        <v>0</v>
      </c>
      <c r="CT175" s="610">
        <v>0</v>
      </c>
      <c r="CU175" s="610">
        <v>0</v>
      </c>
      <c r="CV175" s="610">
        <v>0</v>
      </c>
      <c r="CW175" s="610" t="s">
        <v>14</v>
      </c>
      <c r="CX175" s="610">
        <v>0</v>
      </c>
      <c r="CY175" s="610" t="s">
        <v>1707</v>
      </c>
      <c r="CZ175" s="610" t="s">
        <v>1707</v>
      </c>
      <c r="DA175" s="610" t="s">
        <v>1707</v>
      </c>
      <c r="DB175" s="610" t="s">
        <v>1707</v>
      </c>
      <c r="DC175" s="610" t="s">
        <v>1707</v>
      </c>
      <c r="DD175" s="610" t="s">
        <v>1707</v>
      </c>
      <c r="DE175" s="610" t="s">
        <v>1707</v>
      </c>
      <c r="DF175" s="610" t="s">
        <v>1707</v>
      </c>
      <c r="DG175" s="610" t="s">
        <v>1707</v>
      </c>
      <c r="DH175" s="610" t="s">
        <v>1707</v>
      </c>
      <c r="DI175" s="610" t="s">
        <v>1707</v>
      </c>
      <c r="DJ175" s="610" t="s">
        <v>1707</v>
      </c>
      <c r="DK175" s="610" t="s">
        <v>1368</v>
      </c>
      <c r="DL175" s="610" t="s">
        <v>1368</v>
      </c>
      <c r="DM175" s="610" t="s">
        <v>1368</v>
      </c>
      <c r="DN175" s="610" t="s">
        <v>1368</v>
      </c>
      <c r="DO175" s="610" t="s">
        <v>1368</v>
      </c>
      <c r="DP175" s="610" t="s">
        <v>1368</v>
      </c>
      <c r="DQ175" s="610" t="s">
        <v>1368</v>
      </c>
      <c r="DR175" s="610" t="s">
        <v>1368</v>
      </c>
      <c r="DS175" s="610" t="s">
        <v>1368</v>
      </c>
      <c r="DT175" s="610" t="s">
        <v>1368</v>
      </c>
      <c r="DU175" s="610" t="s">
        <v>1368</v>
      </c>
      <c r="DV175" s="610" t="s">
        <v>1368</v>
      </c>
      <c r="DW175" s="609" t="s">
        <v>1368</v>
      </c>
      <c r="DX175" s="609" t="s">
        <v>1368</v>
      </c>
      <c r="DY175" s="609" t="s">
        <v>1368</v>
      </c>
      <c r="DZ175" s="609" t="s">
        <v>1368</v>
      </c>
      <c r="EA175" s="609" t="s">
        <v>1368</v>
      </c>
      <c r="EB175" s="609" t="s">
        <v>1368</v>
      </c>
      <c r="EC175" s="609" t="s">
        <v>1368</v>
      </c>
      <c r="ED175" s="609" t="s">
        <v>1368</v>
      </c>
      <c r="EE175" s="609" t="s">
        <v>1368</v>
      </c>
      <c r="EF175" s="609" t="s">
        <v>1368</v>
      </c>
      <c r="EG175" s="609" t="s">
        <v>1368</v>
      </c>
      <c r="EH175" s="609" t="s">
        <v>1368</v>
      </c>
      <c r="EI175" s="610" t="s">
        <v>1707</v>
      </c>
      <c r="EJ175" s="610" t="s">
        <v>1707</v>
      </c>
      <c r="EK175" s="610" t="s">
        <v>1707</v>
      </c>
      <c r="EL175" s="610" t="s">
        <v>1707</v>
      </c>
      <c r="EM175" s="610" t="s">
        <v>1707</v>
      </c>
      <c r="EN175" s="610" t="s">
        <v>1707</v>
      </c>
      <c r="EO175" s="610" t="s">
        <v>1707</v>
      </c>
      <c r="EP175" s="610" t="s">
        <v>1707</v>
      </c>
      <c r="EQ175" s="610" t="s">
        <v>1707</v>
      </c>
      <c r="ER175" s="610" t="s">
        <v>1707</v>
      </c>
      <c r="ES175" s="610" t="s">
        <v>1707</v>
      </c>
      <c r="ET175" s="610" t="s">
        <v>1707</v>
      </c>
      <c r="EU175" s="610">
        <v>4010</v>
      </c>
      <c r="EV175" s="610" t="s">
        <v>1707</v>
      </c>
      <c r="EW175" s="610" t="s">
        <v>1707</v>
      </c>
      <c r="EX175" s="610" t="s">
        <v>1707</v>
      </c>
      <c r="EY175" s="610" t="s">
        <v>1707</v>
      </c>
      <c r="EZ175" s="610" t="s">
        <v>1707</v>
      </c>
      <c r="FA175" s="610" t="s">
        <v>1707</v>
      </c>
      <c r="FB175" s="610" t="s">
        <v>1707</v>
      </c>
      <c r="FC175" s="610" t="s">
        <v>1707</v>
      </c>
      <c r="FD175" s="610" t="s">
        <v>1707</v>
      </c>
      <c r="FE175" s="610" t="s">
        <v>1707</v>
      </c>
      <c r="FF175" s="610" t="s">
        <v>1707</v>
      </c>
      <c r="FG175" s="610" t="s">
        <v>1707</v>
      </c>
      <c r="FH175" s="610">
        <v>2</v>
      </c>
      <c r="FI175" s="610">
        <v>2</v>
      </c>
      <c r="FJ175" s="610">
        <v>3</v>
      </c>
      <c r="FK175" s="610">
        <v>3</v>
      </c>
      <c r="FL175" s="610">
        <v>3</v>
      </c>
      <c r="FM175" s="610">
        <v>4</v>
      </c>
      <c r="FN175" s="610">
        <v>4</v>
      </c>
      <c r="FO175" s="610">
        <v>5</v>
      </c>
      <c r="FP175" s="610">
        <v>4</v>
      </c>
      <c r="FQ175" s="610">
        <v>4</v>
      </c>
      <c r="FR175" s="610" t="s">
        <v>2487</v>
      </c>
      <c r="FS175" s="610" t="s">
        <v>2487</v>
      </c>
      <c r="FT175" s="610" t="s">
        <v>2487</v>
      </c>
      <c r="FU175" s="610" t="s">
        <v>2487</v>
      </c>
      <c r="FV175" s="610" t="s">
        <v>2487</v>
      </c>
      <c r="FW175" s="610" t="s">
        <v>2487</v>
      </c>
      <c r="FX175" s="610" t="s">
        <v>2487</v>
      </c>
      <c r="FY175" s="610" t="s">
        <v>2487</v>
      </c>
      <c r="FZ175" s="610" t="s">
        <v>2487</v>
      </c>
      <c r="GA175" s="610" t="s">
        <v>2487</v>
      </c>
      <c r="GB175" s="610" t="s">
        <v>2487</v>
      </c>
      <c r="GC175" s="610" t="s">
        <v>2487</v>
      </c>
      <c r="GD175" s="564">
        <f t="shared" si="33"/>
        <v>79950</v>
      </c>
      <c r="GE175" s="564">
        <f t="shared" si="34"/>
        <v>79950</v>
      </c>
      <c r="GF175" s="564">
        <f t="shared" si="35"/>
        <v>79950</v>
      </c>
      <c r="GG175" s="564">
        <f t="shared" si="36"/>
        <v>79950</v>
      </c>
      <c r="GH175" s="564">
        <f t="shared" si="37"/>
        <v>79950</v>
      </c>
      <c r="GI175" s="564">
        <f t="shared" si="38"/>
        <v>79950</v>
      </c>
      <c r="GJ175" s="564">
        <f t="shared" si="39"/>
        <v>79950</v>
      </c>
      <c r="GK175" s="564">
        <f t="shared" si="40"/>
        <v>79950</v>
      </c>
      <c r="GL175" s="564">
        <f t="shared" si="41"/>
        <v>79950</v>
      </c>
      <c r="GM175" s="564">
        <f t="shared" si="42"/>
        <v>79950</v>
      </c>
      <c r="GN175" s="564">
        <f t="shared" si="43"/>
        <v>79950</v>
      </c>
      <c r="GO175" s="564">
        <f t="shared" si="44"/>
        <v>79950</v>
      </c>
      <c r="GP175" s="564"/>
      <c r="GS175" s="375" t="s">
        <v>2325</v>
      </c>
    </row>
    <row r="176" spans="2:202">
      <c r="B176" s="371">
        <v>172</v>
      </c>
      <c r="C176" s="378">
        <v>172</v>
      </c>
      <c r="D176" s="373" t="s">
        <v>2326</v>
      </c>
      <c r="E176" s="373" t="s">
        <v>14</v>
      </c>
      <c r="F176" s="603">
        <f t="shared" si="45"/>
        <v>30</v>
      </c>
      <c r="G176" s="603"/>
      <c r="H176" s="603">
        <v>18</v>
      </c>
      <c r="I176" s="603">
        <v>12</v>
      </c>
      <c r="J176" s="603"/>
      <c r="K176" s="603"/>
      <c r="L176" s="603"/>
      <c r="M176" s="603"/>
      <c r="N176" s="608"/>
      <c r="O176" s="603">
        <v>1577000</v>
      </c>
      <c r="P176" s="603">
        <v>2721000</v>
      </c>
      <c r="Q176" s="603">
        <v>0</v>
      </c>
      <c r="R176" s="603">
        <v>0</v>
      </c>
      <c r="S176" s="603">
        <v>0</v>
      </c>
      <c r="T176" s="603">
        <v>0</v>
      </c>
      <c r="U176" s="603">
        <v>0</v>
      </c>
      <c r="V176" s="603">
        <v>1051000</v>
      </c>
      <c r="W176" s="603">
        <v>1814000</v>
      </c>
      <c r="X176" s="603">
        <v>0</v>
      </c>
      <c r="Y176" s="603">
        <v>0</v>
      </c>
      <c r="Z176" s="603">
        <v>0</v>
      </c>
      <c r="AA176" s="603">
        <v>0</v>
      </c>
      <c r="AB176" s="603">
        <v>0</v>
      </c>
      <c r="AC176" s="603">
        <v>0</v>
      </c>
      <c r="AD176" s="603">
        <v>0</v>
      </c>
      <c r="AE176" s="603">
        <v>0</v>
      </c>
      <c r="AF176" s="603">
        <v>0</v>
      </c>
      <c r="AG176" s="603">
        <v>0</v>
      </c>
      <c r="AH176" s="603">
        <v>0</v>
      </c>
      <c r="AI176" s="603">
        <v>0</v>
      </c>
      <c r="AJ176" s="604" t="s">
        <v>2377</v>
      </c>
      <c r="AK176" s="605" t="s">
        <v>2378</v>
      </c>
      <c r="AL176" s="605" t="s">
        <v>1545</v>
      </c>
      <c r="AM176" s="606" t="s">
        <v>2436</v>
      </c>
      <c r="AN176" s="609"/>
      <c r="AO176" s="610" t="s">
        <v>1368</v>
      </c>
      <c r="AP176" s="610" t="s">
        <v>1368</v>
      </c>
      <c r="AQ176" s="610" t="s">
        <v>1368</v>
      </c>
      <c r="AR176" s="610" t="s">
        <v>1368</v>
      </c>
      <c r="AS176" s="610" t="s">
        <v>1368</v>
      </c>
      <c r="AT176" s="610" t="s">
        <v>1368</v>
      </c>
      <c r="AU176" s="610" t="s">
        <v>1368</v>
      </c>
      <c r="AV176" s="610" t="s">
        <v>1368</v>
      </c>
      <c r="AW176" s="610" t="s">
        <v>1368</v>
      </c>
      <c r="AX176" s="610" t="s">
        <v>1368</v>
      </c>
      <c r="AY176" s="610" t="s">
        <v>1368</v>
      </c>
      <c r="AZ176" s="610" t="s">
        <v>1368</v>
      </c>
      <c r="BA176" s="610" t="s">
        <v>1368</v>
      </c>
      <c r="BB176" s="610" t="s">
        <v>1368</v>
      </c>
      <c r="BC176" s="610" t="s">
        <v>1368</v>
      </c>
      <c r="BD176" s="610" t="s">
        <v>1368</v>
      </c>
      <c r="BE176" s="610" t="s">
        <v>1368</v>
      </c>
      <c r="BF176" s="610" t="s">
        <v>1368</v>
      </c>
      <c r="BG176" s="610" t="s">
        <v>1368</v>
      </c>
      <c r="BH176" s="610" t="s">
        <v>1368</v>
      </c>
      <c r="BI176" s="610" t="s">
        <v>1368</v>
      </c>
      <c r="BJ176" s="610" t="s">
        <v>1368</v>
      </c>
      <c r="BK176" s="610" t="s">
        <v>1368</v>
      </c>
      <c r="BL176" s="610" t="s">
        <v>1368</v>
      </c>
      <c r="BM176" s="610">
        <v>1</v>
      </c>
      <c r="BN176" s="610">
        <v>1</v>
      </c>
      <c r="BO176" s="610">
        <v>1</v>
      </c>
      <c r="BP176" s="610">
        <v>1</v>
      </c>
      <c r="BQ176" s="610">
        <v>1</v>
      </c>
      <c r="BR176" s="610">
        <v>1</v>
      </c>
      <c r="BS176" s="610">
        <v>1</v>
      </c>
      <c r="BT176" s="610">
        <v>1</v>
      </c>
      <c r="BU176" s="610">
        <v>1</v>
      </c>
      <c r="BV176" s="610">
        <v>1</v>
      </c>
      <c r="BW176" s="610">
        <v>1</v>
      </c>
      <c r="BX176" s="610">
        <v>1</v>
      </c>
      <c r="BY176" s="610">
        <v>0</v>
      </c>
      <c r="BZ176" s="610">
        <v>0</v>
      </c>
      <c r="CA176" s="610">
        <v>0</v>
      </c>
      <c r="CB176" s="610">
        <v>0</v>
      </c>
      <c r="CC176" s="610">
        <v>0</v>
      </c>
      <c r="CD176" s="610">
        <v>0</v>
      </c>
      <c r="CE176" s="610">
        <v>0</v>
      </c>
      <c r="CF176" s="610">
        <v>0</v>
      </c>
      <c r="CG176" s="610">
        <v>0</v>
      </c>
      <c r="CH176" s="610">
        <v>0</v>
      </c>
      <c r="CI176" s="610">
        <v>0</v>
      </c>
      <c r="CJ176" s="610">
        <v>0</v>
      </c>
      <c r="CK176" s="610">
        <v>0</v>
      </c>
      <c r="CL176" s="610">
        <v>0</v>
      </c>
      <c r="CM176" s="610">
        <v>0</v>
      </c>
      <c r="CN176" s="610">
        <v>0</v>
      </c>
      <c r="CO176" s="610">
        <v>0</v>
      </c>
      <c r="CP176" s="610">
        <v>0</v>
      </c>
      <c r="CQ176" s="610">
        <v>0</v>
      </c>
      <c r="CR176" s="610">
        <v>0</v>
      </c>
      <c r="CS176" s="610">
        <v>0</v>
      </c>
      <c r="CT176" s="610">
        <v>0</v>
      </c>
      <c r="CU176" s="610">
        <v>0</v>
      </c>
      <c r="CV176" s="610">
        <v>0</v>
      </c>
      <c r="CW176" s="610" t="s">
        <v>14</v>
      </c>
      <c r="CX176" s="610">
        <v>0</v>
      </c>
      <c r="CY176" s="610" t="s">
        <v>1707</v>
      </c>
      <c r="CZ176" s="610" t="s">
        <v>1707</v>
      </c>
      <c r="DA176" s="610" t="s">
        <v>1707</v>
      </c>
      <c r="DB176" s="610" t="s">
        <v>1707</v>
      </c>
      <c r="DC176" s="610" t="s">
        <v>2449</v>
      </c>
      <c r="DD176" s="610" t="s">
        <v>2449</v>
      </c>
      <c r="DE176" s="610" t="s">
        <v>2449</v>
      </c>
      <c r="DF176" s="610" t="s">
        <v>2449</v>
      </c>
      <c r="DG176" s="610" t="s">
        <v>2449</v>
      </c>
      <c r="DH176" s="610" t="s">
        <v>2449</v>
      </c>
      <c r="DI176" s="610" t="s">
        <v>2449</v>
      </c>
      <c r="DJ176" s="610" t="s">
        <v>2449</v>
      </c>
      <c r="DK176" s="610" t="s">
        <v>1368</v>
      </c>
      <c r="DL176" s="610" t="s">
        <v>1368</v>
      </c>
      <c r="DM176" s="610" t="s">
        <v>1368</v>
      </c>
      <c r="DN176" s="610" t="s">
        <v>1368</v>
      </c>
      <c r="DO176" s="610" t="s">
        <v>1368</v>
      </c>
      <c r="DP176" s="610" t="s">
        <v>1368</v>
      </c>
      <c r="DQ176" s="610" t="s">
        <v>1368</v>
      </c>
      <c r="DR176" s="610" t="s">
        <v>1368</v>
      </c>
      <c r="DS176" s="610" t="s">
        <v>1368</v>
      </c>
      <c r="DT176" s="610" t="s">
        <v>1368</v>
      </c>
      <c r="DU176" s="610" t="s">
        <v>1368</v>
      </c>
      <c r="DV176" s="610" t="s">
        <v>1368</v>
      </c>
      <c r="DW176" s="609" t="s">
        <v>1368</v>
      </c>
      <c r="DX176" s="609" t="s">
        <v>1368</v>
      </c>
      <c r="DY176" s="609" t="s">
        <v>1368</v>
      </c>
      <c r="DZ176" s="609" t="s">
        <v>1368</v>
      </c>
      <c r="EA176" s="609" t="s">
        <v>1368</v>
      </c>
      <c r="EB176" s="609" t="s">
        <v>1368</v>
      </c>
      <c r="EC176" s="609" t="s">
        <v>1368</v>
      </c>
      <c r="ED176" s="609" t="s">
        <v>1368</v>
      </c>
      <c r="EE176" s="609" t="s">
        <v>1368</v>
      </c>
      <c r="EF176" s="609" t="s">
        <v>1368</v>
      </c>
      <c r="EG176" s="609" t="s">
        <v>1368</v>
      </c>
      <c r="EH176" s="609" t="s">
        <v>1368</v>
      </c>
      <c r="EI176" s="610" t="s">
        <v>1707</v>
      </c>
      <c r="EJ176" s="610" t="s">
        <v>1707</v>
      </c>
      <c r="EK176" s="610" t="s">
        <v>1707</v>
      </c>
      <c r="EL176" s="610" t="s">
        <v>1707</v>
      </c>
      <c r="EM176" s="610" t="s">
        <v>1707</v>
      </c>
      <c r="EN176" s="610" t="s">
        <v>1707</v>
      </c>
      <c r="EO176" s="610" t="s">
        <v>1707</v>
      </c>
      <c r="EP176" s="610" t="s">
        <v>1707</v>
      </c>
      <c r="EQ176" s="610" t="s">
        <v>1707</v>
      </c>
      <c r="ER176" s="610" t="s">
        <v>1707</v>
      </c>
      <c r="ES176" s="610" t="s">
        <v>1707</v>
      </c>
      <c r="ET176" s="610" t="s">
        <v>1707</v>
      </c>
      <c r="EU176" s="610">
        <v>4040</v>
      </c>
      <c r="EV176" s="610" t="s">
        <v>1707</v>
      </c>
      <c r="EW176" s="610" t="s">
        <v>1707</v>
      </c>
      <c r="EX176" s="610" t="s">
        <v>1707</v>
      </c>
      <c r="EY176" s="610" t="s">
        <v>1707</v>
      </c>
      <c r="EZ176" s="610" t="s">
        <v>1707</v>
      </c>
      <c r="FA176" s="610" t="s">
        <v>1707</v>
      </c>
      <c r="FB176" s="610" t="s">
        <v>1707</v>
      </c>
      <c r="FC176" s="610" t="s">
        <v>1707</v>
      </c>
      <c r="FD176" s="610" t="s">
        <v>1707</v>
      </c>
      <c r="FE176" s="610" t="s">
        <v>1707</v>
      </c>
      <c r="FF176" s="610" t="s">
        <v>1707</v>
      </c>
      <c r="FG176" s="610" t="s">
        <v>1707</v>
      </c>
      <c r="FH176" s="610">
        <v>0</v>
      </c>
      <c r="FI176" s="610">
        <v>1</v>
      </c>
      <c r="FJ176" s="610">
        <v>0</v>
      </c>
      <c r="FK176" s="610">
        <v>0</v>
      </c>
      <c r="FL176" s="610">
        <v>0</v>
      </c>
      <c r="FM176" s="610">
        <v>0</v>
      </c>
      <c r="FN176" s="610">
        <v>0</v>
      </c>
      <c r="FO176" s="610">
        <v>0</v>
      </c>
      <c r="FP176" s="610">
        <v>0</v>
      </c>
      <c r="FQ176" s="610">
        <v>0</v>
      </c>
      <c r="FR176" s="610" t="s">
        <v>2487</v>
      </c>
      <c r="FS176" s="610" t="s">
        <v>2487</v>
      </c>
      <c r="FT176" s="610" t="s">
        <v>2487</v>
      </c>
      <c r="FU176" s="610" t="s">
        <v>2487</v>
      </c>
      <c r="FV176" s="610" t="s">
        <v>2487</v>
      </c>
      <c r="FW176" s="610" t="s">
        <v>2487</v>
      </c>
      <c r="FX176" s="610" t="s">
        <v>2487</v>
      </c>
      <c r="FY176" s="610" t="s">
        <v>2487</v>
      </c>
      <c r="FZ176" s="610" t="s">
        <v>2487</v>
      </c>
      <c r="GA176" s="610" t="s">
        <v>2487</v>
      </c>
      <c r="GB176" s="610" t="s">
        <v>2487</v>
      </c>
      <c r="GC176" s="610" t="s">
        <v>2487</v>
      </c>
      <c r="GD176" s="564">
        <f t="shared" si="33"/>
        <v>79950</v>
      </c>
      <c r="GE176" s="564">
        <f t="shared" si="34"/>
        <v>79950</v>
      </c>
      <c r="GF176" s="564">
        <f t="shared" si="35"/>
        <v>79950</v>
      </c>
      <c r="GG176" s="564">
        <f t="shared" si="36"/>
        <v>79950</v>
      </c>
      <c r="GH176" s="564">
        <f t="shared" si="37"/>
        <v>79950</v>
      </c>
      <c r="GI176" s="564">
        <f t="shared" si="38"/>
        <v>79950</v>
      </c>
      <c r="GJ176" s="564">
        <f t="shared" si="39"/>
        <v>79950</v>
      </c>
      <c r="GK176" s="564">
        <f t="shared" si="40"/>
        <v>79950</v>
      </c>
      <c r="GL176" s="564">
        <f t="shared" si="41"/>
        <v>79950</v>
      </c>
      <c r="GM176" s="564">
        <f t="shared" si="42"/>
        <v>79950</v>
      </c>
      <c r="GN176" s="564">
        <f t="shared" si="43"/>
        <v>79950</v>
      </c>
      <c r="GO176" s="564">
        <f t="shared" si="44"/>
        <v>79950</v>
      </c>
      <c r="GP176" s="564"/>
      <c r="GS176" s="375" t="s">
        <v>2326</v>
      </c>
    </row>
    <row r="177" spans="2:201">
      <c r="B177" s="371">
        <v>173</v>
      </c>
      <c r="C177" s="378">
        <v>173</v>
      </c>
      <c r="D177" s="373" t="s">
        <v>2328</v>
      </c>
      <c r="E177" s="373" t="s">
        <v>14</v>
      </c>
      <c r="F177" s="603">
        <f t="shared" si="45"/>
        <v>20</v>
      </c>
      <c r="G177" s="603"/>
      <c r="H177" s="603">
        <v>12</v>
      </c>
      <c r="I177" s="603">
        <v>8</v>
      </c>
      <c r="J177" s="603"/>
      <c r="K177" s="603"/>
      <c r="L177" s="603"/>
      <c r="M177" s="603"/>
      <c r="N177" s="608"/>
      <c r="O177" s="603">
        <v>1577000</v>
      </c>
      <c r="P177" s="603">
        <v>2721000</v>
      </c>
      <c r="Q177" s="603">
        <v>2721000</v>
      </c>
      <c r="R177" s="603">
        <v>0</v>
      </c>
      <c r="S177" s="603">
        <v>0</v>
      </c>
      <c r="T177" s="603">
        <v>0</v>
      </c>
      <c r="U177" s="603">
        <v>0</v>
      </c>
      <c r="V177" s="603">
        <v>1051000</v>
      </c>
      <c r="W177" s="603">
        <v>1814000</v>
      </c>
      <c r="X177" s="603">
        <v>1814000</v>
      </c>
      <c r="Y177" s="603">
        <v>0</v>
      </c>
      <c r="Z177" s="603">
        <v>0</v>
      </c>
      <c r="AA177" s="603">
        <v>0</v>
      </c>
      <c r="AB177" s="603">
        <v>0</v>
      </c>
      <c r="AC177" s="603">
        <v>526000</v>
      </c>
      <c r="AD177" s="603">
        <v>907000</v>
      </c>
      <c r="AE177" s="603">
        <v>907000</v>
      </c>
      <c r="AF177" s="603">
        <v>0</v>
      </c>
      <c r="AG177" s="603">
        <v>0</v>
      </c>
      <c r="AH177" s="603">
        <v>0</v>
      </c>
      <c r="AI177" s="603">
        <v>0</v>
      </c>
      <c r="AJ177" s="604" t="s">
        <v>2377</v>
      </c>
      <c r="AK177" s="605" t="s">
        <v>2378</v>
      </c>
      <c r="AL177" s="605" t="s">
        <v>2490</v>
      </c>
      <c r="AM177" s="606" t="s">
        <v>2437</v>
      </c>
      <c r="AN177" s="609"/>
      <c r="AO177" s="610" t="s">
        <v>1368</v>
      </c>
      <c r="AP177" s="610" t="s">
        <v>1368</v>
      </c>
      <c r="AQ177" s="610" t="s">
        <v>1368</v>
      </c>
      <c r="AR177" s="610" t="s">
        <v>1368</v>
      </c>
      <c r="AS177" s="610" t="s">
        <v>1368</v>
      </c>
      <c r="AT177" s="610" t="s">
        <v>1368</v>
      </c>
      <c r="AU177" s="610" t="s">
        <v>1368</v>
      </c>
      <c r="AV177" s="610" t="s">
        <v>1368</v>
      </c>
      <c r="AW177" s="610" t="s">
        <v>1368</v>
      </c>
      <c r="AX177" s="610" t="s">
        <v>1368</v>
      </c>
      <c r="AY177" s="610" t="s">
        <v>1368</v>
      </c>
      <c r="AZ177" s="610" t="s">
        <v>1368</v>
      </c>
      <c r="BA177" s="610" t="s">
        <v>1368</v>
      </c>
      <c r="BB177" s="610" t="s">
        <v>1368</v>
      </c>
      <c r="BC177" s="610" t="s">
        <v>1368</v>
      </c>
      <c r="BD177" s="610" t="s">
        <v>1368</v>
      </c>
      <c r="BE177" s="610" t="s">
        <v>1368</v>
      </c>
      <c r="BF177" s="610" t="s">
        <v>1368</v>
      </c>
      <c r="BG177" s="610" t="s">
        <v>1368</v>
      </c>
      <c r="BH177" s="610" t="s">
        <v>1368</v>
      </c>
      <c r="BI177" s="610" t="s">
        <v>1368</v>
      </c>
      <c r="BJ177" s="610" t="s">
        <v>1368</v>
      </c>
      <c r="BK177" s="610" t="s">
        <v>1368</v>
      </c>
      <c r="BL177" s="610" t="s">
        <v>1368</v>
      </c>
      <c r="BM177" s="610">
        <v>0</v>
      </c>
      <c r="BN177" s="610">
        <v>0</v>
      </c>
      <c r="BO177" s="610">
        <v>0</v>
      </c>
      <c r="BP177" s="610">
        <v>1</v>
      </c>
      <c r="BQ177" s="610">
        <v>1</v>
      </c>
      <c r="BR177" s="610">
        <v>1</v>
      </c>
      <c r="BS177" s="610">
        <v>1</v>
      </c>
      <c r="BT177" s="610">
        <v>1</v>
      </c>
      <c r="BU177" s="610">
        <v>1</v>
      </c>
      <c r="BV177" s="610">
        <v>1</v>
      </c>
      <c r="BW177" s="610">
        <v>1</v>
      </c>
      <c r="BX177" s="610">
        <v>1</v>
      </c>
      <c r="BY177" s="610">
        <v>0</v>
      </c>
      <c r="BZ177" s="610">
        <v>0</v>
      </c>
      <c r="CA177" s="610">
        <v>0</v>
      </c>
      <c r="CB177" s="610">
        <v>0</v>
      </c>
      <c r="CC177" s="610">
        <v>0</v>
      </c>
      <c r="CD177" s="610">
        <v>0</v>
      </c>
      <c r="CE177" s="610">
        <v>0</v>
      </c>
      <c r="CF177" s="610">
        <v>0</v>
      </c>
      <c r="CG177" s="610">
        <v>0</v>
      </c>
      <c r="CH177" s="610">
        <v>0</v>
      </c>
      <c r="CI177" s="610">
        <v>0</v>
      </c>
      <c r="CJ177" s="610">
        <v>0</v>
      </c>
      <c r="CK177" s="610">
        <v>0</v>
      </c>
      <c r="CL177" s="610">
        <v>0</v>
      </c>
      <c r="CM177" s="610">
        <v>0</v>
      </c>
      <c r="CN177" s="610">
        <v>0</v>
      </c>
      <c r="CO177" s="610">
        <v>0</v>
      </c>
      <c r="CP177" s="610">
        <v>0</v>
      </c>
      <c r="CQ177" s="610">
        <v>0</v>
      </c>
      <c r="CR177" s="610">
        <v>0</v>
      </c>
      <c r="CS177" s="610">
        <v>0</v>
      </c>
      <c r="CT177" s="610">
        <v>0</v>
      </c>
      <c r="CU177" s="610">
        <v>0</v>
      </c>
      <c r="CV177" s="610">
        <v>0</v>
      </c>
      <c r="CW177" s="610" t="s">
        <v>14</v>
      </c>
      <c r="CX177" s="610">
        <v>0</v>
      </c>
      <c r="CY177" s="610" t="s">
        <v>2449</v>
      </c>
      <c r="CZ177" s="610" t="s">
        <v>2449</v>
      </c>
      <c r="DA177" s="610" t="s">
        <v>2449</v>
      </c>
      <c r="DB177" s="610" t="s">
        <v>2449</v>
      </c>
      <c r="DC177" s="610" t="s">
        <v>2449</v>
      </c>
      <c r="DD177" s="610" t="s">
        <v>2449</v>
      </c>
      <c r="DE177" s="610" t="s">
        <v>2449</v>
      </c>
      <c r="DF177" s="610" t="s">
        <v>2449</v>
      </c>
      <c r="DG177" s="610" t="s">
        <v>2449</v>
      </c>
      <c r="DH177" s="610" t="s">
        <v>2449</v>
      </c>
      <c r="DI177" s="610" t="s">
        <v>2449</v>
      </c>
      <c r="DJ177" s="610" t="s">
        <v>2449</v>
      </c>
      <c r="DK177" s="610" t="s">
        <v>1368</v>
      </c>
      <c r="DL177" s="610" t="s">
        <v>1368</v>
      </c>
      <c r="DM177" s="610" t="s">
        <v>1368</v>
      </c>
      <c r="DN177" s="610" t="s">
        <v>1368</v>
      </c>
      <c r="DO177" s="610" t="s">
        <v>1368</v>
      </c>
      <c r="DP177" s="610" t="s">
        <v>1368</v>
      </c>
      <c r="DQ177" s="610" t="s">
        <v>1368</v>
      </c>
      <c r="DR177" s="610" t="s">
        <v>1368</v>
      </c>
      <c r="DS177" s="610" t="s">
        <v>1368</v>
      </c>
      <c r="DT177" s="610" t="s">
        <v>1368</v>
      </c>
      <c r="DU177" s="610" t="s">
        <v>1368</v>
      </c>
      <c r="DV177" s="610" t="s">
        <v>1368</v>
      </c>
      <c r="DW177" s="609" t="s">
        <v>1368</v>
      </c>
      <c r="DX177" s="609" t="s">
        <v>1368</v>
      </c>
      <c r="DY177" s="609" t="s">
        <v>1368</v>
      </c>
      <c r="DZ177" s="609" t="s">
        <v>1368</v>
      </c>
      <c r="EA177" s="609" t="s">
        <v>1368</v>
      </c>
      <c r="EB177" s="609" t="s">
        <v>1368</v>
      </c>
      <c r="EC177" s="609" t="s">
        <v>1368</v>
      </c>
      <c r="ED177" s="609" t="s">
        <v>1368</v>
      </c>
      <c r="EE177" s="609" t="s">
        <v>1368</v>
      </c>
      <c r="EF177" s="609" t="s">
        <v>1368</v>
      </c>
      <c r="EG177" s="609" t="s">
        <v>1368</v>
      </c>
      <c r="EH177" s="609" t="s">
        <v>1368</v>
      </c>
      <c r="EI177" s="610" t="s">
        <v>1707</v>
      </c>
      <c r="EJ177" s="610" t="s">
        <v>1707</v>
      </c>
      <c r="EK177" s="610" t="s">
        <v>1707</v>
      </c>
      <c r="EL177" s="610" t="s">
        <v>1707</v>
      </c>
      <c r="EM177" s="610" t="s">
        <v>1707</v>
      </c>
      <c r="EN177" s="610" t="s">
        <v>1707</v>
      </c>
      <c r="EO177" s="610" t="s">
        <v>1707</v>
      </c>
      <c r="EP177" s="610" t="s">
        <v>1707</v>
      </c>
      <c r="EQ177" s="610" t="s">
        <v>1707</v>
      </c>
      <c r="ER177" s="610" t="s">
        <v>1707</v>
      </c>
      <c r="ES177" s="610" t="s">
        <v>1707</v>
      </c>
      <c r="ET177" s="610" t="s">
        <v>1707</v>
      </c>
      <c r="EU177" s="610">
        <v>3980</v>
      </c>
      <c r="EV177" s="610" t="s">
        <v>1707</v>
      </c>
      <c r="EW177" s="610" t="s">
        <v>1707</v>
      </c>
      <c r="EX177" s="610" t="s">
        <v>1707</v>
      </c>
      <c r="EY177" s="610" t="s">
        <v>1707</v>
      </c>
      <c r="EZ177" s="610" t="s">
        <v>1707</v>
      </c>
      <c r="FA177" s="610" t="s">
        <v>1707</v>
      </c>
      <c r="FB177" s="610" t="s">
        <v>1707</v>
      </c>
      <c r="FC177" s="610" t="s">
        <v>1707</v>
      </c>
      <c r="FD177" s="610" t="s">
        <v>1707</v>
      </c>
      <c r="FE177" s="610" t="s">
        <v>1707</v>
      </c>
      <c r="FF177" s="610" t="s">
        <v>1707</v>
      </c>
      <c r="FG177" s="610" t="s">
        <v>1707</v>
      </c>
      <c r="FH177" s="610">
        <v>3</v>
      </c>
      <c r="FI177" s="610">
        <v>3</v>
      </c>
      <c r="FJ177" s="610">
        <v>3</v>
      </c>
      <c r="FK177" s="610">
        <v>3</v>
      </c>
      <c r="FL177" s="610">
        <v>3</v>
      </c>
      <c r="FM177" s="610">
        <v>3</v>
      </c>
      <c r="FN177" s="610">
        <v>3</v>
      </c>
      <c r="FO177" s="610">
        <v>4</v>
      </c>
      <c r="FP177" s="610">
        <v>5</v>
      </c>
      <c r="FQ177" s="610">
        <v>5</v>
      </c>
      <c r="FR177" s="610" t="s">
        <v>2487</v>
      </c>
      <c r="FS177" s="610" t="s">
        <v>2487</v>
      </c>
      <c r="FT177" s="610" t="s">
        <v>2487</v>
      </c>
      <c r="FU177" s="610" t="s">
        <v>2487</v>
      </c>
      <c r="FV177" s="610" t="s">
        <v>2487</v>
      </c>
      <c r="FW177" s="610" t="s">
        <v>2487</v>
      </c>
      <c r="FX177" s="610" t="s">
        <v>2487</v>
      </c>
      <c r="FY177" s="610" t="s">
        <v>2487</v>
      </c>
      <c r="FZ177" s="610" t="s">
        <v>2487</v>
      </c>
      <c r="GA177" s="610" t="s">
        <v>2487</v>
      </c>
      <c r="GB177" s="610" t="s">
        <v>2487</v>
      </c>
      <c r="GC177" s="610" t="s">
        <v>2487</v>
      </c>
      <c r="GD177" s="564">
        <f t="shared" si="33"/>
        <v>79950</v>
      </c>
      <c r="GE177" s="564">
        <f t="shared" si="34"/>
        <v>79950</v>
      </c>
      <c r="GF177" s="564">
        <f t="shared" si="35"/>
        <v>79950</v>
      </c>
      <c r="GG177" s="564">
        <f t="shared" si="36"/>
        <v>79950</v>
      </c>
      <c r="GH177" s="564">
        <f t="shared" si="37"/>
        <v>79950</v>
      </c>
      <c r="GI177" s="564">
        <f t="shared" si="38"/>
        <v>79950</v>
      </c>
      <c r="GJ177" s="564">
        <f t="shared" si="39"/>
        <v>79950</v>
      </c>
      <c r="GK177" s="564">
        <f t="shared" si="40"/>
        <v>79950</v>
      </c>
      <c r="GL177" s="564">
        <f t="shared" si="41"/>
        <v>79950</v>
      </c>
      <c r="GM177" s="564">
        <f t="shared" si="42"/>
        <v>79950</v>
      </c>
      <c r="GN177" s="564">
        <f t="shared" si="43"/>
        <v>79950</v>
      </c>
      <c r="GO177" s="564">
        <f t="shared" si="44"/>
        <v>79950</v>
      </c>
      <c r="GP177" s="564"/>
      <c r="GS177" s="375" t="s">
        <v>2328</v>
      </c>
    </row>
    <row r="178" spans="2:201">
      <c r="B178" s="371">
        <v>174</v>
      </c>
      <c r="C178" s="378">
        <v>174</v>
      </c>
      <c r="D178" s="373" t="s">
        <v>2330</v>
      </c>
      <c r="E178" s="373" t="s">
        <v>14</v>
      </c>
      <c r="F178" s="603">
        <f t="shared" si="45"/>
        <v>60</v>
      </c>
      <c r="G178" s="603"/>
      <c r="H178" s="565">
        <v>36</v>
      </c>
      <c r="I178" s="565">
        <v>24</v>
      </c>
      <c r="J178" s="603"/>
      <c r="K178" s="603"/>
      <c r="L178" s="603"/>
      <c r="M178" s="603"/>
      <c r="N178" s="608"/>
      <c r="O178" s="603">
        <v>1577000</v>
      </c>
      <c r="P178" s="603">
        <v>2721000</v>
      </c>
      <c r="Q178" s="603">
        <v>2721000</v>
      </c>
      <c r="R178" s="603">
        <v>1188000</v>
      </c>
      <c r="S178" s="603">
        <v>0</v>
      </c>
      <c r="T178" s="603">
        <v>2181000</v>
      </c>
      <c r="U178" s="603">
        <v>0</v>
      </c>
      <c r="V178" s="603">
        <v>1051000</v>
      </c>
      <c r="W178" s="603">
        <v>1814000</v>
      </c>
      <c r="X178" s="603">
        <v>1814000</v>
      </c>
      <c r="Y178" s="603">
        <v>792000</v>
      </c>
      <c r="Z178" s="603">
        <v>0</v>
      </c>
      <c r="AA178" s="603">
        <v>1454000</v>
      </c>
      <c r="AB178" s="603">
        <v>0</v>
      </c>
      <c r="AC178" s="603">
        <v>0</v>
      </c>
      <c r="AD178" s="603">
        <v>0</v>
      </c>
      <c r="AE178" s="603">
        <v>0</v>
      </c>
      <c r="AF178" s="603">
        <v>0</v>
      </c>
      <c r="AG178" s="603">
        <v>0</v>
      </c>
      <c r="AH178" s="603">
        <v>0</v>
      </c>
      <c r="AI178" s="603">
        <v>0</v>
      </c>
      <c r="AJ178" s="604" t="s">
        <v>2377</v>
      </c>
      <c r="AK178" s="605" t="s">
        <v>2378</v>
      </c>
      <c r="AL178" s="605" t="s">
        <v>1545</v>
      </c>
      <c r="AM178" s="606" t="s">
        <v>2438</v>
      </c>
      <c r="AN178" s="609"/>
      <c r="AO178" s="610" t="s">
        <v>1368</v>
      </c>
      <c r="AP178" s="610" t="s">
        <v>1368</v>
      </c>
      <c r="AQ178" s="610" t="s">
        <v>1368</v>
      </c>
      <c r="AR178" s="610" t="s">
        <v>1368</v>
      </c>
      <c r="AS178" s="610" t="s">
        <v>1368</v>
      </c>
      <c r="AT178" s="610" t="s">
        <v>1368</v>
      </c>
      <c r="AU178" s="610" t="s">
        <v>1368</v>
      </c>
      <c r="AV178" s="610" t="s">
        <v>1368</v>
      </c>
      <c r="AW178" s="610" t="s">
        <v>1368</v>
      </c>
      <c r="AX178" s="610" t="s">
        <v>1368</v>
      </c>
      <c r="AY178" s="610" t="s">
        <v>1368</v>
      </c>
      <c r="AZ178" s="610" t="s">
        <v>1368</v>
      </c>
      <c r="BA178" s="610" t="s">
        <v>1368</v>
      </c>
      <c r="BB178" s="610" t="s">
        <v>1368</v>
      </c>
      <c r="BC178" s="610" t="s">
        <v>1368</v>
      </c>
      <c r="BD178" s="610" t="s">
        <v>1368</v>
      </c>
      <c r="BE178" s="610" t="s">
        <v>1368</v>
      </c>
      <c r="BF178" s="610" t="s">
        <v>1368</v>
      </c>
      <c r="BG178" s="610" t="s">
        <v>1368</v>
      </c>
      <c r="BH178" s="610" t="s">
        <v>1368</v>
      </c>
      <c r="BI178" s="610" t="s">
        <v>1368</v>
      </c>
      <c r="BJ178" s="610" t="s">
        <v>1368</v>
      </c>
      <c r="BK178" s="610" t="s">
        <v>1368</v>
      </c>
      <c r="BL178" s="610" t="s">
        <v>1368</v>
      </c>
      <c r="BM178" s="610">
        <v>1</v>
      </c>
      <c r="BN178" s="610">
        <v>1</v>
      </c>
      <c r="BO178" s="610">
        <v>1</v>
      </c>
      <c r="BP178" s="610">
        <v>1</v>
      </c>
      <c r="BQ178" s="610">
        <v>1</v>
      </c>
      <c r="BR178" s="610">
        <v>1</v>
      </c>
      <c r="BS178" s="610">
        <v>1</v>
      </c>
      <c r="BT178" s="610">
        <v>1</v>
      </c>
      <c r="BU178" s="610">
        <v>1</v>
      </c>
      <c r="BV178" s="610">
        <v>1</v>
      </c>
      <c r="BW178" s="610">
        <v>1</v>
      </c>
      <c r="BX178" s="610">
        <v>1</v>
      </c>
      <c r="BY178" s="610">
        <v>0</v>
      </c>
      <c r="BZ178" s="610">
        <v>0</v>
      </c>
      <c r="CA178" s="610">
        <v>0</v>
      </c>
      <c r="CB178" s="610">
        <v>0</v>
      </c>
      <c r="CC178" s="610">
        <v>0</v>
      </c>
      <c r="CD178" s="610">
        <v>0</v>
      </c>
      <c r="CE178" s="610">
        <v>0</v>
      </c>
      <c r="CF178" s="610">
        <v>0</v>
      </c>
      <c r="CG178" s="610">
        <v>0</v>
      </c>
      <c r="CH178" s="610">
        <v>0</v>
      </c>
      <c r="CI178" s="610">
        <v>0</v>
      </c>
      <c r="CJ178" s="610">
        <v>0</v>
      </c>
      <c r="CK178" s="610">
        <v>0</v>
      </c>
      <c r="CL178" s="610">
        <v>0</v>
      </c>
      <c r="CM178" s="610">
        <v>0</v>
      </c>
      <c r="CN178" s="610">
        <v>0</v>
      </c>
      <c r="CO178" s="610">
        <v>0</v>
      </c>
      <c r="CP178" s="610">
        <v>0</v>
      </c>
      <c r="CQ178" s="610">
        <v>0</v>
      </c>
      <c r="CR178" s="610">
        <v>0</v>
      </c>
      <c r="CS178" s="610">
        <v>0</v>
      </c>
      <c r="CT178" s="610">
        <v>0</v>
      </c>
      <c r="CU178" s="610">
        <v>0</v>
      </c>
      <c r="CV178" s="610">
        <v>0</v>
      </c>
      <c r="CW178" s="610" t="s">
        <v>14</v>
      </c>
      <c r="CX178" s="610">
        <v>0</v>
      </c>
      <c r="CY178" s="610" t="s">
        <v>1707</v>
      </c>
      <c r="CZ178" s="610" t="s">
        <v>1707</v>
      </c>
      <c r="DA178" s="610" t="s">
        <v>1707</v>
      </c>
      <c r="DB178" s="610" t="s">
        <v>1707</v>
      </c>
      <c r="DC178" s="610" t="s">
        <v>1707</v>
      </c>
      <c r="DD178" s="610" t="s">
        <v>1707</v>
      </c>
      <c r="DE178" s="610" t="s">
        <v>1707</v>
      </c>
      <c r="DF178" s="610" t="s">
        <v>1707</v>
      </c>
      <c r="DG178" s="610" t="s">
        <v>1707</v>
      </c>
      <c r="DH178" s="610" t="s">
        <v>1707</v>
      </c>
      <c r="DI178" s="610" t="s">
        <v>1707</v>
      </c>
      <c r="DJ178" s="610" t="s">
        <v>1707</v>
      </c>
      <c r="DK178" s="610" t="s">
        <v>1368</v>
      </c>
      <c r="DL178" s="610" t="s">
        <v>1368</v>
      </c>
      <c r="DM178" s="610" t="s">
        <v>1368</v>
      </c>
      <c r="DN178" s="610" t="s">
        <v>1368</v>
      </c>
      <c r="DO178" s="610" t="s">
        <v>1368</v>
      </c>
      <c r="DP178" s="610" t="s">
        <v>1368</v>
      </c>
      <c r="DQ178" s="610" t="s">
        <v>1368</v>
      </c>
      <c r="DR178" s="610" t="s">
        <v>1368</v>
      </c>
      <c r="DS178" s="610" t="s">
        <v>1368</v>
      </c>
      <c r="DT178" s="610" t="s">
        <v>1368</v>
      </c>
      <c r="DU178" s="610" t="s">
        <v>1368</v>
      </c>
      <c r="DV178" s="610" t="s">
        <v>1368</v>
      </c>
      <c r="DW178" s="609" t="s">
        <v>1368</v>
      </c>
      <c r="DX178" s="609" t="s">
        <v>1368</v>
      </c>
      <c r="DY178" s="609" t="s">
        <v>1368</v>
      </c>
      <c r="DZ178" s="609" t="s">
        <v>1368</v>
      </c>
      <c r="EA178" s="609" t="s">
        <v>1368</v>
      </c>
      <c r="EB178" s="609" t="s">
        <v>1368</v>
      </c>
      <c r="EC178" s="609" t="s">
        <v>1368</v>
      </c>
      <c r="ED178" s="609" t="s">
        <v>1368</v>
      </c>
      <c r="EE178" s="609" t="s">
        <v>1368</v>
      </c>
      <c r="EF178" s="609" t="s">
        <v>1368</v>
      </c>
      <c r="EG178" s="609" t="s">
        <v>1368</v>
      </c>
      <c r="EH178" s="609" t="s">
        <v>1368</v>
      </c>
      <c r="EI178" s="610" t="s">
        <v>1707</v>
      </c>
      <c r="EJ178" s="610" t="s">
        <v>1707</v>
      </c>
      <c r="EK178" s="610" t="s">
        <v>1707</v>
      </c>
      <c r="EL178" s="610" t="s">
        <v>1707</v>
      </c>
      <c r="EM178" s="610" t="s">
        <v>1707</v>
      </c>
      <c r="EN178" s="610" t="s">
        <v>1707</v>
      </c>
      <c r="EO178" s="610" t="s">
        <v>1707</v>
      </c>
      <c r="EP178" s="610" t="s">
        <v>1707</v>
      </c>
      <c r="EQ178" s="610" t="s">
        <v>1707</v>
      </c>
      <c r="ER178" s="610" t="s">
        <v>1707</v>
      </c>
      <c r="ES178" s="610" t="s">
        <v>1707</v>
      </c>
      <c r="ET178" s="610" t="s">
        <v>1707</v>
      </c>
      <c r="EU178" s="610">
        <v>3950</v>
      </c>
      <c r="EV178" s="610" t="s">
        <v>1707</v>
      </c>
      <c r="EW178" s="610" t="s">
        <v>1707</v>
      </c>
      <c r="EX178" s="610" t="s">
        <v>1707</v>
      </c>
      <c r="EY178" s="610" t="s">
        <v>1707</v>
      </c>
      <c r="EZ178" s="610" t="s">
        <v>1707</v>
      </c>
      <c r="FA178" s="610" t="s">
        <v>1707</v>
      </c>
      <c r="FB178" s="610" t="s">
        <v>1707</v>
      </c>
      <c r="FC178" s="610" t="s">
        <v>1707</v>
      </c>
      <c r="FD178" s="610" t="s">
        <v>1707</v>
      </c>
      <c r="FE178" s="610" t="s">
        <v>1707</v>
      </c>
      <c r="FF178" s="610" t="s">
        <v>1707</v>
      </c>
      <c r="FG178" s="610" t="s">
        <v>1707</v>
      </c>
      <c r="FH178" s="610">
        <v>11</v>
      </c>
      <c r="FI178" s="610">
        <v>15</v>
      </c>
      <c r="FJ178" s="610">
        <v>14</v>
      </c>
      <c r="FK178" s="610">
        <v>15</v>
      </c>
      <c r="FL178" s="610">
        <v>16</v>
      </c>
      <c r="FM178" s="610">
        <v>16</v>
      </c>
      <c r="FN178" s="610">
        <v>17</v>
      </c>
      <c r="FO178" s="610">
        <v>17</v>
      </c>
      <c r="FP178" s="610">
        <v>17</v>
      </c>
      <c r="FQ178" s="610">
        <v>17</v>
      </c>
      <c r="FR178" s="610" t="s">
        <v>2487</v>
      </c>
      <c r="FS178" s="610" t="s">
        <v>2487</v>
      </c>
      <c r="FT178" s="610" t="s">
        <v>2487</v>
      </c>
      <c r="FU178" s="610" t="s">
        <v>2487</v>
      </c>
      <c r="FV178" s="610" t="s">
        <v>2487</v>
      </c>
      <c r="FW178" s="610" t="s">
        <v>2487</v>
      </c>
      <c r="FX178" s="610" t="s">
        <v>2487</v>
      </c>
      <c r="FY178" s="610" t="s">
        <v>2487</v>
      </c>
      <c r="FZ178" s="610" t="s">
        <v>2487</v>
      </c>
      <c r="GA178" s="610" t="s">
        <v>2487</v>
      </c>
      <c r="GB178" s="610" t="s">
        <v>2487</v>
      </c>
      <c r="GC178" s="610" t="s">
        <v>2487</v>
      </c>
      <c r="GD178" s="564">
        <f t="shared" si="33"/>
        <v>79950</v>
      </c>
      <c r="GE178" s="564">
        <f t="shared" si="34"/>
        <v>79950</v>
      </c>
      <c r="GF178" s="564">
        <f t="shared" si="35"/>
        <v>79950</v>
      </c>
      <c r="GG178" s="564">
        <f t="shared" si="36"/>
        <v>79950</v>
      </c>
      <c r="GH178" s="564">
        <f t="shared" si="37"/>
        <v>79950</v>
      </c>
      <c r="GI178" s="564">
        <f t="shared" si="38"/>
        <v>79950</v>
      </c>
      <c r="GJ178" s="564">
        <f t="shared" si="39"/>
        <v>79950</v>
      </c>
      <c r="GK178" s="564">
        <f t="shared" si="40"/>
        <v>79950</v>
      </c>
      <c r="GL178" s="564">
        <f t="shared" si="41"/>
        <v>79950</v>
      </c>
      <c r="GM178" s="564">
        <f t="shared" si="42"/>
        <v>79950</v>
      </c>
      <c r="GN178" s="564">
        <f t="shared" si="43"/>
        <v>79950</v>
      </c>
      <c r="GO178" s="564">
        <f t="shared" si="44"/>
        <v>79950</v>
      </c>
      <c r="GP178" s="564"/>
      <c r="GS178" s="375" t="s">
        <v>2330</v>
      </c>
    </row>
    <row r="179" spans="2:201">
      <c r="B179" s="371">
        <v>175</v>
      </c>
      <c r="C179" s="378">
        <v>175</v>
      </c>
      <c r="D179" s="373" t="s">
        <v>2332</v>
      </c>
      <c r="E179" s="373" t="s">
        <v>14</v>
      </c>
      <c r="F179" s="603">
        <f t="shared" si="45"/>
        <v>110</v>
      </c>
      <c r="G179" s="603"/>
      <c r="H179" s="565">
        <v>66</v>
      </c>
      <c r="I179" s="565">
        <v>44</v>
      </c>
      <c r="J179" s="603"/>
      <c r="K179" s="603"/>
      <c r="L179" s="603"/>
      <c r="M179" s="603"/>
      <c r="N179" s="608"/>
      <c r="O179" s="603">
        <v>1577000</v>
      </c>
      <c r="P179" s="603">
        <v>2721000</v>
      </c>
      <c r="Q179" s="603">
        <v>0</v>
      </c>
      <c r="R179" s="603">
        <v>1791000</v>
      </c>
      <c r="S179" s="603">
        <v>1791000</v>
      </c>
      <c r="T179" s="603">
        <v>0</v>
      </c>
      <c r="U179" s="603">
        <v>0</v>
      </c>
      <c r="V179" s="603">
        <v>1051000</v>
      </c>
      <c r="W179" s="603">
        <v>1814000</v>
      </c>
      <c r="X179" s="603">
        <v>0</v>
      </c>
      <c r="Y179" s="603">
        <v>1194000</v>
      </c>
      <c r="Z179" s="603">
        <v>1194000</v>
      </c>
      <c r="AA179" s="603">
        <v>0</v>
      </c>
      <c r="AB179" s="603">
        <v>0</v>
      </c>
      <c r="AC179" s="603">
        <v>0</v>
      </c>
      <c r="AD179" s="603">
        <v>0</v>
      </c>
      <c r="AE179" s="603">
        <v>0</v>
      </c>
      <c r="AF179" s="603">
        <v>0</v>
      </c>
      <c r="AG179" s="603">
        <v>0</v>
      </c>
      <c r="AH179" s="603">
        <v>0</v>
      </c>
      <c r="AI179" s="603">
        <v>0</v>
      </c>
      <c r="AJ179" s="604" t="s">
        <v>2377</v>
      </c>
      <c r="AK179" s="605" t="s">
        <v>2378</v>
      </c>
      <c r="AL179" s="605" t="s">
        <v>1545</v>
      </c>
      <c r="AM179" s="606" t="s">
        <v>2439</v>
      </c>
      <c r="AN179" s="609"/>
      <c r="AO179" s="610" t="s">
        <v>1368</v>
      </c>
      <c r="AP179" s="610" t="s">
        <v>1368</v>
      </c>
      <c r="AQ179" s="610" t="s">
        <v>1368</v>
      </c>
      <c r="AR179" s="610" t="s">
        <v>1368</v>
      </c>
      <c r="AS179" s="610" t="s">
        <v>1368</v>
      </c>
      <c r="AT179" s="610" t="s">
        <v>1368</v>
      </c>
      <c r="AU179" s="610" t="s">
        <v>1368</v>
      </c>
      <c r="AV179" s="610" t="s">
        <v>1368</v>
      </c>
      <c r="AW179" s="610" t="s">
        <v>1368</v>
      </c>
      <c r="AX179" s="610" t="s">
        <v>1368</v>
      </c>
      <c r="AY179" s="610" t="s">
        <v>1368</v>
      </c>
      <c r="AZ179" s="610" t="s">
        <v>1368</v>
      </c>
      <c r="BA179" s="610" t="s">
        <v>1368</v>
      </c>
      <c r="BB179" s="610" t="s">
        <v>1368</v>
      </c>
      <c r="BC179" s="610" t="s">
        <v>1368</v>
      </c>
      <c r="BD179" s="610" t="s">
        <v>1368</v>
      </c>
      <c r="BE179" s="610" t="s">
        <v>1368</v>
      </c>
      <c r="BF179" s="610" t="s">
        <v>1368</v>
      </c>
      <c r="BG179" s="610" t="s">
        <v>1368</v>
      </c>
      <c r="BH179" s="610" t="s">
        <v>1368</v>
      </c>
      <c r="BI179" s="610" t="s">
        <v>1368</v>
      </c>
      <c r="BJ179" s="610" t="s">
        <v>1368</v>
      </c>
      <c r="BK179" s="610" t="s">
        <v>1368</v>
      </c>
      <c r="BL179" s="610" t="s">
        <v>1368</v>
      </c>
      <c r="BM179" s="610">
        <v>0</v>
      </c>
      <c r="BN179" s="610">
        <v>0</v>
      </c>
      <c r="BO179" s="610">
        <v>0</v>
      </c>
      <c r="BP179" s="610">
        <v>0</v>
      </c>
      <c r="BQ179" s="610">
        <v>0</v>
      </c>
      <c r="BR179" s="610">
        <v>0</v>
      </c>
      <c r="BS179" s="610">
        <v>0</v>
      </c>
      <c r="BT179" s="610">
        <v>0</v>
      </c>
      <c r="BU179" s="610">
        <v>0</v>
      </c>
      <c r="BV179" s="610">
        <v>0</v>
      </c>
      <c r="BW179" s="610">
        <v>0</v>
      </c>
      <c r="BX179" s="610">
        <v>0</v>
      </c>
      <c r="BY179" s="610">
        <v>0</v>
      </c>
      <c r="BZ179" s="610">
        <v>0</v>
      </c>
      <c r="CA179" s="610">
        <v>0</v>
      </c>
      <c r="CB179" s="610">
        <v>0</v>
      </c>
      <c r="CC179" s="610">
        <v>0</v>
      </c>
      <c r="CD179" s="610">
        <v>0</v>
      </c>
      <c r="CE179" s="610">
        <v>0</v>
      </c>
      <c r="CF179" s="610">
        <v>0</v>
      </c>
      <c r="CG179" s="610">
        <v>0</v>
      </c>
      <c r="CH179" s="610">
        <v>0</v>
      </c>
      <c r="CI179" s="610">
        <v>0</v>
      </c>
      <c r="CJ179" s="610">
        <v>0</v>
      </c>
      <c r="CK179" s="610">
        <v>0</v>
      </c>
      <c r="CL179" s="610">
        <v>0</v>
      </c>
      <c r="CM179" s="610">
        <v>0</v>
      </c>
      <c r="CN179" s="610">
        <v>0</v>
      </c>
      <c r="CO179" s="610">
        <v>0</v>
      </c>
      <c r="CP179" s="610">
        <v>0</v>
      </c>
      <c r="CQ179" s="610">
        <v>0</v>
      </c>
      <c r="CR179" s="610">
        <v>0</v>
      </c>
      <c r="CS179" s="610">
        <v>0</v>
      </c>
      <c r="CT179" s="610">
        <v>0</v>
      </c>
      <c r="CU179" s="610">
        <v>0</v>
      </c>
      <c r="CV179" s="610">
        <v>0</v>
      </c>
      <c r="CW179" s="610" t="s">
        <v>14</v>
      </c>
      <c r="CX179" s="610">
        <v>0</v>
      </c>
      <c r="CY179" s="610" t="s">
        <v>2449</v>
      </c>
      <c r="CZ179" s="610" t="s">
        <v>2449</v>
      </c>
      <c r="DA179" s="610" t="s">
        <v>2449</v>
      </c>
      <c r="DB179" s="610" t="s">
        <v>2449</v>
      </c>
      <c r="DC179" s="610" t="s">
        <v>2449</v>
      </c>
      <c r="DD179" s="610" t="s">
        <v>2449</v>
      </c>
      <c r="DE179" s="610" t="s">
        <v>2449</v>
      </c>
      <c r="DF179" s="610" t="s">
        <v>2449</v>
      </c>
      <c r="DG179" s="610" t="s">
        <v>2449</v>
      </c>
      <c r="DH179" s="610" t="s">
        <v>2449</v>
      </c>
      <c r="DI179" s="610" t="s">
        <v>2449</v>
      </c>
      <c r="DJ179" s="610" t="s">
        <v>2449</v>
      </c>
      <c r="DK179" s="610" t="s">
        <v>1368</v>
      </c>
      <c r="DL179" s="610" t="s">
        <v>1368</v>
      </c>
      <c r="DM179" s="610" t="s">
        <v>1368</v>
      </c>
      <c r="DN179" s="610" t="s">
        <v>1368</v>
      </c>
      <c r="DO179" s="610" t="s">
        <v>1368</v>
      </c>
      <c r="DP179" s="610" t="s">
        <v>1368</v>
      </c>
      <c r="DQ179" s="610" t="s">
        <v>1368</v>
      </c>
      <c r="DR179" s="610" t="s">
        <v>1368</v>
      </c>
      <c r="DS179" s="610" t="s">
        <v>1368</v>
      </c>
      <c r="DT179" s="610" t="s">
        <v>1368</v>
      </c>
      <c r="DU179" s="610" t="s">
        <v>1368</v>
      </c>
      <c r="DV179" s="610" t="s">
        <v>1368</v>
      </c>
      <c r="DW179" s="609" t="s">
        <v>1368</v>
      </c>
      <c r="DX179" s="609" t="s">
        <v>1368</v>
      </c>
      <c r="DY179" s="609" t="s">
        <v>1368</v>
      </c>
      <c r="DZ179" s="609" t="s">
        <v>1368</v>
      </c>
      <c r="EA179" s="609" t="s">
        <v>1368</v>
      </c>
      <c r="EB179" s="609" t="s">
        <v>1368</v>
      </c>
      <c r="EC179" s="609" t="s">
        <v>1368</v>
      </c>
      <c r="ED179" s="609" t="s">
        <v>1368</v>
      </c>
      <c r="EE179" s="609" t="s">
        <v>1368</v>
      </c>
      <c r="EF179" s="609" t="s">
        <v>1368</v>
      </c>
      <c r="EG179" s="609" t="s">
        <v>1368</v>
      </c>
      <c r="EH179" s="609" t="s">
        <v>1368</v>
      </c>
      <c r="EI179" s="610" t="s">
        <v>1707</v>
      </c>
      <c r="EJ179" s="610" t="s">
        <v>1707</v>
      </c>
      <c r="EK179" s="610" t="s">
        <v>1707</v>
      </c>
      <c r="EL179" s="610" t="s">
        <v>1707</v>
      </c>
      <c r="EM179" s="610" t="s">
        <v>1707</v>
      </c>
      <c r="EN179" s="610" t="s">
        <v>1707</v>
      </c>
      <c r="EO179" s="610" t="s">
        <v>1707</v>
      </c>
      <c r="EP179" s="610" t="s">
        <v>1707</v>
      </c>
      <c r="EQ179" s="610" t="s">
        <v>1707</v>
      </c>
      <c r="ER179" s="610" t="s">
        <v>1707</v>
      </c>
      <c r="ES179" s="610" t="s">
        <v>1707</v>
      </c>
      <c r="ET179" s="610" t="s">
        <v>1707</v>
      </c>
      <c r="EU179" s="610">
        <v>3770</v>
      </c>
      <c r="EV179" s="610" t="s">
        <v>1707</v>
      </c>
      <c r="EW179" s="610" t="s">
        <v>1707</v>
      </c>
      <c r="EX179" s="610" t="s">
        <v>1707</v>
      </c>
      <c r="EY179" s="610" t="s">
        <v>1707</v>
      </c>
      <c r="EZ179" s="610" t="s">
        <v>1707</v>
      </c>
      <c r="FA179" s="610" t="s">
        <v>1707</v>
      </c>
      <c r="FB179" s="610" t="s">
        <v>1707</v>
      </c>
      <c r="FC179" s="610" t="s">
        <v>1707</v>
      </c>
      <c r="FD179" s="610" t="s">
        <v>1707</v>
      </c>
      <c r="FE179" s="610" t="s">
        <v>1707</v>
      </c>
      <c r="FF179" s="610" t="s">
        <v>1707</v>
      </c>
      <c r="FG179" s="610" t="s">
        <v>1707</v>
      </c>
      <c r="FH179" s="610">
        <v>38</v>
      </c>
      <c r="FI179" s="610">
        <v>40</v>
      </c>
      <c r="FJ179" s="610">
        <v>40</v>
      </c>
      <c r="FK179" s="610">
        <v>41</v>
      </c>
      <c r="FL179" s="610">
        <v>42</v>
      </c>
      <c r="FM179" s="610">
        <v>43</v>
      </c>
      <c r="FN179" s="610">
        <v>44</v>
      </c>
      <c r="FO179" s="610">
        <v>45</v>
      </c>
      <c r="FP179" s="610">
        <v>46</v>
      </c>
      <c r="FQ179" s="610">
        <v>45</v>
      </c>
      <c r="FR179" s="610" t="s">
        <v>2489</v>
      </c>
      <c r="FS179" s="610" t="s">
        <v>2489</v>
      </c>
      <c r="FT179" s="610" t="s">
        <v>2489</v>
      </c>
      <c r="FU179" s="610" t="s">
        <v>2489</v>
      </c>
      <c r="FV179" s="610" t="s">
        <v>2489</v>
      </c>
      <c r="FW179" s="610" t="s">
        <v>2489</v>
      </c>
      <c r="FX179" s="610" t="s">
        <v>2489</v>
      </c>
      <c r="FY179" s="610" t="s">
        <v>2489</v>
      </c>
      <c r="FZ179" s="610" t="s">
        <v>2489</v>
      </c>
      <c r="GA179" s="610" t="s">
        <v>2489</v>
      </c>
      <c r="GB179" s="610" t="s">
        <v>2489</v>
      </c>
      <c r="GC179" s="610" t="s">
        <v>2489</v>
      </c>
      <c r="GD179" s="564" t="str">
        <f t="shared" si="33"/>
        <v/>
      </c>
      <c r="GE179" s="564" t="str">
        <f t="shared" si="34"/>
        <v/>
      </c>
      <c r="GF179" s="564" t="str">
        <f t="shared" si="35"/>
        <v/>
      </c>
      <c r="GG179" s="564" t="str">
        <f t="shared" si="36"/>
        <v/>
      </c>
      <c r="GH179" s="564" t="str">
        <f t="shared" si="37"/>
        <v/>
      </c>
      <c r="GI179" s="564" t="str">
        <f t="shared" si="38"/>
        <v/>
      </c>
      <c r="GJ179" s="564" t="str">
        <f t="shared" si="39"/>
        <v/>
      </c>
      <c r="GK179" s="564" t="str">
        <f t="shared" si="40"/>
        <v/>
      </c>
      <c r="GL179" s="564" t="str">
        <f t="shared" si="41"/>
        <v/>
      </c>
      <c r="GM179" s="564" t="str">
        <f t="shared" si="42"/>
        <v/>
      </c>
      <c r="GN179" s="564" t="str">
        <f t="shared" si="43"/>
        <v/>
      </c>
      <c r="GO179" s="564" t="str">
        <f t="shared" si="44"/>
        <v/>
      </c>
      <c r="GP179" s="564"/>
      <c r="GS179" s="375" t="s">
        <v>2341</v>
      </c>
    </row>
    <row r="180" spans="2:201">
      <c r="B180" s="372"/>
      <c r="C180" s="352"/>
      <c r="D180" s="373"/>
      <c r="E180" s="373"/>
      <c r="F180" s="603"/>
      <c r="G180" s="603"/>
      <c r="H180" s="603"/>
      <c r="I180" s="603"/>
      <c r="J180" s="603"/>
      <c r="K180" s="603"/>
      <c r="L180" s="603"/>
      <c r="M180" s="603"/>
      <c r="N180" s="608"/>
      <c r="O180" s="603"/>
      <c r="P180" s="603"/>
      <c r="Q180" s="603"/>
      <c r="R180" s="603"/>
      <c r="S180" s="603"/>
      <c r="T180" s="603"/>
      <c r="U180" s="603"/>
      <c r="V180" s="603"/>
      <c r="W180" s="603"/>
      <c r="X180" s="603"/>
      <c r="Y180" s="603"/>
      <c r="Z180" s="603"/>
      <c r="AA180" s="603"/>
      <c r="AB180" s="603"/>
      <c r="AC180" s="603"/>
      <c r="AD180" s="603"/>
      <c r="AE180" s="603"/>
      <c r="AF180" s="603"/>
      <c r="AG180" s="603"/>
      <c r="AH180" s="603"/>
      <c r="AI180" s="603"/>
      <c r="AJ180" s="607"/>
      <c r="AK180" s="607"/>
      <c r="AL180" s="607"/>
      <c r="AM180" s="603"/>
      <c r="AN180" s="603"/>
      <c r="AO180" s="381"/>
      <c r="AP180" s="381"/>
      <c r="AQ180" s="381"/>
      <c r="AR180" s="381"/>
      <c r="AS180" s="381"/>
      <c r="AT180" s="381"/>
      <c r="AU180" s="381"/>
      <c r="AV180" s="381"/>
      <c r="AW180" s="381"/>
      <c r="AX180" s="381"/>
      <c r="AY180" s="381"/>
      <c r="AZ180" s="381"/>
      <c r="BA180" s="381"/>
      <c r="BB180" s="381"/>
      <c r="BC180" s="381"/>
      <c r="BD180" s="381"/>
      <c r="BE180" s="381"/>
      <c r="BF180" s="381"/>
      <c r="BG180" s="381"/>
      <c r="BH180" s="381"/>
      <c r="BI180" s="381"/>
      <c r="BJ180" s="381"/>
      <c r="BK180" s="381"/>
      <c r="BL180" s="381"/>
      <c r="BM180" s="381"/>
      <c r="BN180" s="381"/>
      <c r="BO180" s="381"/>
      <c r="BP180" s="381"/>
      <c r="BQ180" s="381"/>
      <c r="BR180" s="381"/>
      <c r="BS180" s="381"/>
      <c r="BT180" s="381"/>
      <c r="BU180" s="381"/>
      <c r="BV180" s="381"/>
      <c r="BW180" s="381"/>
      <c r="BX180" s="381"/>
      <c r="BY180" s="610"/>
      <c r="BZ180" s="610"/>
      <c r="CA180" s="610"/>
      <c r="CB180" s="610"/>
      <c r="CC180" s="610"/>
      <c r="CD180" s="610"/>
      <c r="CE180" s="610"/>
      <c r="CF180" s="610"/>
      <c r="CG180" s="610"/>
      <c r="CH180" s="610"/>
      <c r="CI180" s="610"/>
      <c r="CJ180" s="610"/>
      <c r="CK180" s="381"/>
      <c r="CL180" s="381"/>
      <c r="CM180" s="381"/>
      <c r="CN180" s="381"/>
      <c r="CO180" s="381"/>
      <c r="CP180" s="381"/>
      <c r="CQ180" s="381"/>
      <c r="CR180" s="381"/>
      <c r="CS180" s="381"/>
      <c r="CT180" s="381"/>
      <c r="CU180" s="381"/>
      <c r="CV180" s="381"/>
      <c r="CW180" s="381"/>
      <c r="CX180" s="381"/>
      <c r="CY180" s="381"/>
      <c r="CZ180" s="381"/>
      <c r="DA180" s="381"/>
      <c r="DB180" s="381"/>
      <c r="DC180" s="381"/>
      <c r="DD180" s="381"/>
      <c r="DE180" s="381"/>
      <c r="DF180" s="381"/>
      <c r="DG180" s="381"/>
      <c r="DH180" s="381"/>
      <c r="DI180" s="381"/>
      <c r="DJ180" s="381"/>
      <c r="DK180" s="381"/>
      <c r="DL180" s="381"/>
      <c r="DM180" s="381"/>
      <c r="DN180" s="381"/>
      <c r="DO180" s="381"/>
      <c r="DP180" s="381"/>
      <c r="DQ180" s="381"/>
      <c r="DR180" s="381"/>
      <c r="DS180" s="381"/>
      <c r="DT180" s="381"/>
      <c r="DU180" s="381"/>
      <c r="DV180" s="381"/>
      <c r="DW180" s="603"/>
      <c r="DX180" s="603"/>
      <c r="DY180" s="603"/>
      <c r="DZ180" s="603"/>
      <c r="EA180" s="603"/>
      <c r="EB180" s="603"/>
      <c r="EC180" s="603"/>
      <c r="ED180" s="603"/>
      <c r="EE180" s="603"/>
      <c r="EF180" s="603"/>
      <c r="EG180" s="603"/>
      <c r="EH180" s="603"/>
      <c r="EI180" s="381"/>
      <c r="EJ180" s="381"/>
      <c r="EK180" s="381"/>
      <c r="EL180" s="381"/>
      <c r="EM180" s="381"/>
      <c r="EN180" s="381"/>
      <c r="EO180" s="381"/>
      <c r="EP180" s="381"/>
      <c r="EQ180" s="381"/>
      <c r="ER180" s="381"/>
      <c r="ES180" s="381"/>
      <c r="ET180" s="381"/>
      <c r="EU180" s="381"/>
      <c r="EV180" s="381"/>
      <c r="EW180" s="381"/>
      <c r="EX180" s="381"/>
      <c r="EY180" s="381"/>
      <c r="EZ180" s="381"/>
      <c r="FA180" s="381"/>
      <c r="FB180" s="381"/>
      <c r="FC180" s="381"/>
      <c r="FD180" s="381"/>
      <c r="FE180" s="381"/>
      <c r="FF180" s="381"/>
      <c r="FG180" s="381"/>
      <c r="FH180" s="381"/>
      <c r="FI180" s="381"/>
      <c r="FJ180" s="381"/>
      <c r="FK180" s="381"/>
      <c r="FL180" s="381"/>
      <c r="FM180" s="381"/>
      <c r="FN180" s="381"/>
      <c r="FO180" s="381"/>
      <c r="FP180" s="381"/>
      <c r="FQ180" s="381"/>
      <c r="FR180" s="381"/>
      <c r="FS180" s="381"/>
      <c r="FT180" s="381"/>
      <c r="FU180" s="381"/>
      <c r="FV180" s="381"/>
      <c r="FW180" s="381"/>
      <c r="FX180" s="381"/>
      <c r="FY180" s="381"/>
      <c r="FZ180" s="381"/>
      <c r="GA180" s="381"/>
      <c r="GB180" s="381"/>
      <c r="GC180" s="381"/>
      <c r="GD180" s="379"/>
      <c r="GE180" s="379"/>
      <c r="GF180" s="379"/>
      <c r="GG180" s="379"/>
      <c r="GH180" s="379"/>
      <c r="GI180" s="379"/>
      <c r="GJ180" s="379"/>
      <c r="GK180" s="379"/>
      <c r="GL180" s="379"/>
      <c r="GM180" s="379"/>
      <c r="GN180" s="379"/>
      <c r="GO180" s="379"/>
      <c r="GP180" s="379"/>
    </row>
    <row r="181" spans="2:201">
      <c r="D181" s="362" t="s">
        <v>1369</v>
      </c>
      <c r="E181" s="362" t="s">
        <v>1392</v>
      </c>
      <c r="AN181" s="375" t="s">
        <v>1366</v>
      </c>
      <c r="AO181" s="375" t="s">
        <v>2211</v>
      </c>
      <c r="BA181" s="375" t="s">
        <v>2212</v>
      </c>
      <c r="CW181" s="375" t="s">
        <v>2212</v>
      </c>
      <c r="CY181" s="375" t="s">
        <v>2212</v>
      </c>
      <c r="DK181" s="375" t="s">
        <v>2269</v>
      </c>
      <c r="DW181" s="375" t="s">
        <v>2269</v>
      </c>
      <c r="EI181" s="375" t="s">
        <v>2212</v>
      </c>
      <c r="FR181" s="375" t="s">
        <v>2267</v>
      </c>
    </row>
    <row r="182" spans="2:201">
      <c r="E182" s="362" t="s">
        <v>1390</v>
      </c>
      <c r="AN182" s="375" t="s">
        <v>1367</v>
      </c>
      <c r="AO182" s="375" t="s">
        <v>2210</v>
      </c>
      <c r="BA182" s="375" t="s">
        <v>2213</v>
      </c>
      <c r="CW182" s="375" t="s">
        <v>2213</v>
      </c>
      <c r="CY182" s="375" t="s">
        <v>2213</v>
      </c>
      <c r="DK182" s="375" t="s">
        <v>2270</v>
      </c>
      <c r="DW182" s="375" t="s">
        <v>2270</v>
      </c>
      <c r="EI182" s="375" t="s">
        <v>2213</v>
      </c>
      <c r="FR182" s="375" t="s">
        <v>2268</v>
      </c>
    </row>
    <row r="183" spans="2:201">
      <c r="E183" s="362" t="s">
        <v>1391</v>
      </c>
      <c r="AO183" s="375" t="s">
        <v>1368</v>
      </c>
      <c r="BA183" s="375" t="s">
        <v>1368</v>
      </c>
      <c r="DK183" s="375" t="s">
        <v>1368</v>
      </c>
      <c r="DW183" s="375" t="s">
        <v>1368</v>
      </c>
      <c r="FR183" s="375" t="s">
        <v>2266</v>
      </c>
    </row>
  </sheetData>
  <sheetProtection selectLockedCells="1" selectUnlockedCells="1"/>
  <autoFilter ref="A4:GT179" xr:uid="{DE9081B5-5356-48E3-8419-12F0B7078AB4}"/>
  <mergeCells count="4">
    <mergeCell ref="O3:U3"/>
    <mergeCell ref="V3:AB3"/>
    <mergeCell ref="AC3:AI3"/>
    <mergeCell ref="GE3:GH3"/>
  </mergeCells>
  <phoneticPr fontId="1"/>
  <dataValidations count="10">
    <dataValidation type="list" allowBlank="1" showInputMessage="1" showErrorMessage="1" sqref="DK5:EH180" xr:uid="{D4BBD4A4-CB8F-4F24-9F44-8D6305427437}">
      <formula1>$DK$181:$DK$183</formula1>
    </dataValidation>
    <dataValidation type="list" allowBlank="1" showInputMessage="1" showErrorMessage="1" sqref="AP5:AZ6 AP79:AZ180 AO5:AO180 AP78:BL78 AP8:AZ77 AP7:BL7" xr:uid="{19FF5F43-794A-4DE9-9FCF-8A2C43BEE78F}">
      <formula1>$AO$181:$AO$183</formula1>
    </dataValidation>
    <dataValidation type="list" allowBlank="1" showInputMessage="1" showErrorMessage="1" sqref="BA5:BL6 BA79:BL180 BA8:BL77" xr:uid="{E67456E7-10FF-4712-B2D2-44A34FFB89ED}">
      <formula1>$BA$181:$BA$183</formula1>
    </dataValidation>
    <dataValidation type="list" allowBlank="1" showInputMessage="1" showErrorMessage="1" sqref="GD180 FR5:GC180" xr:uid="{97BE3D5A-13D6-4B2D-88D8-17BB55AA16B6}">
      <formula1>$FR$181:$FR$183</formula1>
    </dataValidation>
    <dataValidation type="list" allowBlank="1" showInputMessage="1" showErrorMessage="1" sqref="AN5:AN180" xr:uid="{4E742C44-9429-4DFB-B3B8-AC9F28DDD511}">
      <formula1>$AN$181:$AN$182</formula1>
    </dataValidation>
    <dataValidation type="list" allowBlank="1" showInputMessage="1" showErrorMessage="1" sqref="EI5:FQ180" xr:uid="{67B6DBA3-64D3-4CD7-B181-123A7D26F73C}">
      <formula1>$EI$181:$EI$182</formula1>
    </dataValidation>
    <dataValidation type="list" allowBlank="1" showInputMessage="1" showErrorMessage="1" sqref="CW5:CW180" xr:uid="{BF2BF472-A79D-43CF-B4AF-E8BF6B96827A}">
      <formula1>$CW$181:$CW$182</formula1>
    </dataValidation>
    <dataValidation type="list" allowBlank="1" showInputMessage="1" showErrorMessage="1" sqref="E5:E180" xr:uid="{5D4B6853-6881-47B2-8457-57442AD52E6E}">
      <formula1>$E$181:$E$183</formula1>
    </dataValidation>
    <dataValidation type="list" allowBlank="1" showInputMessage="1" showErrorMessage="1" sqref="CY5:DJ180" xr:uid="{1970A470-F33F-4086-A042-54A6B2643C0C}">
      <formula1>$CY$181:$CY$182</formula1>
    </dataValidation>
    <dataValidation type="list" allowBlank="1" showInputMessage="1" showErrorMessage="1" sqref="GE180:GP180 EU180:FQ180" xr:uid="{844F820E-A842-4B07-A776-4127393CACE2}">
      <formula1>"配置,兼務,嘱託"</formula1>
    </dataValidation>
  </dataValidations>
  <pageMargins left="0.7" right="0.7" top="0.75" bottom="0.75" header="0.3" footer="0.3"/>
  <drawing r:id="rId1"/>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C6B80-C263-45D0-9F44-3D39EE0E2DDE}">
  <sheetPr>
    <tabColor rgb="FF00B050"/>
  </sheetPr>
  <dimension ref="A1:U31"/>
  <sheetViews>
    <sheetView showGridLines="0" view="pageBreakPreview" zoomScaleNormal="100" zoomScaleSheetLayoutView="100" workbookViewId="0">
      <selection activeCell="Q20" sqref="Q20"/>
    </sheetView>
  </sheetViews>
  <sheetFormatPr defaultRowHeight="16" customHeight="1"/>
  <cols>
    <col min="1" max="2" width="8.6640625" style="582"/>
    <col min="3" max="3" width="12.83203125" style="582" customWidth="1"/>
    <col min="4" max="4" width="15.9140625" style="582" customWidth="1"/>
    <col min="5" max="5" width="14.1640625" style="582" customWidth="1"/>
    <col min="6" max="6" width="15.83203125" style="582" customWidth="1"/>
    <col min="7" max="7" width="8.6640625" style="582" customWidth="1"/>
    <col min="8" max="14" width="8.6640625" style="582" hidden="1" customWidth="1"/>
    <col min="15" max="15" width="5.83203125" style="582" customWidth="1"/>
    <col min="16" max="16" width="3.5" style="582" customWidth="1"/>
    <col min="17" max="19" width="8.6640625" style="582"/>
    <col min="20" max="20" width="5.83203125" style="582" bestFit="1" customWidth="1"/>
    <col min="21" max="21" width="2.5" style="582" bestFit="1" customWidth="1"/>
    <col min="22" max="16384" width="8.6640625" style="582"/>
  </cols>
  <sheetData>
    <row r="1" spans="1:21" s="21" customFormat="1" ht="19">
      <c r="A1" s="906" t="s">
        <v>2506</v>
      </c>
      <c r="B1" s="906"/>
      <c r="C1" s="906"/>
      <c r="D1" s="906"/>
      <c r="E1" s="906"/>
      <c r="F1" s="906"/>
      <c r="K1" s="203"/>
      <c r="L1" s="203"/>
      <c r="M1" s="203"/>
      <c r="N1" s="203"/>
      <c r="O1" s="203"/>
    </row>
    <row r="2" spans="1:21" s="21" customFormat="1" ht="13.5" customHeight="1">
      <c r="C2" s="391" t="s">
        <v>114</v>
      </c>
      <c r="D2" s="776">
        <f>①基本情報!D5</f>
        <v>0</v>
      </c>
      <c r="E2" s="776"/>
      <c r="F2" s="776"/>
      <c r="G2" s="38" t="s">
        <v>148</v>
      </c>
      <c r="H2" s="50"/>
      <c r="I2" s="50"/>
      <c r="J2" s="50"/>
    </row>
    <row r="3" spans="1:21" s="21" customFormat="1" ht="2" customHeight="1">
      <c r="E3" s="68"/>
      <c r="F3" s="68"/>
      <c r="G3" s="69"/>
      <c r="H3" s="69"/>
      <c r="I3" s="69"/>
      <c r="J3" s="69"/>
    </row>
    <row r="4" spans="1:21" s="21" customFormat="1" ht="22" customHeight="1">
      <c r="A4" s="907" t="str">
        <f>IF(C31=B31,"",D31)</f>
        <v>このシートは貴園は対象外ですので入力の必要はありません。</v>
      </c>
      <c r="B4" s="907"/>
      <c r="C4" s="907"/>
      <c r="D4" s="907"/>
      <c r="E4" s="907"/>
      <c r="F4" s="907"/>
      <c r="G4" s="69"/>
      <c r="H4" s="69"/>
      <c r="I4" s="69"/>
      <c r="J4" s="69"/>
    </row>
    <row r="5" spans="1:21" customFormat="1" ht="15" customHeight="1">
      <c r="A5" s="59" t="s">
        <v>2504</v>
      </c>
      <c r="B5" t="s">
        <v>2505</v>
      </c>
    </row>
    <row r="7" spans="1:21" ht="16" customHeight="1">
      <c r="B7" s="582" t="s">
        <v>2507</v>
      </c>
      <c r="H7" s="582" t="e">
        <f>①基本情報!Q5</f>
        <v>#N/A</v>
      </c>
      <c r="I7" s="602" t="s">
        <v>2483</v>
      </c>
    </row>
    <row r="8" spans="1:21" ht="18.5" customHeight="1">
      <c r="B8" s="583"/>
      <c r="C8" s="584" t="s">
        <v>2482</v>
      </c>
      <c r="D8" s="584" t="s">
        <v>2442</v>
      </c>
      <c r="E8" s="584" t="s">
        <v>2443</v>
      </c>
      <c r="F8" s="584" t="s">
        <v>2444</v>
      </c>
      <c r="I8" s="582" t="s">
        <v>2443</v>
      </c>
      <c r="J8" s="582">
        <f>個別データ!EU1</f>
        <v>149</v>
      </c>
    </row>
    <row r="9" spans="1:21" ht="18.5" customHeight="1">
      <c r="B9" s="584" t="s">
        <v>2440</v>
      </c>
      <c r="C9" s="584" t="e">
        <f>①基本情報!F40</f>
        <v>#N/A</v>
      </c>
      <c r="D9" s="583" t="e">
        <f>VLOOKUP($H$7,個別データ!$C$5:$GQ$180,$J9)</f>
        <v>#N/A</v>
      </c>
      <c r="E9" s="587" t="e">
        <f>IF(C9="無",0,VLOOKUP($H$7,個別データ!$C$5:$GQ$180,$J$8))</f>
        <v>#N/A</v>
      </c>
      <c r="F9" s="587" t="e">
        <f>D9*E9</f>
        <v>#N/A</v>
      </c>
      <c r="H9" s="596"/>
      <c r="I9" s="582" t="s">
        <v>2484</v>
      </c>
      <c r="J9" s="582">
        <f>個別データ!FH$1</f>
        <v>162</v>
      </c>
      <c r="T9" s="582" t="e">
        <f t="shared" ref="T9:T20" si="0">IF(U9=D9,"〇","×")</f>
        <v>#N/A</v>
      </c>
      <c r="U9" s="582">
        <f>'③児童数及び保育士定数 (2)-(1)'!F10+'③児童数及び保育士定数 (2)-(1)'!G10</f>
        <v>0</v>
      </c>
    </row>
    <row r="10" spans="1:21" ht="18.5" customHeight="1">
      <c r="B10" s="584" t="s">
        <v>2441</v>
      </c>
      <c r="C10" s="584" t="e">
        <f>①基本情報!G40</f>
        <v>#N/A</v>
      </c>
      <c r="D10" s="583" t="e">
        <f>VLOOKUP($H$7,個別データ!$C$5:$GQ$180,$J10)</f>
        <v>#N/A</v>
      </c>
      <c r="E10" s="587" t="e">
        <f>IF(C10="無",0,VLOOKUP($H$7,個別データ!$C$5:$GQ$180,$J$8))</f>
        <v>#N/A</v>
      </c>
      <c r="F10" s="587" t="e">
        <f t="shared" ref="F10:F20" si="1">D10*E10</f>
        <v>#N/A</v>
      </c>
      <c r="H10" s="596"/>
      <c r="J10" s="582">
        <f>個別データ!FI$1</f>
        <v>163</v>
      </c>
      <c r="T10" s="582" t="e">
        <f t="shared" si="0"/>
        <v>#N/A</v>
      </c>
      <c r="U10" s="582">
        <f>'③児童数及び保育士定数 (2)-(1)'!F11+'③児童数及び保育士定数 (2)-(1)'!G11</f>
        <v>0</v>
      </c>
    </row>
    <row r="11" spans="1:21" ht="18.5" customHeight="1">
      <c r="B11" s="584" t="s">
        <v>1805</v>
      </c>
      <c r="C11" s="584" t="e">
        <f>①基本情報!H40</f>
        <v>#N/A</v>
      </c>
      <c r="D11" s="583" t="e">
        <f>VLOOKUP($H$7,個別データ!$C$5:$GQ$180,$J11)</f>
        <v>#N/A</v>
      </c>
      <c r="E11" s="587" t="e">
        <f>IF(C11="無",0,VLOOKUP($H$7,個別データ!$C$5:$GQ$180,$J$8))</f>
        <v>#N/A</v>
      </c>
      <c r="F11" s="587" t="e">
        <f t="shared" si="1"/>
        <v>#N/A</v>
      </c>
      <c r="J11" s="582">
        <f>個別データ!FJ$1</f>
        <v>164</v>
      </c>
      <c r="T11" s="582" t="e">
        <f t="shared" si="0"/>
        <v>#N/A</v>
      </c>
      <c r="U11" s="582">
        <f>'③児童数及び保育士定数 (2)-(1)'!F12+'③児童数及び保育士定数 (2)-(1)'!G12</f>
        <v>0</v>
      </c>
    </row>
    <row r="12" spans="1:21" ht="18.5" customHeight="1">
      <c r="B12" s="584" t="s">
        <v>1806</v>
      </c>
      <c r="C12" s="584" t="e">
        <f>①基本情報!I40</f>
        <v>#N/A</v>
      </c>
      <c r="D12" s="583" t="e">
        <f>VLOOKUP($H$7,個別データ!$C$5:$GQ$180,$J12)</f>
        <v>#N/A</v>
      </c>
      <c r="E12" s="587" t="e">
        <f>IF(C12="無",0,VLOOKUP($H$7,個別データ!$C$5:$GQ$180,$J$8))</f>
        <v>#N/A</v>
      </c>
      <c r="F12" s="587" t="e">
        <f t="shared" si="1"/>
        <v>#N/A</v>
      </c>
      <c r="J12" s="582">
        <f>個別データ!FK$1</f>
        <v>165</v>
      </c>
      <c r="T12" s="582" t="e">
        <f t="shared" si="0"/>
        <v>#N/A</v>
      </c>
      <c r="U12" s="582">
        <f>'③児童数及び保育士定数 (2)-(1)'!F13+'③児童数及び保育士定数 (2)-(1)'!G13</f>
        <v>0</v>
      </c>
    </row>
    <row r="13" spans="1:21" ht="18.5" customHeight="1">
      <c r="B13" s="584" t="s">
        <v>1807</v>
      </c>
      <c r="C13" s="584" t="e">
        <f>①基本情報!J40</f>
        <v>#N/A</v>
      </c>
      <c r="D13" s="583" t="e">
        <f>VLOOKUP($H$7,個別データ!$C$5:$GQ$180,$J13)</f>
        <v>#N/A</v>
      </c>
      <c r="E13" s="587" t="e">
        <f>IF(C13="無",0,VLOOKUP($H$7,個別データ!$C$5:$GQ$180,$J$8))</f>
        <v>#N/A</v>
      </c>
      <c r="F13" s="587" t="e">
        <f t="shared" si="1"/>
        <v>#N/A</v>
      </c>
      <c r="J13" s="582">
        <f>個別データ!FL$1</f>
        <v>166</v>
      </c>
      <c r="T13" s="582" t="e">
        <f t="shared" si="0"/>
        <v>#N/A</v>
      </c>
      <c r="U13" s="582">
        <f>'③児童数及び保育士定数 (2)-(1)'!F14+'③児童数及び保育士定数 (2)-(1)'!G14</f>
        <v>0</v>
      </c>
    </row>
    <row r="14" spans="1:21" ht="18.5" customHeight="1">
      <c r="B14" s="584" t="s">
        <v>1808</v>
      </c>
      <c r="C14" s="584" t="e">
        <f>①基本情報!K40</f>
        <v>#N/A</v>
      </c>
      <c r="D14" s="583" t="e">
        <f>VLOOKUP($H$7,個別データ!$C$5:$GQ$180,$J14)</f>
        <v>#N/A</v>
      </c>
      <c r="E14" s="587" t="e">
        <f>IF(C14="無",0,VLOOKUP($H$7,個別データ!$C$5:$GQ$180,$J$8))</f>
        <v>#N/A</v>
      </c>
      <c r="F14" s="587" t="e">
        <f t="shared" si="1"/>
        <v>#N/A</v>
      </c>
      <c r="J14" s="582">
        <f>個別データ!FM$1</f>
        <v>167</v>
      </c>
      <c r="T14" s="582" t="e">
        <f t="shared" si="0"/>
        <v>#N/A</v>
      </c>
      <c r="U14" s="582">
        <f>'③児童数及び保育士定数 (2)-(1)'!F15+'③児童数及び保育士定数 (2)-(1)'!G15</f>
        <v>0</v>
      </c>
    </row>
    <row r="15" spans="1:21" ht="18.5" customHeight="1">
      <c r="B15" s="584" t="s">
        <v>1809</v>
      </c>
      <c r="C15" s="584" t="e">
        <f>①基本情報!L40</f>
        <v>#N/A</v>
      </c>
      <c r="D15" s="583" t="e">
        <f>VLOOKUP($H$7,個別データ!$C$5:$GQ$180,$J15)</f>
        <v>#N/A</v>
      </c>
      <c r="E15" s="587" t="e">
        <f>IF(C15="無",0,VLOOKUP($H$7,個別データ!$C$5:$GQ$180,$J$8))</f>
        <v>#N/A</v>
      </c>
      <c r="F15" s="587" t="e">
        <f t="shared" si="1"/>
        <v>#N/A</v>
      </c>
      <c r="J15" s="582">
        <f>個別データ!FN$1</f>
        <v>168</v>
      </c>
      <c r="T15" s="582" t="e">
        <f t="shared" si="0"/>
        <v>#N/A</v>
      </c>
      <c r="U15" s="582">
        <f>'③児童数及び保育士定数 (2)-(1)'!F16+'③児童数及び保育士定数 (2)-(1)'!G16</f>
        <v>0</v>
      </c>
    </row>
    <row r="16" spans="1:21" ht="18.5" customHeight="1">
      <c r="B16" s="584" t="s">
        <v>1810</v>
      </c>
      <c r="C16" s="584" t="e">
        <f>①基本情報!M40</f>
        <v>#N/A</v>
      </c>
      <c r="D16" s="583" t="e">
        <f>VLOOKUP($H$7,個別データ!$C$5:$GQ$180,$J16)</f>
        <v>#N/A</v>
      </c>
      <c r="E16" s="587" t="e">
        <f>IF(C16="無",0,VLOOKUP($H$7,個別データ!$C$5:$GQ$180,$J$8))</f>
        <v>#N/A</v>
      </c>
      <c r="F16" s="587" t="e">
        <f t="shared" si="1"/>
        <v>#N/A</v>
      </c>
      <c r="J16" s="582">
        <f>個別データ!FO$1</f>
        <v>169</v>
      </c>
      <c r="T16" s="582" t="e">
        <f t="shared" si="0"/>
        <v>#N/A</v>
      </c>
      <c r="U16" s="582">
        <f>'③児童数及び保育士定数 (2)-(1)'!F17+'③児童数及び保育士定数 (2)-(1)'!G17</f>
        <v>0</v>
      </c>
    </row>
    <row r="17" spans="2:21" ht="18.5" customHeight="1">
      <c r="B17" s="584" t="s">
        <v>1811</v>
      </c>
      <c r="C17" s="584" t="e">
        <f>①基本情報!N40</f>
        <v>#N/A</v>
      </c>
      <c r="D17" s="583" t="e">
        <f>VLOOKUP($H$7,個別データ!$C$5:$GQ$180,$J17)</f>
        <v>#N/A</v>
      </c>
      <c r="E17" s="587" t="e">
        <f>IF(C17="無",0,VLOOKUP($H$7,個別データ!$C$5:$GQ$180,$J$8))</f>
        <v>#N/A</v>
      </c>
      <c r="F17" s="587" t="e">
        <f t="shared" si="1"/>
        <v>#N/A</v>
      </c>
      <c r="J17" s="582">
        <f>個別データ!FP$1</f>
        <v>170</v>
      </c>
      <c r="T17" s="582" t="e">
        <f t="shared" si="0"/>
        <v>#N/A</v>
      </c>
      <c r="U17" s="582">
        <f>'③児童数及び保育士定数 (2)-(1)'!F18+'③児童数及び保育士定数 (2)-(1)'!G18</f>
        <v>0</v>
      </c>
    </row>
    <row r="18" spans="2:21" ht="18.5" customHeight="1">
      <c r="B18" s="584" t="s">
        <v>1812</v>
      </c>
      <c r="C18" s="584" t="e">
        <f>①基本情報!O40</f>
        <v>#N/A</v>
      </c>
      <c r="D18" s="583" t="e">
        <f>VLOOKUP($H$7,個別データ!$C$5:$GQ$180,$J18)</f>
        <v>#N/A</v>
      </c>
      <c r="E18" s="587" t="e">
        <f>IF(C18="無",0,VLOOKUP($H$7,個別データ!$C$5:$GQ$180,$J$8))</f>
        <v>#N/A</v>
      </c>
      <c r="F18" s="587" t="e">
        <f t="shared" si="1"/>
        <v>#N/A</v>
      </c>
      <c r="J18" s="582">
        <f>個別データ!FQ$1</f>
        <v>171</v>
      </c>
      <c r="T18" s="582" t="e">
        <f t="shared" si="0"/>
        <v>#N/A</v>
      </c>
      <c r="U18" s="582">
        <f>'③児童数及び保育士定数 (2)-(1)'!F19+'③児童数及び保育士定数 (2)-(1)'!G19</f>
        <v>0</v>
      </c>
    </row>
    <row r="19" spans="2:21" ht="18.5" customHeight="1">
      <c r="B19" s="584" t="s">
        <v>1813</v>
      </c>
      <c r="C19" s="584" t="e">
        <f>①基本情報!P40</f>
        <v>#N/A</v>
      </c>
      <c r="D19" s="583">
        <f>'③児童数及び保育士定数 (2)-(1)'!F20+'③児童数及び保育士定数 (2)-(1)'!G20</f>
        <v>0</v>
      </c>
      <c r="E19" s="587" t="e">
        <f>IF(C19="無",0,VLOOKUP($H$7,個別データ!$C$5:$GQ$180,$J$8))</f>
        <v>#N/A</v>
      </c>
      <c r="F19" s="587" t="e">
        <f t="shared" si="1"/>
        <v>#N/A</v>
      </c>
      <c r="T19" s="582" t="str">
        <f t="shared" si="0"/>
        <v>〇</v>
      </c>
      <c r="U19" s="582">
        <f>'③児童数及び保育士定数 (2)-(1)'!F20+'③児童数及び保育士定数 (2)-(1)'!G20</f>
        <v>0</v>
      </c>
    </row>
    <row r="20" spans="2:21" ht="18.5" customHeight="1" thickBot="1">
      <c r="B20" s="595" t="s">
        <v>1814</v>
      </c>
      <c r="C20" s="584" t="e">
        <f>①基本情報!Q40</f>
        <v>#N/A</v>
      </c>
      <c r="D20" s="588">
        <f>'③児童数及び保育士定数 (2)-(1)'!F21+'③児童数及び保育士定数 (2)-(1)'!G21</f>
        <v>0</v>
      </c>
      <c r="E20" s="587" t="e">
        <f>IF(C20="無",0,VLOOKUP($H$7,個別データ!$C$5:$GQ$180,$J$8))</f>
        <v>#N/A</v>
      </c>
      <c r="F20" s="589" t="e">
        <f t="shared" si="1"/>
        <v>#N/A</v>
      </c>
      <c r="T20" s="582" t="str">
        <f t="shared" si="0"/>
        <v>〇</v>
      </c>
      <c r="U20" s="582">
        <f>'③児童数及び保育士定数 (2)-(1)'!F21+'③児童数及び保育士定数 (2)-(1)'!G21</f>
        <v>0</v>
      </c>
    </row>
    <row r="21" spans="2:21" ht="18.5" customHeight="1" thickTop="1" thickBot="1">
      <c r="B21" s="590" t="s">
        <v>1736</v>
      </c>
      <c r="C21" s="594"/>
      <c r="D21" s="591" t="e">
        <f>SUM(D9:D20)</f>
        <v>#N/A</v>
      </c>
      <c r="E21" s="592" t="e">
        <f t="shared" ref="E21:F21" si="2">SUM(E9:E20)</f>
        <v>#N/A</v>
      </c>
      <c r="F21" s="593" t="e">
        <f t="shared" si="2"/>
        <v>#N/A</v>
      </c>
    </row>
    <row r="22" spans="2:21" ht="16" customHeight="1" thickTop="1"/>
    <row r="31" spans="2:21" ht="16" customHeight="1">
      <c r="B31" s="582" t="s">
        <v>12</v>
      </c>
      <c r="C31" s="582" t="str">
        <f>IF(COUNTIF(C9:C20,B31),"有","無")</f>
        <v>無</v>
      </c>
      <c r="D31" s="582" t="s">
        <v>2509</v>
      </c>
    </row>
  </sheetData>
  <sheetProtection algorithmName="SHA-512" hashValue="TrzwPM7lAV5H0EvcyD816JMxE0kUfHDWlA3A9WhU8u3emBWhjHCdUwPJKr3L1rjduA50Z40x10GC0Fzy6S+Sfg==" saltValue="7s9yfvG7FaWRUb30zn/ARA==" spinCount="100000" sheet="1" selectLockedCells="1"/>
  <mergeCells count="3">
    <mergeCell ref="A1:F1"/>
    <mergeCell ref="D2:F2"/>
    <mergeCell ref="A4:F4"/>
  </mergeCells>
  <phoneticPr fontId="1"/>
  <conditionalFormatting sqref="A1:F3">
    <cfRule type="expression" dxfId="5" priority="2">
      <formula>$C$31="無"</formula>
    </cfRule>
  </conditionalFormatting>
  <conditionalFormatting sqref="A4:F4">
    <cfRule type="expression" dxfId="4" priority="3">
      <formula>$C$31="無"</formula>
    </cfRule>
  </conditionalFormatting>
  <conditionalFormatting sqref="A5:F21">
    <cfRule type="expression" dxfId="3" priority="1">
      <formula>$C$31="無"</formula>
    </cfRule>
  </conditionalFormatting>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1B594-E080-4655-88A9-F35C8D9DD041}">
  <sheetPr>
    <tabColor rgb="FF7030A0"/>
  </sheetPr>
  <dimension ref="A1:Q46"/>
  <sheetViews>
    <sheetView showGridLines="0" view="pageBreakPreview" zoomScale="85" zoomScaleNormal="100" zoomScaleSheetLayoutView="85" workbookViewId="0">
      <selection activeCell="F7" sqref="F7:H9"/>
    </sheetView>
  </sheetViews>
  <sheetFormatPr defaultRowHeight="13"/>
  <cols>
    <col min="1" max="1" width="0.58203125" style="187" customWidth="1"/>
    <col min="2" max="2" width="19.33203125" style="187" customWidth="1"/>
    <col min="3" max="3" width="18" style="187" customWidth="1"/>
    <col min="4" max="4" width="3" style="187" customWidth="1"/>
    <col min="5" max="5" width="20.08203125" style="187" customWidth="1"/>
    <col min="6" max="6" width="3.33203125" style="187" customWidth="1"/>
    <col min="7" max="7" width="19.25" style="187" customWidth="1"/>
    <col min="8" max="8" width="5.33203125" style="187" customWidth="1"/>
    <col min="9" max="9" width="6.5" style="187" customWidth="1"/>
    <col min="10" max="11" width="4.75" style="187" customWidth="1"/>
    <col min="12" max="12" width="8" style="187" customWidth="1"/>
    <col min="13" max="13" width="10.25" style="187" customWidth="1"/>
    <col min="14" max="14" width="17.5" style="187" customWidth="1"/>
    <col min="15" max="15" width="5.83203125" style="187" customWidth="1"/>
    <col min="16" max="16" width="5.75" style="187" customWidth="1"/>
    <col min="17" max="17" width="5.58203125" style="187" customWidth="1"/>
    <col min="18" max="256" width="9" style="187"/>
    <col min="257" max="257" width="0.58203125" style="187" customWidth="1"/>
    <col min="258" max="258" width="19.33203125" style="187" customWidth="1"/>
    <col min="259" max="259" width="18" style="187" customWidth="1"/>
    <col min="260" max="260" width="3" style="187" customWidth="1"/>
    <col min="261" max="261" width="20.08203125" style="187" customWidth="1"/>
    <col min="262" max="262" width="3.33203125" style="187" customWidth="1"/>
    <col min="263" max="263" width="19.25" style="187" customWidth="1"/>
    <col min="264" max="264" width="5.33203125" style="187" customWidth="1"/>
    <col min="265" max="265" width="6.5" style="187" customWidth="1"/>
    <col min="266" max="267" width="4.75" style="187" customWidth="1"/>
    <col min="268" max="268" width="8" style="187" customWidth="1"/>
    <col min="269" max="269" width="10.25" style="187" customWidth="1"/>
    <col min="270" max="270" width="17.5" style="187" customWidth="1"/>
    <col min="271" max="271" width="5.83203125" style="187" customWidth="1"/>
    <col min="272" max="272" width="5.75" style="187" customWidth="1"/>
    <col min="273" max="273" width="5.58203125" style="187" customWidth="1"/>
    <col min="274" max="512" width="9" style="187"/>
    <col min="513" max="513" width="0.58203125" style="187" customWidth="1"/>
    <col min="514" max="514" width="19.33203125" style="187" customWidth="1"/>
    <col min="515" max="515" width="18" style="187" customWidth="1"/>
    <col min="516" max="516" width="3" style="187" customWidth="1"/>
    <col min="517" max="517" width="20.08203125" style="187" customWidth="1"/>
    <col min="518" max="518" width="3.33203125" style="187" customWidth="1"/>
    <col min="519" max="519" width="19.25" style="187" customWidth="1"/>
    <col min="520" max="520" width="5.33203125" style="187" customWidth="1"/>
    <col min="521" max="521" width="6.5" style="187" customWidth="1"/>
    <col min="522" max="523" width="4.75" style="187" customWidth="1"/>
    <col min="524" max="524" width="8" style="187" customWidth="1"/>
    <col min="525" max="525" width="10.25" style="187" customWidth="1"/>
    <col min="526" max="526" width="17.5" style="187" customWidth="1"/>
    <col min="527" max="527" width="5.83203125" style="187" customWidth="1"/>
    <col min="528" max="528" width="5.75" style="187" customWidth="1"/>
    <col min="529" max="529" width="5.58203125" style="187" customWidth="1"/>
    <col min="530" max="768" width="9" style="187"/>
    <col min="769" max="769" width="0.58203125" style="187" customWidth="1"/>
    <col min="770" max="770" width="19.33203125" style="187" customWidth="1"/>
    <col min="771" max="771" width="18" style="187" customWidth="1"/>
    <col min="772" max="772" width="3" style="187" customWidth="1"/>
    <col min="773" max="773" width="20.08203125" style="187" customWidth="1"/>
    <col min="774" max="774" width="3.33203125" style="187" customWidth="1"/>
    <col min="775" max="775" width="19.25" style="187" customWidth="1"/>
    <col min="776" max="776" width="5.33203125" style="187" customWidth="1"/>
    <col min="777" max="777" width="6.5" style="187" customWidth="1"/>
    <col min="778" max="779" width="4.75" style="187" customWidth="1"/>
    <col min="780" max="780" width="8" style="187" customWidth="1"/>
    <col min="781" max="781" width="10.25" style="187" customWidth="1"/>
    <col min="782" max="782" width="17.5" style="187" customWidth="1"/>
    <col min="783" max="783" width="5.83203125" style="187" customWidth="1"/>
    <col min="784" max="784" width="5.75" style="187" customWidth="1"/>
    <col min="785" max="785" width="5.58203125" style="187" customWidth="1"/>
    <col min="786" max="1024" width="9" style="187"/>
    <col min="1025" max="1025" width="0.58203125" style="187" customWidth="1"/>
    <col min="1026" max="1026" width="19.33203125" style="187" customWidth="1"/>
    <col min="1027" max="1027" width="18" style="187" customWidth="1"/>
    <col min="1028" max="1028" width="3" style="187" customWidth="1"/>
    <col min="1029" max="1029" width="20.08203125" style="187" customWidth="1"/>
    <col min="1030" max="1030" width="3.33203125" style="187" customWidth="1"/>
    <col min="1031" max="1031" width="19.25" style="187" customWidth="1"/>
    <col min="1032" max="1032" width="5.33203125" style="187" customWidth="1"/>
    <col min="1033" max="1033" width="6.5" style="187" customWidth="1"/>
    <col min="1034" max="1035" width="4.75" style="187" customWidth="1"/>
    <col min="1036" max="1036" width="8" style="187" customWidth="1"/>
    <col min="1037" max="1037" width="10.25" style="187" customWidth="1"/>
    <col min="1038" max="1038" width="17.5" style="187" customWidth="1"/>
    <col min="1039" max="1039" width="5.83203125" style="187" customWidth="1"/>
    <col min="1040" max="1040" width="5.75" style="187" customWidth="1"/>
    <col min="1041" max="1041" width="5.58203125" style="187" customWidth="1"/>
    <col min="1042" max="1280" width="9" style="187"/>
    <col min="1281" max="1281" width="0.58203125" style="187" customWidth="1"/>
    <col min="1282" max="1282" width="19.33203125" style="187" customWidth="1"/>
    <col min="1283" max="1283" width="18" style="187" customWidth="1"/>
    <col min="1284" max="1284" width="3" style="187" customWidth="1"/>
    <col min="1285" max="1285" width="20.08203125" style="187" customWidth="1"/>
    <col min="1286" max="1286" width="3.33203125" style="187" customWidth="1"/>
    <col min="1287" max="1287" width="19.25" style="187" customWidth="1"/>
    <col min="1288" max="1288" width="5.33203125" style="187" customWidth="1"/>
    <col min="1289" max="1289" width="6.5" style="187" customWidth="1"/>
    <col min="1290" max="1291" width="4.75" style="187" customWidth="1"/>
    <col min="1292" max="1292" width="8" style="187" customWidth="1"/>
    <col min="1293" max="1293" width="10.25" style="187" customWidth="1"/>
    <col min="1294" max="1294" width="17.5" style="187" customWidth="1"/>
    <col min="1295" max="1295" width="5.83203125" style="187" customWidth="1"/>
    <col min="1296" max="1296" width="5.75" style="187" customWidth="1"/>
    <col min="1297" max="1297" width="5.58203125" style="187" customWidth="1"/>
    <col min="1298" max="1536" width="9" style="187"/>
    <col min="1537" max="1537" width="0.58203125" style="187" customWidth="1"/>
    <col min="1538" max="1538" width="19.33203125" style="187" customWidth="1"/>
    <col min="1539" max="1539" width="18" style="187" customWidth="1"/>
    <col min="1540" max="1540" width="3" style="187" customWidth="1"/>
    <col min="1541" max="1541" width="20.08203125" style="187" customWidth="1"/>
    <col min="1542" max="1542" width="3.33203125" style="187" customWidth="1"/>
    <col min="1543" max="1543" width="19.25" style="187" customWidth="1"/>
    <col min="1544" max="1544" width="5.33203125" style="187" customWidth="1"/>
    <col min="1545" max="1545" width="6.5" style="187" customWidth="1"/>
    <col min="1546" max="1547" width="4.75" style="187" customWidth="1"/>
    <col min="1548" max="1548" width="8" style="187" customWidth="1"/>
    <col min="1549" max="1549" width="10.25" style="187" customWidth="1"/>
    <col min="1550" max="1550" width="17.5" style="187" customWidth="1"/>
    <col min="1551" max="1551" width="5.83203125" style="187" customWidth="1"/>
    <col min="1552" max="1552" width="5.75" style="187" customWidth="1"/>
    <col min="1553" max="1553" width="5.58203125" style="187" customWidth="1"/>
    <col min="1554" max="1792" width="9" style="187"/>
    <col min="1793" max="1793" width="0.58203125" style="187" customWidth="1"/>
    <col min="1794" max="1794" width="19.33203125" style="187" customWidth="1"/>
    <col min="1795" max="1795" width="18" style="187" customWidth="1"/>
    <col min="1796" max="1796" width="3" style="187" customWidth="1"/>
    <col min="1797" max="1797" width="20.08203125" style="187" customWidth="1"/>
    <col min="1798" max="1798" width="3.33203125" style="187" customWidth="1"/>
    <col min="1799" max="1799" width="19.25" style="187" customWidth="1"/>
    <col min="1800" max="1800" width="5.33203125" style="187" customWidth="1"/>
    <col min="1801" max="1801" width="6.5" style="187" customWidth="1"/>
    <col min="1802" max="1803" width="4.75" style="187" customWidth="1"/>
    <col min="1804" max="1804" width="8" style="187" customWidth="1"/>
    <col min="1805" max="1805" width="10.25" style="187" customWidth="1"/>
    <col min="1806" max="1806" width="17.5" style="187" customWidth="1"/>
    <col min="1807" max="1807" width="5.83203125" style="187" customWidth="1"/>
    <col min="1808" max="1808" width="5.75" style="187" customWidth="1"/>
    <col min="1809" max="1809" width="5.58203125" style="187" customWidth="1"/>
    <col min="1810" max="2048" width="9" style="187"/>
    <col min="2049" max="2049" width="0.58203125" style="187" customWidth="1"/>
    <col min="2050" max="2050" width="19.33203125" style="187" customWidth="1"/>
    <col min="2051" max="2051" width="18" style="187" customWidth="1"/>
    <col min="2052" max="2052" width="3" style="187" customWidth="1"/>
    <col min="2053" max="2053" width="20.08203125" style="187" customWidth="1"/>
    <col min="2054" max="2054" width="3.33203125" style="187" customWidth="1"/>
    <col min="2055" max="2055" width="19.25" style="187" customWidth="1"/>
    <col min="2056" max="2056" width="5.33203125" style="187" customWidth="1"/>
    <col min="2057" max="2057" width="6.5" style="187" customWidth="1"/>
    <col min="2058" max="2059" width="4.75" style="187" customWidth="1"/>
    <col min="2060" max="2060" width="8" style="187" customWidth="1"/>
    <col min="2061" max="2061" width="10.25" style="187" customWidth="1"/>
    <col min="2062" max="2062" width="17.5" style="187" customWidth="1"/>
    <col min="2063" max="2063" width="5.83203125" style="187" customWidth="1"/>
    <col min="2064" max="2064" width="5.75" style="187" customWidth="1"/>
    <col min="2065" max="2065" width="5.58203125" style="187" customWidth="1"/>
    <col min="2066" max="2304" width="9" style="187"/>
    <col min="2305" max="2305" width="0.58203125" style="187" customWidth="1"/>
    <col min="2306" max="2306" width="19.33203125" style="187" customWidth="1"/>
    <col min="2307" max="2307" width="18" style="187" customWidth="1"/>
    <col min="2308" max="2308" width="3" style="187" customWidth="1"/>
    <col min="2309" max="2309" width="20.08203125" style="187" customWidth="1"/>
    <col min="2310" max="2310" width="3.33203125" style="187" customWidth="1"/>
    <col min="2311" max="2311" width="19.25" style="187" customWidth="1"/>
    <col min="2312" max="2312" width="5.33203125" style="187" customWidth="1"/>
    <col min="2313" max="2313" width="6.5" style="187" customWidth="1"/>
    <col min="2314" max="2315" width="4.75" style="187" customWidth="1"/>
    <col min="2316" max="2316" width="8" style="187" customWidth="1"/>
    <col min="2317" max="2317" width="10.25" style="187" customWidth="1"/>
    <col min="2318" max="2318" width="17.5" style="187" customWidth="1"/>
    <col min="2319" max="2319" width="5.83203125" style="187" customWidth="1"/>
    <col min="2320" max="2320" width="5.75" style="187" customWidth="1"/>
    <col min="2321" max="2321" width="5.58203125" style="187" customWidth="1"/>
    <col min="2322" max="2560" width="9" style="187"/>
    <col min="2561" max="2561" width="0.58203125" style="187" customWidth="1"/>
    <col min="2562" max="2562" width="19.33203125" style="187" customWidth="1"/>
    <col min="2563" max="2563" width="18" style="187" customWidth="1"/>
    <col min="2564" max="2564" width="3" style="187" customWidth="1"/>
    <col min="2565" max="2565" width="20.08203125" style="187" customWidth="1"/>
    <col min="2566" max="2566" width="3.33203125" style="187" customWidth="1"/>
    <col min="2567" max="2567" width="19.25" style="187" customWidth="1"/>
    <col min="2568" max="2568" width="5.33203125" style="187" customWidth="1"/>
    <col min="2569" max="2569" width="6.5" style="187" customWidth="1"/>
    <col min="2570" max="2571" width="4.75" style="187" customWidth="1"/>
    <col min="2572" max="2572" width="8" style="187" customWidth="1"/>
    <col min="2573" max="2573" width="10.25" style="187" customWidth="1"/>
    <col min="2574" max="2574" width="17.5" style="187" customWidth="1"/>
    <col min="2575" max="2575" width="5.83203125" style="187" customWidth="1"/>
    <col min="2576" max="2576" width="5.75" style="187" customWidth="1"/>
    <col min="2577" max="2577" width="5.58203125" style="187" customWidth="1"/>
    <col min="2578" max="2816" width="9" style="187"/>
    <col min="2817" max="2817" width="0.58203125" style="187" customWidth="1"/>
    <col min="2818" max="2818" width="19.33203125" style="187" customWidth="1"/>
    <col min="2819" max="2819" width="18" style="187" customWidth="1"/>
    <col min="2820" max="2820" width="3" style="187" customWidth="1"/>
    <col min="2821" max="2821" width="20.08203125" style="187" customWidth="1"/>
    <col min="2822" max="2822" width="3.33203125" style="187" customWidth="1"/>
    <col min="2823" max="2823" width="19.25" style="187" customWidth="1"/>
    <col min="2824" max="2824" width="5.33203125" style="187" customWidth="1"/>
    <col min="2825" max="2825" width="6.5" style="187" customWidth="1"/>
    <col min="2826" max="2827" width="4.75" style="187" customWidth="1"/>
    <col min="2828" max="2828" width="8" style="187" customWidth="1"/>
    <col min="2829" max="2829" width="10.25" style="187" customWidth="1"/>
    <col min="2830" max="2830" width="17.5" style="187" customWidth="1"/>
    <col min="2831" max="2831" width="5.83203125" style="187" customWidth="1"/>
    <col min="2832" max="2832" width="5.75" style="187" customWidth="1"/>
    <col min="2833" max="2833" width="5.58203125" style="187" customWidth="1"/>
    <col min="2834" max="3072" width="9" style="187"/>
    <col min="3073" max="3073" width="0.58203125" style="187" customWidth="1"/>
    <col min="3074" max="3074" width="19.33203125" style="187" customWidth="1"/>
    <col min="3075" max="3075" width="18" style="187" customWidth="1"/>
    <col min="3076" max="3076" width="3" style="187" customWidth="1"/>
    <col min="3077" max="3077" width="20.08203125" style="187" customWidth="1"/>
    <col min="3078" max="3078" width="3.33203125" style="187" customWidth="1"/>
    <col min="3079" max="3079" width="19.25" style="187" customWidth="1"/>
    <col min="3080" max="3080" width="5.33203125" style="187" customWidth="1"/>
    <col min="3081" max="3081" width="6.5" style="187" customWidth="1"/>
    <col min="3082" max="3083" width="4.75" style="187" customWidth="1"/>
    <col min="3084" max="3084" width="8" style="187" customWidth="1"/>
    <col min="3085" max="3085" width="10.25" style="187" customWidth="1"/>
    <col min="3086" max="3086" width="17.5" style="187" customWidth="1"/>
    <col min="3087" max="3087" width="5.83203125" style="187" customWidth="1"/>
    <col min="3088" max="3088" width="5.75" style="187" customWidth="1"/>
    <col min="3089" max="3089" width="5.58203125" style="187" customWidth="1"/>
    <col min="3090" max="3328" width="9" style="187"/>
    <col min="3329" max="3329" width="0.58203125" style="187" customWidth="1"/>
    <col min="3330" max="3330" width="19.33203125" style="187" customWidth="1"/>
    <col min="3331" max="3331" width="18" style="187" customWidth="1"/>
    <col min="3332" max="3332" width="3" style="187" customWidth="1"/>
    <col min="3333" max="3333" width="20.08203125" style="187" customWidth="1"/>
    <col min="3334" max="3334" width="3.33203125" style="187" customWidth="1"/>
    <col min="3335" max="3335" width="19.25" style="187" customWidth="1"/>
    <col min="3336" max="3336" width="5.33203125" style="187" customWidth="1"/>
    <col min="3337" max="3337" width="6.5" style="187" customWidth="1"/>
    <col min="3338" max="3339" width="4.75" style="187" customWidth="1"/>
    <col min="3340" max="3340" width="8" style="187" customWidth="1"/>
    <col min="3341" max="3341" width="10.25" style="187" customWidth="1"/>
    <col min="3342" max="3342" width="17.5" style="187" customWidth="1"/>
    <col min="3343" max="3343" width="5.83203125" style="187" customWidth="1"/>
    <col min="3344" max="3344" width="5.75" style="187" customWidth="1"/>
    <col min="3345" max="3345" width="5.58203125" style="187" customWidth="1"/>
    <col min="3346" max="3584" width="9" style="187"/>
    <col min="3585" max="3585" width="0.58203125" style="187" customWidth="1"/>
    <col min="3586" max="3586" width="19.33203125" style="187" customWidth="1"/>
    <col min="3587" max="3587" width="18" style="187" customWidth="1"/>
    <col min="3588" max="3588" width="3" style="187" customWidth="1"/>
    <col min="3589" max="3589" width="20.08203125" style="187" customWidth="1"/>
    <col min="3590" max="3590" width="3.33203125" style="187" customWidth="1"/>
    <col min="3591" max="3591" width="19.25" style="187" customWidth="1"/>
    <col min="3592" max="3592" width="5.33203125" style="187" customWidth="1"/>
    <col min="3593" max="3593" width="6.5" style="187" customWidth="1"/>
    <col min="3594" max="3595" width="4.75" style="187" customWidth="1"/>
    <col min="3596" max="3596" width="8" style="187" customWidth="1"/>
    <col min="3597" max="3597" width="10.25" style="187" customWidth="1"/>
    <col min="3598" max="3598" width="17.5" style="187" customWidth="1"/>
    <col min="3599" max="3599" width="5.83203125" style="187" customWidth="1"/>
    <col min="3600" max="3600" width="5.75" style="187" customWidth="1"/>
    <col min="3601" max="3601" width="5.58203125" style="187" customWidth="1"/>
    <col min="3602" max="3840" width="9" style="187"/>
    <col min="3841" max="3841" width="0.58203125" style="187" customWidth="1"/>
    <col min="3842" max="3842" width="19.33203125" style="187" customWidth="1"/>
    <col min="3843" max="3843" width="18" style="187" customWidth="1"/>
    <col min="3844" max="3844" width="3" style="187" customWidth="1"/>
    <col min="3845" max="3845" width="20.08203125" style="187" customWidth="1"/>
    <col min="3846" max="3846" width="3.33203125" style="187" customWidth="1"/>
    <col min="3847" max="3847" width="19.25" style="187" customWidth="1"/>
    <col min="3848" max="3848" width="5.33203125" style="187" customWidth="1"/>
    <col min="3849" max="3849" width="6.5" style="187" customWidth="1"/>
    <col min="3850" max="3851" width="4.75" style="187" customWidth="1"/>
    <col min="3852" max="3852" width="8" style="187" customWidth="1"/>
    <col min="3853" max="3853" width="10.25" style="187" customWidth="1"/>
    <col min="3854" max="3854" width="17.5" style="187" customWidth="1"/>
    <col min="3855" max="3855" width="5.83203125" style="187" customWidth="1"/>
    <col min="3856" max="3856" width="5.75" style="187" customWidth="1"/>
    <col min="3857" max="3857" width="5.58203125" style="187" customWidth="1"/>
    <col min="3858" max="4096" width="9" style="187"/>
    <col min="4097" max="4097" width="0.58203125" style="187" customWidth="1"/>
    <col min="4098" max="4098" width="19.33203125" style="187" customWidth="1"/>
    <col min="4099" max="4099" width="18" style="187" customWidth="1"/>
    <col min="4100" max="4100" width="3" style="187" customWidth="1"/>
    <col min="4101" max="4101" width="20.08203125" style="187" customWidth="1"/>
    <col min="4102" max="4102" width="3.33203125" style="187" customWidth="1"/>
    <col min="4103" max="4103" width="19.25" style="187" customWidth="1"/>
    <col min="4104" max="4104" width="5.33203125" style="187" customWidth="1"/>
    <col min="4105" max="4105" width="6.5" style="187" customWidth="1"/>
    <col min="4106" max="4107" width="4.75" style="187" customWidth="1"/>
    <col min="4108" max="4108" width="8" style="187" customWidth="1"/>
    <col min="4109" max="4109" width="10.25" style="187" customWidth="1"/>
    <col min="4110" max="4110" width="17.5" style="187" customWidth="1"/>
    <col min="4111" max="4111" width="5.83203125" style="187" customWidth="1"/>
    <col min="4112" max="4112" width="5.75" style="187" customWidth="1"/>
    <col min="4113" max="4113" width="5.58203125" style="187" customWidth="1"/>
    <col min="4114" max="4352" width="9" style="187"/>
    <col min="4353" max="4353" width="0.58203125" style="187" customWidth="1"/>
    <col min="4354" max="4354" width="19.33203125" style="187" customWidth="1"/>
    <col min="4355" max="4355" width="18" style="187" customWidth="1"/>
    <col min="4356" max="4356" width="3" style="187" customWidth="1"/>
    <col min="4357" max="4357" width="20.08203125" style="187" customWidth="1"/>
    <col min="4358" max="4358" width="3.33203125" style="187" customWidth="1"/>
    <col min="4359" max="4359" width="19.25" style="187" customWidth="1"/>
    <col min="4360" max="4360" width="5.33203125" style="187" customWidth="1"/>
    <col min="4361" max="4361" width="6.5" style="187" customWidth="1"/>
    <col min="4362" max="4363" width="4.75" style="187" customWidth="1"/>
    <col min="4364" max="4364" width="8" style="187" customWidth="1"/>
    <col min="4365" max="4365" width="10.25" style="187" customWidth="1"/>
    <col min="4366" max="4366" width="17.5" style="187" customWidth="1"/>
    <col min="4367" max="4367" width="5.83203125" style="187" customWidth="1"/>
    <col min="4368" max="4368" width="5.75" style="187" customWidth="1"/>
    <col min="4369" max="4369" width="5.58203125" style="187" customWidth="1"/>
    <col min="4370" max="4608" width="9" style="187"/>
    <col min="4609" max="4609" width="0.58203125" style="187" customWidth="1"/>
    <col min="4610" max="4610" width="19.33203125" style="187" customWidth="1"/>
    <col min="4611" max="4611" width="18" style="187" customWidth="1"/>
    <col min="4612" max="4612" width="3" style="187" customWidth="1"/>
    <col min="4613" max="4613" width="20.08203125" style="187" customWidth="1"/>
    <col min="4614" max="4614" width="3.33203125" style="187" customWidth="1"/>
    <col min="4615" max="4615" width="19.25" style="187" customWidth="1"/>
    <col min="4616" max="4616" width="5.33203125" style="187" customWidth="1"/>
    <col min="4617" max="4617" width="6.5" style="187" customWidth="1"/>
    <col min="4618" max="4619" width="4.75" style="187" customWidth="1"/>
    <col min="4620" max="4620" width="8" style="187" customWidth="1"/>
    <col min="4621" max="4621" width="10.25" style="187" customWidth="1"/>
    <col min="4622" max="4622" width="17.5" style="187" customWidth="1"/>
    <col min="4623" max="4623" width="5.83203125" style="187" customWidth="1"/>
    <col min="4624" max="4624" width="5.75" style="187" customWidth="1"/>
    <col min="4625" max="4625" width="5.58203125" style="187" customWidth="1"/>
    <col min="4626" max="4864" width="9" style="187"/>
    <col min="4865" max="4865" width="0.58203125" style="187" customWidth="1"/>
    <col min="4866" max="4866" width="19.33203125" style="187" customWidth="1"/>
    <col min="4867" max="4867" width="18" style="187" customWidth="1"/>
    <col min="4868" max="4868" width="3" style="187" customWidth="1"/>
    <col min="4869" max="4869" width="20.08203125" style="187" customWidth="1"/>
    <col min="4870" max="4870" width="3.33203125" style="187" customWidth="1"/>
    <col min="4871" max="4871" width="19.25" style="187" customWidth="1"/>
    <col min="4872" max="4872" width="5.33203125" style="187" customWidth="1"/>
    <col min="4873" max="4873" width="6.5" style="187" customWidth="1"/>
    <col min="4874" max="4875" width="4.75" style="187" customWidth="1"/>
    <col min="4876" max="4876" width="8" style="187" customWidth="1"/>
    <col min="4877" max="4877" width="10.25" style="187" customWidth="1"/>
    <col min="4878" max="4878" width="17.5" style="187" customWidth="1"/>
    <col min="4879" max="4879" width="5.83203125" style="187" customWidth="1"/>
    <col min="4880" max="4880" width="5.75" style="187" customWidth="1"/>
    <col min="4881" max="4881" width="5.58203125" style="187" customWidth="1"/>
    <col min="4882" max="5120" width="9" style="187"/>
    <col min="5121" max="5121" width="0.58203125" style="187" customWidth="1"/>
    <col min="5122" max="5122" width="19.33203125" style="187" customWidth="1"/>
    <col min="5123" max="5123" width="18" style="187" customWidth="1"/>
    <col min="5124" max="5124" width="3" style="187" customWidth="1"/>
    <col min="5125" max="5125" width="20.08203125" style="187" customWidth="1"/>
    <col min="5126" max="5126" width="3.33203125" style="187" customWidth="1"/>
    <col min="5127" max="5127" width="19.25" style="187" customWidth="1"/>
    <col min="5128" max="5128" width="5.33203125" style="187" customWidth="1"/>
    <col min="5129" max="5129" width="6.5" style="187" customWidth="1"/>
    <col min="5130" max="5131" width="4.75" style="187" customWidth="1"/>
    <col min="5132" max="5132" width="8" style="187" customWidth="1"/>
    <col min="5133" max="5133" width="10.25" style="187" customWidth="1"/>
    <col min="5134" max="5134" width="17.5" style="187" customWidth="1"/>
    <col min="5135" max="5135" width="5.83203125" style="187" customWidth="1"/>
    <col min="5136" max="5136" width="5.75" style="187" customWidth="1"/>
    <col min="5137" max="5137" width="5.58203125" style="187" customWidth="1"/>
    <col min="5138" max="5376" width="9" style="187"/>
    <col min="5377" max="5377" width="0.58203125" style="187" customWidth="1"/>
    <col min="5378" max="5378" width="19.33203125" style="187" customWidth="1"/>
    <col min="5379" max="5379" width="18" style="187" customWidth="1"/>
    <col min="5380" max="5380" width="3" style="187" customWidth="1"/>
    <col min="5381" max="5381" width="20.08203125" style="187" customWidth="1"/>
    <col min="5382" max="5382" width="3.33203125" style="187" customWidth="1"/>
    <col min="5383" max="5383" width="19.25" style="187" customWidth="1"/>
    <col min="5384" max="5384" width="5.33203125" style="187" customWidth="1"/>
    <col min="5385" max="5385" width="6.5" style="187" customWidth="1"/>
    <col min="5386" max="5387" width="4.75" style="187" customWidth="1"/>
    <col min="5388" max="5388" width="8" style="187" customWidth="1"/>
    <col min="5389" max="5389" width="10.25" style="187" customWidth="1"/>
    <col min="5390" max="5390" width="17.5" style="187" customWidth="1"/>
    <col min="5391" max="5391" width="5.83203125" style="187" customWidth="1"/>
    <col min="5392" max="5392" width="5.75" style="187" customWidth="1"/>
    <col min="5393" max="5393" width="5.58203125" style="187" customWidth="1"/>
    <col min="5394" max="5632" width="9" style="187"/>
    <col min="5633" max="5633" width="0.58203125" style="187" customWidth="1"/>
    <col min="5634" max="5634" width="19.33203125" style="187" customWidth="1"/>
    <col min="5635" max="5635" width="18" style="187" customWidth="1"/>
    <col min="5636" max="5636" width="3" style="187" customWidth="1"/>
    <col min="5637" max="5637" width="20.08203125" style="187" customWidth="1"/>
    <col min="5638" max="5638" width="3.33203125" style="187" customWidth="1"/>
    <col min="5639" max="5639" width="19.25" style="187" customWidth="1"/>
    <col min="5640" max="5640" width="5.33203125" style="187" customWidth="1"/>
    <col min="5641" max="5641" width="6.5" style="187" customWidth="1"/>
    <col min="5642" max="5643" width="4.75" style="187" customWidth="1"/>
    <col min="5644" max="5644" width="8" style="187" customWidth="1"/>
    <col min="5645" max="5645" width="10.25" style="187" customWidth="1"/>
    <col min="5646" max="5646" width="17.5" style="187" customWidth="1"/>
    <col min="5647" max="5647" width="5.83203125" style="187" customWidth="1"/>
    <col min="5648" max="5648" width="5.75" style="187" customWidth="1"/>
    <col min="5649" max="5649" width="5.58203125" style="187" customWidth="1"/>
    <col min="5650" max="5888" width="9" style="187"/>
    <col min="5889" max="5889" width="0.58203125" style="187" customWidth="1"/>
    <col min="5890" max="5890" width="19.33203125" style="187" customWidth="1"/>
    <col min="5891" max="5891" width="18" style="187" customWidth="1"/>
    <col min="5892" max="5892" width="3" style="187" customWidth="1"/>
    <col min="5893" max="5893" width="20.08203125" style="187" customWidth="1"/>
    <col min="5894" max="5894" width="3.33203125" style="187" customWidth="1"/>
    <col min="5895" max="5895" width="19.25" style="187" customWidth="1"/>
    <col min="5896" max="5896" width="5.33203125" style="187" customWidth="1"/>
    <col min="5897" max="5897" width="6.5" style="187" customWidth="1"/>
    <col min="5898" max="5899" width="4.75" style="187" customWidth="1"/>
    <col min="5900" max="5900" width="8" style="187" customWidth="1"/>
    <col min="5901" max="5901" width="10.25" style="187" customWidth="1"/>
    <col min="5902" max="5902" width="17.5" style="187" customWidth="1"/>
    <col min="5903" max="5903" width="5.83203125" style="187" customWidth="1"/>
    <col min="5904" max="5904" width="5.75" style="187" customWidth="1"/>
    <col min="5905" max="5905" width="5.58203125" style="187" customWidth="1"/>
    <col min="5906" max="6144" width="9" style="187"/>
    <col min="6145" max="6145" width="0.58203125" style="187" customWidth="1"/>
    <col min="6146" max="6146" width="19.33203125" style="187" customWidth="1"/>
    <col min="6147" max="6147" width="18" style="187" customWidth="1"/>
    <col min="6148" max="6148" width="3" style="187" customWidth="1"/>
    <col min="6149" max="6149" width="20.08203125" style="187" customWidth="1"/>
    <col min="6150" max="6150" width="3.33203125" style="187" customWidth="1"/>
    <col min="6151" max="6151" width="19.25" style="187" customWidth="1"/>
    <col min="6152" max="6152" width="5.33203125" style="187" customWidth="1"/>
    <col min="6153" max="6153" width="6.5" style="187" customWidth="1"/>
    <col min="6154" max="6155" width="4.75" style="187" customWidth="1"/>
    <col min="6156" max="6156" width="8" style="187" customWidth="1"/>
    <col min="6157" max="6157" width="10.25" style="187" customWidth="1"/>
    <col min="6158" max="6158" width="17.5" style="187" customWidth="1"/>
    <col min="6159" max="6159" width="5.83203125" style="187" customWidth="1"/>
    <col min="6160" max="6160" width="5.75" style="187" customWidth="1"/>
    <col min="6161" max="6161" width="5.58203125" style="187" customWidth="1"/>
    <col min="6162" max="6400" width="9" style="187"/>
    <col min="6401" max="6401" width="0.58203125" style="187" customWidth="1"/>
    <col min="6402" max="6402" width="19.33203125" style="187" customWidth="1"/>
    <col min="6403" max="6403" width="18" style="187" customWidth="1"/>
    <col min="6404" max="6404" width="3" style="187" customWidth="1"/>
    <col min="6405" max="6405" width="20.08203125" style="187" customWidth="1"/>
    <col min="6406" max="6406" width="3.33203125" style="187" customWidth="1"/>
    <col min="6407" max="6407" width="19.25" style="187" customWidth="1"/>
    <col min="6408" max="6408" width="5.33203125" style="187" customWidth="1"/>
    <col min="6409" max="6409" width="6.5" style="187" customWidth="1"/>
    <col min="6410" max="6411" width="4.75" style="187" customWidth="1"/>
    <col min="6412" max="6412" width="8" style="187" customWidth="1"/>
    <col min="6413" max="6413" width="10.25" style="187" customWidth="1"/>
    <col min="6414" max="6414" width="17.5" style="187" customWidth="1"/>
    <col min="6415" max="6415" width="5.83203125" style="187" customWidth="1"/>
    <col min="6416" max="6416" width="5.75" style="187" customWidth="1"/>
    <col min="6417" max="6417" width="5.58203125" style="187" customWidth="1"/>
    <col min="6418" max="6656" width="9" style="187"/>
    <col min="6657" max="6657" width="0.58203125" style="187" customWidth="1"/>
    <col min="6658" max="6658" width="19.33203125" style="187" customWidth="1"/>
    <col min="6659" max="6659" width="18" style="187" customWidth="1"/>
    <col min="6660" max="6660" width="3" style="187" customWidth="1"/>
    <col min="6661" max="6661" width="20.08203125" style="187" customWidth="1"/>
    <col min="6662" max="6662" width="3.33203125" style="187" customWidth="1"/>
    <col min="6663" max="6663" width="19.25" style="187" customWidth="1"/>
    <col min="6664" max="6664" width="5.33203125" style="187" customWidth="1"/>
    <col min="6665" max="6665" width="6.5" style="187" customWidth="1"/>
    <col min="6666" max="6667" width="4.75" style="187" customWidth="1"/>
    <col min="6668" max="6668" width="8" style="187" customWidth="1"/>
    <col min="6669" max="6669" width="10.25" style="187" customWidth="1"/>
    <col min="6670" max="6670" width="17.5" style="187" customWidth="1"/>
    <col min="6671" max="6671" width="5.83203125" style="187" customWidth="1"/>
    <col min="6672" max="6672" width="5.75" style="187" customWidth="1"/>
    <col min="6673" max="6673" width="5.58203125" style="187" customWidth="1"/>
    <col min="6674" max="6912" width="9" style="187"/>
    <col min="6913" max="6913" width="0.58203125" style="187" customWidth="1"/>
    <col min="6914" max="6914" width="19.33203125" style="187" customWidth="1"/>
    <col min="6915" max="6915" width="18" style="187" customWidth="1"/>
    <col min="6916" max="6916" width="3" style="187" customWidth="1"/>
    <col min="6917" max="6917" width="20.08203125" style="187" customWidth="1"/>
    <col min="6918" max="6918" width="3.33203125" style="187" customWidth="1"/>
    <col min="6919" max="6919" width="19.25" style="187" customWidth="1"/>
    <col min="6920" max="6920" width="5.33203125" style="187" customWidth="1"/>
    <col min="6921" max="6921" width="6.5" style="187" customWidth="1"/>
    <col min="6922" max="6923" width="4.75" style="187" customWidth="1"/>
    <col min="6924" max="6924" width="8" style="187" customWidth="1"/>
    <col min="6925" max="6925" width="10.25" style="187" customWidth="1"/>
    <col min="6926" max="6926" width="17.5" style="187" customWidth="1"/>
    <col min="6927" max="6927" width="5.83203125" style="187" customWidth="1"/>
    <col min="6928" max="6928" width="5.75" style="187" customWidth="1"/>
    <col min="6929" max="6929" width="5.58203125" style="187" customWidth="1"/>
    <col min="6930" max="7168" width="9" style="187"/>
    <col min="7169" max="7169" width="0.58203125" style="187" customWidth="1"/>
    <col min="7170" max="7170" width="19.33203125" style="187" customWidth="1"/>
    <col min="7171" max="7171" width="18" style="187" customWidth="1"/>
    <col min="7172" max="7172" width="3" style="187" customWidth="1"/>
    <col min="7173" max="7173" width="20.08203125" style="187" customWidth="1"/>
    <col min="7174" max="7174" width="3.33203125" style="187" customWidth="1"/>
    <col min="7175" max="7175" width="19.25" style="187" customWidth="1"/>
    <col min="7176" max="7176" width="5.33203125" style="187" customWidth="1"/>
    <col min="7177" max="7177" width="6.5" style="187" customWidth="1"/>
    <col min="7178" max="7179" width="4.75" style="187" customWidth="1"/>
    <col min="7180" max="7180" width="8" style="187" customWidth="1"/>
    <col min="7181" max="7181" width="10.25" style="187" customWidth="1"/>
    <col min="7182" max="7182" width="17.5" style="187" customWidth="1"/>
    <col min="7183" max="7183" width="5.83203125" style="187" customWidth="1"/>
    <col min="7184" max="7184" width="5.75" style="187" customWidth="1"/>
    <col min="7185" max="7185" width="5.58203125" style="187" customWidth="1"/>
    <col min="7186" max="7424" width="9" style="187"/>
    <col min="7425" max="7425" width="0.58203125" style="187" customWidth="1"/>
    <col min="7426" max="7426" width="19.33203125" style="187" customWidth="1"/>
    <col min="7427" max="7427" width="18" style="187" customWidth="1"/>
    <col min="7428" max="7428" width="3" style="187" customWidth="1"/>
    <col min="7429" max="7429" width="20.08203125" style="187" customWidth="1"/>
    <col min="7430" max="7430" width="3.33203125" style="187" customWidth="1"/>
    <col min="7431" max="7431" width="19.25" style="187" customWidth="1"/>
    <col min="7432" max="7432" width="5.33203125" style="187" customWidth="1"/>
    <col min="7433" max="7433" width="6.5" style="187" customWidth="1"/>
    <col min="7434" max="7435" width="4.75" style="187" customWidth="1"/>
    <col min="7436" max="7436" width="8" style="187" customWidth="1"/>
    <col min="7437" max="7437" width="10.25" style="187" customWidth="1"/>
    <col min="7438" max="7438" width="17.5" style="187" customWidth="1"/>
    <col min="7439" max="7439" width="5.83203125" style="187" customWidth="1"/>
    <col min="7440" max="7440" width="5.75" style="187" customWidth="1"/>
    <col min="7441" max="7441" width="5.58203125" style="187" customWidth="1"/>
    <col min="7442" max="7680" width="9" style="187"/>
    <col min="7681" max="7681" width="0.58203125" style="187" customWidth="1"/>
    <col min="7682" max="7682" width="19.33203125" style="187" customWidth="1"/>
    <col min="7683" max="7683" width="18" style="187" customWidth="1"/>
    <col min="7684" max="7684" width="3" style="187" customWidth="1"/>
    <col min="7685" max="7685" width="20.08203125" style="187" customWidth="1"/>
    <col min="7686" max="7686" width="3.33203125" style="187" customWidth="1"/>
    <col min="7687" max="7687" width="19.25" style="187" customWidth="1"/>
    <col min="7688" max="7688" width="5.33203125" style="187" customWidth="1"/>
    <col min="7689" max="7689" width="6.5" style="187" customWidth="1"/>
    <col min="7690" max="7691" width="4.75" style="187" customWidth="1"/>
    <col min="7692" max="7692" width="8" style="187" customWidth="1"/>
    <col min="7693" max="7693" width="10.25" style="187" customWidth="1"/>
    <col min="7694" max="7694" width="17.5" style="187" customWidth="1"/>
    <col min="7695" max="7695" width="5.83203125" style="187" customWidth="1"/>
    <col min="7696" max="7696" width="5.75" style="187" customWidth="1"/>
    <col min="7697" max="7697" width="5.58203125" style="187" customWidth="1"/>
    <col min="7698" max="7936" width="9" style="187"/>
    <col min="7937" max="7937" width="0.58203125" style="187" customWidth="1"/>
    <col min="7938" max="7938" width="19.33203125" style="187" customWidth="1"/>
    <col min="7939" max="7939" width="18" style="187" customWidth="1"/>
    <col min="7940" max="7940" width="3" style="187" customWidth="1"/>
    <col min="7941" max="7941" width="20.08203125" style="187" customWidth="1"/>
    <col min="7942" max="7942" width="3.33203125" style="187" customWidth="1"/>
    <col min="7943" max="7943" width="19.25" style="187" customWidth="1"/>
    <col min="7944" max="7944" width="5.33203125" style="187" customWidth="1"/>
    <col min="7945" max="7945" width="6.5" style="187" customWidth="1"/>
    <col min="7946" max="7947" width="4.75" style="187" customWidth="1"/>
    <col min="7948" max="7948" width="8" style="187" customWidth="1"/>
    <col min="7949" max="7949" width="10.25" style="187" customWidth="1"/>
    <col min="7950" max="7950" width="17.5" style="187" customWidth="1"/>
    <col min="7951" max="7951" width="5.83203125" style="187" customWidth="1"/>
    <col min="7952" max="7952" width="5.75" style="187" customWidth="1"/>
    <col min="7953" max="7953" width="5.58203125" style="187" customWidth="1"/>
    <col min="7954" max="8192" width="9" style="187"/>
    <col min="8193" max="8193" width="0.58203125" style="187" customWidth="1"/>
    <col min="8194" max="8194" width="19.33203125" style="187" customWidth="1"/>
    <col min="8195" max="8195" width="18" style="187" customWidth="1"/>
    <col min="8196" max="8196" width="3" style="187" customWidth="1"/>
    <col min="8197" max="8197" width="20.08203125" style="187" customWidth="1"/>
    <col min="8198" max="8198" width="3.33203125" style="187" customWidth="1"/>
    <col min="8199" max="8199" width="19.25" style="187" customWidth="1"/>
    <col min="8200" max="8200" width="5.33203125" style="187" customWidth="1"/>
    <col min="8201" max="8201" width="6.5" style="187" customWidth="1"/>
    <col min="8202" max="8203" width="4.75" style="187" customWidth="1"/>
    <col min="8204" max="8204" width="8" style="187" customWidth="1"/>
    <col min="8205" max="8205" width="10.25" style="187" customWidth="1"/>
    <col min="8206" max="8206" width="17.5" style="187" customWidth="1"/>
    <col min="8207" max="8207" width="5.83203125" style="187" customWidth="1"/>
    <col min="8208" max="8208" width="5.75" style="187" customWidth="1"/>
    <col min="8209" max="8209" width="5.58203125" style="187" customWidth="1"/>
    <col min="8210" max="8448" width="9" style="187"/>
    <col min="8449" max="8449" width="0.58203125" style="187" customWidth="1"/>
    <col min="8450" max="8450" width="19.33203125" style="187" customWidth="1"/>
    <col min="8451" max="8451" width="18" style="187" customWidth="1"/>
    <col min="8452" max="8452" width="3" style="187" customWidth="1"/>
    <col min="8453" max="8453" width="20.08203125" style="187" customWidth="1"/>
    <col min="8454" max="8454" width="3.33203125" style="187" customWidth="1"/>
    <col min="8455" max="8455" width="19.25" style="187" customWidth="1"/>
    <col min="8456" max="8456" width="5.33203125" style="187" customWidth="1"/>
    <col min="8457" max="8457" width="6.5" style="187" customWidth="1"/>
    <col min="8458" max="8459" width="4.75" style="187" customWidth="1"/>
    <col min="8460" max="8460" width="8" style="187" customWidth="1"/>
    <col min="8461" max="8461" width="10.25" style="187" customWidth="1"/>
    <col min="8462" max="8462" width="17.5" style="187" customWidth="1"/>
    <col min="8463" max="8463" width="5.83203125" style="187" customWidth="1"/>
    <col min="8464" max="8464" width="5.75" style="187" customWidth="1"/>
    <col min="8465" max="8465" width="5.58203125" style="187" customWidth="1"/>
    <col min="8466" max="8704" width="9" style="187"/>
    <col min="8705" max="8705" width="0.58203125" style="187" customWidth="1"/>
    <col min="8706" max="8706" width="19.33203125" style="187" customWidth="1"/>
    <col min="8707" max="8707" width="18" style="187" customWidth="1"/>
    <col min="8708" max="8708" width="3" style="187" customWidth="1"/>
    <col min="8709" max="8709" width="20.08203125" style="187" customWidth="1"/>
    <col min="8710" max="8710" width="3.33203125" style="187" customWidth="1"/>
    <col min="8711" max="8711" width="19.25" style="187" customWidth="1"/>
    <col min="8712" max="8712" width="5.33203125" style="187" customWidth="1"/>
    <col min="8713" max="8713" width="6.5" style="187" customWidth="1"/>
    <col min="8714" max="8715" width="4.75" style="187" customWidth="1"/>
    <col min="8716" max="8716" width="8" style="187" customWidth="1"/>
    <col min="8717" max="8717" width="10.25" style="187" customWidth="1"/>
    <col min="8718" max="8718" width="17.5" style="187" customWidth="1"/>
    <col min="8719" max="8719" width="5.83203125" style="187" customWidth="1"/>
    <col min="8720" max="8720" width="5.75" style="187" customWidth="1"/>
    <col min="8721" max="8721" width="5.58203125" style="187" customWidth="1"/>
    <col min="8722" max="8960" width="9" style="187"/>
    <col min="8961" max="8961" width="0.58203125" style="187" customWidth="1"/>
    <col min="8962" max="8962" width="19.33203125" style="187" customWidth="1"/>
    <col min="8963" max="8963" width="18" style="187" customWidth="1"/>
    <col min="8964" max="8964" width="3" style="187" customWidth="1"/>
    <col min="8965" max="8965" width="20.08203125" style="187" customWidth="1"/>
    <col min="8966" max="8966" width="3.33203125" style="187" customWidth="1"/>
    <col min="8967" max="8967" width="19.25" style="187" customWidth="1"/>
    <col min="8968" max="8968" width="5.33203125" style="187" customWidth="1"/>
    <col min="8969" max="8969" width="6.5" style="187" customWidth="1"/>
    <col min="8970" max="8971" width="4.75" style="187" customWidth="1"/>
    <col min="8972" max="8972" width="8" style="187" customWidth="1"/>
    <col min="8973" max="8973" width="10.25" style="187" customWidth="1"/>
    <col min="8974" max="8974" width="17.5" style="187" customWidth="1"/>
    <col min="8975" max="8975" width="5.83203125" style="187" customWidth="1"/>
    <col min="8976" max="8976" width="5.75" style="187" customWidth="1"/>
    <col min="8977" max="8977" width="5.58203125" style="187" customWidth="1"/>
    <col min="8978" max="9216" width="9" style="187"/>
    <col min="9217" max="9217" width="0.58203125" style="187" customWidth="1"/>
    <col min="9218" max="9218" width="19.33203125" style="187" customWidth="1"/>
    <col min="9219" max="9219" width="18" style="187" customWidth="1"/>
    <col min="9220" max="9220" width="3" style="187" customWidth="1"/>
    <col min="9221" max="9221" width="20.08203125" style="187" customWidth="1"/>
    <col min="9222" max="9222" width="3.33203125" style="187" customWidth="1"/>
    <col min="9223" max="9223" width="19.25" style="187" customWidth="1"/>
    <col min="9224" max="9224" width="5.33203125" style="187" customWidth="1"/>
    <col min="9225" max="9225" width="6.5" style="187" customWidth="1"/>
    <col min="9226" max="9227" width="4.75" style="187" customWidth="1"/>
    <col min="9228" max="9228" width="8" style="187" customWidth="1"/>
    <col min="9229" max="9229" width="10.25" style="187" customWidth="1"/>
    <col min="9230" max="9230" width="17.5" style="187" customWidth="1"/>
    <col min="9231" max="9231" width="5.83203125" style="187" customWidth="1"/>
    <col min="9232" max="9232" width="5.75" style="187" customWidth="1"/>
    <col min="9233" max="9233" width="5.58203125" style="187" customWidth="1"/>
    <col min="9234" max="9472" width="9" style="187"/>
    <col min="9473" max="9473" width="0.58203125" style="187" customWidth="1"/>
    <col min="9474" max="9474" width="19.33203125" style="187" customWidth="1"/>
    <col min="9475" max="9475" width="18" style="187" customWidth="1"/>
    <col min="9476" max="9476" width="3" style="187" customWidth="1"/>
    <col min="9477" max="9477" width="20.08203125" style="187" customWidth="1"/>
    <col min="9478" max="9478" width="3.33203125" style="187" customWidth="1"/>
    <col min="9479" max="9479" width="19.25" style="187" customWidth="1"/>
    <col min="9480" max="9480" width="5.33203125" style="187" customWidth="1"/>
    <col min="9481" max="9481" width="6.5" style="187" customWidth="1"/>
    <col min="9482" max="9483" width="4.75" style="187" customWidth="1"/>
    <col min="9484" max="9484" width="8" style="187" customWidth="1"/>
    <col min="9485" max="9485" width="10.25" style="187" customWidth="1"/>
    <col min="9486" max="9486" width="17.5" style="187" customWidth="1"/>
    <col min="9487" max="9487" width="5.83203125" style="187" customWidth="1"/>
    <col min="9488" max="9488" width="5.75" style="187" customWidth="1"/>
    <col min="9489" max="9489" width="5.58203125" style="187" customWidth="1"/>
    <col min="9490" max="9728" width="9" style="187"/>
    <col min="9729" max="9729" width="0.58203125" style="187" customWidth="1"/>
    <col min="9730" max="9730" width="19.33203125" style="187" customWidth="1"/>
    <col min="9731" max="9731" width="18" style="187" customWidth="1"/>
    <col min="9732" max="9732" width="3" style="187" customWidth="1"/>
    <col min="9733" max="9733" width="20.08203125" style="187" customWidth="1"/>
    <col min="9734" max="9734" width="3.33203125" style="187" customWidth="1"/>
    <col min="9735" max="9735" width="19.25" style="187" customWidth="1"/>
    <col min="9736" max="9736" width="5.33203125" style="187" customWidth="1"/>
    <col min="9737" max="9737" width="6.5" style="187" customWidth="1"/>
    <col min="9738" max="9739" width="4.75" style="187" customWidth="1"/>
    <col min="9740" max="9740" width="8" style="187" customWidth="1"/>
    <col min="9741" max="9741" width="10.25" style="187" customWidth="1"/>
    <col min="9742" max="9742" width="17.5" style="187" customWidth="1"/>
    <col min="9743" max="9743" width="5.83203125" style="187" customWidth="1"/>
    <col min="9744" max="9744" width="5.75" style="187" customWidth="1"/>
    <col min="9745" max="9745" width="5.58203125" style="187" customWidth="1"/>
    <col min="9746" max="9984" width="9" style="187"/>
    <col min="9985" max="9985" width="0.58203125" style="187" customWidth="1"/>
    <col min="9986" max="9986" width="19.33203125" style="187" customWidth="1"/>
    <col min="9987" max="9987" width="18" style="187" customWidth="1"/>
    <col min="9988" max="9988" width="3" style="187" customWidth="1"/>
    <col min="9989" max="9989" width="20.08203125" style="187" customWidth="1"/>
    <col min="9990" max="9990" width="3.33203125" style="187" customWidth="1"/>
    <col min="9991" max="9991" width="19.25" style="187" customWidth="1"/>
    <col min="9992" max="9992" width="5.33203125" style="187" customWidth="1"/>
    <col min="9993" max="9993" width="6.5" style="187" customWidth="1"/>
    <col min="9994" max="9995" width="4.75" style="187" customWidth="1"/>
    <col min="9996" max="9996" width="8" style="187" customWidth="1"/>
    <col min="9997" max="9997" width="10.25" style="187" customWidth="1"/>
    <col min="9998" max="9998" width="17.5" style="187" customWidth="1"/>
    <col min="9999" max="9999" width="5.83203125" style="187" customWidth="1"/>
    <col min="10000" max="10000" width="5.75" style="187" customWidth="1"/>
    <col min="10001" max="10001" width="5.58203125" style="187" customWidth="1"/>
    <col min="10002" max="10240" width="9" style="187"/>
    <col min="10241" max="10241" width="0.58203125" style="187" customWidth="1"/>
    <col min="10242" max="10242" width="19.33203125" style="187" customWidth="1"/>
    <col min="10243" max="10243" width="18" style="187" customWidth="1"/>
    <col min="10244" max="10244" width="3" style="187" customWidth="1"/>
    <col min="10245" max="10245" width="20.08203125" style="187" customWidth="1"/>
    <col min="10246" max="10246" width="3.33203125" style="187" customWidth="1"/>
    <col min="10247" max="10247" width="19.25" style="187" customWidth="1"/>
    <col min="10248" max="10248" width="5.33203125" style="187" customWidth="1"/>
    <col min="10249" max="10249" width="6.5" style="187" customWidth="1"/>
    <col min="10250" max="10251" width="4.75" style="187" customWidth="1"/>
    <col min="10252" max="10252" width="8" style="187" customWidth="1"/>
    <col min="10253" max="10253" width="10.25" style="187" customWidth="1"/>
    <col min="10254" max="10254" width="17.5" style="187" customWidth="1"/>
    <col min="10255" max="10255" width="5.83203125" style="187" customWidth="1"/>
    <col min="10256" max="10256" width="5.75" style="187" customWidth="1"/>
    <col min="10257" max="10257" width="5.58203125" style="187" customWidth="1"/>
    <col min="10258" max="10496" width="9" style="187"/>
    <col min="10497" max="10497" width="0.58203125" style="187" customWidth="1"/>
    <col min="10498" max="10498" width="19.33203125" style="187" customWidth="1"/>
    <col min="10499" max="10499" width="18" style="187" customWidth="1"/>
    <col min="10500" max="10500" width="3" style="187" customWidth="1"/>
    <col min="10501" max="10501" width="20.08203125" style="187" customWidth="1"/>
    <col min="10502" max="10502" width="3.33203125" style="187" customWidth="1"/>
    <col min="10503" max="10503" width="19.25" style="187" customWidth="1"/>
    <col min="10504" max="10504" width="5.33203125" style="187" customWidth="1"/>
    <col min="10505" max="10505" width="6.5" style="187" customWidth="1"/>
    <col min="10506" max="10507" width="4.75" style="187" customWidth="1"/>
    <col min="10508" max="10508" width="8" style="187" customWidth="1"/>
    <col min="10509" max="10509" width="10.25" style="187" customWidth="1"/>
    <col min="10510" max="10510" width="17.5" style="187" customWidth="1"/>
    <col min="10511" max="10511" width="5.83203125" style="187" customWidth="1"/>
    <col min="10512" max="10512" width="5.75" style="187" customWidth="1"/>
    <col min="10513" max="10513" width="5.58203125" style="187" customWidth="1"/>
    <col min="10514" max="10752" width="9" style="187"/>
    <col min="10753" max="10753" width="0.58203125" style="187" customWidth="1"/>
    <col min="10754" max="10754" width="19.33203125" style="187" customWidth="1"/>
    <col min="10755" max="10755" width="18" style="187" customWidth="1"/>
    <col min="10756" max="10756" width="3" style="187" customWidth="1"/>
    <col min="10757" max="10757" width="20.08203125" style="187" customWidth="1"/>
    <col min="10758" max="10758" width="3.33203125" style="187" customWidth="1"/>
    <col min="10759" max="10759" width="19.25" style="187" customWidth="1"/>
    <col min="10760" max="10760" width="5.33203125" style="187" customWidth="1"/>
    <col min="10761" max="10761" width="6.5" style="187" customWidth="1"/>
    <col min="10762" max="10763" width="4.75" style="187" customWidth="1"/>
    <col min="10764" max="10764" width="8" style="187" customWidth="1"/>
    <col min="10765" max="10765" width="10.25" style="187" customWidth="1"/>
    <col min="10766" max="10766" width="17.5" style="187" customWidth="1"/>
    <col min="10767" max="10767" width="5.83203125" style="187" customWidth="1"/>
    <col min="10768" max="10768" width="5.75" style="187" customWidth="1"/>
    <col min="10769" max="10769" width="5.58203125" style="187" customWidth="1"/>
    <col min="10770" max="11008" width="9" style="187"/>
    <col min="11009" max="11009" width="0.58203125" style="187" customWidth="1"/>
    <col min="11010" max="11010" width="19.33203125" style="187" customWidth="1"/>
    <col min="11011" max="11011" width="18" style="187" customWidth="1"/>
    <col min="11012" max="11012" width="3" style="187" customWidth="1"/>
    <col min="11013" max="11013" width="20.08203125" style="187" customWidth="1"/>
    <col min="11014" max="11014" width="3.33203125" style="187" customWidth="1"/>
    <col min="11015" max="11015" width="19.25" style="187" customWidth="1"/>
    <col min="11016" max="11016" width="5.33203125" style="187" customWidth="1"/>
    <col min="11017" max="11017" width="6.5" style="187" customWidth="1"/>
    <col min="11018" max="11019" width="4.75" style="187" customWidth="1"/>
    <col min="11020" max="11020" width="8" style="187" customWidth="1"/>
    <col min="11021" max="11021" width="10.25" style="187" customWidth="1"/>
    <col min="11022" max="11022" width="17.5" style="187" customWidth="1"/>
    <col min="11023" max="11023" width="5.83203125" style="187" customWidth="1"/>
    <col min="11024" max="11024" width="5.75" style="187" customWidth="1"/>
    <col min="11025" max="11025" width="5.58203125" style="187" customWidth="1"/>
    <col min="11026" max="11264" width="9" style="187"/>
    <col min="11265" max="11265" width="0.58203125" style="187" customWidth="1"/>
    <col min="11266" max="11266" width="19.33203125" style="187" customWidth="1"/>
    <col min="11267" max="11267" width="18" style="187" customWidth="1"/>
    <col min="11268" max="11268" width="3" style="187" customWidth="1"/>
    <col min="11269" max="11269" width="20.08203125" style="187" customWidth="1"/>
    <col min="11270" max="11270" width="3.33203125" style="187" customWidth="1"/>
    <col min="11271" max="11271" width="19.25" style="187" customWidth="1"/>
    <col min="11272" max="11272" width="5.33203125" style="187" customWidth="1"/>
    <col min="11273" max="11273" width="6.5" style="187" customWidth="1"/>
    <col min="11274" max="11275" width="4.75" style="187" customWidth="1"/>
    <col min="11276" max="11276" width="8" style="187" customWidth="1"/>
    <col min="11277" max="11277" width="10.25" style="187" customWidth="1"/>
    <col min="11278" max="11278" width="17.5" style="187" customWidth="1"/>
    <col min="11279" max="11279" width="5.83203125" style="187" customWidth="1"/>
    <col min="11280" max="11280" width="5.75" style="187" customWidth="1"/>
    <col min="11281" max="11281" width="5.58203125" style="187" customWidth="1"/>
    <col min="11282" max="11520" width="9" style="187"/>
    <col min="11521" max="11521" width="0.58203125" style="187" customWidth="1"/>
    <col min="11522" max="11522" width="19.33203125" style="187" customWidth="1"/>
    <col min="11523" max="11523" width="18" style="187" customWidth="1"/>
    <col min="11524" max="11524" width="3" style="187" customWidth="1"/>
    <col min="11525" max="11525" width="20.08203125" style="187" customWidth="1"/>
    <col min="11526" max="11526" width="3.33203125" style="187" customWidth="1"/>
    <col min="11527" max="11527" width="19.25" style="187" customWidth="1"/>
    <col min="11528" max="11528" width="5.33203125" style="187" customWidth="1"/>
    <col min="11529" max="11529" width="6.5" style="187" customWidth="1"/>
    <col min="11530" max="11531" width="4.75" style="187" customWidth="1"/>
    <col min="11532" max="11532" width="8" style="187" customWidth="1"/>
    <col min="11533" max="11533" width="10.25" style="187" customWidth="1"/>
    <col min="11534" max="11534" width="17.5" style="187" customWidth="1"/>
    <col min="11535" max="11535" width="5.83203125" style="187" customWidth="1"/>
    <col min="11536" max="11536" width="5.75" style="187" customWidth="1"/>
    <col min="11537" max="11537" width="5.58203125" style="187" customWidth="1"/>
    <col min="11538" max="11776" width="9" style="187"/>
    <col min="11777" max="11777" width="0.58203125" style="187" customWidth="1"/>
    <col min="11778" max="11778" width="19.33203125" style="187" customWidth="1"/>
    <col min="11779" max="11779" width="18" style="187" customWidth="1"/>
    <col min="11780" max="11780" width="3" style="187" customWidth="1"/>
    <col min="11781" max="11781" width="20.08203125" style="187" customWidth="1"/>
    <col min="11782" max="11782" width="3.33203125" style="187" customWidth="1"/>
    <col min="11783" max="11783" width="19.25" style="187" customWidth="1"/>
    <col min="11784" max="11784" width="5.33203125" style="187" customWidth="1"/>
    <col min="11785" max="11785" width="6.5" style="187" customWidth="1"/>
    <col min="11786" max="11787" width="4.75" style="187" customWidth="1"/>
    <col min="11788" max="11788" width="8" style="187" customWidth="1"/>
    <col min="11789" max="11789" width="10.25" style="187" customWidth="1"/>
    <col min="11790" max="11790" width="17.5" style="187" customWidth="1"/>
    <col min="11791" max="11791" width="5.83203125" style="187" customWidth="1"/>
    <col min="11792" max="11792" width="5.75" style="187" customWidth="1"/>
    <col min="11793" max="11793" width="5.58203125" style="187" customWidth="1"/>
    <col min="11794" max="12032" width="9" style="187"/>
    <col min="12033" max="12033" width="0.58203125" style="187" customWidth="1"/>
    <col min="12034" max="12034" width="19.33203125" style="187" customWidth="1"/>
    <col min="12035" max="12035" width="18" style="187" customWidth="1"/>
    <col min="12036" max="12036" width="3" style="187" customWidth="1"/>
    <col min="12037" max="12037" width="20.08203125" style="187" customWidth="1"/>
    <col min="12038" max="12038" width="3.33203125" style="187" customWidth="1"/>
    <col min="12039" max="12039" width="19.25" style="187" customWidth="1"/>
    <col min="12040" max="12040" width="5.33203125" style="187" customWidth="1"/>
    <col min="12041" max="12041" width="6.5" style="187" customWidth="1"/>
    <col min="12042" max="12043" width="4.75" style="187" customWidth="1"/>
    <col min="12044" max="12044" width="8" style="187" customWidth="1"/>
    <col min="12045" max="12045" width="10.25" style="187" customWidth="1"/>
    <col min="12046" max="12046" width="17.5" style="187" customWidth="1"/>
    <col min="12047" max="12047" width="5.83203125" style="187" customWidth="1"/>
    <col min="12048" max="12048" width="5.75" style="187" customWidth="1"/>
    <col min="12049" max="12049" width="5.58203125" style="187" customWidth="1"/>
    <col min="12050" max="12288" width="9" style="187"/>
    <col min="12289" max="12289" width="0.58203125" style="187" customWidth="1"/>
    <col min="12290" max="12290" width="19.33203125" style="187" customWidth="1"/>
    <col min="12291" max="12291" width="18" style="187" customWidth="1"/>
    <col min="12292" max="12292" width="3" style="187" customWidth="1"/>
    <col min="12293" max="12293" width="20.08203125" style="187" customWidth="1"/>
    <col min="12294" max="12294" width="3.33203125" style="187" customWidth="1"/>
    <col min="12295" max="12295" width="19.25" style="187" customWidth="1"/>
    <col min="12296" max="12296" width="5.33203125" style="187" customWidth="1"/>
    <col min="12297" max="12297" width="6.5" style="187" customWidth="1"/>
    <col min="12298" max="12299" width="4.75" style="187" customWidth="1"/>
    <col min="12300" max="12300" width="8" style="187" customWidth="1"/>
    <col min="12301" max="12301" width="10.25" style="187" customWidth="1"/>
    <col min="12302" max="12302" width="17.5" style="187" customWidth="1"/>
    <col min="12303" max="12303" width="5.83203125" style="187" customWidth="1"/>
    <col min="12304" max="12304" width="5.75" style="187" customWidth="1"/>
    <col min="12305" max="12305" width="5.58203125" style="187" customWidth="1"/>
    <col min="12306" max="12544" width="9" style="187"/>
    <col min="12545" max="12545" width="0.58203125" style="187" customWidth="1"/>
    <col min="12546" max="12546" width="19.33203125" style="187" customWidth="1"/>
    <col min="12547" max="12547" width="18" style="187" customWidth="1"/>
    <col min="12548" max="12548" width="3" style="187" customWidth="1"/>
    <col min="12549" max="12549" width="20.08203125" style="187" customWidth="1"/>
    <col min="12550" max="12550" width="3.33203125" style="187" customWidth="1"/>
    <col min="12551" max="12551" width="19.25" style="187" customWidth="1"/>
    <col min="12552" max="12552" width="5.33203125" style="187" customWidth="1"/>
    <col min="12553" max="12553" width="6.5" style="187" customWidth="1"/>
    <col min="12554" max="12555" width="4.75" style="187" customWidth="1"/>
    <col min="12556" max="12556" width="8" style="187" customWidth="1"/>
    <col min="12557" max="12557" width="10.25" style="187" customWidth="1"/>
    <col min="12558" max="12558" width="17.5" style="187" customWidth="1"/>
    <col min="12559" max="12559" width="5.83203125" style="187" customWidth="1"/>
    <col min="12560" max="12560" width="5.75" style="187" customWidth="1"/>
    <col min="12561" max="12561" width="5.58203125" style="187" customWidth="1"/>
    <col min="12562" max="12800" width="9" style="187"/>
    <col min="12801" max="12801" width="0.58203125" style="187" customWidth="1"/>
    <col min="12802" max="12802" width="19.33203125" style="187" customWidth="1"/>
    <col min="12803" max="12803" width="18" style="187" customWidth="1"/>
    <col min="12804" max="12804" width="3" style="187" customWidth="1"/>
    <col min="12805" max="12805" width="20.08203125" style="187" customWidth="1"/>
    <col min="12806" max="12806" width="3.33203125" style="187" customWidth="1"/>
    <col min="12807" max="12807" width="19.25" style="187" customWidth="1"/>
    <col min="12808" max="12808" width="5.33203125" style="187" customWidth="1"/>
    <col min="12809" max="12809" width="6.5" style="187" customWidth="1"/>
    <col min="12810" max="12811" width="4.75" style="187" customWidth="1"/>
    <col min="12812" max="12812" width="8" style="187" customWidth="1"/>
    <col min="12813" max="12813" width="10.25" style="187" customWidth="1"/>
    <col min="12814" max="12814" width="17.5" style="187" customWidth="1"/>
    <col min="12815" max="12815" width="5.83203125" style="187" customWidth="1"/>
    <col min="12816" max="12816" width="5.75" style="187" customWidth="1"/>
    <col min="12817" max="12817" width="5.58203125" style="187" customWidth="1"/>
    <col min="12818" max="13056" width="9" style="187"/>
    <col min="13057" max="13057" width="0.58203125" style="187" customWidth="1"/>
    <col min="13058" max="13058" width="19.33203125" style="187" customWidth="1"/>
    <col min="13059" max="13059" width="18" style="187" customWidth="1"/>
    <col min="13060" max="13060" width="3" style="187" customWidth="1"/>
    <col min="13061" max="13061" width="20.08203125" style="187" customWidth="1"/>
    <col min="13062" max="13062" width="3.33203125" style="187" customWidth="1"/>
    <col min="13063" max="13063" width="19.25" style="187" customWidth="1"/>
    <col min="13064" max="13064" width="5.33203125" style="187" customWidth="1"/>
    <col min="13065" max="13065" width="6.5" style="187" customWidth="1"/>
    <col min="13066" max="13067" width="4.75" style="187" customWidth="1"/>
    <col min="13068" max="13068" width="8" style="187" customWidth="1"/>
    <col min="13069" max="13069" width="10.25" style="187" customWidth="1"/>
    <col min="13070" max="13070" width="17.5" style="187" customWidth="1"/>
    <col min="13071" max="13071" width="5.83203125" style="187" customWidth="1"/>
    <col min="13072" max="13072" width="5.75" style="187" customWidth="1"/>
    <col min="13073" max="13073" width="5.58203125" style="187" customWidth="1"/>
    <col min="13074" max="13312" width="9" style="187"/>
    <col min="13313" max="13313" width="0.58203125" style="187" customWidth="1"/>
    <col min="13314" max="13314" width="19.33203125" style="187" customWidth="1"/>
    <col min="13315" max="13315" width="18" style="187" customWidth="1"/>
    <col min="13316" max="13316" width="3" style="187" customWidth="1"/>
    <col min="13317" max="13317" width="20.08203125" style="187" customWidth="1"/>
    <col min="13318" max="13318" width="3.33203125" style="187" customWidth="1"/>
    <col min="13319" max="13319" width="19.25" style="187" customWidth="1"/>
    <col min="13320" max="13320" width="5.33203125" style="187" customWidth="1"/>
    <col min="13321" max="13321" width="6.5" style="187" customWidth="1"/>
    <col min="13322" max="13323" width="4.75" style="187" customWidth="1"/>
    <col min="13324" max="13324" width="8" style="187" customWidth="1"/>
    <col min="13325" max="13325" width="10.25" style="187" customWidth="1"/>
    <col min="13326" max="13326" width="17.5" style="187" customWidth="1"/>
    <col min="13327" max="13327" width="5.83203125" style="187" customWidth="1"/>
    <col min="13328" max="13328" width="5.75" style="187" customWidth="1"/>
    <col min="13329" max="13329" width="5.58203125" style="187" customWidth="1"/>
    <col min="13330" max="13568" width="9" style="187"/>
    <col min="13569" max="13569" width="0.58203125" style="187" customWidth="1"/>
    <col min="13570" max="13570" width="19.33203125" style="187" customWidth="1"/>
    <col min="13571" max="13571" width="18" style="187" customWidth="1"/>
    <col min="13572" max="13572" width="3" style="187" customWidth="1"/>
    <col min="13573" max="13573" width="20.08203125" style="187" customWidth="1"/>
    <col min="13574" max="13574" width="3.33203125" style="187" customWidth="1"/>
    <col min="13575" max="13575" width="19.25" style="187" customWidth="1"/>
    <col min="13576" max="13576" width="5.33203125" style="187" customWidth="1"/>
    <col min="13577" max="13577" width="6.5" style="187" customWidth="1"/>
    <col min="13578" max="13579" width="4.75" style="187" customWidth="1"/>
    <col min="13580" max="13580" width="8" style="187" customWidth="1"/>
    <col min="13581" max="13581" width="10.25" style="187" customWidth="1"/>
    <col min="13582" max="13582" width="17.5" style="187" customWidth="1"/>
    <col min="13583" max="13583" width="5.83203125" style="187" customWidth="1"/>
    <col min="13584" max="13584" width="5.75" style="187" customWidth="1"/>
    <col min="13585" max="13585" width="5.58203125" style="187" customWidth="1"/>
    <col min="13586" max="13824" width="9" style="187"/>
    <col min="13825" max="13825" width="0.58203125" style="187" customWidth="1"/>
    <col min="13826" max="13826" width="19.33203125" style="187" customWidth="1"/>
    <col min="13827" max="13827" width="18" style="187" customWidth="1"/>
    <col min="13828" max="13828" width="3" style="187" customWidth="1"/>
    <col min="13829" max="13829" width="20.08203125" style="187" customWidth="1"/>
    <col min="13830" max="13830" width="3.33203125" style="187" customWidth="1"/>
    <col min="13831" max="13831" width="19.25" style="187" customWidth="1"/>
    <col min="13832" max="13832" width="5.33203125" style="187" customWidth="1"/>
    <col min="13833" max="13833" width="6.5" style="187" customWidth="1"/>
    <col min="13834" max="13835" width="4.75" style="187" customWidth="1"/>
    <col min="13836" max="13836" width="8" style="187" customWidth="1"/>
    <col min="13837" max="13837" width="10.25" style="187" customWidth="1"/>
    <col min="13838" max="13838" width="17.5" style="187" customWidth="1"/>
    <col min="13839" max="13839" width="5.83203125" style="187" customWidth="1"/>
    <col min="13840" max="13840" width="5.75" style="187" customWidth="1"/>
    <col min="13841" max="13841" width="5.58203125" style="187" customWidth="1"/>
    <col min="13842" max="14080" width="9" style="187"/>
    <col min="14081" max="14081" width="0.58203125" style="187" customWidth="1"/>
    <col min="14082" max="14082" width="19.33203125" style="187" customWidth="1"/>
    <col min="14083" max="14083" width="18" style="187" customWidth="1"/>
    <col min="14084" max="14084" width="3" style="187" customWidth="1"/>
    <col min="14085" max="14085" width="20.08203125" style="187" customWidth="1"/>
    <col min="14086" max="14086" width="3.33203125" style="187" customWidth="1"/>
    <col min="14087" max="14087" width="19.25" style="187" customWidth="1"/>
    <col min="14088" max="14088" width="5.33203125" style="187" customWidth="1"/>
    <col min="14089" max="14089" width="6.5" style="187" customWidth="1"/>
    <col min="14090" max="14091" width="4.75" style="187" customWidth="1"/>
    <col min="14092" max="14092" width="8" style="187" customWidth="1"/>
    <col min="14093" max="14093" width="10.25" style="187" customWidth="1"/>
    <col min="14094" max="14094" width="17.5" style="187" customWidth="1"/>
    <col min="14095" max="14095" width="5.83203125" style="187" customWidth="1"/>
    <col min="14096" max="14096" width="5.75" style="187" customWidth="1"/>
    <col min="14097" max="14097" width="5.58203125" style="187" customWidth="1"/>
    <col min="14098" max="14336" width="9" style="187"/>
    <col min="14337" max="14337" width="0.58203125" style="187" customWidth="1"/>
    <col min="14338" max="14338" width="19.33203125" style="187" customWidth="1"/>
    <col min="14339" max="14339" width="18" style="187" customWidth="1"/>
    <col min="14340" max="14340" width="3" style="187" customWidth="1"/>
    <col min="14341" max="14341" width="20.08203125" style="187" customWidth="1"/>
    <col min="14342" max="14342" width="3.33203125" style="187" customWidth="1"/>
    <col min="14343" max="14343" width="19.25" style="187" customWidth="1"/>
    <col min="14344" max="14344" width="5.33203125" style="187" customWidth="1"/>
    <col min="14345" max="14345" width="6.5" style="187" customWidth="1"/>
    <col min="14346" max="14347" width="4.75" style="187" customWidth="1"/>
    <col min="14348" max="14348" width="8" style="187" customWidth="1"/>
    <col min="14349" max="14349" width="10.25" style="187" customWidth="1"/>
    <col min="14350" max="14350" width="17.5" style="187" customWidth="1"/>
    <col min="14351" max="14351" width="5.83203125" style="187" customWidth="1"/>
    <col min="14352" max="14352" width="5.75" style="187" customWidth="1"/>
    <col min="14353" max="14353" width="5.58203125" style="187" customWidth="1"/>
    <col min="14354" max="14592" width="9" style="187"/>
    <col min="14593" max="14593" width="0.58203125" style="187" customWidth="1"/>
    <col min="14594" max="14594" width="19.33203125" style="187" customWidth="1"/>
    <col min="14595" max="14595" width="18" style="187" customWidth="1"/>
    <col min="14596" max="14596" width="3" style="187" customWidth="1"/>
    <col min="14597" max="14597" width="20.08203125" style="187" customWidth="1"/>
    <col min="14598" max="14598" width="3.33203125" style="187" customWidth="1"/>
    <col min="14599" max="14599" width="19.25" style="187" customWidth="1"/>
    <col min="14600" max="14600" width="5.33203125" style="187" customWidth="1"/>
    <col min="14601" max="14601" width="6.5" style="187" customWidth="1"/>
    <col min="14602" max="14603" width="4.75" style="187" customWidth="1"/>
    <col min="14604" max="14604" width="8" style="187" customWidth="1"/>
    <col min="14605" max="14605" width="10.25" style="187" customWidth="1"/>
    <col min="14606" max="14606" width="17.5" style="187" customWidth="1"/>
    <col min="14607" max="14607" width="5.83203125" style="187" customWidth="1"/>
    <col min="14608" max="14608" width="5.75" style="187" customWidth="1"/>
    <col min="14609" max="14609" width="5.58203125" style="187" customWidth="1"/>
    <col min="14610" max="14848" width="9" style="187"/>
    <col min="14849" max="14849" width="0.58203125" style="187" customWidth="1"/>
    <col min="14850" max="14850" width="19.33203125" style="187" customWidth="1"/>
    <col min="14851" max="14851" width="18" style="187" customWidth="1"/>
    <col min="14852" max="14852" width="3" style="187" customWidth="1"/>
    <col min="14853" max="14853" width="20.08203125" style="187" customWidth="1"/>
    <col min="14854" max="14854" width="3.33203125" style="187" customWidth="1"/>
    <col min="14855" max="14855" width="19.25" style="187" customWidth="1"/>
    <col min="14856" max="14856" width="5.33203125" style="187" customWidth="1"/>
    <col min="14857" max="14857" width="6.5" style="187" customWidth="1"/>
    <col min="14858" max="14859" width="4.75" style="187" customWidth="1"/>
    <col min="14860" max="14860" width="8" style="187" customWidth="1"/>
    <col min="14861" max="14861" width="10.25" style="187" customWidth="1"/>
    <col min="14862" max="14862" width="17.5" style="187" customWidth="1"/>
    <col min="14863" max="14863" width="5.83203125" style="187" customWidth="1"/>
    <col min="14864" max="14864" width="5.75" style="187" customWidth="1"/>
    <col min="14865" max="14865" width="5.58203125" style="187" customWidth="1"/>
    <col min="14866" max="15104" width="9" style="187"/>
    <col min="15105" max="15105" width="0.58203125" style="187" customWidth="1"/>
    <col min="15106" max="15106" width="19.33203125" style="187" customWidth="1"/>
    <col min="15107" max="15107" width="18" style="187" customWidth="1"/>
    <col min="15108" max="15108" width="3" style="187" customWidth="1"/>
    <col min="15109" max="15109" width="20.08203125" style="187" customWidth="1"/>
    <col min="15110" max="15110" width="3.33203125" style="187" customWidth="1"/>
    <col min="15111" max="15111" width="19.25" style="187" customWidth="1"/>
    <col min="15112" max="15112" width="5.33203125" style="187" customWidth="1"/>
    <col min="15113" max="15113" width="6.5" style="187" customWidth="1"/>
    <col min="15114" max="15115" width="4.75" style="187" customWidth="1"/>
    <col min="15116" max="15116" width="8" style="187" customWidth="1"/>
    <col min="15117" max="15117" width="10.25" style="187" customWidth="1"/>
    <col min="15118" max="15118" width="17.5" style="187" customWidth="1"/>
    <col min="15119" max="15119" width="5.83203125" style="187" customWidth="1"/>
    <col min="15120" max="15120" width="5.75" style="187" customWidth="1"/>
    <col min="15121" max="15121" width="5.58203125" style="187" customWidth="1"/>
    <col min="15122" max="15360" width="9" style="187"/>
    <col min="15361" max="15361" width="0.58203125" style="187" customWidth="1"/>
    <col min="15362" max="15362" width="19.33203125" style="187" customWidth="1"/>
    <col min="15363" max="15363" width="18" style="187" customWidth="1"/>
    <col min="15364" max="15364" width="3" style="187" customWidth="1"/>
    <col min="15365" max="15365" width="20.08203125" style="187" customWidth="1"/>
    <col min="15366" max="15366" width="3.33203125" style="187" customWidth="1"/>
    <col min="15367" max="15367" width="19.25" style="187" customWidth="1"/>
    <col min="15368" max="15368" width="5.33203125" style="187" customWidth="1"/>
    <col min="15369" max="15369" width="6.5" style="187" customWidth="1"/>
    <col min="15370" max="15371" width="4.75" style="187" customWidth="1"/>
    <col min="15372" max="15372" width="8" style="187" customWidth="1"/>
    <col min="15373" max="15373" width="10.25" style="187" customWidth="1"/>
    <col min="15374" max="15374" width="17.5" style="187" customWidth="1"/>
    <col min="15375" max="15375" width="5.83203125" style="187" customWidth="1"/>
    <col min="15376" max="15376" width="5.75" style="187" customWidth="1"/>
    <col min="15377" max="15377" width="5.58203125" style="187" customWidth="1"/>
    <col min="15378" max="15616" width="9" style="187"/>
    <col min="15617" max="15617" width="0.58203125" style="187" customWidth="1"/>
    <col min="15618" max="15618" width="19.33203125" style="187" customWidth="1"/>
    <col min="15619" max="15619" width="18" style="187" customWidth="1"/>
    <col min="15620" max="15620" width="3" style="187" customWidth="1"/>
    <col min="15621" max="15621" width="20.08203125" style="187" customWidth="1"/>
    <col min="15622" max="15622" width="3.33203125" style="187" customWidth="1"/>
    <col min="15623" max="15623" width="19.25" style="187" customWidth="1"/>
    <col min="15624" max="15624" width="5.33203125" style="187" customWidth="1"/>
    <col min="15625" max="15625" width="6.5" style="187" customWidth="1"/>
    <col min="15626" max="15627" width="4.75" style="187" customWidth="1"/>
    <col min="15628" max="15628" width="8" style="187" customWidth="1"/>
    <col min="15629" max="15629" width="10.25" style="187" customWidth="1"/>
    <col min="15630" max="15630" width="17.5" style="187" customWidth="1"/>
    <col min="15631" max="15631" width="5.83203125" style="187" customWidth="1"/>
    <col min="15632" max="15632" width="5.75" style="187" customWidth="1"/>
    <col min="15633" max="15633" width="5.58203125" style="187" customWidth="1"/>
    <col min="15634" max="15872" width="9" style="187"/>
    <col min="15873" max="15873" width="0.58203125" style="187" customWidth="1"/>
    <col min="15874" max="15874" width="19.33203125" style="187" customWidth="1"/>
    <col min="15875" max="15875" width="18" style="187" customWidth="1"/>
    <col min="15876" max="15876" width="3" style="187" customWidth="1"/>
    <col min="15877" max="15877" width="20.08203125" style="187" customWidth="1"/>
    <col min="15878" max="15878" width="3.33203125" style="187" customWidth="1"/>
    <col min="15879" max="15879" width="19.25" style="187" customWidth="1"/>
    <col min="15880" max="15880" width="5.33203125" style="187" customWidth="1"/>
    <col min="15881" max="15881" width="6.5" style="187" customWidth="1"/>
    <col min="15882" max="15883" width="4.75" style="187" customWidth="1"/>
    <col min="15884" max="15884" width="8" style="187" customWidth="1"/>
    <col min="15885" max="15885" width="10.25" style="187" customWidth="1"/>
    <col min="15886" max="15886" width="17.5" style="187" customWidth="1"/>
    <col min="15887" max="15887" width="5.83203125" style="187" customWidth="1"/>
    <col min="15888" max="15888" width="5.75" style="187" customWidth="1"/>
    <col min="15889" max="15889" width="5.58203125" style="187" customWidth="1"/>
    <col min="15890" max="16128" width="9" style="187"/>
    <col min="16129" max="16129" width="0.58203125" style="187" customWidth="1"/>
    <col min="16130" max="16130" width="19.33203125" style="187" customWidth="1"/>
    <col min="16131" max="16131" width="18" style="187" customWidth="1"/>
    <col min="16132" max="16132" width="3" style="187" customWidth="1"/>
    <col min="16133" max="16133" width="20.08203125" style="187" customWidth="1"/>
    <col min="16134" max="16134" width="3.33203125" style="187" customWidth="1"/>
    <col min="16135" max="16135" width="19.25" style="187" customWidth="1"/>
    <col min="16136" max="16136" width="5.33203125" style="187" customWidth="1"/>
    <col min="16137" max="16137" width="6.5" style="187" customWidth="1"/>
    <col min="16138" max="16139" width="4.75" style="187" customWidth="1"/>
    <col min="16140" max="16140" width="8" style="187" customWidth="1"/>
    <col min="16141" max="16141" width="10.25" style="187" customWidth="1"/>
    <col min="16142" max="16142" width="17.5" style="187" customWidth="1"/>
    <col min="16143" max="16143" width="5.83203125" style="187" customWidth="1"/>
    <col min="16144" max="16144" width="5.75" style="187" customWidth="1"/>
    <col min="16145" max="16145" width="5.58203125" style="187" customWidth="1"/>
    <col min="16146" max="16384" width="9" style="187"/>
  </cols>
  <sheetData>
    <row r="1" spans="1:17" ht="15" customHeight="1">
      <c r="A1" s="38" t="s">
        <v>1708</v>
      </c>
      <c r="B1" s="38"/>
      <c r="C1" s="38" t="s">
        <v>309</v>
      </c>
      <c r="D1" s="38"/>
      <c r="E1" s="38"/>
      <c r="F1" s="38"/>
      <c r="G1" s="38"/>
      <c r="H1" s="38" t="e">
        <f>①基本情報!Q5</f>
        <v>#N/A</v>
      </c>
      <c r="I1" s="38"/>
      <c r="J1" s="38"/>
      <c r="K1" s="38"/>
      <c r="L1" s="38"/>
      <c r="M1" s="38"/>
      <c r="N1" s="38"/>
      <c r="O1" s="38"/>
      <c r="P1" s="38"/>
      <c r="Q1" s="38"/>
    </row>
    <row r="2" spans="1:17" ht="23.15" customHeight="1">
      <c r="A2" s="38"/>
      <c r="B2" s="38"/>
      <c r="C2" s="38"/>
      <c r="D2" s="38"/>
      <c r="E2" s="38"/>
      <c r="F2" s="38"/>
      <c r="G2" s="383">
        <v>45747</v>
      </c>
      <c r="H2" s="38"/>
      <c r="I2" s="38"/>
      <c r="J2" s="38"/>
      <c r="K2" s="38"/>
      <c r="L2" s="38"/>
      <c r="M2" s="38"/>
      <c r="O2" s="38"/>
      <c r="P2" s="38"/>
      <c r="Q2" s="38"/>
    </row>
    <row r="3" spans="1:17" ht="6" customHeight="1">
      <c r="A3" s="38"/>
      <c r="B3" s="38"/>
      <c r="C3" s="38"/>
      <c r="D3" s="38"/>
      <c r="E3" s="38"/>
      <c r="F3" s="38"/>
      <c r="G3" s="38"/>
      <c r="H3" s="38"/>
      <c r="I3" s="38"/>
      <c r="J3" s="38"/>
      <c r="K3" s="38"/>
      <c r="L3" s="38"/>
      <c r="M3" s="38"/>
      <c r="N3" s="38"/>
      <c r="O3" s="38"/>
      <c r="P3" s="38"/>
      <c r="Q3" s="38"/>
    </row>
    <row r="4" spans="1:17" ht="23.15" customHeight="1">
      <c r="A4" s="38"/>
      <c r="B4" s="38"/>
      <c r="C4" s="909" t="s">
        <v>1709</v>
      </c>
      <c r="D4" s="909"/>
      <c r="E4" s="909"/>
      <c r="F4" s="38"/>
      <c r="G4" s="38"/>
      <c r="H4" s="38"/>
      <c r="I4" s="38"/>
      <c r="J4" s="38"/>
      <c r="K4" s="38"/>
      <c r="L4" s="38"/>
      <c r="M4" s="38"/>
      <c r="N4" s="38"/>
      <c r="O4" s="38"/>
      <c r="P4" s="38"/>
      <c r="Q4" s="38"/>
    </row>
    <row r="5" spans="1:17" ht="23.15" customHeight="1">
      <c r="A5" s="38"/>
      <c r="B5" s="38"/>
      <c r="C5" s="909" t="s">
        <v>1710</v>
      </c>
      <c r="D5" s="909"/>
      <c r="E5" s="909"/>
      <c r="F5" s="38"/>
      <c r="G5" s="38"/>
      <c r="H5" s="38"/>
      <c r="I5" s="38"/>
      <c r="J5" s="38"/>
      <c r="K5" s="38"/>
      <c r="L5" s="38"/>
      <c r="M5" s="38"/>
      <c r="N5" s="38"/>
      <c r="O5" s="38"/>
      <c r="P5" s="38"/>
      <c r="Q5" s="38"/>
    </row>
    <row r="6" spans="1:17" ht="5.25" customHeight="1">
      <c r="A6" s="38"/>
      <c r="B6" s="38"/>
      <c r="C6" s="38"/>
      <c r="D6" s="38"/>
      <c r="E6" s="38"/>
      <c r="F6" s="38"/>
      <c r="G6" s="38"/>
      <c r="H6" s="38"/>
      <c r="I6" s="38"/>
      <c r="J6" s="38"/>
      <c r="K6" s="38"/>
      <c r="L6" s="38"/>
      <c r="M6" s="38"/>
      <c r="N6" s="38"/>
      <c r="O6" s="38"/>
      <c r="P6" s="38"/>
      <c r="Q6" s="38"/>
    </row>
    <row r="7" spans="1:17" ht="20.25" customHeight="1">
      <c r="A7" s="38"/>
      <c r="B7" s="37" t="s">
        <v>2453</v>
      </c>
      <c r="C7" s="68"/>
      <c r="D7" s="68"/>
      <c r="E7" s="38"/>
      <c r="F7" s="860" t="e">
        <f>VLOOKUP(①基本情報!$Q$5,補助金用基本データ!$B$5:$S$179,13,0)</f>
        <v>#N/A</v>
      </c>
      <c r="G7" s="860"/>
      <c r="H7" s="860"/>
      <c r="I7" s="38"/>
      <c r="J7" s="38"/>
      <c r="K7" s="38"/>
      <c r="L7" s="38"/>
      <c r="M7" s="38"/>
      <c r="N7" s="38"/>
      <c r="O7" s="38"/>
      <c r="P7" s="38"/>
      <c r="Q7" s="38"/>
    </row>
    <row r="8" spans="1:17" ht="12.75" customHeight="1">
      <c r="A8" s="38"/>
      <c r="B8" s="38"/>
      <c r="C8" s="38"/>
      <c r="D8" s="38"/>
      <c r="E8" s="38"/>
      <c r="F8" s="861"/>
      <c r="G8" s="861"/>
      <c r="H8" s="861"/>
      <c r="I8" s="38"/>
      <c r="J8" s="38"/>
      <c r="K8" s="38"/>
      <c r="L8" s="38"/>
      <c r="M8" s="38"/>
      <c r="N8" s="38"/>
      <c r="O8" s="38"/>
      <c r="P8" s="38"/>
      <c r="Q8" s="38"/>
    </row>
    <row r="9" spans="1:17" ht="29.25" customHeight="1">
      <c r="A9" s="38"/>
      <c r="B9" s="38"/>
      <c r="C9" s="38"/>
      <c r="D9" s="38"/>
      <c r="E9" s="37" t="s">
        <v>1711</v>
      </c>
      <c r="F9" s="861"/>
      <c r="G9" s="861"/>
      <c r="H9" s="861"/>
      <c r="I9" s="38"/>
      <c r="J9" s="38"/>
      <c r="K9" s="38"/>
      <c r="L9" s="38"/>
      <c r="Q9" s="38"/>
    </row>
    <row r="10" spans="1:17" ht="18" customHeight="1">
      <c r="A10" s="38"/>
      <c r="B10" s="38"/>
      <c r="C10" s="38"/>
      <c r="D10" s="38"/>
      <c r="E10" s="37" t="s">
        <v>1712</v>
      </c>
      <c r="F10" s="910" t="e">
        <f>VLOOKUP(①基本情報!$Q$5,補助金用基本データ!$B$5:$S$179,12,0)</f>
        <v>#N/A</v>
      </c>
      <c r="G10" s="910"/>
      <c r="H10" s="910"/>
      <c r="I10" s="38"/>
      <c r="J10" s="38"/>
      <c r="K10" s="38"/>
      <c r="L10" s="38"/>
      <c r="Q10" s="38"/>
    </row>
    <row r="11" spans="1:17" ht="18" customHeight="1">
      <c r="A11" s="38"/>
      <c r="B11" s="38"/>
      <c r="C11" s="38"/>
      <c r="D11" s="38"/>
      <c r="E11" s="37" t="s">
        <v>1713</v>
      </c>
      <c r="F11" s="910" t="e">
        <f>VLOOKUP(①基本情報!$Q$5,補助金用基本データ!$B$5:$S$179,14,0)&amp;"　"&amp;VLOOKUP(①基本情報!$Q$5,補助金用基本データ!$B$5:$S$179,15,0)</f>
        <v>#N/A</v>
      </c>
      <c r="G11" s="910"/>
      <c r="H11" s="910"/>
      <c r="I11" s="908"/>
      <c r="J11" s="908"/>
      <c r="K11" s="908"/>
      <c r="L11" s="908"/>
      <c r="Q11" s="38"/>
    </row>
    <row r="12" spans="1:17" ht="18" customHeight="1">
      <c r="A12" s="38"/>
      <c r="B12" s="38"/>
      <c r="C12" s="38"/>
      <c r="D12" s="38"/>
      <c r="E12" s="598" t="s">
        <v>1714</v>
      </c>
      <c r="F12" s="910" t="e">
        <f>VLOOKUP(①基本情報!$Q$5,補助金用基本データ!$B$5:$S$179,2,0)</f>
        <v>#N/A</v>
      </c>
      <c r="G12" s="910"/>
      <c r="H12" s="910"/>
      <c r="J12" s="38" t="s">
        <v>1715</v>
      </c>
      <c r="K12" s="38"/>
      <c r="L12" s="38" t="s">
        <v>1341</v>
      </c>
      <c r="Q12" s="38"/>
    </row>
    <row r="13" spans="1:17" ht="18" customHeight="1">
      <c r="A13" s="38"/>
      <c r="B13" s="38"/>
      <c r="C13" s="38"/>
      <c r="D13" s="38"/>
      <c r="E13" s="598" t="s">
        <v>2454</v>
      </c>
      <c r="F13" s="910">
        <f>①基本情報!M4</f>
        <v>0</v>
      </c>
      <c r="G13" s="910"/>
      <c r="H13" s="597"/>
      <c r="J13" s="38"/>
      <c r="K13" s="38"/>
      <c r="L13" s="38"/>
      <c r="Q13" s="38"/>
    </row>
    <row r="14" spans="1:17" ht="4.5" customHeight="1">
      <c r="A14" s="38"/>
      <c r="B14" s="38"/>
      <c r="C14" s="38"/>
      <c r="D14" s="38"/>
      <c r="E14" s="38"/>
      <c r="F14" s="38"/>
      <c r="G14" s="38"/>
      <c r="H14" s="38"/>
      <c r="I14" s="38"/>
      <c r="J14" s="38"/>
      <c r="K14" s="38"/>
      <c r="L14" s="38"/>
      <c r="M14" s="38"/>
      <c r="N14" s="38"/>
      <c r="O14" s="38"/>
      <c r="P14" s="38"/>
      <c r="Q14" s="38"/>
    </row>
    <row r="15" spans="1:17" ht="18" customHeight="1">
      <c r="B15" s="911" t="e">
        <f>CONCATENATE("　　",I15,"付け千葉市指令こ幼運第",I16,"により交付決定のあった千葉市施設型給付対象施設保育士等配置基準改善事業補助金について、次のとおり補助金の交付決定額を変更されたく、千葉市施設型給付対象施設運営事業補助金交付要綱第９条第１項の規定に基づき申請します。")</f>
        <v>#N/A</v>
      </c>
      <c r="C15" s="911"/>
      <c r="D15" s="911"/>
      <c r="E15" s="911"/>
      <c r="F15" s="911"/>
      <c r="G15" s="911"/>
      <c r="H15" s="911"/>
      <c r="I15" s="38" t="e">
        <f>VLOOKUP(①基本情報!Q5,個別データ!$C$5:$GN$179,34,0)</f>
        <v>#N/A</v>
      </c>
      <c r="J15" s="38"/>
      <c r="K15" s="38"/>
      <c r="L15" s="38"/>
      <c r="M15" s="38"/>
      <c r="N15" s="38"/>
      <c r="O15" s="38"/>
      <c r="P15" s="38"/>
      <c r="Q15" s="38"/>
    </row>
    <row r="16" spans="1:17" ht="18" customHeight="1">
      <c r="B16" s="911"/>
      <c r="C16" s="911"/>
      <c r="D16" s="911"/>
      <c r="E16" s="911"/>
      <c r="F16" s="911"/>
      <c r="G16" s="911"/>
      <c r="H16" s="911"/>
      <c r="I16" s="38" t="e">
        <f>VLOOKUP(①基本情報!Q5,個別データ!$C$5:$GN$179,37,0)</f>
        <v>#N/A</v>
      </c>
      <c r="J16" s="38"/>
      <c r="K16" s="38"/>
      <c r="L16" s="38"/>
      <c r="M16" s="38"/>
      <c r="N16" s="38"/>
      <c r="O16" s="38"/>
      <c r="P16" s="38"/>
      <c r="Q16" s="38"/>
    </row>
    <row r="17" spans="1:17" ht="7.5" customHeight="1">
      <c r="A17" s="38"/>
      <c r="B17" s="911"/>
      <c r="C17" s="911"/>
      <c r="D17" s="911"/>
      <c r="E17" s="911"/>
      <c r="F17" s="911"/>
      <c r="G17" s="911"/>
      <c r="H17" s="911"/>
      <c r="I17" s="38"/>
      <c r="J17" s="38"/>
      <c r="K17" s="38"/>
      <c r="L17" s="38"/>
      <c r="M17" s="38"/>
      <c r="N17" s="38"/>
      <c r="O17" s="38"/>
      <c r="P17" s="38"/>
      <c r="Q17" s="38"/>
    </row>
    <row r="18" spans="1:17" ht="7.5" customHeight="1">
      <c r="A18" s="38"/>
      <c r="B18" s="38"/>
      <c r="C18" s="38"/>
      <c r="D18" s="38"/>
      <c r="E18" s="38"/>
      <c r="F18" s="38"/>
      <c r="G18" s="38"/>
      <c r="H18" s="38"/>
      <c r="I18" s="38"/>
      <c r="J18" s="38"/>
      <c r="K18" s="38"/>
      <c r="L18" s="38"/>
      <c r="M18" s="38"/>
      <c r="N18" s="38"/>
      <c r="O18" s="38"/>
      <c r="P18" s="38"/>
      <c r="Q18" s="38"/>
    </row>
    <row r="19" spans="1:17" ht="27.75" customHeight="1">
      <c r="A19" s="38" t="s">
        <v>1716</v>
      </c>
      <c r="B19" s="38"/>
      <c r="C19" s="38"/>
      <c r="D19" s="38"/>
      <c r="E19" s="226" t="e">
        <f>C39</f>
        <v>#N/A</v>
      </c>
      <c r="F19" s="38"/>
      <c r="G19" s="209" t="s">
        <v>310</v>
      </c>
      <c r="H19" s="209"/>
      <c r="I19" s="38"/>
      <c r="J19" s="871"/>
      <c r="K19" s="871"/>
      <c r="L19" s="871"/>
      <c r="M19" s="871"/>
      <c r="O19" s="38"/>
      <c r="P19" s="38"/>
      <c r="Q19" s="38"/>
    </row>
    <row r="20" spans="1:17" ht="15" customHeight="1" thickBot="1">
      <c r="A20" s="38"/>
      <c r="B20" s="38"/>
      <c r="C20" s="38"/>
      <c r="D20" s="38"/>
      <c r="E20" s="38"/>
      <c r="F20" s="38"/>
      <c r="G20" s="38"/>
      <c r="H20" s="38"/>
      <c r="I20" s="38"/>
      <c r="J20" s="38"/>
      <c r="K20" s="38"/>
      <c r="L20" s="38"/>
      <c r="M20" s="38"/>
      <c r="N20" s="38"/>
      <c r="O20" s="38"/>
      <c r="P20" s="38"/>
      <c r="Q20" s="38"/>
    </row>
    <row r="21" spans="1:17" ht="23.25" customHeight="1">
      <c r="A21" s="38"/>
      <c r="B21" s="384" t="s">
        <v>311</v>
      </c>
      <c r="C21" s="902" t="s">
        <v>1717</v>
      </c>
      <c r="D21" s="912"/>
      <c r="E21" s="902" t="s">
        <v>1718</v>
      </c>
      <c r="F21" s="912"/>
      <c r="G21" s="913" t="s">
        <v>1719</v>
      </c>
      <c r="H21" s="914"/>
      <c r="I21" s="38"/>
      <c r="J21" s="38"/>
      <c r="K21" s="38"/>
      <c r="L21" s="38"/>
      <c r="M21" s="38"/>
      <c r="N21" s="38"/>
      <c r="O21" s="38"/>
      <c r="P21" s="38"/>
      <c r="Q21" s="38"/>
    </row>
    <row r="22" spans="1:17" ht="23.25" customHeight="1">
      <c r="A22" s="38"/>
      <c r="B22" s="917" t="s">
        <v>1754</v>
      </c>
      <c r="C22" s="385"/>
      <c r="D22" s="386"/>
      <c r="E22" s="454" t="e">
        <f>VLOOKUP(①基本情報!Q5,個別データ!$C$5:$GN$179,34,0)</f>
        <v>#N/A</v>
      </c>
      <c r="F22" s="387"/>
      <c r="G22" s="388"/>
      <c r="H22" s="389"/>
      <c r="I22" s="38"/>
      <c r="J22" s="38"/>
      <c r="K22" s="38"/>
      <c r="L22" s="38"/>
      <c r="M22" s="38"/>
      <c r="N22" s="38"/>
      <c r="O22" s="38"/>
      <c r="P22" s="38"/>
      <c r="Q22" s="38"/>
    </row>
    <row r="23" spans="1:17" ht="23.25" customHeight="1">
      <c r="A23" s="38"/>
      <c r="B23" s="919"/>
      <c r="C23" s="390">
        <f>⑤基本加算１!K30</f>
        <v>0</v>
      </c>
      <c r="D23" s="391" t="s">
        <v>312</v>
      </c>
      <c r="E23" s="455" t="e">
        <f>VLOOKUP(①基本情報!Q5,個別データ!$C$5:$GN$179,13,0)</f>
        <v>#N/A</v>
      </c>
      <c r="F23" s="391" t="s">
        <v>312</v>
      </c>
      <c r="G23" s="392" t="e">
        <f>C23-E23</f>
        <v>#N/A</v>
      </c>
      <c r="H23" s="393" t="s">
        <v>312</v>
      </c>
      <c r="I23" s="38"/>
      <c r="J23" s="38"/>
      <c r="K23" s="38"/>
      <c r="L23" s="38"/>
      <c r="M23" s="38"/>
      <c r="N23" s="38"/>
      <c r="O23" s="38"/>
      <c r="P23" s="38"/>
      <c r="Q23" s="38"/>
    </row>
    <row r="24" spans="1:17" ht="23.25" customHeight="1">
      <c r="A24" s="38"/>
      <c r="B24" s="917" t="s">
        <v>1755</v>
      </c>
      <c r="C24" s="394"/>
      <c r="D24" s="386"/>
      <c r="E24" s="454" t="e">
        <f>E22</f>
        <v>#N/A</v>
      </c>
      <c r="F24" s="387"/>
      <c r="G24" s="385"/>
      <c r="H24" s="395"/>
      <c r="I24" s="38"/>
      <c r="J24" s="38"/>
      <c r="K24" s="38"/>
      <c r="L24" s="38"/>
      <c r="M24" s="38"/>
      <c r="N24" s="38"/>
      <c r="O24" s="38"/>
      <c r="P24" s="38"/>
      <c r="Q24" s="38"/>
    </row>
    <row r="25" spans="1:17" ht="23.25" customHeight="1">
      <c r="A25" s="38"/>
      <c r="B25" s="919"/>
      <c r="C25" s="390">
        <f>⑥基本加算２!$J$30</f>
        <v>0</v>
      </c>
      <c r="D25" s="391" t="s">
        <v>312</v>
      </c>
      <c r="E25" s="455" t="e">
        <f>VLOOKUP(①基本情報!Q5,個別データ!$C$5:$GN$179,14,0)</f>
        <v>#N/A</v>
      </c>
      <c r="F25" s="391" t="s">
        <v>312</v>
      </c>
      <c r="G25" s="392" t="e">
        <f>C25-E25</f>
        <v>#N/A</v>
      </c>
      <c r="H25" s="393" t="s">
        <v>312</v>
      </c>
      <c r="I25" s="38"/>
      <c r="J25" s="38"/>
      <c r="K25" s="38"/>
      <c r="L25" s="38"/>
      <c r="M25" s="38"/>
      <c r="N25" s="38"/>
      <c r="O25" s="38"/>
      <c r="P25" s="38"/>
      <c r="Q25" s="38"/>
    </row>
    <row r="26" spans="1:17" ht="23.25" customHeight="1">
      <c r="A26" s="38"/>
      <c r="B26" s="917" t="s">
        <v>1756</v>
      </c>
      <c r="C26" s="394"/>
      <c r="D26" s="386"/>
      <c r="E26" s="454" t="e">
        <f>E24</f>
        <v>#N/A</v>
      </c>
      <c r="F26" s="387"/>
      <c r="G26" s="385"/>
      <c r="H26" s="395"/>
      <c r="I26" s="38"/>
      <c r="J26" s="38"/>
      <c r="K26" s="38"/>
      <c r="L26" s="38"/>
      <c r="M26" s="38"/>
      <c r="N26" s="38"/>
      <c r="O26" s="38"/>
      <c r="P26" s="38"/>
      <c r="Q26" s="38"/>
    </row>
    <row r="27" spans="1:17" ht="23.25" customHeight="1">
      <c r="A27" s="38"/>
      <c r="B27" s="919"/>
      <c r="C27" s="390">
        <f>⑦基本加算３!J30</f>
        <v>0</v>
      </c>
      <c r="D27" s="391" t="s">
        <v>312</v>
      </c>
      <c r="E27" s="455" t="e">
        <f>VLOOKUP(①基本情報!Q5,個別データ!$C$5:$GN$179,15,0)</f>
        <v>#N/A</v>
      </c>
      <c r="F27" s="391" t="s">
        <v>312</v>
      </c>
      <c r="G27" s="392" t="e">
        <f>C27-E27</f>
        <v>#N/A</v>
      </c>
      <c r="H27" s="393" t="s">
        <v>312</v>
      </c>
      <c r="I27" s="38"/>
      <c r="J27" s="38"/>
      <c r="K27" s="38"/>
      <c r="L27" s="38"/>
      <c r="M27" s="38"/>
      <c r="N27" s="38"/>
      <c r="O27" s="38"/>
      <c r="P27" s="38"/>
      <c r="Q27" s="38"/>
    </row>
    <row r="28" spans="1:17" ht="23.25" customHeight="1">
      <c r="A28" s="38"/>
      <c r="B28" s="917" t="s">
        <v>1757</v>
      </c>
      <c r="C28" s="394"/>
      <c r="D28" s="386"/>
      <c r="E28" s="454" t="e">
        <f>E26</f>
        <v>#N/A</v>
      </c>
      <c r="F28" s="387"/>
      <c r="G28" s="385"/>
      <c r="H28" s="395"/>
      <c r="I28" s="38"/>
      <c r="J28" s="38"/>
      <c r="K28" s="38"/>
      <c r="L28" s="38"/>
      <c r="M28" s="38"/>
      <c r="N28" s="38"/>
      <c r="O28" s="38"/>
      <c r="P28" s="38"/>
      <c r="Q28" s="38"/>
    </row>
    <row r="29" spans="1:17" ht="23.25" customHeight="1">
      <c r="A29" s="38"/>
      <c r="B29" s="920"/>
      <c r="C29" s="390">
        <f>⑧一般加算１!N78</f>
        <v>0</v>
      </c>
      <c r="D29" s="391" t="s">
        <v>312</v>
      </c>
      <c r="E29" s="455" t="e">
        <f>VLOOKUP(①基本情報!Q5,個別データ!$C$5:$GN$179,16,0)</f>
        <v>#N/A</v>
      </c>
      <c r="F29" s="391" t="s">
        <v>312</v>
      </c>
      <c r="G29" s="392" t="e">
        <f>C29-E29</f>
        <v>#N/A</v>
      </c>
      <c r="H29" s="393" t="s">
        <v>312</v>
      </c>
      <c r="I29" s="38"/>
      <c r="J29" s="38"/>
      <c r="K29" s="38"/>
      <c r="L29" s="38"/>
      <c r="M29" s="38"/>
      <c r="N29" s="38"/>
      <c r="O29" s="38"/>
      <c r="P29" s="38"/>
      <c r="Q29" s="38"/>
    </row>
    <row r="30" spans="1:17" ht="23.25" customHeight="1">
      <c r="A30" s="38"/>
      <c r="B30" s="917" t="s">
        <v>1758</v>
      </c>
      <c r="C30" s="394"/>
      <c r="D30" s="386"/>
      <c r="E30" s="454" t="e">
        <f>E28</f>
        <v>#N/A</v>
      </c>
      <c r="F30" s="387"/>
      <c r="G30" s="385"/>
      <c r="H30" s="395"/>
      <c r="I30" s="38"/>
      <c r="J30" s="38"/>
      <c r="K30" s="38"/>
      <c r="L30" s="38"/>
      <c r="M30" s="38"/>
      <c r="N30" s="38"/>
      <c r="O30" s="38"/>
      <c r="P30" s="38"/>
      <c r="Q30" s="38"/>
    </row>
    <row r="31" spans="1:17" ht="23.25" customHeight="1">
      <c r="A31" s="38"/>
      <c r="B31" s="920"/>
      <c r="C31" s="390">
        <f>⑨一般加算２!N78</f>
        <v>0</v>
      </c>
      <c r="D31" s="391" t="s">
        <v>312</v>
      </c>
      <c r="E31" s="455" t="e">
        <f>VLOOKUP(①基本情報!Q5,個別データ!$C$5:$GN$179,17,0)</f>
        <v>#N/A</v>
      </c>
      <c r="F31" s="391" t="s">
        <v>312</v>
      </c>
      <c r="G31" s="392" t="e">
        <f>C31-E31</f>
        <v>#N/A</v>
      </c>
      <c r="H31" s="393" t="s">
        <v>312</v>
      </c>
      <c r="I31" s="38"/>
      <c r="J31" s="38"/>
      <c r="K31" s="38"/>
      <c r="L31" s="38"/>
      <c r="M31" s="38"/>
      <c r="N31" s="38"/>
      <c r="O31" s="38"/>
      <c r="P31" s="38"/>
      <c r="Q31" s="38"/>
    </row>
    <row r="32" spans="1:17" ht="23.25" customHeight="1">
      <c r="A32" s="38"/>
      <c r="B32" s="917" t="s">
        <v>1759</v>
      </c>
      <c r="C32" s="394"/>
      <c r="D32" s="386"/>
      <c r="E32" s="454" t="e">
        <f>E30</f>
        <v>#N/A</v>
      </c>
      <c r="F32" s="387"/>
      <c r="G32" s="385"/>
      <c r="H32" s="395"/>
      <c r="I32" s="38"/>
      <c r="J32" s="38"/>
      <c r="K32" s="38"/>
      <c r="L32" s="38"/>
      <c r="M32" s="38"/>
      <c r="N32" s="38"/>
      <c r="O32" s="38"/>
      <c r="P32" s="38"/>
      <c r="Q32" s="38"/>
    </row>
    <row r="33" spans="1:17" ht="23.25" customHeight="1">
      <c r="A33" s="38"/>
      <c r="B33" s="918"/>
      <c r="C33" s="390">
        <f>⑩特定加算１!J138</f>
        <v>0</v>
      </c>
      <c r="D33" s="391" t="s">
        <v>312</v>
      </c>
      <c r="E33" s="455" t="e">
        <f>VLOOKUP(①基本情報!Q5,個別データ!$C$5:$GN$179,18,0)</f>
        <v>#N/A</v>
      </c>
      <c r="F33" s="391" t="s">
        <v>312</v>
      </c>
      <c r="G33" s="392" t="e">
        <f>C33-E33</f>
        <v>#N/A</v>
      </c>
      <c r="H33" s="393" t="s">
        <v>312</v>
      </c>
      <c r="I33" s="38"/>
      <c r="J33" s="38"/>
      <c r="K33" s="38"/>
      <c r="L33" s="38"/>
      <c r="M33" s="38"/>
      <c r="N33" s="38"/>
      <c r="O33" s="38"/>
      <c r="P33" s="38"/>
      <c r="Q33" s="38"/>
    </row>
    <row r="34" spans="1:17" ht="23.25" customHeight="1">
      <c r="A34" s="38"/>
      <c r="B34" s="917" t="s">
        <v>1760</v>
      </c>
      <c r="C34" s="394"/>
      <c r="D34" s="386"/>
      <c r="E34" s="454" t="e">
        <f>E32</f>
        <v>#N/A</v>
      </c>
      <c r="F34" s="387"/>
      <c r="G34" s="385"/>
      <c r="H34" s="395"/>
      <c r="I34" s="38"/>
      <c r="J34" s="38"/>
      <c r="K34" s="38"/>
      <c r="L34" s="38"/>
      <c r="M34" s="38"/>
      <c r="N34" s="38"/>
      <c r="O34" s="38"/>
      <c r="P34" s="38"/>
      <c r="Q34" s="38"/>
    </row>
    <row r="35" spans="1:17" ht="23.25" customHeight="1">
      <c r="A35" s="38"/>
      <c r="B35" s="918"/>
      <c r="C35" s="390">
        <f>⑪特定加算２!J66</f>
        <v>0</v>
      </c>
      <c r="D35" s="391" t="s">
        <v>312</v>
      </c>
      <c r="E35" s="455" t="e">
        <f>VLOOKUP(①基本情報!Q5,個別データ!$C$5:$GN$179,19,0)</f>
        <v>#N/A</v>
      </c>
      <c r="F35" s="391" t="s">
        <v>312</v>
      </c>
      <c r="G35" s="392" t="e">
        <f>C35-E35</f>
        <v>#N/A</v>
      </c>
      <c r="H35" s="393" t="s">
        <v>312</v>
      </c>
      <c r="I35" s="38"/>
      <c r="J35" s="38"/>
      <c r="K35" s="38"/>
      <c r="L35" s="38"/>
      <c r="M35" s="38"/>
      <c r="N35" s="38"/>
      <c r="O35" s="38"/>
      <c r="P35" s="38"/>
      <c r="Q35" s="38"/>
    </row>
    <row r="36" spans="1:17" ht="23.25" customHeight="1">
      <c r="A36" s="38"/>
      <c r="B36" s="917" t="s">
        <v>2455</v>
      </c>
      <c r="C36" s="394"/>
      <c r="D36" s="386"/>
      <c r="E36" s="454" t="e">
        <f>E34</f>
        <v>#N/A</v>
      </c>
      <c r="F36" s="387"/>
      <c r="G36" s="385"/>
      <c r="H36" s="395"/>
      <c r="I36" s="38"/>
      <c r="J36" s="38"/>
      <c r="K36" s="38"/>
      <c r="L36" s="38"/>
      <c r="M36" s="38"/>
      <c r="N36" s="38"/>
      <c r="O36" s="38"/>
      <c r="P36" s="38"/>
      <c r="Q36" s="38"/>
    </row>
    <row r="37" spans="1:17" ht="23.25" customHeight="1">
      <c r="A37" s="38"/>
      <c r="B37" s="918"/>
      <c r="C37" s="392" t="e">
        <f>⑫公定価格加算分!F21*-1</f>
        <v>#N/A</v>
      </c>
      <c r="D37" s="391" t="s">
        <v>312</v>
      </c>
      <c r="E37" s="455">
        <v>0</v>
      </c>
      <c r="F37" s="391" t="s">
        <v>312</v>
      </c>
      <c r="G37" s="392" t="e">
        <f>C37-E37</f>
        <v>#N/A</v>
      </c>
      <c r="H37" s="393" t="s">
        <v>312</v>
      </c>
      <c r="I37" s="38"/>
      <c r="J37" s="38"/>
      <c r="K37" s="38"/>
      <c r="L37" s="38"/>
      <c r="M37" s="38"/>
      <c r="N37" s="38"/>
      <c r="O37" s="38"/>
      <c r="P37" s="38"/>
      <c r="Q37" s="38"/>
    </row>
    <row r="38" spans="1:17" ht="23.25" customHeight="1">
      <c r="A38" s="38"/>
      <c r="B38" s="915" t="s">
        <v>313</v>
      </c>
      <c r="C38" s="394"/>
      <c r="D38" s="386"/>
      <c r="E38" s="454" t="e">
        <f>E34</f>
        <v>#N/A</v>
      </c>
      <c r="F38" s="387"/>
      <c r="G38" s="385"/>
      <c r="H38" s="395"/>
      <c r="I38" s="38"/>
      <c r="J38" s="38"/>
      <c r="K38" s="38"/>
      <c r="L38" s="38"/>
      <c r="M38" s="38"/>
      <c r="N38" s="38"/>
      <c r="O38" s="38"/>
      <c r="P38" s="38"/>
      <c r="Q38" s="38"/>
    </row>
    <row r="39" spans="1:17" ht="23.25" customHeight="1" thickBot="1">
      <c r="A39" s="38"/>
      <c r="B39" s="916"/>
      <c r="C39" s="396" t="e">
        <f>SUM(C22:C37)</f>
        <v>#N/A</v>
      </c>
      <c r="D39" s="397" t="s">
        <v>312</v>
      </c>
      <c r="E39" s="456" t="e">
        <f>SUM(E23,E25,E27,E29,E33,E31,E35,E37)</f>
        <v>#N/A</v>
      </c>
      <c r="F39" s="68" t="s">
        <v>312</v>
      </c>
      <c r="G39" s="398" t="e">
        <f>C39-E39</f>
        <v>#N/A</v>
      </c>
      <c r="H39" s="399" t="s">
        <v>312</v>
      </c>
      <c r="I39" s="38"/>
      <c r="J39" s="38"/>
      <c r="K39" s="38"/>
      <c r="L39" s="38"/>
      <c r="M39" s="38"/>
      <c r="N39" s="38"/>
      <c r="O39" s="38"/>
      <c r="P39" s="38"/>
      <c r="Q39" s="38"/>
    </row>
    <row r="40" spans="1:17" ht="13.5" customHeight="1">
      <c r="B40" s="187" t="s">
        <v>1720</v>
      </c>
      <c r="C40" s="187" t="s">
        <v>1721</v>
      </c>
      <c r="F40" s="400"/>
    </row>
    <row r="41" spans="1:17" ht="13.5" customHeight="1">
      <c r="B41" s="187" t="s">
        <v>1722</v>
      </c>
      <c r="C41" s="187" t="s">
        <v>1774</v>
      </c>
    </row>
    <row r="42" spans="1:17" ht="13.5" customHeight="1">
      <c r="B42" s="187" t="s">
        <v>1723</v>
      </c>
      <c r="C42" s="187" t="s">
        <v>1724</v>
      </c>
    </row>
    <row r="43" spans="1:17" ht="13.5" customHeight="1">
      <c r="C43" s="187" t="s">
        <v>1725</v>
      </c>
    </row>
    <row r="44" spans="1:17" ht="13.5" customHeight="1">
      <c r="C44" s="187" t="s">
        <v>1726</v>
      </c>
    </row>
    <row r="45" spans="1:17" ht="13.5" customHeight="1">
      <c r="C45" s="187" t="s">
        <v>1727</v>
      </c>
    </row>
    <row r="46" spans="1:17" ht="18" customHeight="1"/>
  </sheetData>
  <sheetProtection algorithmName="SHA-512" hashValue="Ligzz6kECWUBPAnUpuvnPS/tRKVvNqjdUoNPKOjrR04kIOzsgQedtpzSuPTfgo7YO79Sg2kpQAVcs7Oj+cX3RA==" saltValue="bhNOv/2brZCu90KpTanYew==" spinCount="100000" sheet="1" selectLockedCells="1"/>
  <mergeCells count="22">
    <mergeCell ref="B38:B39"/>
    <mergeCell ref="B34:B35"/>
    <mergeCell ref="B22:B23"/>
    <mergeCell ref="B24:B25"/>
    <mergeCell ref="B26:B27"/>
    <mergeCell ref="B28:B29"/>
    <mergeCell ref="B30:B31"/>
    <mergeCell ref="B32:B33"/>
    <mergeCell ref="B36:B37"/>
    <mergeCell ref="F12:H12"/>
    <mergeCell ref="B15:H17"/>
    <mergeCell ref="J19:M19"/>
    <mergeCell ref="C21:D21"/>
    <mergeCell ref="E21:F21"/>
    <mergeCell ref="G21:H21"/>
    <mergeCell ref="F13:G13"/>
    <mergeCell ref="I11:L11"/>
    <mergeCell ref="C4:E4"/>
    <mergeCell ref="C5:E5"/>
    <mergeCell ref="F7:H9"/>
    <mergeCell ref="F10:H10"/>
    <mergeCell ref="F11:H11"/>
  </mergeCells>
  <phoneticPr fontId="1"/>
  <dataValidations disablePrompts="1" count="1">
    <dataValidation type="date" operator="notEqual" allowBlank="1" showInputMessage="1" showErrorMessage="1" sqref="G2" xr:uid="{5111B56B-C361-482F-B20D-321FC78F0D26}">
      <formula1>92</formula1>
    </dataValidation>
  </dataValidations>
  <pageMargins left="0.78740157480314965" right="0.51181102362204722" top="0.98425196850393704" bottom="0.98425196850393704" header="0.51181102362204722" footer="0.51181102362204722"/>
  <pageSetup paperSize="9" scale="80" orientation="portrait" blackAndWhite="1"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7B5AA-67B9-4E15-B825-9CF84C694DB5}">
  <sheetPr>
    <tabColor rgb="FF7030A0"/>
  </sheetPr>
  <dimension ref="A1:H42"/>
  <sheetViews>
    <sheetView showGridLines="0" view="pageBreakPreview" zoomScaleNormal="100" zoomScaleSheetLayoutView="100" workbookViewId="0">
      <selection activeCell="F7" sqref="F7:H9"/>
    </sheetView>
  </sheetViews>
  <sheetFormatPr defaultRowHeight="13"/>
  <cols>
    <col min="1" max="1" width="1.08203125" style="187" customWidth="1"/>
    <col min="2" max="2" width="16.75" style="187" customWidth="1"/>
    <col min="3" max="3" width="18.75" style="187" customWidth="1"/>
    <col min="4" max="4" width="3" style="187" customWidth="1"/>
    <col min="5" max="5" width="20.33203125" style="187" customWidth="1"/>
    <col min="6" max="6" width="3.33203125" style="187" customWidth="1"/>
    <col min="7" max="7" width="19.08203125" style="187" customWidth="1"/>
    <col min="8" max="8" width="3.33203125" style="187" customWidth="1"/>
    <col min="9" max="16384" width="8.6640625" style="187"/>
  </cols>
  <sheetData>
    <row r="1" spans="1:8" ht="23.15" customHeight="1">
      <c r="A1" s="38" t="s">
        <v>1728</v>
      </c>
      <c r="B1" s="38"/>
      <c r="C1" s="38" t="s">
        <v>309</v>
      </c>
      <c r="D1" s="38"/>
      <c r="E1" s="38"/>
      <c r="F1" s="38"/>
      <c r="G1" s="38"/>
      <c r="H1" s="50" t="e">
        <f>様式４!H1</f>
        <v>#N/A</v>
      </c>
    </row>
    <row r="2" spans="1:8" ht="23.15" customHeight="1">
      <c r="A2" s="38"/>
      <c r="B2" s="38"/>
      <c r="C2" s="38"/>
      <c r="D2" s="38"/>
      <c r="E2" s="38"/>
      <c r="F2" s="38"/>
      <c r="G2" s="383">
        <f>様式４!G2</f>
        <v>45747</v>
      </c>
      <c r="H2" s="38"/>
    </row>
    <row r="3" spans="1:8" ht="15" customHeight="1">
      <c r="A3" s="38"/>
      <c r="B3" s="38"/>
      <c r="C3" s="38"/>
      <c r="D3" s="38"/>
      <c r="E3" s="38"/>
      <c r="F3" s="38"/>
      <c r="G3" s="38"/>
      <c r="H3" s="38"/>
    </row>
    <row r="4" spans="1:8" ht="23.15" customHeight="1">
      <c r="A4" s="38"/>
      <c r="B4" s="38"/>
      <c r="C4" s="909" t="s">
        <v>1729</v>
      </c>
      <c r="D4" s="909"/>
      <c r="E4" s="909"/>
      <c r="F4" s="38"/>
      <c r="G4" s="38"/>
      <c r="H4" s="38"/>
    </row>
    <row r="5" spans="1:8" ht="23.15" customHeight="1">
      <c r="A5" s="38"/>
      <c r="B5" s="38"/>
      <c r="C5" s="909" t="s">
        <v>1730</v>
      </c>
      <c r="D5" s="909"/>
      <c r="E5" s="909"/>
      <c r="F5" s="38"/>
      <c r="G5" s="38"/>
      <c r="H5" s="38"/>
    </row>
    <row r="6" spans="1:8" ht="5.25" customHeight="1">
      <c r="A6" s="38"/>
      <c r="B6" s="38"/>
      <c r="C6" s="38"/>
      <c r="D6" s="38"/>
      <c r="E6" s="38"/>
      <c r="F6" s="38"/>
      <c r="G6" s="38"/>
      <c r="H6" s="38"/>
    </row>
    <row r="7" spans="1:8" ht="23.15" customHeight="1">
      <c r="A7" s="38"/>
      <c r="B7" s="37" t="s">
        <v>2453</v>
      </c>
      <c r="C7" s="68"/>
      <c r="D7" s="68"/>
      <c r="E7" s="38"/>
      <c r="F7" s="860" t="e">
        <f>IF(様式４!F7="","",様式４!F7)</f>
        <v>#N/A</v>
      </c>
      <c r="G7" s="860"/>
      <c r="H7" s="860"/>
    </row>
    <row r="8" spans="1:8" ht="5.25" customHeight="1">
      <c r="A8" s="38"/>
      <c r="B8" s="38"/>
      <c r="C8" s="38"/>
      <c r="D8" s="38"/>
      <c r="E8" s="38"/>
      <c r="F8" s="861"/>
      <c r="G8" s="861"/>
      <c r="H8" s="861"/>
    </row>
    <row r="9" spans="1:8" ht="30" customHeight="1">
      <c r="A9" s="38"/>
      <c r="B9" s="38"/>
      <c r="C9" s="38"/>
      <c r="D9" s="38"/>
      <c r="E9" s="37" t="s">
        <v>1711</v>
      </c>
      <c r="F9" s="861"/>
      <c r="G9" s="861"/>
      <c r="H9" s="861"/>
    </row>
    <row r="10" spans="1:8" ht="23.15" customHeight="1">
      <c r="A10" s="38"/>
      <c r="B10" s="38"/>
      <c r="C10" s="38"/>
      <c r="D10" s="38"/>
      <c r="E10" s="37" t="s">
        <v>1731</v>
      </c>
      <c r="F10" s="910" t="e">
        <f>IF(様式４!F10="","",様式４!F10)</f>
        <v>#N/A</v>
      </c>
      <c r="G10" s="910"/>
      <c r="H10" s="910"/>
    </row>
    <row r="11" spans="1:8" ht="23.15" customHeight="1">
      <c r="A11" s="38"/>
      <c r="B11" s="38"/>
      <c r="C11" s="38"/>
      <c r="D11" s="38"/>
      <c r="E11" s="37" t="s">
        <v>1732</v>
      </c>
      <c r="F11" s="910" t="e">
        <f>IF(様式４!F11="","",様式４!F11)</f>
        <v>#N/A</v>
      </c>
      <c r="G11" s="910"/>
      <c r="H11" s="910"/>
    </row>
    <row r="12" spans="1:8" ht="23" customHeight="1">
      <c r="A12" s="38"/>
      <c r="B12" s="38"/>
      <c r="C12" s="38"/>
      <c r="D12" s="38"/>
      <c r="E12" s="598" t="s">
        <v>1714</v>
      </c>
      <c r="F12" s="910" t="e">
        <f>IF(様式４!F12="","",様式４!F12)</f>
        <v>#N/A</v>
      </c>
      <c r="G12" s="910"/>
      <c r="H12" s="910"/>
    </row>
    <row r="13" spans="1:8" ht="23" customHeight="1">
      <c r="A13" s="38"/>
      <c r="B13" s="38"/>
      <c r="C13" s="38"/>
      <c r="D13" s="38"/>
      <c r="E13" s="598" t="s">
        <v>2456</v>
      </c>
      <c r="F13" s="910">
        <f>IF(様式４!F13="","",様式４!F13)</f>
        <v>0</v>
      </c>
      <c r="G13" s="910"/>
      <c r="H13" s="910"/>
    </row>
    <row r="14" spans="1:8" ht="6" customHeight="1">
      <c r="A14" s="38"/>
      <c r="B14" s="38"/>
      <c r="C14" s="38"/>
      <c r="D14" s="38"/>
      <c r="E14" s="38"/>
      <c r="F14" s="38"/>
      <c r="G14" s="38"/>
      <c r="H14" s="38"/>
    </row>
    <row r="15" spans="1:8" ht="13.5" customHeight="1">
      <c r="B15" s="911" t="s">
        <v>1733</v>
      </c>
      <c r="C15" s="911"/>
      <c r="D15" s="911"/>
      <c r="E15" s="911"/>
      <c r="F15" s="911"/>
      <c r="G15" s="911"/>
      <c r="H15" s="911"/>
    </row>
    <row r="16" spans="1:8" ht="23.15" customHeight="1">
      <c r="B16" s="911"/>
      <c r="C16" s="911"/>
      <c r="D16" s="911"/>
      <c r="E16" s="911"/>
      <c r="F16" s="911"/>
      <c r="G16" s="911"/>
      <c r="H16" s="911"/>
    </row>
    <row r="17" spans="1:8" ht="23.15" customHeight="1">
      <c r="A17" s="38"/>
      <c r="B17" s="911"/>
      <c r="C17" s="911"/>
      <c r="D17" s="911"/>
      <c r="E17" s="911"/>
      <c r="F17" s="911"/>
      <c r="G17" s="911"/>
      <c r="H17" s="911"/>
    </row>
    <row r="18" spans="1:8" ht="15.75" customHeight="1" thickBot="1">
      <c r="A18" s="38"/>
      <c r="B18" s="401"/>
      <c r="C18" s="401"/>
      <c r="D18" s="401"/>
      <c r="E18" s="401"/>
      <c r="F18" s="401"/>
      <c r="G18" s="401"/>
      <c r="H18" s="401"/>
    </row>
    <row r="19" spans="1:8" ht="23.15" customHeight="1">
      <c r="A19" s="38"/>
      <c r="B19" s="921" t="s">
        <v>311</v>
      </c>
      <c r="C19" s="923" t="s">
        <v>314</v>
      </c>
      <c r="D19" s="924"/>
      <c r="E19" s="923" t="s">
        <v>1734</v>
      </c>
      <c r="F19" s="924"/>
      <c r="G19" s="925" t="s">
        <v>1735</v>
      </c>
      <c r="H19" s="926"/>
    </row>
    <row r="20" spans="1:8" ht="22.5" customHeight="1">
      <c r="A20" s="38"/>
      <c r="B20" s="922"/>
      <c r="C20" s="782"/>
      <c r="D20" s="782"/>
      <c r="E20" s="782"/>
      <c r="F20" s="782"/>
      <c r="G20" s="927"/>
      <c r="H20" s="928"/>
    </row>
    <row r="21" spans="1:8" ht="33" customHeight="1">
      <c r="A21" s="38"/>
      <c r="B21" s="917" t="s">
        <v>1754</v>
      </c>
      <c r="C21" s="929">
        <f>様式４!C23</f>
        <v>0</v>
      </c>
      <c r="D21" s="386"/>
      <c r="E21" s="457" t="e">
        <f>VLOOKUP(①基本情報!Q5,個別データ!$C$5:$GN$179,35,0)&amp;"　　　　"&amp;VLOOKUP(①基本情報!Q5,個別データ!$C$5:$GN$179,36,0)</f>
        <v>#N/A</v>
      </c>
      <c r="F21" s="387"/>
      <c r="G21" s="388"/>
      <c r="H21" s="389"/>
    </row>
    <row r="22" spans="1:8" ht="27" customHeight="1">
      <c r="A22" s="38"/>
      <c r="B22" s="919"/>
      <c r="C22" s="930"/>
      <c r="D22" s="391" t="s">
        <v>312</v>
      </c>
      <c r="E22" s="392" t="e">
        <f>VLOOKUP(①基本情報!Q5,個別データ!$C$5:$GN$179,20,0)+VLOOKUP(①基本情報!Q5,個別データ!$C$5:$GN$179,27,0)</f>
        <v>#N/A</v>
      </c>
      <c r="F22" s="391" t="s">
        <v>312</v>
      </c>
      <c r="G22" s="392">
        <f>様式４!C23</f>
        <v>0</v>
      </c>
      <c r="H22" s="393" t="s">
        <v>312</v>
      </c>
    </row>
    <row r="23" spans="1:8" ht="33" customHeight="1">
      <c r="A23" s="38"/>
      <c r="B23" s="917" t="s">
        <v>1755</v>
      </c>
      <c r="C23" s="929">
        <f>様式４!C25</f>
        <v>0</v>
      </c>
      <c r="D23" s="386"/>
      <c r="E23" s="457" t="e">
        <f>E21</f>
        <v>#N/A</v>
      </c>
      <c r="F23" s="387"/>
      <c r="G23" s="385"/>
      <c r="H23" s="395"/>
    </row>
    <row r="24" spans="1:8" ht="27" customHeight="1">
      <c r="A24" s="38"/>
      <c r="B24" s="919"/>
      <c r="C24" s="930"/>
      <c r="D24" s="391" t="s">
        <v>312</v>
      </c>
      <c r="E24" s="392" t="e">
        <f>VLOOKUP(①基本情報!Q5,個別データ!$C$5:$GN$179,21,0)+VLOOKUP(①基本情報!Q5,個別データ!$C$5:$GN$179,28,0)</f>
        <v>#N/A</v>
      </c>
      <c r="F24" s="391" t="s">
        <v>312</v>
      </c>
      <c r="G24" s="392">
        <f>様式４!C25</f>
        <v>0</v>
      </c>
      <c r="H24" s="393" t="s">
        <v>312</v>
      </c>
    </row>
    <row r="25" spans="1:8" ht="33" customHeight="1">
      <c r="A25" s="38"/>
      <c r="B25" s="917" t="s">
        <v>1756</v>
      </c>
      <c r="C25" s="929">
        <f>様式４!C27</f>
        <v>0</v>
      </c>
      <c r="D25" s="386"/>
      <c r="E25" s="457" t="e">
        <f>E21</f>
        <v>#N/A</v>
      </c>
      <c r="F25" s="387"/>
      <c r="G25" s="385"/>
      <c r="H25" s="395"/>
    </row>
    <row r="26" spans="1:8" ht="27" customHeight="1">
      <c r="A26" s="38"/>
      <c r="B26" s="919"/>
      <c r="C26" s="930"/>
      <c r="D26" s="391" t="s">
        <v>312</v>
      </c>
      <c r="E26" s="392" t="e">
        <f>VLOOKUP(①基本情報!Q5,個別データ!$C$5:$GN$179,22,0)+VLOOKUP(①基本情報!Q5,個別データ!$C$5:$GN$179,29,0)</f>
        <v>#N/A</v>
      </c>
      <c r="F26" s="391" t="s">
        <v>312</v>
      </c>
      <c r="G26" s="392">
        <f>様式４!C27</f>
        <v>0</v>
      </c>
      <c r="H26" s="393" t="s">
        <v>312</v>
      </c>
    </row>
    <row r="27" spans="1:8" ht="33" customHeight="1">
      <c r="A27" s="38"/>
      <c r="B27" s="917" t="s">
        <v>1757</v>
      </c>
      <c r="C27" s="929">
        <f>様式４!C29</f>
        <v>0</v>
      </c>
      <c r="D27" s="386"/>
      <c r="E27" s="457" t="e">
        <f>E21</f>
        <v>#N/A</v>
      </c>
      <c r="F27" s="387"/>
      <c r="G27" s="385"/>
      <c r="H27" s="395"/>
    </row>
    <row r="28" spans="1:8" ht="27" customHeight="1">
      <c r="A28" s="38"/>
      <c r="B28" s="920"/>
      <c r="C28" s="930"/>
      <c r="D28" s="391" t="s">
        <v>312</v>
      </c>
      <c r="E28" s="392" t="e">
        <f>VLOOKUP(①基本情報!Q5,個別データ!$C$5:$GN$179,23,0)+VLOOKUP(①基本情報!Q5,個別データ!$C$5:$GN$179,30,0)</f>
        <v>#N/A</v>
      </c>
      <c r="F28" s="391" t="s">
        <v>312</v>
      </c>
      <c r="G28" s="392">
        <f>様式４!C29</f>
        <v>0</v>
      </c>
      <c r="H28" s="393" t="s">
        <v>312</v>
      </c>
    </row>
    <row r="29" spans="1:8" ht="33" customHeight="1">
      <c r="A29" s="38"/>
      <c r="B29" s="917" t="s">
        <v>1758</v>
      </c>
      <c r="C29" s="929">
        <f>様式４!C31</f>
        <v>0</v>
      </c>
      <c r="D29" s="386"/>
      <c r="E29" s="457" t="e">
        <f>E21</f>
        <v>#N/A</v>
      </c>
      <c r="F29" s="387"/>
      <c r="G29" s="385"/>
      <c r="H29" s="395"/>
    </row>
    <row r="30" spans="1:8" ht="27" customHeight="1">
      <c r="A30" s="38"/>
      <c r="B30" s="920"/>
      <c r="C30" s="930"/>
      <c r="D30" s="391" t="s">
        <v>312</v>
      </c>
      <c r="E30" s="392" t="e">
        <f>VLOOKUP(①基本情報!Q5,個別データ!$C$5:$GN$179,24,0)+VLOOKUP(①基本情報!Q5,個別データ!$C$5:$GN$179,31,0)</f>
        <v>#N/A</v>
      </c>
      <c r="F30" s="391" t="s">
        <v>312</v>
      </c>
      <c r="G30" s="392">
        <f>様式４!C31</f>
        <v>0</v>
      </c>
      <c r="H30" s="393" t="s">
        <v>312</v>
      </c>
    </row>
    <row r="31" spans="1:8" ht="33" customHeight="1">
      <c r="A31" s="38"/>
      <c r="B31" s="917" t="s">
        <v>1759</v>
      </c>
      <c r="C31" s="929">
        <f>様式４!C33</f>
        <v>0</v>
      </c>
      <c r="D31" s="386"/>
      <c r="E31" s="457" t="e">
        <f>E21</f>
        <v>#N/A</v>
      </c>
      <c r="F31" s="387"/>
      <c r="G31" s="385"/>
      <c r="H31" s="395"/>
    </row>
    <row r="32" spans="1:8" ht="27" customHeight="1">
      <c r="A32" s="38"/>
      <c r="B32" s="918"/>
      <c r="C32" s="930"/>
      <c r="D32" s="391" t="s">
        <v>312</v>
      </c>
      <c r="E32" s="392" t="e">
        <f>VLOOKUP(①基本情報!Q5,個別データ!$C$5:$GN$179,25,0)+VLOOKUP(①基本情報!Q5,個別データ!$C$5:$GN$179,32,0)</f>
        <v>#N/A</v>
      </c>
      <c r="F32" s="391" t="s">
        <v>312</v>
      </c>
      <c r="G32" s="392">
        <f>様式４!C33</f>
        <v>0</v>
      </c>
      <c r="H32" s="393" t="s">
        <v>312</v>
      </c>
    </row>
    <row r="33" spans="1:8" ht="33" customHeight="1">
      <c r="A33" s="38"/>
      <c r="B33" s="917" t="s">
        <v>1760</v>
      </c>
      <c r="C33" s="929">
        <f>様式４!C35</f>
        <v>0</v>
      </c>
      <c r="D33" s="386"/>
      <c r="E33" s="457" t="e">
        <f>E23</f>
        <v>#N/A</v>
      </c>
      <c r="F33" s="387"/>
      <c r="G33" s="385"/>
      <c r="H33" s="395"/>
    </row>
    <row r="34" spans="1:8" ht="27" customHeight="1">
      <c r="A34" s="38"/>
      <c r="B34" s="918"/>
      <c r="C34" s="930"/>
      <c r="D34" s="391" t="s">
        <v>312</v>
      </c>
      <c r="E34" s="392" t="e">
        <f>VLOOKUP(①基本情報!Q5,個別データ!$C$5:$GN$179,26,0)+VLOOKUP(①基本情報!Q5,個別データ!$C$5:$GN$179,33,0)</f>
        <v>#N/A</v>
      </c>
      <c r="F34" s="391" t="s">
        <v>312</v>
      </c>
      <c r="G34" s="392">
        <f>様式４!C35</f>
        <v>0</v>
      </c>
      <c r="H34" s="393" t="s">
        <v>312</v>
      </c>
    </row>
    <row r="35" spans="1:8" ht="27" customHeight="1">
      <c r="A35" s="38"/>
      <c r="B35" s="917" t="s">
        <v>2455</v>
      </c>
      <c r="C35" s="929" t="e">
        <f>様式４!C37</f>
        <v>#N/A</v>
      </c>
      <c r="D35" s="386"/>
      <c r="E35" s="457" t="e">
        <f>E25</f>
        <v>#N/A</v>
      </c>
      <c r="F35" s="387"/>
      <c r="G35" s="385"/>
      <c r="H35" s="395"/>
    </row>
    <row r="36" spans="1:8" ht="27" customHeight="1">
      <c r="A36" s="38"/>
      <c r="B36" s="918"/>
      <c r="C36" s="930"/>
      <c r="D36" s="391" t="s">
        <v>312</v>
      </c>
      <c r="E36" s="392">
        <v>0</v>
      </c>
      <c r="F36" s="391" t="s">
        <v>312</v>
      </c>
      <c r="G36" s="392" t="e">
        <f>様式４!C37</f>
        <v>#N/A</v>
      </c>
      <c r="H36" s="393" t="s">
        <v>312</v>
      </c>
    </row>
    <row r="37" spans="1:8" ht="33" customHeight="1">
      <c r="A37" s="38"/>
      <c r="B37" s="915" t="s">
        <v>313</v>
      </c>
      <c r="C37" s="929" t="e">
        <f>様式４!C39</f>
        <v>#N/A</v>
      </c>
      <c r="D37" s="386"/>
      <c r="E37" s="457" t="e">
        <f>E21</f>
        <v>#N/A</v>
      </c>
      <c r="F37" s="387"/>
      <c r="G37" s="385"/>
      <c r="H37" s="395"/>
    </row>
    <row r="38" spans="1:8" ht="27" customHeight="1" thickBot="1">
      <c r="A38" s="38"/>
      <c r="B38" s="916"/>
      <c r="C38" s="931"/>
      <c r="D38" s="397" t="s">
        <v>312</v>
      </c>
      <c r="E38" s="398" t="e">
        <f>SUM(E22,E24,E26,E28,E30,E32,E34,E36)</f>
        <v>#N/A</v>
      </c>
      <c r="F38" s="402" t="s">
        <v>312</v>
      </c>
      <c r="G38" s="398" t="e">
        <f>様式４!C39</f>
        <v>#N/A</v>
      </c>
      <c r="H38" s="399" t="s">
        <v>312</v>
      </c>
    </row>
    <row r="39" spans="1:8" ht="36" customHeight="1">
      <c r="F39" s="400"/>
    </row>
    <row r="40" spans="1:8" ht="27" customHeight="1"/>
    <row r="41" spans="1:8" ht="20.25" customHeight="1"/>
    <row r="42" spans="1:8" ht="34.5" customHeight="1"/>
  </sheetData>
  <sheetProtection algorithmName="SHA-512" hashValue="lQiFP7LIS/ePwqLMaUGGTKzUSWVZc3ny2l+MTUpCT7RbuoT9snaXfaiF9kxsFasEMj+Jip1D1be7dcPMG0iPVQ==" saltValue="vB7zKfZ2Dp3nVOPIZoacFg==" spinCount="100000" sheet="1" selectLockedCells="1"/>
  <mergeCells count="30">
    <mergeCell ref="B37:B38"/>
    <mergeCell ref="C37:C38"/>
    <mergeCell ref="B33:B34"/>
    <mergeCell ref="C33:C34"/>
    <mergeCell ref="B35:B36"/>
    <mergeCell ref="C35:C36"/>
    <mergeCell ref="B27:B28"/>
    <mergeCell ref="C27:C28"/>
    <mergeCell ref="B29:B30"/>
    <mergeCell ref="C29:C30"/>
    <mergeCell ref="B31:B32"/>
    <mergeCell ref="C31:C32"/>
    <mergeCell ref="B21:B22"/>
    <mergeCell ref="C21:C22"/>
    <mergeCell ref="B23:B24"/>
    <mergeCell ref="C23:C24"/>
    <mergeCell ref="B25:B26"/>
    <mergeCell ref="C25:C26"/>
    <mergeCell ref="F12:H12"/>
    <mergeCell ref="B15:H17"/>
    <mergeCell ref="B19:B20"/>
    <mergeCell ref="C19:D20"/>
    <mergeCell ref="E19:F20"/>
    <mergeCell ref="G19:H20"/>
    <mergeCell ref="F13:H13"/>
    <mergeCell ref="C4:E4"/>
    <mergeCell ref="C5:E5"/>
    <mergeCell ref="F7:H9"/>
    <mergeCell ref="F10:H10"/>
    <mergeCell ref="F11:H11"/>
  </mergeCells>
  <phoneticPr fontId="1"/>
  <dataValidations disablePrompts="1" count="2">
    <dataValidation type="date" operator="notEqual" allowBlank="1" showInputMessage="1" showErrorMessage="1" sqref="G2" xr:uid="{AC7FC10F-3B19-4737-B3F0-5614E9DE65F2}">
      <formula1>92</formula1>
    </dataValidation>
    <dataValidation imeMode="halfAlpha" allowBlank="1" showInputMessage="1" showErrorMessage="1" prompt="様式４の「既交付決定額」の額を入力してください。（第２期の支払いを受けていない場合は２／３の額（千円未満切り捨て））右の余白も参照してください。_x000a__x000a_" sqref="E22 E30 E28 E26 E24 E32 E34 E36" xr:uid="{621C8FEF-34D8-4E35-B97D-AC845282CA78}"/>
  </dataValidations>
  <pageMargins left="0.78740157480314965" right="0.78740157480314965" top="0.55118110236220474" bottom="0.51181102362204722" header="0.51181102362204722" footer="0.51181102362204722"/>
  <pageSetup paperSize="9" scale="80" orientation="portrait" blackAndWhite="1"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F8199-B380-4747-8904-2A30E24136F6}">
  <sheetPr>
    <tabColor rgb="FF7030A0"/>
  </sheetPr>
  <dimension ref="A1:Q57"/>
  <sheetViews>
    <sheetView showGridLines="0" view="pageBreakPreview" zoomScaleNormal="100" zoomScaleSheetLayoutView="100" workbookViewId="0">
      <selection activeCell="F7" sqref="F7:H9"/>
    </sheetView>
  </sheetViews>
  <sheetFormatPr defaultRowHeight="13"/>
  <cols>
    <col min="1" max="1" width="1.25" style="187" customWidth="1"/>
    <col min="2" max="2" width="17.25" style="187" customWidth="1"/>
    <col min="3" max="3" width="18.75" style="187" customWidth="1"/>
    <col min="4" max="4" width="3.33203125" style="187" customWidth="1"/>
    <col min="5" max="5" width="20.33203125" style="187" customWidth="1"/>
    <col min="6" max="6" width="3.33203125" style="187" customWidth="1"/>
    <col min="7" max="7" width="18.83203125" style="187" customWidth="1"/>
    <col min="8" max="8" width="3.33203125" style="187" customWidth="1"/>
    <col min="9" max="9" width="6.5" style="187" customWidth="1"/>
    <col min="10" max="11" width="4.75" style="187" customWidth="1"/>
    <col min="12" max="12" width="8" style="187" customWidth="1"/>
    <col min="13" max="13" width="10.25" style="187" customWidth="1"/>
    <col min="14" max="14" width="17.5" style="187" customWidth="1"/>
    <col min="15" max="15" width="5.83203125" style="187" customWidth="1"/>
    <col min="16" max="16" width="5.75" style="187" customWidth="1"/>
    <col min="17" max="17" width="5.58203125" style="187" customWidth="1"/>
    <col min="18" max="256" width="9" style="187"/>
    <col min="257" max="257" width="1.25" style="187" customWidth="1"/>
    <col min="258" max="258" width="17.25" style="187" customWidth="1"/>
    <col min="259" max="259" width="18.75" style="187" customWidth="1"/>
    <col min="260" max="260" width="3.33203125" style="187" customWidth="1"/>
    <col min="261" max="261" width="20.33203125" style="187" customWidth="1"/>
    <col min="262" max="262" width="3.33203125" style="187" customWidth="1"/>
    <col min="263" max="263" width="18.83203125" style="187" customWidth="1"/>
    <col min="264" max="264" width="3.33203125" style="187" customWidth="1"/>
    <col min="265" max="265" width="6.5" style="187" customWidth="1"/>
    <col min="266" max="267" width="4.75" style="187" customWidth="1"/>
    <col min="268" max="268" width="8" style="187" customWidth="1"/>
    <col min="269" max="269" width="10.25" style="187" customWidth="1"/>
    <col min="270" max="270" width="17.5" style="187" customWidth="1"/>
    <col min="271" max="271" width="5.83203125" style="187" customWidth="1"/>
    <col min="272" max="272" width="5.75" style="187" customWidth="1"/>
    <col min="273" max="273" width="5.58203125" style="187" customWidth="1"/>
    <col min="274" max="512" width="9" style="187"/>
    <col min="513" max="513" width="1.25" style="187" customWidth="1"/>
    <col min="514" max="514" width="17.25" style="187" customWidth="1"/>
    <col min="515" max="515" width="18.75" style="187" customWidth="1"/>
    <col min="516" max="516" width="3.33203125" style="187" customWidth="1"/>
    <col min="517" max="517" width="20.33203125" style="187" customWidth="1"/>
    <col min="518" max="518" width="3.33203125" style="187" customWidth="1"/>
    <col min="519" max="519" width="18.83203125" style="187" customWidth="1"/>
    <col min="520" max="520" width="3.33203125" style="187" customWidth="1"/>
    <col min="521" max="521" width="6.5" style="187" customWidth="1"/>
    <col min="522" max="523" width="4.75" style="187" customWidth="1"/>
    <col min="524" max="524" width="8" style="187" customWidth="1"/>
    <col min="525" max="525" width="10.25" style="187" customWidth="1"/>
    <col min="526" max="526" width="17.5" style="187" customWidth="1"/>
    <col min="527" max="527" width="5.83203125" style="187" customWidth="1"/>
    <col min="528" max="528" width="5.75" style="187" customWidth="1"/>
    <col min="529" max="529" width="5.58203125" style="187" customWidth="1"/>
    <col min="530" max="768" width="9" style="187"/>
    <col min="769" max="769" width="1.25" style="187" customWidth="1"/>
    <col min="770" max="770" width="17.25" style="187" customWidth="1"/>
    <col min="771" max="771" width="18.75" style="187" customWidth="1"/>
    <col min="772" max="772" width="3.33203125" style="187" customWidth="1"/>
    <col min="773" max="773" width="20.33203125" style="187" customWidth="1"/>
    <col min="774" max="774" width="3.33203125" style="187" customWidth="1"/>
    <col min="775" max="775" width="18.83203125" style="187" customWidth="1"/>
    <col min="776" max="776" width="3.33203125" style="187" customWidth="1"/>
    <col min="777" max="777" width="6.5" style="187" customWidth="1"/>
    <col min="778" max="779" width="4.75" style="187" customWidth="1"/>
    <col min="780" max="780" width="8" style="187" customWidth="1"/>
    <col min="781" max="781" width="10.25" style="187" customWidth="1"/>
    <col min="782" max="782" width="17.5" style="187" customWidth="1"/>
    <col min="783" max="783" width="5.83203125" style="187" customWidth="1"/>
    <col min="784" max="784" width="5.75" style="187" customWidth="1"/>
    <col min="785" max="785" width="5.58203125" style="187" customWidth="1"/>
    <col min="786" max="1024" width="9" style="187"/>
    <col min="1025" max="1025" width="1.25" style="187" customWidth="1"/>
    <col min="1026" max="1026" width="17.25" style="187" customWidth="1"/>
    <col min="1027" max="1027" width="18.75" style="187" customWidth="1"/>
    <col min="1028" max="1028" width="3.33203125" style="187" customWidth="1"/>
    <col min="1029" max="1029" width="20.33203125" style="187" customWidth="1"/>
    <col min="1030" max="1030" width="3.33203125" style="187" customWidth="1"/>
    <col min="1031" max="1031" width="18.83203125" style="187" customWidth="1"/>
    <col min="1032" max="1032" width="3.33203125" style="187" customWidth="1"/>
    <col min="1033" max="1033" width="6.5" style="187" customWidth="1"/>
    <col min="1034" max="1035" width="4.75" style="187" customWidth="1"/>
    <col min="1036" max="1036" width="8" style="187" customWidth="1"/>
    <col min="1037" max="1037" width="10.25" style="187" customWidth="1"/>
    <col min="1038" max="1038" width="17.5" style="187" customWidth="1"/>
    <col min="1039" max="1039" width="5.83203125" style="187" customWidth="1"/>
    <col min="1040" max="1040" width="5.75" style="187" customWidth="1"/>
    <col min="1041" max="1041" width="5.58203125" style="187" customWidth="1"/>
    <col min="1042" max="1280" width="9" style="187"/>
    <col min="1281" max="1281" width="1.25" style="187" customWidth="1"/>
    <col min="1282" max="1282" width="17.25" style="187" customWidth="1"/>
    <col min="1283" max="1283" width="18.75" style="187" customWidth="1"/>
    <col min="1284" max="1284" width="3.33203125" style="187" customWidth="1"/>
    <col min="1285" max="1285" width="20.33203125" style="187" customWidth="1"/>
    <col min="1286" max="1286" width="3.33203125" style="187" customWidth="1"/>
    <col min="1287" max="1287" width="18.83203125" style="187" customWidth="1"/>
    <col min="1288" max="1288" width="3.33203125" style="187" customWidth="1"/>
    <col min="1289" max="1289" width="6.5" style="187" customWidth="1"/>
    <col min="1290" max="1291" width="4.75" style="187" customWidth="1"/>
    <col min="1292" max="1292" width="8" style="187" customWidth="1"/>
    <col min="1293" max="1293" width="10.25" style="187" customWidth="1"/>
    <col min="1294" max="1294" width="17.5" style="187" customWidth="1"/>
    <col min="1295" max="1295" width="5.83203125" style="187" customWidth="1"/>
    <col min="1296" max="1296" width="5.75" style="187" customWidth="1"/>
    <col min="1297" max="1297" width="5.58203125" style="187" customWidth="1"/>
    <col min="1298" max="1536" width="9" style="187"/>
    <col min="1537" max="1537" width="1.25" style="187" customWidth="1"/>
    <col min="1538" max="1538" width="17.25" style="187" customWidth="1"/>
    <col min="1539" max="1539" width="18.75" style="187" customWidth="1"/>
    <col min="1540" max="1540" width="3.33203125" style="187" customWidth="1"/>
    <col min="1541" max="1541" width="20.33203125" style="187" customWidth="1"/>
    <col min="1542" max="1542" width="3.33203125" style="187" customWidth="1"/>
    <col min="1543" max="1543" width="18.83203125" style="187" customWidth="1"/>
    <col min="1544" max="1544" width="3.33203125" style="187" customWidth="1"/>
    <col min="1545" max="1545" width="6.5" style="187" customWidth="1"/>
    <col min="1546" max="1547" width="4.75" style="187" customWidth="1"/>
    <col min="1548" max="1548" width="8" style="187" customWidth="1"/>
    <col min="1549" max="1549" width="10.25" style="187" customWidth="1"/>
    <col min="1550" max="1550" width="17.5" style="187" customWidth="1"/>
    <col min="1551" max="1551" width="5.83203125" style="187" customWidth="1"/>
    <col min="1552" max="1552" width="5.75" style="187" customWidth="1"/>
    <col min="1553" max="1553" width="5.58203125" style="187" customWidth="1"/>
    <col min="1554" max="1792" width="9" style="187"/>
    <col min="1793" max="1793" width="1.25" style="187" customWidth="1"/>
    <col min="1794" max="1794" width="17.25" style="187" customWidth="1"/>
    <col min="1795" max="1795" width="18.75" style="187" customWidth="1"/>
    <col min="1796" max="1796" width="3.33203125" style="187" customWidth="1"/>
    <col min="1797" max="1797" width="20.33203125" style="187" customWidth="1"/>
    <col min="1798" max="1798" width="3.33203125" style="187" customWidth="1"/>
    <col min="1799" max="1799" width="18.83203125" style="187" customWidth="1"/>
    <col min="1800" max="1800" width="3.33203125" style="187" customWidth="1"/>
    <col min="1801" max="1801" width="6.5" style="187" customWidth="1"/>
    <col min="1802" max="1803" width="4.75" style="187" customWidth="1"/>
    <col min="1804" max="1804" width="8" style="187" customWidth="1"/>
    <col min="1805" max="1805" width="10.25" style="187" customWidth="1"/>
    <col min="1806" max="1806" width="17.5" style="187" customWidth="1"/>
    <col min="1807" max="1807" width="5.83203125" style="187" customWidth="1"/>
    <col min="1808" max="1808" width="5.75" style="187" customWidth="1"/>
    <col min="1809" max="1809" width="5.58203125" style="187" customWidth="1"/>
    <col min="1810" max="2048" width="9" style="187"/>
    <col min="2049" max="2049" width="1.25" style="187" customWidth="1"/>
    <col min="2050" max="2050" width="17.25" style="187" customWidth="1"/>
    <col min="2051" max="2051" width="18.75" style="187" customWidth="1"/>
    <col min="2052" max="2052" width="3.33203125" style="187" customWidth="1"/>
    <col min="2053" max="2053" width="20.33203125" style="187" customWidth="1"/>
    <col min="2054" max="2054" width="3.33203125" style="187" customWidth="1"/>
    <col min="2055" max="2055" width="18.83203125" style="187" customWidth="1"/>
    <col min="2056" max="2056" width="3.33203125" style="187" customWidth="1"/>
    <col min="2057" max="2057" width="6.5" style="187" customWidth="1"/>
    <col min="2058" max="2059" width="4.75" style="187" customWidth="1"/>
    <col min="2060" max="2060" width="8" style="187" customWidth="1"/>
    <col min="2061" max="2061" width="10.25" style="187" customWidth="1"/>
    <col min="2062" max="2062" width="17.5" style="187" customWidth="1"/>
    <col min="2063" max="2063" width="5.83203125" style="187" customWidth="1"/>
    <col min="2064" max="2064" width="5.75" style="187" customWidth="1"/>
    <col min="2065" max="2065" width="5.58203125" style="187" customWidth="1"/>
    <col min="2066" max="2304" width="9" style="187"/>
    <col min="2305" max="2305" width="1.25" style="187" customWidth="1"/>
    <col min="2306" max="2306" width="17.25" style="187" customWidth="1"/>
    <col min="2307" max="2307" width="18.75" style="187" customWidth="1"/>
    <col min="2308" max="2308" width="3.33203125" style="187" customWidth="1"/>
    <col min="2309" max="2309" width="20.33203125" style="187" customWidth="1"/>
    <col min="2310" max="2310" width="3.33203125" style="187" customWidth="1"/>
    <col min="2311" max="2311" width="18.83203125" style="187" customWidth="1"/>
    <col min="2312" max="2312" width="3.33203125" style="187" customWidth="1"/>
    <col min="2313" max="2313" width="6.5" style="187" customWidth="1"/>
    <col min="2314" max="2315" width="4.75" style="187" customWidth="1"/>
    <col min="2316" max="2316" width="8" style="187" customWidth="1"/>
    <col min="2317" max="2317" width="10.25" style="187" customWidth="1"/>
    <col min="2318" max="2318" width="17.5" style="187" customWidth="1"/>
    <col min="2319" max="2319" width="5.83203125" style="187" customWidth="1"/>
    <col min="2320" max="2320" width="5.75" style="187" customWidth="1"/>
    <col min="2321" max="2321" width="5.58203125" style="187" customWidth="1"/>
    <col min="2322" max="2560" width="9" style="187"/>
    <col min="2561" max="2561" width="1.25" style="187" customWidth="1"/>
    <col min="2562" max="2562" width="17.25" style="187" customWidth="1"/>
    <col min="2563" max="2563" width="18.75" style="187" customWidth="1"/>
    <col min="2564" max="2564" width="3.33203125" style="187" customWidth="1"/>
    <col min="2565" max="2565" width="20.33203125" style="187" customWidth="1"/>
    <col min="2566" max="2566" width="3.33203125" style="187" customWidth="1"/>
    <col min="2567" max="2567" width="18.83203125" style="187" customWidth="1"/>
    <col min="2568" max="2568" width="3.33203125" style="187" customWidth="1"/>
    <col min="2569" max="2569" width="6.5" style="187" customWidth="1"/>
    <col min="2570" max="2571" width="4.75" style="187" customWidth="1"/>
    <col min="2572" max="2572" width="8" style="187" customWidth="1"/>
    <col min="2573" max="2573" width="10.25" style="187" customWidth="1"/>
    <col min="2574" max="2574" width="17.5" style="187" customWidth="1"/>
    <col min="2575" max="2575" width="5.83203125" style="187" customWidth="1"/>
    <col min="2576" max="2576" width="5.75" style="187" customWidth="1"/>
    <col min="2577" max="2577" width="5.58203125" style="187" customWidth="1"/>
    <col min="2578" max="2816" width="9" style="187"/>
    <col min="2817" max="2817" width="1.25" style="187" customWidth="1"/>
    <col min="2818" max="2818" width="17.25" style="187" customWidth="1"/>
    <col min="2819" max="2819" width="18.75" style="187" customWidth="1"/>
    <col min="2820" max="2820" width="3.33203125" style="187" customWidth="1"/>
    <col min="2821" max="2821" width="20.33203125" style="187" customWidth="1"/>
    <col min="2822" max="2822" width="3.33203125" style="187" customWidth="1"/>
    <col min="2823" max="2823" width="18.83203125" style="187" customWidth="1"/>
    <col min="2824" max="2824" width="3.33203125" style="187" customWidth="1"/>
    <col min="2825" max="2825" width="6.5" style="187" customWidth="1"/>
    <col min="2826" max="2827" width="4.75" style="187" customWidth="1"/>
    <col min="2828" max="2828" width="8" style="187" customWidth="1"/>
    <col min="2829" max="2829" width="10.25" style="187" customWidth="1"/>
    <col min="2830" max="2830" width="17.5" style="187" customWidth="1"/>
    <col min="2831" max="2831" width="5.83203125" style="187" customWidth="1"/>
    <col min="2832" max="2832" width="5.75" style="187" customWidth="1"/>
    <col min="2833" max="2833" width="5.58203125" style="187" customWidth="1"/>
    <col min="2834" max="3072" width="9" style="187"/>
    <col min="3073" max="3073" width="1.25" style="187" customWidth="1"/>
    <col min="3074" max="3074" width="17.25" style="187" customWidth="1"/>
    <col min="3075" max="3075" width="18.75" style="187" customWidth="1"/>
    <col min="3076" max="3076" width="3.33203125" style="187" customWidth="1"/>
    <col min="3077" max="3077" width="20.33203125" style="187" customWidth="1"/>
    <col min="3078" max="3078" width="3.33203125" style="187" customWidth="1"/>
    <col min="3079" max="3079" width="18.83203125" style="187" customWidth="1"/>
    <col min="3080" max="3080" width="3.33203125" style="187" customWidth="1"/>
    <col min="3081" max="3081" width="6.5" style="187" customWidth="1"/>
    <col min="3082" max="3083" width="4.75" style="187" customWidth="1"/>
    <col min="3084" max="3084" width="8" style="187" customWidth="1"/>
    <col min="3085" max="3085" width="10.25" style="187" customWidth="1"/>
    <col min="3086" max="3086" width="17.5" style="187" customWidth="1"/>
    <col min="3087" max="3087" width="5.83203125" style="187" customWidth="1"/>
    <col min="3088" max="3088" width="5.75" style="187" customWidth="1"/>
    <col min="3089" max="3089" width="5.58203125" style="187" customWidth="1"/>
    <col min="3090" max="3328" width="9" style="187"/>
    <col min="3329" max="3329" width="1.25" style="187" customWidth="1"/>
    <col min="3330" max="3330" width="17.25" style="187" customWidth="1"/>
    <col min="3331" max="3331" width="18.75" style="187" customWidth="1"/>
    <col min="3332" max="3332" width="3.33203125" style="187" customWidth="1"/>
    <col min="3333" max="3333" width="20.33203125" style="187" customWidth="1"/>
    <col min="3334" max="3334" width="3.33203125" style="187" customWidth="1"/>
    <col min="3335" max="3335" width="18.83203125" style="187" customWidth="1"/>
    <col min="3336" max="3336" width="3.33203125" style="187" customWidth="1"/>
    <col min="3337" max="3337" width="6.5" style="187" customWidth="1"/>
    <col min="3338" max="3339" width="4.75" style="187" customWidth="1"/>
    <col min="3340" max="3340" width="8" style="187" customWidth="1"/>
    <col min="3341" max="3341" width="10.25" style="187" customWidth="1"/>
    <col min="3342" max="3342" width="17.5" style="187" customWidth="1"/>
    <col min="3343" max="3343" width="5.83203125" style="187" customWidth="1"/>
    <col min="3344" max="3344" width="5.75" style="187" customWidth="1"/>
    <col min="3345" max="3345" width="5.58203125" style="187" customWidth="1"/>
    <col min="3346" max="3584" width="9" style="187"/>
    <col min="3585" max="3585" width="1.25" style="187" customWidth="1"/>
    <col min="3586" max="3586" width="17.25" style="187" customWidth="1"/>
    <col min="3587" max="3587" width="18.75" style="187" customWidth="1"/>
    <col min="3588" max="3588" width="3.33203125" style="187" customWidth="1"/>
    <col min="3589" max="3589" width="20.33203125" style="187" customWidth="1"/>
    <col min="3590" max="3590" width="3.33203125" style="187" customWidth="1"/>
    <col min="3591" max="3591" width="18.83203125" style="187" customWidth="1"/>
    <col min="3592" max="3592" width="3.33203125" style="187" customWidth="1"/>
    <col min="3593" max="3593" width="6.5" style="187" customWidth="1"/>
    <col min="3594" max="3595" width="4.75" style="187" customWidth="1"/>
    <col min="3596" max="3596" width="8" style="187" customWidth="1"/>
    <col min="3597" max="3597" width="10.25" style="187" customWidth="1"/>
    <col min="3598" max="3598" width="17.5" style="187" customWidth="1"/>
    <col min="3599" max="3599" width="5.83203125" style="187" customWidth="1"/>
    <col min="3600" max="3600" width="5.75" style="187" customWidth="1"/>
    <col min="3601" max="3601" width="5.58203125" style="187" customWidth="1"/>
    <col min="3602" max="3840" width="9" style="187"/>
    <col min="3841" max="3841" width="1.25" style="187" customWidth="1"/>
    <col min="3842" max="3842" width="17.25" style="187" customWidth="1"/>
    <col min="3843" max="3843" width="18.75" style="187" customWidth="1"/>
    <col min="3844" max="3844" width="3.33203125" style="187" customWidth="1"/>
    <col min="3845" max="3845" width="20.33203125" style="187" customWidth="1"/>
    <col min="3846" max="3846" width="3.33203125" style="187" customWidth="1"/>
    <col min="3847" max="3847" width="18.83203125" style="187" customWidth="1"/>
    <col min="3848" max="3848" width="3.33203125" style="187" customWidth="1"/>
    <col min="3849" max="3849" width="6.5" style="187" customWidth="1"/>
    <col min="3850" max="3851" width="4.75" style="187" customWidth="1"/>
    <col min="3852" max="3852" width="8" style="187" customWidth="1"/>
    <col min="3853" max="3853" width="10.25" style="187" customWidth="1"/>
    <col min="3854" max="3854" width="17.5" style="187" customWidth="1"/>
    <col min="3855" max="3855" width="5.83203125" style="187" customWidth="1"/>
    <col min="3856" max="3856" width="5.75" style="187" customWidth="1"/>
    <col min="3857" max="3857" width="5.58203125" style="187" customWidth="1"/>
    <col min="3858" max="4096" width="9" style="187"/>
    <col min="4097" max="4097" width="1.25" style="187" customWidth="1"/>
    <col min="4098" max="4098" width="17.25" style="187" customWidth="1"/>
    <col min="4099" max="4099" width="18.75" style="187" customWidth="1"/>
    <col min="4100" max="4100" width="3.33203125" style="187" customWidth="1"/>
    <col min="4101" max="4101" width="20.33203125" style="187" customWidth="1"/>
    <col min="4102" max="4102" width="3.33203125" style="187" customWidth="1"/>
    <col min="4103" max="4103" width="18.83203125" style="187" customWidth="1"/>
    <col min="4104" max="4104" width="3.33203125" style="187" customWidth="1"/>
    <col min="4105" max="4105" width="6.5" style="187" customWidth="1"/>
    <col min="4106" max="4107" width="4.75" style="187" customWidth="1"/>
    <col min="4108" max="4108" width="8" style="187" customWidth="1"/>
    <col min="4109" max="4109" width="10.25" style="187" customWidth="1"/>
    <col min="4110" max="4110" width="17.5" style="187" customWidth="1"/>
    <col min="4111" max="4111" width="5.83203125" style="187" customWidth="1"/>
    <col min="4112" max="4112" width="5.75" style="187" customWidth="1"/>
    <col min="4113" max="4113" width="5.58203125" style="187" customWidth="1"/>
    <col min="4114" max="4352" width="9" style="187"/>
    <col min="4353" max="4353" width="1.25" style="187" customWidth="1"/>
    <col min="4354" max="4354" width="17.25" style="187" customWidth="1"/>
    <col min="4355" max="4355" width="18.75" style="187" customWidth="1"/>
    <col min="4356" max="4356" width="3.33203125" style="187" customWidth="1"/>
    <col min="4357" max="4357" width="20.33203125" style="187" customWidth="1"/>
    <col min="4358" max="4358" width="3.33203125" style="187" customWidth="1"/>
    <col min="4359" max="4359" width="18.83203125" style="187" customWidth="1"/>
    <col min="4360" max="4360" width="3.33203125" style="187" customWidth="1"/>
    <col min="4361" max="4361" width="6.5" style="187" customWidth="1"/>
    <col min="4362" max="4363" width="4.75" style="187" customWidth="1"/>
    <col min="4364" max="4364" width="8" style="187" customWidth="1"/>
    <col min="4365" max="4365" width="10.25" style="187" customWidth="1"/>
    <col min="4366" max="4366" width="17.5" style="187" customWidth="1"/>
    <col min="4367" max="4367" width="5.83203125" style="187" customWidth="1"/>
    <col min="4368" max="4368" width="5.75" style="187" customWidth="1"/>
    <col min="4369" max="4369" width="5.58203125" style="187" customWidth="1"/>
    <col min="4370" max="4608" width="9" style="187"/>
    <col min="4609" max="4609" width="1.25" style="187" customWidth="1"/>
    <col min="4610" max="4610" width="17.25" style="187" customWidth="1"/>
    <col min="4611" max="4611" width="18.75" style="187" customWidth="1"/>
    <col min="4612" max="4612" width="3.33203125" style="187" customWidth="1"/>
    <col min="4613" max="4613" width="20.33203125" style="187" customWidth="1"/>
    <col min="4614" max="4614" width="3.33203125" style="187" customWidth="1"/>
    <col min="4615" max="4615" width="18.83203125" style="187" customWidth="1"/>
    <col min="4616" max="4616" width="3.33203125" style="187" customWidth="1"/>
    <col min="4617" max="4617" width="6.5" style="187" customWidth="1"/>
    <col min="4618" max="4619" width="4.75" style="187" customWidth="1"/>
    <col min="4620" max="4620" width="8" style="187" customWidth="1"/>
    <col min="4621" max="4621" width="10.25" style="187" customWidth="1"/>
    <col min="4622" max="4622" width="17.5" style="187" customWidth="1"/>
    <col min="4623" max="4623" width="5.83203125" style="187" customWidth="1"/>
    <col min="4624" max="4624" width="5.75" style="187" customWidth="1"/>
    <col min="4625" max="4625" width="5.58203125" style="187" customWidth="1"/>
    <col min="4626" max="4864" width="9" style="187"/>
    <col min="4865" max="4865" width="1.25" style="187" customWidth="1"/>
    <col min="4866" max="4866" width="17.25" style="187" customWidth="1"/>
    <col min="4867" max="4867" width="18.75" style="187" customWidth="1"/>
    <col min="4868" max="4868" width="3.33203125" style="187" customWidth="1"/>
    <col min="4869" max="4869" width="20.33203125" style="187" customWidth="1"/>
    <col min="4870" max="4870" width="3.33203125" style="187" customWidth="1"/>
    <col min="4871" max="4871" width="18.83203125" style="187" customWidth="1"/>
    <col min="4872" max="4872" width="3.33203125" style="187" customWidth="1"/>
    <col min="4873" max="4873" width="6.5" style="187" customWidth="1"/>
    <col min="4874" max="4875" width="4.75" style="187" customWidth="1"/>
    <col min="4876" max="4876" width="8" style="187" customWidth="1"/>
    <col min="4877" max="4877" width="10.25" style="187" customWidth="1"/>
    <col min="4878" max="4878" width="17.5" style="187" customWidth="1"/>
    <col min="4879" max="4879" width="5.83203125" style="187" customWidth="1"/>
    <col min="4880" max="4880" width="5.75" style="187" customWidth="1"/>
    <col min="4881" max="4881" width="5.58203125" style="187" customWidth="1"/>
    <col min="4882" max="5120" width="9" style="187"/>
    <col min="5121" max="5121" width="1.25" style="187" customWidth="1"/>
    <col min="5122" max="5122" width="17.25" style="187" customWidth="1"/>
    <col min="5123" max="5123" width="18.75" style="187" customWidth="1"/>
    <col min="5124" max="5124" width="3.33203125" style="187" customWidth="1"/>
    <col min="5125" max="5125" width="20.33203125" style="187" customWidth="1"/>
    <col min="5126" max="5126" width="3.33203125" style="187" customWidth="1"/>
    <col min="5127" max="5127" width="18.83203125" style="187" customWidth="1"/>
    <col min="5128" max="5128" width="3.33203125" style="187" customWidth="1"/>
    <col min="5129" max="5129" width="6.5" style="187" customWidth="1"/>
    <col min="5130" max="5131" width="4.75" style="187" customWidth="1"/>
    <col min="5132" max="5132" width="8" style="187" customWidth="1"/>
    <col min="5133" max="5133" width="10.25" style="187" customWidth="1"/>
    <col min="5134" max="5134" width="17.5" style="187" customWidth="1"/>
    <col min="5135" max="5135" width="5.83203125" style="187" customWidth="1"/>
    <col min="5136" max="5136" width="5.75" style="187" customWidth="1"/>
    <col min="5137" max="5137" width="5.58203125" style="187" customWidth="1"/>
    <col min="5138" max="5376" width="9" style="187"/>
    <col min="5377" max="5377" width="1.25" style="187" customWidth="1"/>
    <col min="5378" max="5378" width="17.25" style="187" customWidth="1"/>
    <col min="5379" max="5379" width="18.75" style="187" customWidth="1"/>
    <col min="5380" max="5380" width="3.33203125" style="187" customWidth="1"/>
    <col min="5381" max="5381" width="20.33203125" style="187" customWidth="1"/>
    <col min="5382" max="5382" width="3.33203125" style="187" customWidth="1"/>
    <col min="5383" max="5383" width="18.83203125" style="187" customWidth="1"/>
    <col min="5384" max="5384" width="3.33203125" style="187" customWidth="1"/>
    <col min="5385" max="5385" width="6.5" style="187" customWidth="1"/>
    <col min="5386" max="5387" width="4.75" style="187" customWidth="1"/>
    <col min="5388" max="5388" width="8" style="187" customWidth="1"/>
    <col min="5389" max="5389" width="10.25" style="187" customWidth="1"/>
    <col min="5390" max="5390" width="17.5" style="187" customWidth="1"/>
    <col min="5391" max="5391" width="5.83203125" style="187" customWidth="1"/>
    <col min="5392" max="5392" width="5.75" style="187" customWidth="1"/>
    <col min="5393" max="5393" width="5.58203125" style="187" customWidth="1"/>
    <col min="5394" max="5632" width="9" style="187"/>
    <col min="5633" max="5633" width="1.25" style="187" customWidth="1"/>
    <col min="5634" max="5634" width="17.25" style="187" customWidth="1"/>
    <col min="5635" max="5635" width="18.75" style="187" customWidth="1"/>
    <col min="5636" max="5636" width="3.33203125" style="187" customWidth="1"/>
    <col min="5637" max="5637" width="20.33203125" style="187" customWidth="1"/>
    <col min="5638" max="5638" width="3.33203125" style="187" customWidth="1"/>
    <col min="5639" max="5639" width="18.83203125" style="187" customWidth="1"/>
    <col min="5640" max="5640" width="3.33203125" style="187" customWidth="1"/>
    <col min="5641" max="5641" width="6.5" style="187" customWidth="1"/>
    <col min="5642" max="5643" width="4.75" style="187" customWidth="1"/>
    <col min="5644" max="5644" width="8" style="187" customWidth="1"/>
    <col min="5645" max="5645" width="10.25" style="187" customWidth="1"/>
    <col min="5646" max="5646" width="17.5" style="187" customWidth="1"/>
    <col min="5647" max="5647" width="5.83203125" style="187" customWidth="1"/>
    <col min="5648" max="5648" width="5.75" style="187" customWidth="1"/>
    <col min="5649" max="5649" width="5.58203125" style="187" customWidth="1"/>
    <col min="5650" max="5888" width="9" style="187"/>
    <col min="5889" max="5889" width="1.25" style="187" customWidth="1"/>
    <col min="5890" max="5890" width="17.25" style="187" customWidth="1"/>
    <col min="5891" max="5891" width="18.75" style="187" customWidth="1"/>
    <col min="5892" max="5892" width="3.33203125" style="187" customWidth="1"/>
    <col min="5893" max="5893" width="20.33203125" style="187" customWidth="1"/>
    <col min="5894" max="5894" width="3.33203125" style="187" customWidth="1"/>
    <col min="5895" max="5895" width="18.83203125" style="187" customWidth="1"/>
    <col min="5896" max="5896" width="3.33203125" style="187" customWidth="1"/>
    <col min="5897" max="5897" width="6.5" style="187" customWidth="1"/>
    <col min="5898" max="5899" width="4.75" style="187" customWidth="1"/>
    <col min="5900" max="5900" width="8" style="187" customWidth="1"/>
    <col min="5901" max="5901" width="10.25" style="187" customWidth="1"/>
    <col min="5902" max="5902" width="17.5" style="187" customWidth="1"/>
    <col min="5903" max="5903" width="5.83203125" style="187" customWidth="1"/>
    <col min="5904" max="5904" width="5.75" style="187" customWidth="1"/>
    <col min="5905" max="5905" width="5.58203125" style="187" customWidth="1"/>
    <col min="5906" max="6144" width="9" style="187"/>
    <col min="6145" max="6145" width="1.25" style="187" customWidth="1"/>
    <col min="6146" max="6146" width="17.25" style="187" customWidth="1"/>
    <col min="6147" max="6147" width="18.75" style="187" customWidth="1"/>
    <col min="6148" max="6148" width="3.33203125" style="187" customWidth="1"/>
    <col min="6149" max="6149" width="20.33203125" style="187" customWidth="1"/>
    <col min="6150" max="6150" width="3.33203125" style="187" customWidth="1"/>
    <col min="6151" max="6151" width="18.83203125" style="187" customWidth="1"/>
    <col min="6152" max="6152" width="3.33203125" style="187" customWidth="1"/>
    <col min="6153" max="6153" width="6.5" style="187" customWidth="1"/>
    <col min="6154" max="6155" width="4.75" style="187" customWidth="1"/>
    <col min="6156" max="6156" width="8" style="187" customWidth="1"/>
    <col min="6157" max="6157" width="10.25" style="187" customWidth="1"/>
    <col min="6158" max="6158" width="17.5" style="187" customWidth="1"/>
    <col min="6159" max="6159" width="5.83203125" style="187" customWidth="1"/>
    <col min="6160" max="6160" width="5.75" style="187" customWidth="1"/>
    <col min="6161" max="6161" width="5.58203125" style="187" customWidth="1"/>
    <col min="6162" max="6400" width="9" style="187"/>
    <col min="6401" max="6401" width="1.25" style="187" customWidth="1"/>
    <col min="6402" max="6402" width="17.25" style="187" customWidth="1"/>
    <col min="6403" max="6403" width="18.75" style="187" customWidth="1"/>
    <col min="6404" max="6404" width="3.33203125" style="187" customWidth="1"/>
    <col min="6405" max="6405" width="20.33203125" style="187" customWidth="1"/>
    <col min="6406" max="6406" width="3.33203125" style="187" customWidth="1"/>
    <col min="6407" max="6407" width="18.83203125" style="187" customWidth="1"/>
    <col min="6408" max="6408" width="3.33203125" style="187" customWidth="1"/>
    <col min="6409" max="6409" width="6.5" style="187" customWidth="1"/>
    <col min="6410" max="6411" width="4.75" style="187" customWidth="1"/>
    <col min="6412" max="6412" width="8" style="187" customWidth="1"/>
    <col min="6413" max="6413" width="10.25" style="187" customWidth="1"/>
    <col min="6414" max="6414" width="17.5" style="187" customWidth="1"/>
    <col min="6415" max="6415" width="5.83203125" style="187" customWidth="1"/>
    <col min="6416" max="6416" width="5.75" style="187" customWidth="1"/>
    <col min="6417" max="6417" width="5.58203125" style="187" customWidth="1"/>
    <col min="6418" max="6656" width="9" style="187"/>
    <col min="6657" max="6657" width="1.25" style="187" customWidth="1"/>
    <col min="6658" max="6658" width="17.25" style="187" customWidth="1"/>
    <col min="6659" max="6659" width="18.75" style="187" customWidth="1"/>
    <col min="6660" max="6660" width="3.33203125" style="187" customWidth="1"/>
    <col min="6661" max="6661" width="20.33203125" style="187" customWidth="1"/>
    <col min="6662" max="6662" width="3.33203125" style="187" customWidth="1"/>
    <col min="6663" max="6663" width="18.83203125" style="187" customWidth="1"/>
    <col min="6664" max="6664" width="3.33203125" style="187" customWidth="1"/>
    <col min="6665" max="6665" width="6.5" style="187" customWidth="1"/>
    <col min="6666" max="6667" width="4.75" style="187" customWidth="1"/>
    <col min="6668" max="6668" width="8" style="187" customWidth="1"/>
    <col min="6669" max="6669" width="10.25" style="187" customWidth="1"/>
    <col min="6670" max="6670" width="17.5" style="187" customWidth="1"/>
    <col min="6671" max="6671" width="5.83203125" style="187" customWidth="1"/>
    <col min="6672" max="6672" width="5.75" style="187" customWidth="1"/>
    <col min="6673" max="6673" width="5.58203125" style="187" customWidth="1"/>
    <col min="6674" max="6912" width="9" style="187"/>
    <col min="6913" max="6913" width="1.25" style="187" customWidth="1"/>
    <col min="6914" max="6914" width="17.25" style="187" customWidth="1"/>
    <col min="6915" max="6915" width="18.75" style="187" customWidth="1"/>
    <col min="6916" max="6916" width="3.33203125" style="187" customWidth="1"/>
    <col min="6917" max="6917" width="20.33203125" style="187" customWidth="1"/>
    <col min="6918" max="6918" width="3.33203125" style="187" customWidth="1"/>
    <col min="6919" max="6919" width="18.83203125" style="187" customWidth="1"/>
    <col min="6920" max="6920" width="3.33203125" style="187" customWidth="1"/>
    <col min="6921" max="6921" width="6.5" style="187" customWidth="1"/>
    <col min="6922" max="6923" width="4.75" style="187" customWidth="1"/>
    <col min="6924" max="6924" width="8" style="187" customWidth="1"/>
    <col min="6925" max="6925" width="10.25" style="187" customWidth="1"/>
    <col min="6926" max="6926" width="17.5" style="187" customWidth="1"/>
    <col min="6927" max="6927" width="5.83203125" style="187" customWidth="1"/>
    <col min="6928" max="6928" width="5.75" style="187" customWidth="1"/>
    <col min="6929" max="6929" width="5.58203125" style="187" customWidth="1"/>
    <col min="6930" max="7168" width="9" style="187"/>
    <col min="7169" max="7169" width="1.25" style="187" customWidth="1"/>
    <col min="7170" max="7170" width="17.25" style="187" customWidth="1"/>
    <col min="7171" max="7171" width="18.75" style="187" customWidth="1"/>
    <col min="7172" max="7172" width="3.33203125" style="187" customWidth="1"/>
    <col min="7173" max="7173" width="20.33203125" style="187" customWidth="1"/>
    <col min="7174" max="7174" width="3.33203125" style="187" customWidth="1"/>
    <col min="7175" max="7175" width="18.83203125" style="187" customWidth="1"/>
    <col min="7176" max="7176" width="3.33203125" style="187" customWidth="1"/>
    <col min="7177" max="7177" width="6.5" style="187" customWidth="1"/>
    <col min="7178" max="7179" width="4.75" style="187" customWidth="1"/>
    <col min="7180" max="7180" width="8" style="187" customWidth="1"/>
    <col min="7181" max="7181" width="10.25" style="187" customWidth="1"/>
    <col min="7182" max="7182" width="17.5" style="187" customWidth="1"/>
    <col min="7183" max="7183" width="5.83203125" style="187" customWidth="1"/>
    <col min="7184" max="7184" width="5.75" style="187" customWidth="1"/>
    <col min="7185" max="7185" width="5.58203125" style="187" customWidth="1"/>
    <col min="7186" max="7424" width="9" style="187"/>
    <col min="7425" max="7425" width="1.25" style="187" customWidth="1"/>
    <col min="7426" max="7426" width="17.25" style="187" customWidth="1"/>
    <col min="7427" max="7427" width="18.75" style="187" customWidth="1"/>
    <col min="7428" max="7428" width="3.33203125" style="187" customWidth="1"/>
    <col min="7429" max="7429" width="20.33203125" style="187" customWidth="1"/>
    <col min="7430" max="7430" width="3.33203125" style="187" customWidth="1"/>
    <col min="7431" max="7431" width="18.83203125" style="187" customWidth="1"/>
    <col min="7432" max="7432" width="3.33203125" style="187" customWidth="1"/>
    <col min="7433" max="7433" width="6.5" style="187" customWidth="1"/>
    <col min="7434" max="7435" width="4.75" style="187" customWidth="1"/>
    <col min="7436" max="7436" width="8" style="187" customWidth="1"/>
    <col min="7437" max="7437" width="10.25" style="187" customWidth="1"/>
    <col min="7438" max="7438" width="17.5" style="187" customWidth="1"/>
    <col min="7439" max="7439" width="5.83203125" style="187" customWidth="1"/>
    <col min="7440" max="7440" width="5.75" style="187" customWidth="1"/>
    <col min="7441" max="7441" width="5.58203125" style="187" customWidth="1"/>
    <col min="7442" max="7680" width="9" style="187"/>
    <col min="7681" max="7681" width="1.25" style="187" customWidth="1"/>
    <col min="7682" max="7682" width="17.25" style="187" customWidth="1"/>
    <col min="7683" max="7683" width="18.75" style="187" customWidth="1"/>
    <col min="7684" max="7684" width="3.33203125" style="187" customWidth="1"/>
    <col min="7685" max="7685" width="20.33203125" style="187" customWidth="1"/>
    <col min="7686" max="7686" width="3.33203125" style="187" customWidth="1"/>
    <col min="7687" max="7687" width="18.83203125" style="187" customWidth="1"/>
    <col min="7688" max="7688" width="3.33203125" style="187" customWidth="1"/>
    <col min="7689" max="7689" width="6.5" style="187" customWidth="1"/>
    <col min="7690" max="7691" width="4.75" style="187" customWidth="1"/>
    <col min="7692" max="7692" width="8" style="187" customWidth="1"/>
    <col min="7693" max="7693" width="10.25" style="187" customWidth="1"/>
    <col min="7694" max="7694" width="17.5" style="187" customWidth="1"/>
    <col min="7695" max="7695" width="5.83203125" style="187" customWidth="1"/>
    <col min="7696" max="7696" width="5.75" style="187" customWidth="1"/>
    <col min="7697" max="7697" width="5.58203125" style="187" customWidth="1"/>
    <col min="7698" max="7936" width="9" style="187"/>
    <col min="7937" max="7937" width="1.25" style="187" customWidth="1"/>
    <col min="7938" max="7938" width="17.25" style="187" customWidth="1"/>
    <col min="7939" max="7939" width="18.75" style="187" customWidth="1"/>
    <col min="7940" max="7940" width="3.33203125" style="187" customWidth="1"/>
    <col min="7941" max="7941" width="20.33203125" style="187" customWidth="1"/>
    <col min="7942" max="7942" width="3.33203125" style="187" customWidth="1"/>
    <col min="7943" max="7943" width="18.83203125" style="187" customWidth="1"/>
    <col min="7944" max="7944" width="3.33203125" style="187" customWidth="1"/>
    <col min="7945" max="7945" width="6.5" style="187" customWidth="1"/>
    <col min="7946" max="7947" width="4.75" style="187" customWidth="1"/>
    <col min="7948" max="7948" width="8" style="187" customWidth="1"/>
    <col min="7949" max="7949" width="10.25" style="187" customWidth="1"/>
    <col min="7950" max="7950" width="17.5" style="187" customWidth="1"/>
    <col min="7951" max="7951" width="5.83203125" style="187" customWidth="1"/>
    <col min="7952" max="7952" width="5.75" style="187" customWidth="1"/>
    <col min="7953" max="7953" width="5.58203125" style="187" customWidth="1"/>
    <col min="7954" max="8192" width="9" style="187"/>
    <col min="8193" max="8193" width="1.25" style="187" customWidth="1"/>
    <col min="8194" max="8194" width="17.25" style="187" customWidth="1"/>
    <col min="8195" max="8195" width="18.75" style="187" customWidth="1"/>
    <col min="8196" max="8196" width="3.33203125" style="187" customWidth="1"/>
    <col min="8197" max="8197" width="20.33203125" style="187" customWidth="1"/>
    <col min="8198" max="8198" width="3.33203125" style="187" customWidth="1"/>
    <col min="8199" max="8199" width="18.83203125" style="187" customWidth="1"/>
    <col min="8200" max="8200" width="3.33203125" style="187" customWidth="1"/>
    <col min="8201" max="8201" width="6.5" style="187" customWidth="1"/>
    <col min="8202" max="8203" width="4.75" style="187" customWidth="1"/>
    <col min="8204" max="8204" width="8" style="187" customWidth="1"/>
    <col min="8205" max="8205" width="10.25" style="187" customWidth="1"/>
    <col min="8206" max="8206" width="17.5" style="187" customWidth="1"/>
    <col min="8207" max="8207" width="5.83203125" style="187" customWidth="1"/>
    <col min="8208" max="8208" width="5.75" style="187" customWidth="1"/>
    <col min="8209" max="8209" width="5.58203125" style="187" customWidth="1"/>
    <col min="8210" max="8448" width="9" style="187"/>
    <col min="8449" max="8449" width="1.25" style="187" customWidth="1"/>
    <col min="8450" max="8450" width="17.25" style="187" customWidth="1"/>
    <col min="8451" max="8451" width="18.75" style="187" customWidth="1"/>
    <col min="8452" max="8452" width="3.33203125" style="187" customWidth="1"/>
    <col min="8453" max="8453" width="20.33203125" style="187" customWidth="1"/>
    <col min="8454" max="8454" width="3.33203125" style="187" customWidth="1"/>
    <col min="8455" max="8455" width="18.83203125" style="187" customWidth="1"/>
    <col min="8456" max="8456" width="3.33203125" style="187" customWidth="1"/>
    <col min="8457" max="8457" width="6.5" style="187" customWidth="1"/>
    <col min="8458" max="8459" width="4.75" style="187" customWidth="1"/>
    <col min="8460" max="8460" width="8" style="187" customWidth="1"/>
    <col min="8461" max="8461" width="10.25" style="187" customWidth="1"/>
    <col min="8462" max="8462" width="17.5" style="187" customWidth="1"/>
    <col min="8463" max="8463" width="5.83203125" style="187" customWidth="1"/>
    <col min="8464" max="8464" width="5.75" style="187" customWidth="1"/>
    <col min="8465" max="8465" width="5.58203125" style="187" customWidth="1"/>
    <col min="8466" max="8704" width="9" style="187"/>
    <col min="8705" max="8705" width="1.25" style="187" customWidth="1"/>
    <col min="8706" max="8706" width="17.25" style="187" customWidth="1"/>
    <col min="8707" max="8707" width="18.75" style="187" customWidth="1"/>
    <col min="8708" max="8708" width="3.33203125" style="187" customWidth="1"/>
    <col min="8709" max="8709" width="20.33203125" style="187" customWidth="1"/>
    <col min="8710" max="8710" width="3.33203125" style="187" customWidth="1"/>
    <col min="8711" max="8711" width="18.83203125" style="187" customWidth="1"/>
    <col min="8712" max="8712" width="3.33203125" style="187" customWidth="1"/>
    <col min="8713" max="8713" width="6.5" style="187" customWidth="1"/>
    <col min="8714" max="8715" width="4.75" style="187" customWidth="1"/>
    <col min="8716" max="8716" width="8" style="187" customWidth="1"/>
    <col min="8717" max="8717" width="10.25" style="187" customWidth="1"/>
    <col min="8718" max="8718" width="17.5" style="187" customWidth="1"/>
    <col min="8719" max="8719" width="5.83203125" style="187" customWidth="1"/>
    <col min="8720" max="8720" width="5.75" style="187" customWidth="1"/>
    <col min="8721" max="8721" width="5.58203125" style="187" customWidth="1"/>
    <col min="8722" max="8960" width="9" style="187"/>
    <col min="8961" max="8961" width="1.25" style="187" customWidth="1"/>
    <col min="8962" max="8962" width="17.25" style="187" customWidth="1"/>
    <col min="8963" max="8963" width="18.75" style="187" customWidth="1"/>
    <col min="8964" max="8964" width="3.33203125" style="187" customWidth="1"/>
    <col min="8965" max="8965" width="20.33203125" style="187" customWidth="1"/>
    <col min="8966" max="8966" width="3.33203125" style="187" customWidth="1"/>
    <col min="8967" max="8967" width="18.83203125" style="187" customWidth="1"/>
    <col min="8968" max="8968" width="3.33203125" style="187" customWidth="1"/>
    <col min="8969" max="8969" width="6.5" style="187" customWidth="1"/>
    <col min="8970" max="8971" width="4.75" style="187" customWidth="1"/>
    <col min="8972" max="8972" width="8" style="187" customWidth="1"/>
    <col min="8973" max="8973" width="10.25" style="187" customWidth="1"/>
    <col min="8974" max="8974" width="17.5" style="187" customWidth="1"/>
    <col min="8975" max="8975" width="5.83203125" style="187" customWidth="1"/>
    <col min="8976" max="8976" width="5.75" style="187" customWidth="1"/>
    <col min="8977" max="8977" width="5.58203125" style="187" customWidth="1"/>
    <col min="8978" max="9216" width="9" style="187"/>
    <col min="9217" max="9217" width="1.25" style="187" customWidth="1"/>
    <col min="9218" max="9218" width="17.25" style="187" customWidth="1"/>
    <col min="9219" max="9219" width="18.75" style="187" customWidth="1"/>
    <col min="9220" max="9220" width="3.33203125" style="187" customWidth="1"/>
    <col min="9221" max="9221" width="20.33203125" style="187" customWidth="1"/>
    <col min="9222" max="9222" width="3.33203125" style="187" customWidth="1"/>
    <col min="9223" max="9223" width="18.83203125" style="187" customWidth="1"/>
    <col min="9224" max="9224" width="3.33203125" style="187" customWidth="1"/>
    <col min="9225" max="9225" width="6.5" style="187" customWidth="1"/>
    <col min="9226" max="9227" width="4.75" style="187" customWidth="1"/>
    <col min="9228" max="9228" width="8" style="187" customWidth="1"/>
    <col min="9229" max="9229" width="10.25" style="187" customWidth="1"/>
    <col min="9230" max="9230" width="17.5" style="187" customWidth="1"/>
    <col min="9231" max="9231" width="5.83203125" style="187" customWidth="1"/>
    <col min="9232" max="9232" width="5.75" style="187" customWidth="1"/>
    <col min="9233" max="9233" width="5.58203125" style="187" customWidth="1"/>
    <col min="9234" max="9472" width="9" style="187"/>
    <col min="9473" max="9473" width="1.25" style="187" customWidth="1"/>
    <col min="9474" max="9474" width="17.25" style="187" customWidth="1"/>
    <col min="9475" max="9475" width="18.75" style="187" customWidth="1"/>
    <col min="9476" max="9476" width="3.33203125" style="187" customWidth="1"/>
    <col min="9477" max="9477" width="20.33203125" style="187" customWidth="1"/>
    <col min="9478" max="9478" width="3.33203125" style="187" customWidth="1"/>
    <col min="9479" max="9479" width="18.83203125" style="187" customWidth="1"/>
    <col min="9480" max="9480" width="3.33203125" style="187" customWidth="1"/>
    <col min="9481" max="9481" width="6.5" style="187" customWidth="1"/>
    <col min="9482" max="9483" width="4.75" style="187" customWidth="1"/>
    <col min="9484" max="9484" width="8" style="187" customWidth="1"/>
    <col min="9485" max="9485" width="10.25" style="187" customWidth="1"/>
    <col min="9486" max="9486" width="17.5" style="187" customWidth="1"/>
    <col min="9487" max="9487" width="5.83203125" style="187" customWidth="1"/>
    <col min="9488" max="9488" width="5.75" style="187" customWidth="1"/>
    <col min="9489" max="9489" width="5.58203125" style="187" customWidth="1"/>
    <col min="9490" max="9728" width="9" style="187"/>
    <col min="9729" max="9729" width="1.25" style="187" customWidth="1"/>
    <col min="9730" max="9730" width="17.25" style="187" customWidth="1"/>
    <col min="9731" max="9731" width="18.75" style="187" customWidth="1"/>
    <col min="9732" max="9732" width="3.33203125" style="187" customWidth="1"/>
    <col min="9733" max="9733" width="20.33203125" style="187" customWidth="1"/>
    <col min="9734" max="9734" width="3.33203125" style="187" customWidth="1"/>
    <col min="9735" max="9735" width="18.83203125" style="187" customWidth="1"/>
    <col min="9736" max="9736" width="3.33203125" style="187" customWidth="1"/>
    <col min="9737" max="9737" width="6.5" style="187" customWidth="1"/>
    <col min="9738" max="9739" width="4.75" style="187" customWidth="1"/>
    <col min="9740" max="9740" width="8" style="187" customWidth="1"/>
    <col min="9741" max="9741" width="10.25" style="187" customWidth="1"/>
    <col min="9742" max="9742" width="17.5" style="187" customWidth="1"/>
    <col min="9743" max="9743" width="5.83203125" style="187" customWidth="1"/>
    <col min="9744" max="9744" width="5.75" style="187" customWidth="1"/>
    <col min="9745" max="9745" width="5.58203125" style="187" customWidth="1"/>
    <col min="9746" max="9984" width="9" style="187"/>
    <col min="9985" max="9985" width="1.25" style="187" customWidth="1"/>
    <col min="9986" max="9986" width="17.25" style="187" customWidth="1"/>
    <col min="9987" max="9987" width="18.75" style="187" customWidth="1"/>
    <col min="9988" max="9988" width="3.33203125" style="187" customWidth="1"/>
    <col min="9989" max="9989" width="20.33203125" style="187" customWidth="1"/>
    <col min="9990" max="9990" width="3.33203125" style="187" customWidth="1"/>
    <col min="9991" max="9991" width="18.83203125" style="187" customWidth="1"/>
    <col min="9992" max="9992" width="3.33203125" style="187" customWidth="1"/>
    <col min="9993" max="9993" width="6.5" style="187" customWidth="1"/>
    <col min="9994" max="9995" width="4.75" style="187" customWidth="1"/>
    <col min="9996" max="9996" width="8" style="187" customWidth="1"/>
    <col min="9997" max="9997" width="10.25" style="187" customWidth="1"/>
    <col min="9998" max="9998" width="17.5" style="187" customWidth="1"/>
    <col min="9999" max="9999" width="5.83203125" style="187" customWidth="1"/>
    <col min="10000" max="10000" width="5.75" style="187" customWidth="1"/>
    <col min="10001" max="10001" width="5.58203125" style="187" customWidth="1"/>
    <col min="10002" max="10240" width="9" style="187"/>
    <col min="10241" max="10241" width="1.25" style="187" customWidth="1"/>
    <col min="10242" max="10242" width="17.25" style="187" customWidth="1"/>
    <col min="10243" max="10243" width="18.75" style="187" customWidth="1"/>
    <col min="10244" max="10244" width="3.33203125" style="187" customWidth="1"/>
    <col min="10245" max="10245" width="20.33203125" style="187" customWidth="1"/>
    <col min="10246" max="10246" width="3.33203125" style="187" customWidth="1"/>
    <col min="10247" max="10247" width="18.83203125" style="187" customWidth="1"/>
    <col min="10248" max="10248" width="3.33203125" style="187" customWidth="1"/>
    <col min="10249" max="10249" width="6.5" style="187" customWidth="1"/>
    <col min="10250" max="10251" width="4.75" style="187" customWidth="1"/>
    <col min="10252" max="10252" width="8" style="187" customWidth="1"/>
    <col min="10253" max="10253" width="10.25" style="187" customWidth="1"/>
    <col min="10254" max="10254" width="17.5" style="187" customWidth="1"/>
    <col min="10255" max="10255" width="5.83203125" style="187" customWidth="1"/>
    <col min="10256" max="10256" width="5.75" style="187" customWidth="1"/>
    <col min="10257" max="10257" width="5.58203125" style="187" customWidth="1"/>
    <col min="10258" max="10496" width="9" style="187"/>
    <col min="10497" max="10497" width="1.25" style="187" customWidth="1"/>
    <col min="10498" max="10498" width="17.25" style="187" customWidth="1"/>
    <col min="10499" max="10499" width="18.75" style="187" customWidth="1"/>
    <col min="10500" max="10500" width="3.33203125" style="187" customWidth="1"/>
    <col min="10501" max="10501" width="20.33203125" style="187" customWidth="1"/>
    <col min="10502" max="10502" width="3.33203125" style="187" customWidth="1"/>
    <col min="10503" max="10503" width="18.83203125" style="187" customWidth="1"/>
    <col min="10504" max="10504" width="3.33203125" style="187" customWidth="1"/>
    <col min="10505" max="10505" width="6.5" style="187" customWidth="1"/>
    <col min="10506" max="10507" width="4.75" style="187" customWidth="1"/>
    <col min="10508" max="10508" width="8" style="187" customWidth="1"/>
    <col min="10509" max="10509" width="10.25" style="187" customWidth="1"/>
    <col min="10510" max="10510" width="17.5" style="187" customWidth="1"/>
    <col min="10511" max="10511" width="5.83203125" style="187" customWidth="1"/>
    <col min="10512" max="10512" width="5.75" style="187" customWidth="1"/>
    <col min="10513" max="10513" width="5.58203125" style="187" customWidth="1"/>
    <col min="10514" max="10752" width="9" style="187"/>
    <col min="10753" max="10753" width="1.25" style="187" customWidth="1"/>
    <col min="10754" max="10754" width="17.25" style="187" customWidth="1"/>
    <col min="10755" max="10755" width="18.75" style="187" customWidth="1"/>
    <col min="10756" max="10756" width="3.33203125" style="187" customWidth="1"/>
    <col min="10757" max="10757" width="20.33203125" style="187" customWidth="1"/>
    <col min="10758" max="10758" width="3.33203125" style="187" customWidth="1"/>
    <col min="10759" max="10759" width="18.83203125" style="187" customWidth="1"/>
    <col min="10760" max="10760" width="3.33203125" style="187" customWidth="1"/>
    <col min="10761" max="10761" width="6.5" style="187" customWidth="1"/>
    <col min="10762" max="10763" width="4.75" style="187" customWidth="1"/>
    <col min="10764" max="10764" width="8" style="187" customWidth="1"/>
    <col min="10765" max="10765" width="10.25" style="187" customWidth="1"/>
    <col min="10766" max="10766" width="17.5" style="187" customWidth="1"/>
    <col min="10767" max="10767" width="5.83203125" style="187" customWidth="1"/>
    <col min="10768" max="10768" width="5.75" style="187" customWidth="1"/>
    <col min="10769" max="10769" width="5.58203125" style="187" customWidth="1"/>
    <col min="10770" max="11008" width="9" style="187"/>
    <col min="11009" max="11009" width="1.25" style="187" customWidth="1"/>
    <col min="11010" max="11010" width="17.25" style="187" customWidth="1"/>
    <col min="11011" max="11011" width="18.75" style="187" customWidth="1"/>
    <col min="11012" max="11012" width="3.33203125" style="187" customWidth="1"/>
    <col min="11013" max="11013" width="20.33203125" style="187" customWidth="1"/>
    <col min="11014" max="11014" width="3.33203125" style="187" customWidth="1"/>
    <col min="11015" max="11015" width="18.83203125" style="187" customWidth="1"/>
    <col min="11016" max="11016" width="3.33203125" style="187" customWidth="1"/>
    <col min="11017" max="11017" width="6.5" style="187" customWidth="1"/>
    <col min="11018" max="11019" width="4.75" style="187" customWidth="1"/>
    <col min="11020" max="11020" width="8" style="187" customWidth="1"/>
    <col min="11021" max="11021" width="10.25" style="187" customWidth="1"/>
    <col min="11022" max="11022" width="17.5" style="187" customWidth="1"/>
    <col min="11023" max="11023" width="5.83203125" style="187" customWidth="1"/>
    <col min="11024" max="11024" width="5.75" style="187" customWidth="1"/>
    <col min="11025" max="11025" width="5.58203125" style="187" customWidth="1"/>
    <col min="11026" max="11264" width="9" style="187"/>
    <col min="11265" max="11265" width="1.25" style="187" customWidth="1"/>
    <col min="11266" max="11266" width="17.25" style="187" customWidth="1"/>
    <col min="11267" max="11267" width="18.75" style="187" customWidth="1"/>
    <col min="11268" max="11268" width="3.33203125" style="187" customWidth="1"/>
    <col min="11269" max="11269" width="20.33203125" style="187" customWidth="1"/>
    <col min="11270" max="11270" width="3.33203125" style="187" customWidth="1"/>
    <col min="11271" max="11271" width="18.83203125" style="187" customWidth="1"/>
    <col min="11272" max="11272" width="3.33203125" style="187" customWidth="1"/>
    <col min="11273" max="11273" width="6.5" style="187" customWidth="1"/>
    <col min="11274" max="11275" width="4.75" style="187" customWidth="1"/>
    <col min="11276" max="11276" width="8" style="187" customWidth="1"/>
    <col min="11277" max="11277" width="10.25" style="187" customWidth="1"/>
    <col min="11278" max="11278" width="17.5" style="187" customWidth="1"/>
    <col min="11279" max="11279" width="5.83203125" style="187" customWidth="1"/>
    <col min="11280" max="11280" width="5.75" style="187" customWidth="1"/>
    <col min="11281" max="11281" width="5.58203125" style="187" customWidth="1"/>
    <col min="11282" max="11520" width="9" style="187"/>
    <col min="11521" max="11521" width="1.25" style="187" customWidth="1"/>
    <col min="11522" max="11522" width="17.25" style="187" customWidth="1"/>
    <col min="11523" max="11523" width="18.75" style="187" customWidth="1"/>
    <col min="11524" max="11524" width="3.33203125" style="187" customWidth="1"/>
    <col min="11525" max="11525" width="20.33203125" style="187" customWidth="1"/>
    <col min="11526" max="11526" width="3.33203125" style="187" customWidth="1"/>
    <col min="11527" max="11527" width="18.83203125" style="187" customWidth="1"/>
    <col min="11528" max="11528" width="3.33203125" style="187" customWidth="1"/>
    <col min="11529" max="11529" width="6.5" style="187" customWidth="1"/>
    <col min="11530" max="11531" width="4.75" style="187" customWidth="1"/>
    <col min="11532" max="11532" width="8" style="187" customWidth="1"/>
    <col min="11533" max="11533" width="10.25" style="187" customWidth="1"/>
    <col min="11534" max="11534" width="17.5" style="187" customWidth="1"/>
    <col min="11535" max="11535" width="5.83203125" style="187" customWidth="1"/>
    <col min="11536" max="11536" width="5.75" style="187" customWidth="1"/>
    <col min="11537" max="11537" width="5.58203125" style="187" customWidth="1"/>
    <col min="11538" max="11776" width="9" style="187"/>
    <col min="11777" max="11777" width="1.25" style="187" customWidth="1"/>
    <col min="11778" max="11778" width="17.25" style="187" customWidth="1"/>
    <col min="11779" max="11779" width="18.75" style="187" customWidth="1"/>
    <col min="11780" max="11780" width="3.33203125" style="187" customWidth="1"/>
    <col min="11781" max="11781" width="20.33203125" style="187" customWidth="1"/>
    <col min="11782" max="11782" width="3.33203125" style="187" customWidth="1"/>
    <col min="11783" max="11783" width="18.83203125" style="187" customWidth="1"/>
    <col min="11784" max="11784" width="3.33203125" style="187" customWidth="1"/>
    <col min="11785" max="11785" width="6.5" style="187" customWidth="1"/>
    <col min="11786" max="11787" width="4.75" style="187" customWidth="1"/>
    <col min="11788" max="11788" width="8" style="187" customWidth="1"/>
    <col min="11789" max="11789" width="10.25" style="187" customWidth="1"/>
    <col min="11790" max="11790" width="17.5" style="187" customWidth="1"/>
    <col min="11791" max="11791" width="5.83203125" style="187" customWidth="1"/>
    <col min="11792" max="11792" width="5.75" style="187" customWidth="1"/>
    <col min="11793" max="11793" width="5.58203125" style="187" customWidth="1"/>
    <col min="11794" max="12032" width="9" style="187"/>
    <col min="12033" max="12033" width="1.25" style="187" customWidth="1"/>
    <col min="12034" max="12034" width="17.25" style="187" customWidth="1"/>
    <col min="12035" max="12035" width="18.75" style="187" customWidth="1"/>
    <col min="12036" max="12036" width="3.33203125" style="187" customWidth="1"/>
    <col min="12037" max="12037" width="20.33203125" style="187" customWidth="1"/>
    <col min="12038" max="12038" width="3.33203125" style="187" customWidth="1"/>
    <col min="12039" max="12039" width="18.83203125" style="187" customWidth="1"/>
    <col min="12040" max="12040" width="3.33203125" style="187" customWidth="1"/>
    <col min="12041" max="12041" width="6.5" style="187" customWidth="1"/>
    <col min="12042" max="12043" width="4.75" style="187" customWidth="1"/>
    <col min="12044" max="12044" width="8" style="187" customWidth="1"/>
    <col min="12045" max="12045" width="10.25" style="187" customWidth="1"/>
    <col min="12046" max="12046" width="17.5" style="187" customWidth="1"/>
    <col min="12047" max="12047" width="5.83203125" style="187" customWidth="1"/>
    <col min="12048" max="12048" width="5.75" style="187" customWidth="1"/>
    <col min="12049" max="12049" width="5.58203125" style="187" customWidth="1"/>
    <col min="12050" max="12288" width="9" style="187"/>
    <col min="12289" max="12289" width="1.25" style="187" customWidth="1"/>
    <col min="12290" max="12290" width="17.25" style="187" customWidth="1"/>
    <col min="12291" max="12291" width="18.75" style="187" customWidth="1"/>
    <col min="12292" max="12292" width="3.33203125" style="187" customWidth="1"/>
    <col min="12293" max="12293" width="20.33203125" style="187" customWidth="1"/>
    <col min="12294" max="12294" width="3.33203125" style="187" customWidth="1"/>
    <col min="12295" max="12295" width="18.83203125" style="187" customWidth="1"/>
    <col min="12296" max="12296" width="3.33203125" style="187" customWidth="1"/>
    <col min="12297" max="12297" width="6.5" style="187" customWidth="1"/>
    <col min="12298" max="12299" width="4.75" style="187" customWidth="1"/>
    <col min="12300" max="12300" width="8" style="187" customWidth="1"/>
    <col min="12301" max="12301" width="10.25" style="187" customWidth="1"/>
    <col min="12302" max="12302" width="17.5" style="187" customWidth="1"/>
    <col min="12303" max="12303" width="5.83203125" style="187" customWidth="1"/>
    <col min="12304" max="12304" width="5.75" style="187" customWidth="1"/>
    <col min="12305" max="12305" width="5.58203125" style="187" customWidth="1"/>
    <col min="12306" max="12544" width="9" style="187"/>
    <col min="12545" max="12545" width="1.25" style="187" customWidth="1"/>
    <col min="12546" max="12546" width="17.25" style="187" customWidth="1"/>
    <col min="12547" max="12547" width="18.75" style="187" customWidth="1"/>
    <col min="12548" max="12548" width="3.33203125" style="187" customWidth="1"/>
    <col min="12549" max="12549" width="20.33203125" style="187" customWidth="1"/>
    <col min="12550" max="12550" width="3.33203125" style="187" customWidth="1"/>
    <col min="12551" max="12551" width="18.83203125" style="187" customWidth="1"/>
    <col min="12552" max="12552" width="3.33203125" style="187" customWidth="1"/>
    <col min="12553" max="12553" width="6.5" style="187" customWidth="1"/>
    <col min="12554" max="12555" width="4.75" style="187" customWidth="1"/>
    <col min="12556" max="12556" width="8" style="187" customWidth="1"/>
    <col min="12557" max="12557" width="10.25" style="187" customWidth="1"/>
    <col min="12558" max="12558" width="17.5" style="187" customWidth="1"/>
    <col min="12559" max="12559" width="5.83203125" style="187" customWidth="1"/>
    <col min="12560" max="12560" width="5.75" style="187" customWidth="1"/>
    <col min="12561" max="12561" width="5.58203125" style="187" customWidth="1"/>
    <col min="12562" max="12800" width="9" style="187"/>
    <col min="12801" max="12801" width="1.25" style="187" customWidth="1"/>
    <col min="12802" max="12802" width="17.25" style="187" customWidth="1"/>
    <col min="12803" max="12803" width="18.75" style="187" customWidth="1"/>
    <col min="12804" max="12804" width="3.33203125" style="187" customWidth="1"/>
    <col min="12805" max="12805" width="20.33203125" style="187" customWidth="1"/>
    <col min="12806" max="12806" width="3.33203125" style="187" customWidth="1"/>
    <col min="12807" max="12807" width="18.83203125" style="187" customWidth="1"/>
    <col min="12808" max="12808" width="3.33203125" style="187" customWidth="1"/>
    <col min="12809" max="12809" width="6.5" style="187" customWidth="1"/>
    <col min="12810" max="12811" width="4.75" style="187" customWidth="1"/>
    <col min="12812" max="12812" width="8" style="187" customWidth="1"/>
    <col min="12813" max="12813" width="10.25" style="187" customWidth="1"/>
    <col min="12814" max="12814" width="17.5" style="187" customWidth="1"/>
    <col min="12815" max="12815" width="5.83203125" style="187" customWidth="1"/>
    <col min="12816" max="12816" width="5.75" style="187" customWidth="1"/>
    <col min="12817" max="12817" width="5.58203125" style="187" customWidth="1"/>
    <col min="12818" max="13056" width="9" style="187"/>
    <col min="13057" max="13057" width="1.25" style="187" customWidth="1"/>
    <col min="13058" max="13058" width="17.25" style="187" customWidth="1"/>
    <col min="13059" max="13059" width="18.75" style="187" customWidth="1"/>
    <col min="13060" max="13060" width="3.33203125" style="187" customWidth="1"/>
    <col min="13061" max="13061" width="20.33203125" style="187" customWidth="1"/>
    <col min="13062" max="13062" width="3.33203125" style="187" customWidth="1"/>
    <col min="13063" max="13063" width="18.83203125" style="187" customWidth="1"/>
    <col min="13064" max="13064" width="3.33203125" style="187" customWidth="1"/>
    <col min="13065" max="13065" width="6.5" style="187" customWidth="1"/>
    <col min="13066" max="13067" width="4.75" style="187" customWidth="1"/>
    <col min="13068" max="13068" width="8" style="187" customWidth="1"/>
    <col min="13069" max="13069" width="10.25" style="187" customWidth="1"/>
    <col min="13070" max="13070" width="17.5" style="187" customWidth="1"/>
    <col min="13071" max="13071" width="5.83203125" style="187" customWidth="1"/>
    <col min="13072" max="13072" width="5.75" style="187" customWidth="1"/>
    <col min="13073" max="13073" width="5.58203125" style="187" customWidth="1"/>
    <col min="13074" max="13312" width="9" style="187"/>
    <col min="13313" max="13313" width="1.25" style="187" customWidth="1"/>
    <col min="13314" max="13314" width="17.25" style="187" customWidth="1"/>
    <col min="13315" max="13315" width="18.75" style="187" customWidth="1"/>
    <col min="13316" max="13316" width="3.33203125" style="187" customWidth="1"/>
    <col min="13317" max="13317" width="20.33203125" style="187" customWidth="1"/>
    <col min="13318" max="13318" width="3.33203125" style="187" customWidth="1"/>
    <col min="13319" max="13319" width="18.83203125" style="187" customWidth="1"/>
    <col min="13320" max="13320" width="3.33203125" style="187" customWidth="1"/>
    <col min="13321" max="13321" width="6.5" style="187" customWidth="1"/>
    <col min="13322" max="13323" width="4.75" style="187" customWidth="1"/>
    <col min="13324" max="13324" width="8" style="187" customWidth="1"/>
    <col min="13325" max="13325" width="10.25" style="187" customWidth="1"/>
    <col min="13326" max="13326" width="17.5" style="187" customWidth="1"/>
    <col min="13327" max="13327" width="5.83203125" style="187" customWidth="1"/>
    <col min="13328" max="13328" width="5.75" style="187" customWidth="1"/>
    <col min="13329" max="13329" width="5.58203125" style="187" customWidth="1"/>
    <col min="13330" max="13568" width="9" style="187"/>
    <col min="13569" max="13569" width="1.25" style="187" customWidth="1"/>
    <col min="13570" max="13570" width="17.25" style="187" customWidth="1"/>
    <col min="13571" max="13571" width="18.75" style="187" customWidth="1"/>
    <col min="13572" max="13572" width="3.33203125" style="187" customWidth="1"/>
    <col min="13573" max="13573" width="20.33203125" style="187" customWidth="1"/>
    <col min="13574" max="13574" width="3.33203125" style="187" customWidth="1"/>
    <col min="13575" max="13575" width="18.83203125" style="187" customWidth="1"/>
    <col min="13576" max="13576" width="3.33203125" style="187" customWidth="1"/>
    <col min="13577" max="13577" width="6.5" style="187" customWidth="1"/>
    <col min="13578" max="13579" width="4.75" style="187" customWidth="1"/>
    <col min="13580" max="13580" width="8" style="187" customWidth="1"/>
    <col min="13581" max="13581" width="10.25" style="187" customWidth="1"/>
    <col min="13582" max="13582" width="17.5" style="187" customWidth="1"/>
    <col min="13583" max="13583" width="5.83203125" style="187" customWidth="1"/>
    <col min="13584" max="13584" width="5.75" style="187" customWidth="1"/>
    <col min="13585" max="13585" width="5.58203125" style="187" customWidth="1"/>
    <col min="13586" max="13824" width="9" style="187"/>
    <col min="13825" max="13825" width="1.25" style="187" customWidth="1"/>
    <col min="13826" max="13826" width="17.25" style="187" customWidth="1"/>
    <col min="13827" max="13827" width="18.75" style="187" customWidth="1"/>
    <col min="13828" max="13828" width="3.33203125" style="187" customWidth="1"/>
    <col min="13829" max="13829" width="20.33203125" style="187" customWidth="1"/>
    <col min="13830" max="13830" width="3.33203125" style="187" customWidth="1"/>
    <col min="13831" max="13831" width="18.83203125" style="187" customWidth="1"/>
    <col min="13832" max="13832" width="3.33203125" style="187" customWidth="1"/>
    <col min="13833" max="13833" width="6.5" style="187" customWidth="1"/>
    <col min="13834" max="13835" width="4.75" style="187" customWidth="1"/>
    <col min="13836" max="13836" width="8" style="187" customWidth="1"/>
    <col min="13837" max="13837" width="10.25" style="187" customWidth="1"/>
    <col min="13838" max="13838" width="17.5" style="187" customWidth="1"/>
    <col min="13839" max="13839" width="5.83203125" style="187" customWidth="1"/>
    <col min="13840" max="13840" width="5.75" style="187" customWidth="1"/>
    <col min="13841" max="13841" width="5.58203125" style="187" customWidth="1"/>
    <col min="13842" max="14080" width="9" style="187"/>
    <col min="14081" max="14081" width="1.25" style="187" customWidth="1"/>
    <col min="14082" max="14082" width="17.25" style="187" customWidth="1"/>
    <col min="14083" max="14083" width="18.75" style="187" customWidth="1"/>
    <col min="14084" max="14084" width="3.33203125" style="187" customWidth="1"/>
    <col min="14085" max="14085" width="20.33203125" style="187" customWidth="1"/>
    <col min="14086" max="14086" width="3.33203125" style="187" customWidth="1"/>
    <col min="14087" max="14087" width="18.83203125" style="187" customWidth="1"/>
    <col min="14088" max="14088" width="3.33203125" style="187" customWidth="1"/>
    <col min="14089" max="14089" width="6.5" style="187" customWidth="1"/>
    <col min="14090" max="14091" width="4.75" style="187" customWidth="1"/>
    <col min="14092" max="14092" width="8" style="187" customWidth="1"/>
    <col min="14093" max="14093" width="10.25" style="187" customWidth="1"/>
    <col min="14094" max="14094" width="17.5" style="187" customWidth="1"/>
    <col min="14095" max="14095" width="5.83203125" style="187" customWidth="1"/>
    <col min="14096" max="14096" width="5.75" style="187" customWidth="1"/>
    <col min="14097" max="14097" width="5.58203125" style="187" customWidth="1"/>
    <col min="14098" max="14336" width="9" style="187"/>
    <col min="14337" max="14337" width="1.25" style="187" customWidth="1"/>
    <col min="14338" max="14338" width="17.25" style="187" customWidth="1"/>
    <col min="14339" max="14339" width="18.75" style="187" customWidth="1"/>
    <col min="14340" max="14340" width="3.33203125" style="187" customWidth="1"/>
    <col min="14341" max="14341" width="20.33203125" style="187" customWidth="1"/>
    <col min="14342" max="14342" width="3.33203125" style="187" customWidth="1"/>
    <col min="14343" max="14343" width="18.83203125" style="187" customWidth="1"/>
    <col min="14344" max="14344" width="3.33203125" style="187" customWidth="1"/>
    <col min="14345" max="14345" width="6.5" style="187" customWidth="1"/>
    <col min="14346" max="14347" width="4.75" style="187" customWidth="1"/>
    <col min="14348" max="14348" width="8" style="187" customWidth="1"/>
    <col min="14349" max="14349" width="10.25" style="187" customWidth="1"/>
    <col min="14350" max="14350" width="17.5" style="187" customWidth="1"/>
    <col min="14351" max="14351" width="5.83203125" style="187" customWidth="1"/>
    <col min="14352" max="14352" width="5.75" style="187" customWidth="1"/>
    <col min="14353" max="14353" width="5.58203125" style="187" customWidth="1"/>
    <col min="14354" max="14592" width="9" style="187"/>
    <col min="14593" max="14593" width="1.25" style="187" customWidth="1"/>
    <col min="14594" max="14594" width="17.25" style="187" customWidth="1"/>
    <col min="14595" max="14595" width="18.75" style="187" customWidth="1"/>
    <col min="14596" max="14596" width="3.33203125" style="187" customWidth="1"/>
    <col min="14597" max="14597" width="20.33203125" style="187" customWidth="1"/>
    <col min="14598" max="14598" width="3.33203125" style="187" customWidth="1"/>
    <col min="14599" max="14599" width="18.83203125" style="187" customWidth="1"/>
    <col min="14600" max="14600" width="3.33203125" style="187" customWidth="1"/>
    <col min="14601" max="14601" width="6.5" style="187" customWidth="1"/>
    <col min="14602" max="14603" width="4.75" style="187" customWidth="1"/>
    <col min="14604" max="14604" width="8" style="187" customWidth="1"/>
    <col min="14605" max="14605" width="10.25" style="187" customWidth="1"/>
    <col min="14606" max="14606" width="17.5" style="187" customWidth="1"/>
    <col min="14607" max="14607" width="5.83203125" style="187" customWidth="1"/>
    <col min="14608" max="14608" width="5.75" style="187" customWidth="1"/>
    <col min="14609" max="14609" width="5.58203125" style="187" customWidth="1"/>
    <col min="14610" max="14848" width="9" style="187"/>
    <col min="14849" max="14849" width="1.25" style="187" customWidth="1"/>
    <col min="14850" max="14850" width="17.25" style="187" customWidth="1"/>
    <col min="14851" max="14851" width="18.75" style="187" customWidth="1"/>
    <col min="14852" max="14852" width="3.33203125" style="187" customWidth="1"/>
    <col min="14853" max="14853" width="20.33203125" style="187" customWidth="1"/>
    <col min="14854" max="14854" width="3.33203125" style="187" customWidth="1"/>
    <col min="14855" max="14855" width="18.83203125" style="187" customWidth="1"/>
    <col min="14856" max="14856" width="3.33203125" style="187" customWidth="1"/>
    <col min="14857" max="14857" width="6.5" style="187" customWidth="1"/>
    <col min="14858" max="14859" width="4.75" style="187" customWidth="1"/>
    <col min="14860" max="14860" width="8" style="187" customWidth="1"/>
    <col min="14861" max="14861" width="10.25" style="187" customWidth="1"/>
    <col min="14862" max="14862" width="17.5" style="187" customWidth="1"/>
    <col min="14863" max="14863" width="5.83203125" style="187" customWidth="1"/>
    <col min="14864" max="14864" width="5.75" style="187" customWidth="1"/>
    <col min="14865" max="14865" width="5.58203125" style="187" customWidth="1"/>
    <col min="14866" max="15104" width="9" style="187"/>
    <col min="15105" max="15105" width="1.25" style="187" customWidth="1"/>
    <col min="15106" max="15106" width="17.25" style="187" customWidth="1"/>
    <col min="15107" max="15107" width="18.75" style="187" customWidth="1"/>
    <col min="15108" max="15108" width="3.33203125" style="187" customWidth="1"/>
    <col min="15109" max="15109" width="20.33203125" style="187" customWidth="1"/>
    <col min="15110" max="15110" width="3.33203125" style="187" customWidth="1"/>
    <col min="15111" max="15111" width="18.83203125" style="187" customWidth="1"/>
    <col min="15112" max="15112" width="3.33203125" style="187" customWidth="1"/>
    <col min="15113" max="15113" width="6.5" style="187" customWidth="1"/>
    <col min="15114" max="15115" width="4.75" style="187" customWidth="1"/>
    <col min="15116" max="15116" width="8" style="187" customWidth="1"/>
    <col min="15117" max="15117" width="10.25" style="187" customWidth="1"/>
    <col min="15118" max="15118" width="17.5" style="187" customWidth="1"/>
    <col min="15119" max="15119" width="5.83203125" style="187" customWidth="1"/>
    <col min="15120" max="15120" width="5.75" style="187" customWidth="1"/>
    <col min="15121" max="15121" width="5.58203125" style="187" customWidth="1"/>
    <col min="15122" max="15360" width="9" style="187"/>
    <col min="15361" max="15361" width="1.25" style="187" customWidth="1"/>
    <col min="15362" max="15362" width="17.25" style="187" customWidth="1"/>
    <col min="15363" max="15363" width="18.75" style="187" customWidth="1"/>
    <col min="15364" max="15364" width="3.33203125" style="187" customWidth="1"/>
    <col min="15365" max="15365" width="20.33203125" style="187" customWidth="1"/>
    <col min="15366" max="15366" width="3.33203125" style="187" customWidth="1"/>
    <col min="15367" max="15367" width="18.83203125" style="187" customWidth="1"/>
    <col min="15368" max="15368" width="3.33203125" style="187" customWidth="1"/>
    <col min="15369" max="15369" width="6.5" style="187" customWidth="1"/>
    <col min="15370" max="15371" width="4.75" style="187" customWidth="1"/>
    <col min="15372" max="15372" width="8" style="187" customWidth="1"/>
    <col min="15373" max="15373" width="10.25" style="187" customWidth="1"/>
    <col min="15374" max="15374" width="17.5" style="187" customWidth="1"/>
    <col min="15375" max="15375" width="5.83203125" style="187" customWidth="1"/>
    <col min="15376" max="15376" width="5.75" style="187" customWidth="1"/>
    <col min="15377" max="15377" width="5.58203125" style="187" customWidth="1"/>
    <col min="15378" max="15616" width="9" style="187"/>
    <col min="15617" max="15617" width="1.25" style="187" customWidth="1"/>
    <col min="15618" max="15618" width="17.25" style="187" customWidth="1"/>
    <col min="15619" max="15619" width="18.75" style="187" customWidth="1"/>
    <col min="15620" max="15620" width="3.33203125" style="187" customWidth="1"/>
    <col min="15621" max="15621" width="20.33203125" style="187" customWidth="1"/>
    <col min="15622" max="15622" width="3.33203125" style="187" customWidth="1"/>
    <col min="15623" max="15623" width="18.83203125" style="187" customWidth="1"/>
    <col min="15624" max="15624" width="3.33203125" style="187" customWidth="1"/>
    <col min="15625" max="15625" width="6.5" style="187" customWidth="1"/>
    <col min="15626" max="15627" width="4.75" style="187" customWidth="1"/>
    <col min="15628" max="15628" width="8" style="187" customWidth="1"/>
    <col min="15629" max="15629" width="10.25" style="187" customWidth="1"/>
    <col min="15630" max="15630" width="17.5" style="187" customWidth="1"/>
    <col min="15631" max="15631" width="5.83203125" style="187" customWidth="1"/>
    <col min="15632" max="15632" width="5.75" style="187" customWidth="1"/>
    <col min="15633" max="15633" width="5.58203125" style="187" customWidth="1"/>
    <col min="15634" max="15872" width="9" style="187"/>
    <col min="15873" max="15873" width="1.25" style="187" customWidth="1"/>
    <col min="15874" max="15874" width="17.25" style="187" customWidth="1"/>
    <col min="15875" max="15875" width="18.75" style="187" customWidth="1"/>
    <col min="15876" max="15876" width="3.33203125" style="187" customWidth="1"/>
    <col min="15877" max="15877" width="20.33203125" style="187" customWidth="1"/>
    <col min="15878" max="15878" width="3.33203125" style="187" customWidth="1"/>
    <col min="15879" max="15879" width="18.83203125" style="187" customWidth="1"/>
    <col min="15880" max="15880" width="3.33203125" style="187" customWidth="1"/>
    <col min="15881" max="15881" width="6.5" style="187" customWidth="1"/>
    <col min="15882" max="15883" width="4.75" style="187" customWidth="1"/>
    <col min="15884" max="15884" width="8" style="187" customWidth="1"/>
    <col min="15885" max="15885" width="10.25" style="187" customWidth="1"/>
    <col min="15886" max="15886" width="17.5" style="187" customWidth="1"/>
    <col min="15887" max="15887" width="5.83203125" style="187" customWidth="1"/>
    <col min="15888" max="15888" width="5.75" style="187" customWidth="1"/>
    <col min="15889" max="15889" width="5.58203125" style="187" customWidth="1"/>
    <col min="15890" max="16128" width="9" style="187"/>
    <col min="16129" max="16129" width="1.25" style="187" customWidth="1"/>
    <col min="16130" max="16130" width="17.25" style="187" customWidth="1"/>
    <col min="16131" max="16131" width="18.75" style="187" customWidth="1"/>
    <col min="16132" max="16132" width="3.33203125" style="187" customWidth="1"/>
    <col min="16133" max="16133" width="20.33203125" style="187" customWidth="1"/>
    <col min="16134" max="16134" width="3.33203125" style="187" customWidth="1"/>
    <col min="16135" max="16135" width="18.83203125" style="187" customWidth="1"/>
    <col min="16136" max="16136" width="3.33203125" style="187" customWidth="1"/>
    <col min="16137" max="16137" width="6.5" style="187" customWidth="1"/>
    <col min="16138" max="16139" width="4.75" style="187" customWidth="1"/>
    <col min="16140" max="16140" width="8" style="187" customWidth="1"/>
    <col min="16141" max="16141" width="10.25" style="187" customWidth="1"/>
    <col min="16142" max="16142" width="17.5" style="187" customWidth="1"/>
    <col min="16143" max="16143" width="5.83203125" style="187" customWidth="1"/>
    <col min="16144" max="16144" width="5.75" style="187" customWidth="1"/>
    <col min="16145" max="16145" width="5.58203125" style="187" customWidth="1"/>
    <col min="16146" max="16384" width="9" style="187"/>
  </cols>
  <sheetData>
    <row r="1" spans="1:17" ht="20.149999999999999" customHeight="1">
      <c r="A1" s="38" t="s">
        <v>1737</v>
      </c>
      <c r="B1" s="38"/>
      <c r="C1" s="38" t="s">
        <v>309</v>
      </c>
      <c r="D1" s="38"/>
      <c r="E1" s="38"/>
      <c r="F1" s="38"/>
      <c r="G1" s="38"/>
      <c r="H1" s="50" t="e">
        <f>様式６!H1</f>
        <v>#N/A</v>
      </c>
      <c r="I1" s="38"/>
      <c r="J1" s="38"/>
      <c r="K1" s="38"/>
      <c r="L1" s="38"/>
      <c r="M1" s="38"/>
      <c r="N1" s="38"/>
      <c r="O1" s="38"/>
      <c r="P1" s="38"/>
      <c r="Q1" s="38"/>
    </row>
    <row r="2" spans="1:17" ht="16.5" customHeight="1">
      <c r="A2" s="38"/>
      <c r="B2" s="38"/>
      <c r="C2" s="38"/>
      <c r="D2" s="38"/>
      <c r="E2" s="38"/>
      <c r="F2" s="38"/>
      <c r="G2" s="383">
        <f>様式６!G2</f>
        <v>45747</v>
      </c>
      <c r="H2" s="38"/>
      <c r="I2" s="38"/>
      <c r="J2" s="38"/>
      <c r="K2" s="38"/>
      <c r="L2" s="38"/>
      <c r="M2" s="38"/>
      <c r="O2" s="38"/>
      <c r="P2" s="38"/>
      <c r="Q2" s="38"/>
    </row>
    <row r="3" spans="1:17" ht="3.75" customHeight="1">
      <c r="A3" s="38"/>
      <c r="B3" s="38"/>
      <c r="C3" s="38"/>
      <c r="D3" s="38"/>
      <c r="E3" s="38"/>
      <c r="F3" s="38"/>
      <c r="G3" s="38"/>
      <c r="H3" s="38"/>
      <c r="I3" s="38"/>
      <c r="J3" s="38"/>
      <c r="K3" s="38"/>
      <c r="L3" s="38"/>
      <c r="M3" s="38"/>
      <c r="N3" s="38"/>
      <c r="O3" s="38"/>
      <c r="P3" s="38"/>
      <c r="Q3" s="38"/>
    </row>
    <row r="4" spans="1:17" ht="23.15" customHeight="1">
      <c r="A4" s="38"/>
      <c r="B4" s="38"/>
      <c r="C4" s="909" t="s">
        <v>1729</v>
      </c>
      <c r="D4" s="909"/>
      <c r="E4" s="909"/>
      <c r="F4" s="38"/>
      <c r="G4" s="38"/>
      <c r="H4" s="38"/>
      <c r="I4" s="38"/>
      <c r="J4" s="38"/>
      <c r="K4" s="38"/>
      <c r="L4" s="38"/>
      <c r="M4" s="38"/>
      <c r="N4" s="38"/>
      <c r="O4" s="38"/>
      <c r="P4" s="38"/>
      <c r="Q4" s="38"/>
    </row>
    <row r="5" spans="1:17" ht="23.15" customHeight="1">
      <c r="A5" s="38"/>
      <c r="B5" s="38"/>
      <c r="C5" s="909" t="s">
        <v>1738</v>
      </c>
      <c r="D5" s="909"/>
      <c r="E5" s="909"/>
      <c r="F5" s="38"/>
      <c r="G5" s="38"/>
      <c r="H5" s="38"/>
      <c r="I5" s="38"/>
      <c r="J5" s="38"/>
      <c r="K5" s="38"/>
      <c r="L5" s="38"/>
      <c r="M5" s="38"/>
      <c r="N5" s="38"/>
      <c r="O5" s="38"/>
      <c r="P5" s="38"/>
      <c r="Q5" s="38"/>
    </row>
    <row r="6" spans="1:17" ht="3" customHeight="1">
      <c r="A6" s="38"/>
      <c r="B6" s="38"/>
      <c r="C6" s="38"/>
      <c r="D6" s="38"/>
      <c r="E6" s="38"/>
      <c r="F6" s="38"/>
      <c r="G6" s="38"/>
      <c r="H6" s="38"/>
      <c r="I6" s="38"/>
      <c r="J6" s="38"/>
      <c r="K6" s="38"/>
      <c r="L6" s="38"/>
      <c r="M6" s="38"/>
      <c r="N6" s="38"/>
      <c r="O6" s="38"/>
      <c r="P6" s="38"/>
      <c r="Q6" s="38"/>
    </row>
    <row r="7" spans="1:17" ht="23.15" customHeight="1">
      <c r="A7" s="38"/>
      <c r="B7" s="37" t="s">
        <v>2453</v>
      </c>
      <c r="C7" s="68"/>
      <c r="D7" s="68"/>
      <c r="E7" s="38"/>
      <c r="F7" s="860" t="e">
        <f>VLOOKUP(①基本情報!$Q$5,補助金用基本データ!$B$5:$S$179,16,0)</f>
        <v>#N/A</v>
      </c>
      <c r="G7" s="860"/>
      <c r="H7" s="860"/>
      <c r="I7" s="38"/>
      <c r="J7" s="38"/>
      <c r="K7" s="38"/>
      <c r="L7" s="38"/>
      <c r="M7" s="38"/>
      <c r="N7" s="38"/>
      <c r="O7" s="38"/>
      <c r="P7" s="38"/>
      <c r="Q7" s="38"/>
    </row>
    <row r="8" spans="1:17" ht="3" customHeight="1">
      <c r="A8" s="38"/>
      <c r="B8" s="38"/>
      <c r="C8" s="38"/>
      <c r="D8" s="38"/>
      <c r="E8" s="38"/>
      <c r="F8" s="861"/>
      <c r="G8" s="861"/>
      <c r="H8" s="861"/>
      <c r="I8" s="38"/>
      <c r="J8" s="38"/>
      <c r="K8" s="38"/>
      <c r="L8" s="38"/>
      <c r="M8" s="38"/>
      <c r="N8" s="38"/>
      <c r="O8" s="38"/>
      <c r="P8" s="38"/>
      <c r="Q8" s="38"/>
    </row>
    <row r="9" spans="1:17" ht="29.25" customHeight="1">
      <c r="A9" s="38"/>
      <c r="B9" s="38"/>
      <c r="C9" s="38"/>
      <c r="D9" s="38"/>
      <c r="E9" s="37" t="s">
        <v>1739</v>
      </c>
      <c r="F9" s="861"/>
      <c r="G9" s="861"/>
      <c r="H9" s="861"/>
      <c r="I9" s="38"/>
      <c r="J9" s="38"/>
      <c r="K9" s="38"/>
      <c r="L9" s="38"/>
      <c r="Q9" s="38"/>
    </row>
    <row r="10" spans="1:17" ht="23.15" customHeight="1">
      <c r="A10" s="38"/>
      <c r="B10" s="38"/>
      <c r="C10" s="38"/>
      <c r="D10" s="38"/>
      <c r="E10" s="37" t="s">
        <v>1740</v>
      </c>
      <c r="F10" s="910" t="e">
        <f>IF(様式４!F10="","",様式４!F10)</f>
        <v>#N/A</v>
      </c>
      <c r="G10" s="910"/>
      <c r="H10" s="910"/>
      <c r="I10" s="38"/>
      <c r="J10" s="38"/>
      <c r="K10" s="38"/>
      <c r="L10" s="38"/>
      <c r="Q10" s="38"/>
    </row>
    <row r="11" spans="1:17" ht="23.15" customHeight="1">
      <c r="A11" s="38"/>
      <c r="B11" s="38"/>
      <c r="C11" s="38"/>
      <c r="D11" s="38"/>
      <c r="E11" s="37" t="s">
        <v>1713</v>
      </c>
      <c r="F11" s="910" t="e">
        <f>VLOOKUP(①基本情報!$Q$5,補助金用基本データ!$B$5:$S$179,17,0)&amp;"　"&amp;VLOOKUP(①基本情報!$Q$5,補助金用基本データ!$B$5:$S$179,18,0)</f>
        <v>#N/A</v>
      </c>
      <c r="G11" s="910"/>
      <c r="H11" s="910"/>
      <c r="I11" s="908"/>
      <c r="J11" s="908"/>
      <c r="K11" s="908"/>
      <c r="L11" s="908"/>
      <c r="Q11" s="38"/>
    </row>
    <row r="12" spans="1:17" ht="23" customHeight="1">
      <c r="A12" s="38"/>
      <c r="B12" s="38"/>
      <c r="C12" s="38"/>
      <c r="D12" s="38"/>
      <c r="E12" s="598" t="s">
        <v>1714</v>
      </c>
      <c r="F12" s="910" t="e">
        <f>IF(様式４!F12="","",様式４!F12)</f>
        <v>#N/A</v>
      </c>
      <c r="G12" s="910"/>
      <c r="H12" s="910"/>
      <c r="J12" s="38" t="s">
        <v>1715</v>
      </c>
      <c r="K12" s="38"/>
      <c r="L12" s="38" t="s">
        <v>1341</v>
      </c>
      <c r="Q12" s="38"/>
    </row>
    <row r="13" spans="1:17" ht="23" customHeight="1">
      <c r="A13" s="38"/>
      <c r="B13" s="38"/>
      <c r="C13" s="38"/>
      <c r="D13" s="38"/>
      <c r="E13" s="598" t="s">
        <v>2456</v>
      </c>
      <c r="F13" s="910">
        <f>IF(様式４!F13="","",様式４!F13)</f>
        <v>0</v>
      </c>
      <c r="G13" s="910"/>
      <c r="H13" s="910"/>
      <c r="J13" s="38"/>
      <c r="K13" s="38"/>
      <c r="L13" s="38"/>
      <c r="Q13" s="38"/>
    </row>
    <row r="14" spans="1:17" ht="3" customHeight="1">
      <c r="A14" s="38"/>
      <c r="B14" s="38"/>
      <c r="C14" s="38"/>
      <c r="D14" s="38"/>
      <c r="E14" s="38"/>
      <c r="F14" s="38"/>
      <c r="G14" s="38"/>
      <c r="H14" s="38"/>
      <c r="I14" s="38"/>
      <c r="J14" s="38"/>
      <c r="K14" s="38"/>
      <c r="L14" s="38"/>
      <c r="M14" s="38"/>
      <c r="N14" s="38"/>
      <c r="O14" s="38"/>
      <c r="P14" s="38"/>
      <c r="Q14" s="38"/>
    </row>
    <row r="15" spans="1:17" ht="23.15" customHeight="1">
      <c r="B15" s="911" t="s">
        <v>2457</v>
      </c>
      <c r="C15" s="911"/>
      <c r="D15" s="911"/>
      <c r="E15" s="911"/>
      <c r="F15" s="911"/>
      <c r="G15" s="911"/>
      <c r="H15" s="911"/>
      <c r="I15" s="38"/>
      <c r="J15" s="38"/>
      <c r="K15" s="38"/>
      <c r="L15" s="38"/>
      <c r="M15" s="38"/>
      <c r="N15" s="38"/>
      <c r="O15" s="38"/>
      <c r="P15" s="38"/>
      <c r="Q15" s="38"/>
    </row>
    <row r="16" spans="1:17" ht="17.25" customHeight="1">
      <c r="B16" s="911"/>
      <c r="C16" s="911"/>
      <c r="D16" s="911"/>
      <c r="E16" s="911"/>
      <c r="F16" s="911"/>
      <c r="G16" s="911"/>
      <c r="H16" s="911"/>
      <c r="I16" s="38"/>
      <c r="J16" s="38"/>
      <c r="K16" s="38"/>
      <c r="L16" s="38"/>
      <c r="M16" s="38"/>
      <c r="N16" s="38"/>
      <c r="O16" s="38"/>
      <c r="P16" s="38"/>
      <c r="Q16" s="38"/>
    </row>
    <row r="17" spans="1:17" ht="13.5" customHeight="1">
      <c r="A17" s="38"/>
      <c r="B17" s="911"/>
      <c r="C17" s="911"/>
      <c r="D17" s="911"/>
      <c r="E17" s="911"/>
      <c r="F17" s="911"/>
      <c r="G17" s="911"/>
      <c r="H17" s="911"/>
      <c r="I17" s="38"/>
      <c r="J17" s="38"/>
      <c r="K17" s="38"/>
      <c r="L17" s="38"/>
      <c r="M17" s="38"/>
      <c r="N17" s="38"/>
      <c r="O17" s="38"/>
      <c r="P17" s="38"/>
      <c r="Q17" s="38"/>
    </row>
    <row r="18" spans="1:17" ht="3.75" customHeight="1">
      <c r="A18" s="38"/>
      <c r="B18" s="38"/>
      <c r="C18" s="38"/>
      <c r="D18" s="38"/>
      <c r="E18" s="38"/>
      <c r="F18" s="38"/>
      <c r="G18" s="38"/>
      <c r="H18" s="38"/>
      <c r="I18" s="38"/>
      <c r="J18" s="38"/>
      <c r="K18" s="38"/>
      <c r="L18" s="38"/>
      <c r="M18" s="38"/>
      <c r="N18" s="38"/>
      <c r="O18" s="38"/>
      <c r="P18" s="38"/>
      <c r="Q18" s="38"/>
    </row>
    <row r="19" spans="1:17" ht="23.15" customHeight="1">
      <c r="A19" s="38" t="s">
        <v>1741</v>
      </c>
      <c r="B19" s="38"/>
      <c r="C19" s="38"/>
      <c r="D19" s="38"/>
      <c r="E19" s="226" t="e">
        <f>G57</f>
        <v>#N/A</v>
      </c>
      <c r="F19" s="38"/>
      <c r="G19" s="209" t="s">
        <v>310</v>
      </c>
      <c r="H19" s="209"/>
      <c r="I19" s="38"/>
      <c r="J19" s="871"/>
      <c r="K19" s="871"/>
      <c r="L19" s="871"/>
      <c r="M19" s="871"/>
      <c r="O19" s="38"/>
      <c r="P19" s="38"/>
      <c r="Q19" s="38"/>
    </row>
    <row r="20" spans="1:17" ht="7.5" customHeight="1" thickBot="1">
      <c r="A20" s="38"/>
      <c r="B20" s="38"/>
      <c r="C20" s="38"/>
      <c r="D20" s="38"/>
      <c r="E20" s="38"/>
      <c r="F20" s="38"/>
      <c r="G20" s="38"/>
      <c r="H20" s="38"/>
      <c r="I20" s="38"/>
      <c r="J20" s="38"/>
      <c r="K20" s="38"/>
      <c r="L20" s="38"/>
      <c r="M20" s="38"/>
      <c r="N20" s="38"/>
      <c r="O20" s="38"/>
      <c r="P20" s="38"/>
      <c r="Q20" s="38"/>
    </row>
    <row r="21" spans="1:17" ht="23.15" customHeight="1">
      <c r="A21" s="38"/>
      <c r="B21" s="384" t="s">
        <v>311</v>
      </c>
      <c r="C21" s="403" t="s">
        <v>1742</v>
      </c>
      <c r="D21" s="404"/>
      <c r="E21" s="405" t="s">
        <v>316</v>
      </c>
      <c r="F21" s="404"/>
      <c r="G21" s="406" t="s">
        <v>1743</v>
      </c>
      <c r="H21" s="407"/>
      <c r="I21" s="38"/>
      <c r="J21" s="38"/>
      <c r="K21" s="38"/>
      <c r="L21" s="38"/>
      <c r="M21" s="38"/>
      <c r="N21" s="38"/>
      <c r="O21" s="38"/>
      <c r="P21" s="38"/>
      <c r="Q21" s="38"/>
    </row>
    <row r="22" spans="1:17" ht="12" customHeight="1">
      <c r="A22" s="38"/>
      <c r="B22" s="932" t="s">
        <v>1761</v>
      </c>
      <c r="C22" s="408"/>
      <c r="D22" s="409"/>
      <c r="E22" s="935" t="e">
        <f>様式６!E21</f>
        <v>#N/A</v>
      </c>
      <c r="F22" s="410"/>
      <c r="G22" s="36"/>
      <c r="H22" s="411"/>
      <c r="I22" s="38"/>
      <c r="J22" s="38"/>
      <c r="K22" s="38"/>
      <c r="L22" s="38"/>
      <c r="M22" s="38"/>
      <c r="N22" s="38"/>
      <c r="O22" s="38"/>
      <c r="P22" s="38"/>
      <c r="Q22" s="38"/>
    </row>
    <row r="23" spans="1:17" ht="12" customHeight="1">
      <c r="A23" s="38"/>
      <c r="B23" s="933"/>
      <c r="C23" s="412"/>
      <c r="D23" s="413"/>
      <c r="E23" s="936"/>
      <c r="F23" s="414"/>
      <c r="G23" s="36"/>
      <c r="H23" s="411"/>
      <c r="I23" s="38"/>
      <c r="J23" s="38"/>
      <c r="K23" s="38"/>
      <c r="L23" s="38"/>
      <c r="M23" s="38"/>
      <c r="N23" s="38"/>
      <c r="O23" s="38"/>
      <c r="P23" s="38"/>
      <c r="Q23" s="38"/>
    </row>
    <row r="24" spans="1:17" ht="12" customHeight="1">
      <c r="A24" s="38"/>
      <c r="B24" s="933"/>
      <c r="C24" s="937">
        <f>様式６!G22</f>
        <v>0</v>
      </c>
      <c r="D24" s="38"/>
      <c r="E24" s="936"/>
      <c r="F24" s="415"/>
      <c r="G24" s="38"/>
      <c r="H24" s="389"/>
      <c r="I24" s="38"/>
      <c r="J24" s="38"/>
      <c r="K24" s="38"/>
      <c r="L24" s="38"/>
      <c r="M24" s="38"/>
      <c r="N24" s="38"/>
      <c r="O24" s="38"/>
      <c r="P24" s="38"/>
      <c r="Q24" s="38"/>
    </row>
    <row r="25" spans="1:17" ht="25" customHeight="1">
      <c r="A25" s="38"/>
      <c r="B25" s="934"/>
      <c r="C25" s="930"/>
      <c r="D25" s="391" t="s">
        <v>312</v>
      </c>
      <c r="E25" s="392" t="e">
        <f>様式６!E22</f>
        <v>#N/A</v>
      </c>
      <c r="F25" s="416" t="s">
        <v>312</v>
      </c>
      <c r="G25" s="417" t="e">
        <f>C24-E25</f>
        <v>#N/A</v>
      </c>
      <c r="H25" s="393" t="s">
        <v>312</v>
      </c>
      <c r="I25" s="38"/>
      <c r="J25" s="38"/>
      <c r="K25" s="38"/>
      <c r="L25" s="38"/>
      <c r="M25" s="38"/>
      <c r="N25" s="38"/>
      <c r="O25" s="38"/>
      <c r="P25" s="38"/>
      <c r="Q25" s="38"/>
    </row>
    <row r="26" spans="1:17" ht="12" customHeight="1">
      <c r="A26" s="38"/>
      <c r="B26" s="932" t="s">
        <v>1755</v>
      </c>
      <c r="C26" s="408"/>
      <c r="D26" s="409"/>
      <c r="E26" s="935" t="e">
        <f>様式６!E23</f>
        <v>#N/A</v>
      </c>
      <c r="F26" s="410"/>
      <c r="G26" s="36"/>
      <c r="H26" s="411"/>
      <c r="I26" s="38"/>
      <c r="J26" s="38"/>
      <c r="K26" s="38"/>
      <c r="L26" s="38"/>
      <c r="M26" s="38"/>
      <c r="N26" s="38"/>
      <c r="O26" s="38"/>
      <c r="P26" s="38"/>
      <c r="Q26" s="38"/>
    </row>
    <row r="27" spans="1:17" ht="12" customHeight="1">
      <c r="A27" s="38"/>
      <c r="B27" s="933"/>
      <c r="C27" s="412"/>
      <c r="D27" s="413"/>
      <c r="E27" s="936"/>
      <c r="F27" s="414"/>
      <c r="G27" s="36"/>
      <c r="H27" s="411"/>
      <c r="I27" s="38"/>
      <c r="J27" s="38"/>
      <c r="K27" s="38"/>
      <c r="L27" s="38"/>
      <c r="M27" s="38"/>
      <c r="N27" s="38"/>
      <c r="O27" s="38"/>
      <c r="P27" s="38"/>
      <c r="Q27" s="38"/>
    </row>
    <row r="28" spans="1:17" ht="12" customHeight="1">
      <c r="A28" s="38"/>
      <c r="B28" s="933"/>
      <c r="C28" s="937">
        <f>様式６!G24</f>
        <v>0</v>
      </c>
      <c r="D28" s="38"/>
      <c r="E28" s="936"/>
      <c r="F28" s="415"/>
      <c r="G28" s="38"/>
      <c r="H28" s="389"/>
      <c r="I28" s="38"/>
      <c r="J28" s="38"/>
      <c r="K28" s="38"/>
      <c r="L28" s="38"/>
      <c r="M28" s="38"/>
      <c r="N28" s="38"/>
      <c r="O28" s="38"/>
      <c r="P28" s="38"/>
      <c r="Q28" s="38"/>
    </row>
    <row r="29" spans="1:17" ht="25" customHeight="1">
      <c r="A29" s="38"/>
      <c r="B29" s="934"/>
      <c r="C29" s="930"/>
      <c r="D29" s="391" t="s">
        <v>312</v>
      </c>
      <c r="E29" s="392" t="e">
        <f>様式６!E24</f>
        <v>#N/A</v>
      </c>
      <c r="F29" s="416" t="s">
        <v>312</v>
      </c>
      <c r="G29" s="417" t="e">
        <f>C28-E29</f>
        <v>#N/A</v>
      </c>
      <c r="H29" s="393" t="s">
        <v>312</v>
      </c>
      <c r="I29" s="38"/>
      <c r="J29" s="38"/>
      <c r="K29" s="38"/>
      <c r="L29" s="38"/>
      <c r="M29" s="38"/>
      <c r="N29" s="38"/>
      <c r="O29" s="38"/>
      <c r="P29" s="38"/>
      <c r="Q29" s="38"/>
    </row>
    <row r="30" spans="1:17" ht="12" customHeight="1">
      <c r="A30" s="38"/>
      <c r="B30" s="932" t="s">
        <v>1762</v>
      </c>
      <c r="C30" s="408"/>
      <c r="D30" s="409"/>
      <c r="E30" s="935" t="e">
        <f>様式６!E25</f>
        <v>#N/A</v>
      </c>
      <c r="F30" s="410"/>
      <c r="G30" s="36"/>
      <c r="H30" s="411"/>
      <c r="I30" s="38"/>
      <c r="J30" s="38"/>
      <c r="K30" s="38"/>
      <c r="L30" s="38"/>
      <c r="M30" s="38"/>
      <c r="N30" s="38"/>
      <c r="O30" s="38"/>
      <c r="P30" s="38"/>
      <c r="Q30" s="38"/>
    </row>
    <row r="31" spans="1:17" ht="12" customHeight="1">
      <c r="A31" s="38"/>
      <c r="B31" s="933"/>
      <c r="C31" s="412"/>
      <c r="D31" s="413"/>
      <c r="E31" s="936"/>
      <c r="F31" s="414"/>
      <c r="G31" s="36"/>
      <c r="H31" s="411"/>
      <c r="I31" s="38"/>
      <c r="J31" s="38"/>
      <c r="K31" s="38"/>
      <c r="L31" s="38"/>
      <c r="M31" s="38"/>
      <c r="N31" s="38"/>
      <c r="O31" s="38"/>
      <c r="P31" s="38"/>
      <c r="Q31" s="38"/>
    </row>
    <row r="32" spans="1:17" ht="12" customHeight="1">
      <c r="A32" s="38"/>
      <c r="B32" s="933"/>
      <c r="C32" s="937">
        <f>様式６!G26</f>
        <v>0</v>
      </c>
      <c r="D32" s="38"/>
      <c r="E32" s="936"/>
      <c r="F32" s="415"/>
      <c r="G32" s="38"/>
      <c r="H32" s="389"/>
      <c r="I32" s="38"/>
      <c r="J32" s="38"/>
      <c r="K32" s="38"/>
      <c r="L32" s="38"/>
      <c r="M32" s="38"/>
      <c r="N32" s="38"/>
      <c r="O32" s="38"/>
      <c r="P32" s="38"/>
      <c r="Q32" s="38"/>
    </row>
    <row r="33" spans="1:17" ht="25" customHeight="1">
      <c r="A33" s="38"/>
      <c r="B33" s="934"/>
      <c r="C33" s="930"/>
      <c r="D33" s="68" t="s">
        <v>312</v>
      </c>
      <c r="E33" s="392" t="e">
        <f>様式６!E26</f>
        <v>#N/A</v>
      </c>
      <c r="F33" s="416" t="s">
        <v>312</v>
      </c>
      <c r="G33" s="417" t="e">
        <f>C32-E33</f>
        <v>#N/A</v>
      </c>
      <c r="H33" s="393" t="s">
        <v>312</v>
      </c>
      <c r="I33" s="38"/>
      <c r="J33" s="38"/>
      <c r="K33" s="38"/>
      <c r="L33" s="38"/>
      <c r="M33" s="38"/>
      <c r="N33" s="38"/>
      <c r="O33" s="38"/>
      <c r="P33" s="38"/>
      <c r="Q33" s="38"/>
    </row>
    <row r="34" spans="1:17" ht="12" customHeight="1">
      <c r="A34" s="38"/>
      <c r="B34" s="932" t="s">
        <v>1757</v>
      </c>
      <c r="C34" s="385"/>
      <c r="D34" s="418"/>
      <c r="E34" s="935" t="e">
        <f>様式６!E27</f>
        <v>#N/A</v>
      </c>
      <c r="F34" s="410"/>
      <c r="G34" s="36"/>
      <c r="H34" s="411"/>
      <c r="I34" s="38"/>
      <c r="J34" s="38"/>
      <c r="K34" s="38"/>
      <c r="L34" s="38"/>
      <c r="M34" s="38"/>
      <c r="N34" s="38"/>
      <c r="O34" s="38"/>
      <c r="P34" s="38"/>
      <c r="Q34" s="38"/>
    </row>
    <row r="35" spans="1:17" ht="12" customHeight="1">
      <c r="A35" s="38"/>
      <c r="B35" s="933"/>
      <c r="C35" s="388"/>
      <c r="D35" s="68"/>
      <c r="E35" s="936"/>
      <c r="F35" s="414"/>
      <c r="G35" s="36"/>
      <c r="H35" s="411"/>
      <c r="I35" s="38"/>
      <c r="J35" s="38"/>
      <c r="K35" s="38"/>
      <c r="L35" s="38"/>
      <c r="M35" s="38"/>
      <c r="N35" s="38"/>
      <c r="O35" s="38"/>
      <c r="P35" s="38"/>
      <c r="Q35" s="38"/>
    </row>
    <row r="36" spans="1:17" ht="12" customHeight="1">
      <c r="A36" s="38"/>
      <c r="B36" s="933"/>
      <c r="C36" s="937">
        <f>様式６!G28</f>
        <v>0</v>
      </c>
      <c r="D36" s="38"/>
      <c r="E36" s="936"/>
      <c r="F36" s="415"/>
      <c r="G36" s="38"/>
      <c r="H36" s="389"/>
      <c r="I36" s="38"/>
      <c r="J36" s="38"/>
      <c r="K36" s="38"/>
      <c r="L36" s="38"/>
      <c r="M36" s="38"/>
      <c r="N36" s="38"/>
      <c r="O36" s="38"/>
      <c r="P36" s="38"/>
      <c r="Q36" s="38"/>
    </row>
    <row r="37" spans="1:17" ht="25" customHeight="1">
      <c r="A37" s="38"/>
      <c r="B37" s="934"/>
      <c r="C37" s="930"/>
      <c r="D37" s="391" t="s">
        <v>312</v>
      </c>
      <c r="E37" s="392" t="e">
        <f>様式６!E28</f>
        <v>#N/A</v>
      </c>
      <c r="F37" s="416" t="s">
        <v>312</v>
      </c>
      <c r="G37" s="417" t="e">
        <f>C36-E37</f>
        <v>#N/A</v>
      </c>
      <c r="H37" s="393" t="s">
        <v>312</v>
      </c>
      <c r="I37" s="38"/>
      <c r="J37" s="38"/>
      <c r="K37" s="38"/>
      <c r="L37" s="38"/>
      <c r="M37" s="38"/>
      <c r="N37" s="38"/>
      <c r="O37" s="38"/>
      <c r="P37" s="38"/>
      <c r="Q37" s="38"/>
    </row>
    <row r="38" spans="1:17" ht="12" customHeight="1">
      <c r="A38" s="38"/>
      <c r="B38" s="938" t="s">
        <v>1763</v>
      </c>
      <c r="C38" s="385"/>
      <c r="D38" s="419"/>
      <c r="E38" s="935" t="e">
        <f>様式６!E29</f>
        <v>#N/A</v>
      </c>
      <c r="F38" s="410"/>
      <c r="G38" s="226"/>
      <c r="H38" s="420"/>
      <c r="I38" s="38"/>
      <c r="J38" s="38"/>
      <c r="K38" s="38"/>
      <c r="L38" s="38"/>
      <c r="M38" s="38"/>
      <c r="N38" s="38"/>
      <c r="O38" s="38"/>
      <c r="P38" s="38"/>
      <c r="Q38" s="38"/>
    </row>
    <row r="39" spans="1:17" ht="12" customHeight="1">
      <c r="A39" s="38"/>
      <c r="B39" s="933"/>
      <c r="C39" s="388"/>
      <c r="D39" s="421"/>
      <c r="E39" s="936"/>
      <c r="F39" s="414"/>
      <c r="G39" s="226"/>
      <c r="H39" s="420"/>
      <c r="I39" s="38"/>
      <c r="J39" s="38"/>
      <c r="K39" s="38"/>
      <c r="L39" s="38"/>
      <c r="M39" s="38"/>
      <c r="N39" s="38"/>
      <c r="O39" s="38"/>
      <c r="P39" s="38"/>
      <c r="Q39" s="38"/>
    </row>
    <row r="40" spans="1:17" ht="12" customHeight="1">
      <c r="A40" s="38"/>
      <c r="B40" s="933"/>
      <c r="C40" s="937">
        <f>様式６!G30</f>
        <v>0</v>
      </c>
      <c r="D40" s="422"/>
      <c r="E40" s="936"/>
      <c r="F40" s="415"/>
      <c r="G40" s="38"/>
      <c r="H40" s="389"/>
      <c r="I40" s="38"/>
      <c r="J40" s="38"/>
      <c r="K40" s="38"/>
      <c r="L40" s="38"/>
      <c r="M40" s="38"/>
      <c r="N40" s="38"/>
      <c r="O40" s="38"/>
      <c r="P40" s="38"/>
      <c r="Q40" s="38"/>
    </row>
    <row r="41" spans="1:17" ht="25" customHeight="1">
      <c r="A41" s="38"/>
      <c r="B41" s="934"/>
      <c r="C41" s="930"/>
      <c r="D41" s="416" t="s">
        <v>312</v>
      </c>
      <c r="E41" s="392" t="e">
        <f>様式６!E30</f>
        <v>#N/A</v>
      </c>
      <c r="F41" s="416" t="s">
        <v>312</v>
      </c>
      <c r="G41" s="417" t="e">
        <f>C40-E41</f>
        <v>#N/A</v>
      </c>
      <c r="H41" s="393" t="s">
        <v>312</v>
      </c>
      <c r="I41" s="38"/>
      <c r="J41" s="38"/>
      <c r="K41" s="38"/>
      <c r="L41" s="38"/>
      <c r="M41" s="38"/>
      <c r="N41" s="38"/>
      <c r="O41" s="38"/>
      <c r="P41" s="38"/>
      <c r="Q41" s="38"/>
    </row>
    <row r="42" spans="1:17" ht="12" customHeight="1">
      <c r="A42" s="38"/>
      <c r="B42" s="939" t="s">
        <v>1764</v>
      </c>
      <c r="C42" s="423"/>
      <c r="D42" s="68"/>
      <c r="E42" s="935" t="e">
        <f>様式６!E31</f>
        <v>#N/A</v>
      </c>
      <c r="F42" s="410"/>
      <c r="G42" s="226"/>
      <c r="H42" s="420"/>
      <c r="I42" s="38"/>
      <c r="J42" s="38"/>
      <c r="K42" s="38"/>
      <c r="L42" s="38"/>
      <c r="M42" s="38"/>
      <c r="N42" s="38"/>
      <c r="O42" s="38"/>
      <c r="P42" s="38"/>
      <c r="Q42" s="38"/>
    </row>
    <row r="43" spans="1:17" ht="12" customHeight="1">
      <c r="A43" s="38"/>
      <c r="B43" s="940"/>
      <c r="C43" s="423"/>
      <c r="D43" s="68"/>
      <c r="E43" s="936"/>
      <c r="F43" s="414"/>
      <c r="G43" s="226"/>
      <c r="H43" s="420"/>
      <c r="I43" s="38"/>
      <c r="J43" s="38"/>
      <c r="K43" s="38"/>
      <c r="L43" s="38"/>
      <c r="M43" s="38"/>
      <c r="N43" s="38"/>
      <c r="O43" s="38"/>
      <c r="P43" s="38"/>
      <c r="Q43" s="38"/>
    </row>
    <row r="44" spans="1:17" ht="12" customHeight="1">
      <c r="A44" s="38"/>
      <c r="B44" s="940"/>
      <c r="C44" s="937">
        <f>様式６!G32</f>
        <v>0</v>
      </c>
      <c r="D44" s="38"/>
      <c r="E44" s="936"/>
      <c r="F44" s="415"/>
      <c r="G44" s="38"/>
      <c r="H44" s="389"/>
      <c r="I44" s="38"/>
      <c r="J44" s="38"/>
      <c r="K44" s="38"/>
      <c r="L44" s="38"/>
      <c r="M44" s="38"/>
      <c r="N44" s="38"/>
      <c r="O44" s="38"/>
      <c r="P44" s="38"/>
      <c r="Q44" s="38"/>
    </row>
    <row r="45" spans="1:17" ht="25" customHeight="1">
      <c r="A45" s="38"/>
      <c r="B45" s="941"/>
      <c r="C45" s="930"/>
      <c r="D45" s="416" t="s">
        <v>312</v>
      </c>
      <c r="E45" s="392" t="e">
        <f>様式６!E32</f>
        <v>#N/A</v>
      </c>
      <c r="F45" s="416" t="s">
        <v>312</v>
      </c>
      <c r="G45" s="417" t="e">
        <f>C44-E45</f>
        <v>#N/A</v>
      </c>
      <c r="H45" s="393" t="s">
        <v>312</v>
      </c>
      <c r="I45" s="38"/>
      <c r="J45" s="38"/>
      <c r="K45" s="38"/>
      <c r="L45" s="38"/>
      <c r="M45" s="38"/>
      <c r="N45" s="38"/>
      <c r="O45" s="38"/>
      <c r="P45" s="38"/>
      <c r="Q45" s="38"/>
    </row>
    <row r="46" spans="1:17" ht="12" customHeight="1">
      <c r="A46" s="38"/>
      <c r="B46" s="939" t="s">
        <v>1765</v>
      </c>
      <c r="C46" s="423"/>
      <c r="D46" s="68"/>
      <c r="E46" s="935" t="e">
        <f>様式６!E33</f>
        <v>#N/A</v>
      </c>
      <c r="F46" s="410"/>
      <c r="G46" s="226"/>
      <c r="H46" s="420"/>
      <c r="I46" s="38"/>
      <c r="J46" s="38"/>
      <c r="K46" s="38"/>
      <c r="L46" s="38"/>
      <c r="M46" s="38"/>
      <c r="N46" s="38"/>
      <c r="O46" s="38"/>
      <c r="P46" s="38"/>
      <c r="Q46" s="38"/>
    </row>
    <row r="47" spans="1:17" ht="12" customHeight="1">
      <c r="A47" s="38"/>
      <c r="B47" s="940"/>
      <c r="C47" s="423"/>
      <c r="D47" s="68"/>
      <c r="E47" s="936"/>
      <c r="F47" s="414"/>
      <c r="G47" s="226"/>
      <c r="H47" s="420"/>
      <c r="I47" s="38"/>
      <c r="J47" s="38"/>
      <c r="K47" s="38"/>
      <c r="L47" s="38"/>
      <c r="M47" s="38"/>
      <c r="N47" s="38"/>
      <c r="O47" s="38"/>
      <c r="P47" s="38"/>
      <c r="Q47" s="38"/>
    </row>
    <row r="48" spans="1:17" ht="12" customHeight="1">
      <c r="A48" s="38"/>
      <c r="B48" s="940"/>
      <c r="C48" s="937">
        <f>様式６!G34</f>
        <v>0</v>
      </c>
      <c r="D48" s="38"/>
      <c r="E48" s="936"/>
      <c r="F48" s="415"/>
      <c r="G48" s="38"/>
      <c r="H48" s="389"/>
      <c r="I48" s="38"/>
      <c r="J48" s="38"/>
      <c r="K48" s="38"/>
      <c r="L48" s="38"/>
      <c r="M48" s="38"/>
      <c r="N48" s="38"/>
      <c r="O48" s="38"/>
      <c r="P48" s="38"/>
      <c r="Q48" s="38"/>
    </row>
    <row r="49" spans="1:17" ht="25" customHeight="1">
      <c r="A49" s="38"/>
      <c r="B49" s="941"/>
      <c r="C49" s="930"/>
      <c r="D49" s="416" t="s">
        <v>312</v>
      </c>
      <c r="E49" s="392" t="e">
        <f>様式６!E34</f>
        <v>#N/A</v>
      </c>
      <c r="F49" s="416" t="s">
        <v>312</v>
      </c>
      <c r="G49" s="417" t="e">
        <f>C48-E49</f>
        <v>#N/A</v>
      </c>
      <c r="H49" s="393" t="s">
        <v>312</v>
      </c>
      <c r="I49" s="38"/>
      <c r="J49" s="38"/>
      <c r="K49" s="38"/>
      <c r="L49" s="38"/>
      <c r="M49" s="38"/>
      <c r="N49" s="38"/>
      <c r="O49" s="38"/>
      <c r="P49" s="38"/>
      <c r="Q49" s="38"/>
    </row>
    <row r="50" spans="1:17" ht="12" customHeight="1">
      <c r="A50" s="38"/>
      <c r="B50" s="939" t="s">
        <v>2455</v>
      </c>
      <c r="C50" s="423"/>
      <c r="D50" s="68"/>
      <c r="E50" s="935" t="e">
        <f>様式６!E35</f>
        <v>#N/A</v>
      </c>
      <c r="F50" s="410"/>
      <c r="G50" s="226"/>
      <c r="H50" s="420"/>
      <c r="I50" s="38"/>
      <c r="J50" s="38"/>
      <c r="K50" s="38"/>
      <c r="L50" s="38"/>
      <c r="M50" s="38"/>
      <c r="N50" s="38"/>
      <c r="O50" s="38"/>
      <c r="P50" s="38"/>
      <c r="Q50" s="38"/>
    </row>
    <row r="51" spans="1:17" ht="12" customHeight="1">
      <c r="A51" s="38"/>
      <c r="B51" s="940"/>
      <c r="C51" s="423"/>
      <c r="D51" s="68"/>
      <c r="E51" s="936"/>
      <c r="F51" s="414"/>
      <c r="G51" s="226"/>
      <c r="H51" s="420"/>
      <c r="I51" s="38"/>
      <c r="J51" s="38"/>
      <c r="K51" s="38"/>
      <c r="L51" s="38"/>
      <c r="M51" s="38"/>
      <c r="N51" s="38"/>
      <c r="O51" s="38"/>
      <c r="P51" s="38"/>
      <c r="Q51" s="38"/>
    </row>
    <row r="52" spans="1:17" ht="12" customHeight="1">
      <c r="A52" s="38"/>
      <c r="B52" s="940"/>
      <c r="C52" s="937" t="e">
        <f>様式６!G36</f>
        <v>#N/A</v>
      </c>
      <c r="D52" s="38"/>
      <c r="E52" s="936"/>
      <c r="F52" s="415"/>
      <c r="G52" s="38"/>
      <c r="H52" s="389"/>
      <c r="I52" s="38"/>
      <c r="J52" s="38"/>
      <c r="K52" s="38"/>
      <c r="L52" s="38"/>
      <c r="M52" s="38"/>
      <c r="N52" s="38"/>
      <c r="O52" s="38"/>
      <c r="P52" s="38"/>
      <c r="Q52" s="38"/>
    </row>
    <row r="53" spans="1:17" ht="25" customHeight="1">
      <c r="A53" s="38"/>
      <c r="B53" s="941"/>
      <c r="C53" s="930"/>
      <c r="D53" s="416" t="s">
        <v>312</v>
      </c>
      <c r="E53" s="392">
        <f>様式６!E36</f>
        <v>0</v>
      </c>
      <c r="F53" s="416" t="s">
        <v>312</v>
      </c>
      <c r="G53" s="417" t="e">
        <f>C52-E53</f>
        <v>#N/A</v>
      </c>
      <c r="H53" s="393" t="s">
        <v>312</v>
      </c>
      <c r="I53" s="38"/>
      <c r="J53" s="38"/>
      <c r="K53" s="38"/>
      <c r="L53" s="38"/>
      <c r="M53" s="38"/>
      <c r="N53" s="38"/>
      <c r="O53" s="38"/>
      <c r="P53" s="38"/>
      <c r="Q53" s="38"/>
    </row>
    <row r="54" spans="1:17" ht="12" customHeight="1">
      <c r="A54" s="38"/>
      <c r="B54" s="939" t="s">
        <v>313</v>
      </c>
      <c r="C54" s="388"/>
      <c r="D54" s="68"/>
      <c r="E54" s="935" t="e">
        <f>E38</f>
        <v>#N/A</v>
      </c>
      <c r="F54" s="410"/>
      <c r="G54" s="226"/>
      <c r="H54" s="420"/>
      <c r="I54" s="38"/>
      <c r="J54" s="38"/>
      <c r="K54" s="38"/>
      <c r="L54" s="38"/>
      <c r="M54" s="38"/>
      <c r="N54" s="38"/>
      <c r="O54" s="38"/>
      <c r="P54" s="38"/>
      <c r="Q54" s="38"/>
    </row>
    <row r="55" spans="1:17" ht="12" customHeight="1">
      <c r="A55" s="38"/>
      <c r="B55" s="940"/>
      <c r="C55" s="388"/>
      <c r="D55" s="68"/>
      <c r="E55" s="936"/>
      <c r="F55" s="414"/>
      <c r="G55" s="226"/>
      <c r="H55" s="420"/>
      <c r="I55" s="38"/>
      <c r="J55" s="38"/>
      <c r="K55" s="38"/>
      <c r="L55" s="38"/>
      <c r="M55" s="38"/>
      <c r="N55" s="38"/>
      <c r="O55" s="38"/>
      <c r="P55" s="38"/>
      <c r="Q55" s="38"/>
    </row>
    <row r="56" spans="1:17" ht="12" customHeight="1">
      <c r="A56" s="38"/>
      <c r="B56" s="940"/>
      <c r="C56" s="937" t="e">
        <f>SUM(C24,C28,C32,C36,C40,C44,C48,C52)</f>
        <v>#N/A</v>
      </c>
      <c r="D56" s="38"/>
      <c r="E56" s="936"/>
      <c r="F56" s="415"/>
      <c r="G56" s="38"/>
      <c r="H56" s="389"/>
      <c r="I56" s="38"/>
      <c r="J56" s="38"/>
      <c r="K56" s="38"/>
      <c r="L56" s="38"/>
      <c r="M56" s="38"/>
      <c r="N56" s="38"/>
      <c r="O56" s="38"/>
      <c r="P56" s="38"/>
      <c r="Q56" s="38"/>
    </row>
    <row r="57" spans="1:17" ht="27" customHeight="1" thickBot="1">
      <c r="A57" s="38"/>
      <c r="B57" s="942"/>
      <c r="C57" s="931"/>
      <c r="D57" s="397" t="s">
        <v>312</v>
      </c>
      <c r="E57" s="398" t="e">
        <f>様式６!E38</f>
        <v>#N/A</v>
      </c>
      <c r="F57" s="402" t="s">
        <v>312</v>
      </c>
      <c r="G57" s="424" t="e">
        <f>C56-E57</f>
        <v>#N/A</v>
      </c>
      <c r="H57" s="399" t="s">
        <v>312</v>
      </c>
      <c r="I57" s="38"/>
      <c r="J57" s="38"/>
      <c r="K57" s="38"/>
      <c r="L57" s="38"/>
      <c r="M57" s="38"/>
      <c r="N57" s="38"/>
      <c r="O57" s="38"/>
      <c r="P57" s="38"/>
      <c r="Q57" s="38"/>
    </row>
  </sheetData>
  <sheetProtection algorithmName="SHA-512" hashValue="0EkAZjVGM2YVZu0IEgVMAKGipaVEvmDnxMLcWMG1ZZcu4Ht+D9cCbB/0MDueNITpBeM+aOQMNZroqZB8drgcGw==" saltValue="TD7wnFoHDM7wVyVS3U4QQw==" spinCount="100000" sheet="1" selectLockedCells="1"/>
  <mergeCells count="37">
    <mergeCell ref="B42:B45"/>
    <mergeCell ref="E42:E44"/>
    <mergeCell ref="C44:C45"/>
    <mergeCell ref="B54:B57"/>
    <mergeCell ref="E54:E56"/>
    <mergeCell ref="C56:C57"/>
    <mergeCell ref="B46:B49"/>
    <mergeCell ref="E46:E48"/>
    <mergeCell ref="C48:C49"/>
    <mergeCell ref="B50:B53"/>
    <mergeCell ref="E50:E52"/>
    <mergeCell ref="C52:C53"/>
    <mergeCell ref="B34:B37"/>
    <mergeCell ref="E34:E36"/>
    <mergeCell ref="C36:C37"/>
    <mergeCell ref="B38:B41"/>
    <mergeCell ref="E38:E40"/>
    <mergeCell ref="C40:C41"/>
    <mergeCell ref="B26:B29"/>
    <mergeCell ref="E26:E28"/>
    <mergeCell ref="C28:C29"/>
    <mergeCell ref="B30:B33"/>
    <mergeCell ref="E30:E32"/>
    <mergeCell ref="C32:C33"/>
    <mergeCell ref="F12:H12"/>
    <mergeCell ref="B15:H17"/>
    <mergeCell ref="J19:M19"/>
    <mergeCell ref="B22:B25"/>
    <mergeCell ref="E22:E24"/>
    <mergeCell ref="C24:C25"/>
    <mergeCell ref="F13:H13"/>
    <mergeCell ref="I11:L11"/>
    <mergeCell ref="C4:E4"/>
    <mergeCell ref="C5:E5"/>
    <mergeCell ref="F7:H9"/>
    <mergeCell ref="F10:H10"/>
    <mergeCell ref="F11:H11"/>
  </mergeCells>
  <phoneticPr fontId="1"/>
  <conditionalFormatting sqref="F7:H7 F10:H11">
    <cfRule type="containsBlanks" dxfId="2" priority="2">
      <formula>LEN(TRIM(F7))=0</formula>
    </cfRule>
  </conditionalFormatting>
  <conditionalFormatting sqref="G2">
    <cfRule type="containsBlanks" dxfId="1" priority="1">
      <formula>LEN(TRIM(G2))=0</formula>
    </cfRule>
  </conditionalFormatting>
  <dataValidations disablePrompts="1" count="1">
    <dataValidation type="date" operator="notEqual" allowBlank="1" showInputMessage="1" showErrorMessage="1" sqref="G2" xr:uid="{299455A8-97B4-4C19-97FA-C8AF39E6773F}">
      <formula1>92</formula1>
    </dataValidation>
  </dataValidations>
  <pageMargins left="0.78740157480314965" right="0.78740157480314965" top="0.98425196850393704" bottom="0.98425196850393704" header="0.51181102362204722" footer="0.51181102362204722"/>
  <pageSetup paperSize="9" scale="75" orientation="portrait" blackAndWhite="1"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311A0-8D54-4D52-A457-923ACF528FB9}">
  <sheetPr>
    <tabColor rgb="FF7030A0"/>
  </sheetPr>
  <dimension ref="A1:AA30"/>
  <sheetViews>
    <sheetView view="pageBreakPreview" zoomScale="80" zoomScaleNormal="70" zoomScaleSheetLayoutView="80" workbookViewId="0">
      <selection activeCell="C10" sqref="C10:D12"/>
    </sheetView>
  </sheetViews>
  <sheetFormatPr defaultColWidth="3.33203125" defaultRowHeight="14"/>
  <cols>
    <col min="1" max="1" width="22.5" style="425" customWidth="1"/>
    <col min="2" max="3" width="19.75" style="425" customWidth="1"/>
    <col min="4" max="4" width="26.83203125" style="425" customWidth="1"/>
    <col min="5" max="5" width="3.58203125" style="425" customWidth="1"/>
    <col min="6" max="6" width="14.75" style="425" bestFit="1" customWidth="1"/>
    <col min="7" max="7" width="10.5" style="425" customWidth="1"/>
    <col min="8" max="8" width="11.33203125" style="425" bestFit="1" customWidth="1"/>
    <col min="9" max="238" width="3.33203125" style="425"/>
    <col min="239" max="260" width="3.83203125" style="425" customWidth="1"/>
    <col min="261" max="261" width="3.58203125" style="425" customWidth="1"/>
    <col min="262" max="494" width="3.33203125" style="425"/>
    <col min="495" max="516" width="3.83203125" style="425" customWidth="1"/>
    <col min="517" max="517" width="3.58203125" style="425" customWidth="1"/>
    <col min="518" max="750" width="3.33203125" style="425"/>
    <col min="751" max="772" width="3.83203125" style="425" customWidth="1"/>
    <col min="773" max="773" width="3.58203125" style="425" customWidth="1"/>
    <col min="774" max="1006" width="3.33203125" style="425"/>
    <col min="1007" max="1028" width="3.83203125" style="425" customWidth="1"/>
    <col min="1029" max="1029" width="3.58203125" style="425" customWidth="1"/>
    <col min="1030" max="1262" width="3.33203125" style="425"/>
    <col min="1263" max="1284" width="3.83203125" style="425" customWidth="1"/>
    <col min="1285" max="1285" width="3.58203125" style="425" customWidth="1"/>
    <col min="1286" max="1518" width="3.33203125" style="425"/>
    <col min="1519" max="1540" width="3.83203125" style="425" customWidth="1"/>
    <col min="1541" max="1541" width="3.58203125" style="425" customWidth="1"/>
    <col min="1542" max="1774" width="3.33203125" style="425"/>
    <col min="1775" max="1796" width="3.83203125" style="425" customWidth="1"/>
    <col min="1797" max="1797" width="3.58203125" style="425" customWidth="1"/>
    <col min="1798" max="2030" width="3.33203125" style="425"/>
    <col min="2031" max="2052" width="3.83203125" style="425" customWidth="1"/>
    <col min="2053" max="2053" width="3.58203125" style="425" customWidth="1"/>
    <col min="2054" max="2286" width="3.33203125" style="425"/>
    <col min="2287" max="2308" width="3.83203125" style="425" customWidth="1"/>
    <col min="2309" max="2309" width="3.58203125" style="425" customWidth="1"/>
    <col min="2310" max="2542" width="3.33203125" style="425"/>
    <col min="2543" max="2564" width="3.83203125" style="425" customWidth="1"/>
    <col min="2565" max="2565" width="3.58203125" style="425" customWidth="1"/>
    <col min="2566" max="2798" width="3.33203125" style="425"/>
    <col min="2799" max="2820" width="3.83203125" style="425" customWidth="1"/>
    <col min="2821" max="2821" width="3.58203125" style="425" customWidth="1"/>
    <col min="2822" max="3054" width="3.33203125" style="425"/>
    <col min="3055" max="3076" width="3.83203125" style="425" customWidth="1"/>
    <col min="3077" max="3077" width="3.58203125" style="425" customWidth="1"/>
    <col min="3078" max="3310" width="3.33203125" style="425"/>
    <col min="3311" max="3332" width="3.83203125" style="425" customWidth="1"/>
    <col min="3333" max="3333" width="3.58203125" style="425" customWidth="1"/>
    <col min="3334" max="3566" width="3.33203125" style="425"/>
    <col min="3567" max="3588" width="3.83203125" style="425" customWidth="1"/>
    <col min="3589" max="3589" width="3.58203125" style="425" customWidth="1"/>
    <col min="3590" max="3822" width="3.33203125" style="425"/>
    <col min="3823" max="3844" width="3.83203125" style="425" customWidth="1"/>
    <col min="3845" max="3845" width="3.58203125" style="425" customWidth="1"/>
    <col min="3846" max="4078" width="3.33203125" style="425"/>
    <col min="4079" max="4100" width="3.83203125" style="425" customWidth="1"/>
    <col min="4101" max="4101" width="3.58203125" style="425" customWidth="1"/>
    <col min="4102" max="4334" width="3.33203125" style="425"/>
    <col min="4335" max="4356" width="3.83203125" style="425" customWidth="1"/>
    <col min="4357" max="4357" width="3.58203125" style="425" customWidth="1"/>
    <col min="4358" max="4590" width="3.33203125" style="425"/>
    <col min="4591" max="4612" width="3.83203125" style="425" customWidth="1"/>
    <col min="4613" max="4613" width="3.58203125" style="425" customWidth="1"/>
    <col min="4614" max="4846" width="3.33203125" style="425"/>
    <col min="4847" max="4868" width="3.83203125" style="425" customWidth="1"/>
    <col min="4869" max="4869" width="3.58203125" style="425" customWidth="1"/>
    <col min="4870" max="5102" width="3.33203125" style="425"/>
    <col min="5103" max="5124" width="3.83203125" style="425" customWidth="1"/>
    <col min="5125" max="5125" width="3.58203125" style="425" customWidth="1"/>
    <col min="5126" max="5358" width="3.33203125" style="425"/>
    <col min="5359" max="5380" width="3.83203125" style="425" customWidth="1"/>
    <col min="5381" max="5381" width="3.58203125" style="425" customWidth="1"/>
    <col min="5382" max="5614" width="3.33203125" style="425"/>
    <col min="5615" max="5636" width="3.83203125" style="425" customWidth="1"/>
    <col min="5637" max="5637" width="3.58203125" style="425" customWidth="1"/>
    <col min="5638" max="5870" width="3.33203125" style="425"/>
    <col min="5871" max="5892" width="3.83203125" style="425" customWidth="1"/>
    <col min="5893" max="5893" width="3.58203125" style="425" customWidth="1"/>
    <col min="5894" max="6126" width="3.33203125" style="425"/>
    <col min="6127" max="6148" width="3.83203125" style="425" customWidth="1"/>
    <col min="6149" max="6149" width="3.58203125" style="425" customWidth="1"/>
    <col min="6150" max="6382" width="3.33203125" style="425"/>
    <col min="6383" max="6404" width="3.83203125" style="425" customWidth="1"/>
    <col min="6405" max="6405" width="3.58203125" style="425" customWidth="1"/>
    <col min="6406" max="6638" width="3.33203125" style="425"/>
    <col min="6639" max="6660" width="3.83203125" style="425" customWidth="1"/>
    <col min="6661" max="6661" width="3.58203125" style="425" customWidth="1"/>
    <col min="6662" max="6894" width="3.33203125" style="425"/>
    <col min="6895" max="6916" width="3.83203125" style="425" customWidth="1"/>
    <col min="6917" max="6917" width="3.58203125" style="425" customWidth="1"/>
    <col min="6918" max="7150" width="3.33203125" style="425"/>
    <col min="7151" max="7172" width="3.83203125" style="425" customWidth="1"/>
    <col min="7173" max="7173" width="3.58203125" style="425" customWidth="1"/>
    <col min="7174" max="7406" width="3.33203125" style="425"/>
    <col min="7407" max="7428" width="3.83203125" style="425" customWidth="1"/>
    <col min="7429" max="7429" width="3.58203125" style="425" customWidth="1"/>
    <col min="7430" max="7662" width="3.33203125" style="425"/>
    <col min="7663" max="7684" width="3.83203125" style="425" customWidth="1"/>
    <col min="7685" max="7685" width="3.58203125" style="425" customWidth="1"/>
    <col min="7686" max="7918" width="3.33203125" style="425"/>
    <col min="7919" max="7940" width="3.83203125" style="425" customWidth="1"/>
    <col min="7941" max="7941" width="3.58203125" style="425" customWidth="1"/>
    <col min="7942" max="8174" width="3.33203125" style="425"/>
    <col min="8175" max="8196" width="3.83203125" style="425" customWidth="1"/>
    <col min="8197" max="8197" width="3.58203125" style="425" customWidth="1"/>
    <col min="8198" max="8430" width="3.33203125" style="425"/>
    <col min="8431" max="8452" width="3.83203125" style="425" customWidth="1"/>
    <col min="8453" max="8453" width="3.58203125" style="425" customWidth="1"/>
    <col min="8454" max="8686" width="3.33203125" style="425"/>
    <col min="8687" max="8708" width="3.83203125" style="425" customWidth="1"/>
    <col min="8709" max="8709" width="3.58203125" style="425" customWidth="1"/>
    <col min="8710" max="8942" width="3.33203125" style="425"/>
    <col min="8943" max="8964" width="3.83203125" style="425" customWidth="1"/>
    <col min="8965" max="8965" width="3.58203125" style="425" customWidth="1"/>
    <col min="8966" max="9198" width="3.33203125" style="425"/>
    <col min="9199" max="9220" width="3.83203125" style="425" customWidth="1"/>
    <col min="9221" max="9221" width="3.58203125" style="425" customWidth="1"/>
    <col min="9222" max="9454" width="3.33203125" style="425"/>
    <col min="9455" max="9476" width="3.83203125" style="425" customWidth="1"/>
    <col min="9477" max="9477" width="3.58203125" style="425" customWidth="1"/>
    <col min="9478" max="9710" width="3.33203125" style="425"/>
    <col min="9711" max="9732" width="3.83203125" style="425" customWidth="1"/>
    <col min="9733" max="9733" width="3.58203125" style="425" customWidth="1"/>
    <col min="9734" max="9966" width="3.33203125" style="425"/>
    <col min="9967" max="9988" width="3.83203125" style="425" customWidth="1"/>
    <col min="9989" max="9989" width="3.58203125" style="425" customWidth="1"/>
    <col min="9990" max="10222" width="3.33203125" style="425"/>
    <col min="10223" max="10244" width="3.83203125" style="425" customWidth="1"/>
    <col min="10245" max="10245" width="3.58203125" style="425" customWidth="1"/>
    <col min="10246" max="10478" width="3.33203125" style="425"/>
    <col min="10479" max="10500" width="3.83203125" style="425" customWidth="1"/>
    <col min="10501" max="10501" width="3.58203125" style="425" customWidth="1"/>
    <col min="10502" max="10734" width="3.33203125" style="425"/>
    <col min="10735" max="10756" width="3.83203125" style="425" customWidth="1"/>
    <col min="10757" max="10757" width="3.58203125" style="425" customWidth="1"/>
    <col min="10758" max="10990" width="3.33203125" style="425"/>
    <col min="10991" max="11012" width="3.83203125" style="425" customWidth="1"/>
    <col min="11013" max="11013" width="3.58203125" style="425" customWidth="1"/>
    <col min="11014" max="11246" width="3.33203125" style="425"/>
    <col min="11247" max="11268" width="3.83203125" style="425" customWidth="1"/>
    <col min="11269" max="11269" width="3.58203125" style="425" customWidth="1"/>
    <col min="11270" max="11502" width="3.33203125" style="425"/>
    <col min="11503" max="11524" width="3.83203125" style="425" customWidth="1"/>
    <col min="11525" max="11525" width="3.58203125" style="425" customWidth="1"/>
    <col min="11526" max="11758" width="3.33203125" style="425"/>
    <col min="11759" max="11780" width="3.83203125" style="425" customWidth="1"/>
    <col min="11781" max="11781" width="3.58203125" style="425" customWidth="1"/>
    <col min="11782" max="12014" width="3.33203125" style="425"/>
    <col min="12015" max="12036" width="3.83203125" style="425" customWidth="1"/>
    <col min="12037" max="12037" width="3.58203125" style="425" customWidth="1"/>
    <col min="12038" max="12270" width="3.33203125" style="425"/>
    <col min="12271" max="12292" width="3.83203125" style="425" customWidth="1"/>
    <col min="12293" max="12293" width="3.58203125" style="425" customWidth="1"/>
    <col min="12294" max="12526" width="3.33203125" style="425"/>
    <col min="12527" max="12548" width="3.83203125" style="425" customWidth="1"/>
    <col min="12549" max="12549" width="3.58203125" style="425" customWidth="1"/>
    <col min="12550" max="12782" width="3.33203125" style="425"/>
    <col min="12783" max="12804" width="3.83203125" style="425" customWidth="1"/>
    <col min="12805" max="12805" width="3.58203125" style="425" customWidth="1"/>
    <col min="12806" max="13038" width="3.33203125" style="425"/>
    <col min="13039" max="13060" width="3.83203125" style="425" customWidth="1"/>
    <col min="13061" max="13061" width="3.58203125" style="425" customWidth="1"/>
    <col min="13062" max="13294" width="3.33203125" style="425"/>
    <col min="13295" max="13316" width="3.83203125" style="425" customWidth="1"/>
    <col min="13317" max="13317" width="3.58203125" style="425" customWidth="1"/>
    <col min="13318" max="13550" width="3.33203125" style="425"/>
    <col min="13551" max="13572" width="3.83203125" style="425" customWidth="1"/>
    <col min="13573" max="13573" width="3.58203125" style="425" customWidth="1"/>
    <col min="13574" max="13806" width="3.33203125" style="425"/>
    <col min="13807" max="13828" width="3.83203125" style="425" customWidth="1"/>
    <col min="13829" max="13829" width="3.58203125" style="425" customWidth="1"/>
    <col min="13830" max="14062" width="3.33203125" style="425"/>
    <col min="14063" max="14084" width="3.83203125" style="425" customWidth="1"/>
    <col min="14085" max="14085" width="3.58203125" style="425" customWidth="1"/>
    <col min="14086" max="14318" width="3.33203125" style="425"/>
    <col min="14319" max="14340" width="3.83203125" style="425" customWidth="1"/>
    <col min="14341" max="14341" width="3.58203125" style="425" customWidth="1"/>
    <col min="14342" max="14574" width="3.33203125" style="425"/>
    <col min="14575" max="14596" width="3.83203125" style="425" customWidth="1"/>
    <col min="14597" max="14597" width="3.58203125" style="425" customWidth="1"/>
    <col min="14598" max="14830" width="3.33203125" style="425"/>
    <col min="14831" max="14852" width="3.83203125" style="425" customWidth="1"/>
    <col min="14853" max="14853" width="3.58203125" style="425" customWidth="1"/>
    <col min="14854" max="15086" width="3.33203125" style="425"/>
    <col min="15087" max="15108" width="3.83203125" style="425" customWidth="1"/>
    <col min="15109" max="15109" width="3.58203125" style="425" customWidth="1"/>
    <col min="15110" max="15342" width="3.33203125" style="425"/>
    <col min="15343" max="15364" width="3.83203125" style="425" customWidth="1"/>
    <col min="15365" max="15365" width="3.58203125" style="425" customWidth="1"/>
    <col min="15366" max="15598" width="3.33203125" style="425"/>
    <col min="15599" max="15620" width="3.83203125" style="425" customWidth="1"/>
    <col min="15621" max="15621" width="3.58203125" style="425" customWidth="1"/>
    <col min="15622" max="15854" width="3.33203125" style="425"/>
    <col min="15855" max="15876" width="3.83203125" style="425" customWidth="1"/>
    <col min="15877" max="15877" width="3.58203125" style="425" customWidth="1"/>
    <col min="15878" max="16110" width="3.33203125" style="425"/>
    <col min="16111" max="16132" width="3.83203125" style="425" customWidth="1"/>
    <col min="16133" max="16133" width="3.58203125" style="425" customWidth="1"/>
    <col min="16134" max="16384" width="3.33203125" style="425"/>
  </cols>
  <sheetData>
    <row r="1" spans="1:27" ht="21.75" customHeight="1">
      <c r="D1" s="425" t="e">
        <f>様式８!H1</f>
        <v>#N/A</v>
      </c>
      <c r="E1" s="944"/>
      <c r="F1" s="944"/>
    </row>
    <row r="2" spans="1:27" ht="21.75" customHeight="1">
      <c r="E2" s="944"/>
      <c r="F2" s="944"/>
    </row>
    <row r="3" spans="1:27" ht="21.75" customHeight="1">
      <c r="D3" s="426">
        <f>様式６!G2</f>
        <v>45747</v>
      </c>
    </row>
    <row r="4" spans="1:27" ht="21.75" customHeight="1"/>
    <row r="5" spans="1:27" ht="21.75" customHeight="1">
      <c r="A5" s="945" t="s">
        <v>1744</v>
      </c>
      <c r="B5" s="945"/>
      <c r="C5" s="945"/>
      <c r="D5" s="945"/>
      <c r="E5" s="427"/>
      <c r="I5" s="428"/>
    </row>
    <row r="6" spans="1:27" ht="21.75" customHeight="1">
      <c r="A6" s="945" t="s">
        <v>1745</v>
      </c>
      <c r="B6" s="945"/>
      <c r="C6" s="945"/>
      <c r="D6" s="945"/>
      <c r="E6" s="427"/>
      <c r="F6" s="429"/>
    </row>
    <row r="7" spans="1:27" ht="21.75" customHeight="1">
      <c r="E7" s="429"/>
      <c r="F7" s="429"/>
      <c r="G7" s="429"/>
    </row>
    <row r="8" spans="1:27" ht="21.75" customHeight="1">
      <c r="B8" s="430"/>
      <c r="C8" s="430"/>
      <c r="D8" s="430"/>
    </row>
    <row r="9" spans="1:27" ht="21.75" customHeight="1">
      <c r="A9" s="425" t="s">
        <v>1746</v>
      </c>
    </row>
    <row r="10" spans="1:27" ht="21.75" customHeight="1">
      <c r="C10" s="946" t="e">
        <f>IF(様式８!F7="","",様式８!F7)</f>
        <v>#N/A</v>
      </c>
      <c r="D10" s="946"/>
    </row>
    <row r="11" spans="1:27" ht="21.75" customHeight="1">
      <c r="C11" s="861"/>
      <c r="D11" s="861"/>
    </row>
    <row r="12" spans="1:27" ht="21.75" customHeight="1">
      <c r="B12" s="431" t="s">
        <v>1747</v>
      </c>
      <c r="C12" s="861"/>
      <c r="D12" s="861"/>
    </row>
    <row r="13" spans="1:27" ht="21.75" customHeight="1">
      <c r="B13" s="430" t="s">
        <v>317</v>
      </c>
      <c r="C13" s="943" t="e">
        <f>IF(様式８!F10="","",様式８!F10)</f>
        <v>#N/A</v>
      </c>
      <c r="D13" s="943"/>
    </row>
    <row r="14" spans="1:27" ht="21.75" customHeight="1">
      <c r="B14" s="430" t="s">
        <v>318</v>
      </c>
      <c r="C14" s="943" t="e">
        <f>IF(様式８!F11="","",様式８!F11)</f>
        <v>#N/A</v>
      </c>
      <c r="D14" s="943"/>
      <c r="G14" s="432"/>
      <c r="H14" s="432"/>
      <c r="I14" s="432"/>
      <c r="J14" s="432"/>
      <c r="K14" s="432"/>
      <c r="L14" s="432"/>
      <c r="M14" s="432"/>
      <c r="N14" s="432"/>
      <c r="O14" s="432"/>
      <c r="P14" s="432"/>
      <c r="Q14" s="432"/>
      <c r="R14" s="432"/>
      <c r="S14" s="432"/>
      <c r="T14" s="432"/>
      <c r="U14" s="432"/>
      <c r="V14" s="432"/>
      <c r="W14" s="432"/>
      <c r="X14" s="432"/>
      <c r="Y14" s="432"/>
      <c r="Z14" s="432"/>
      <c r="AA14" s="432"/>
    </row>
    <row r="15" spans="1:27" ht="21.75" customHeight="1">
      <c r="B15" s="430" t="s">
        <v>1748</v>
      </c>
      <c r="C15" s="943" t="e">
        <f>IF(様式８!F12="","",様式８!F12)</f>
        <v>#N/A</v>
      </c>
      <c r="D15" s="943"/>
    </row>
    <row r="16" spans="1:27" ht="21.75" customHeight="1">
      <c r="B16" s="430" t="s">
        <v>2458</v>
      </c>
      <c r="C16" s="943">
        <f>IF(様式８!F13="","",様式８!F13)</f>
        <v>0</v>
      </c>
      <c r="D16" s="943"/>
    </row>
    <row r="17" spans="1:8" ht="21.75" customHeight="1">
      <c r="E17" s="433"/>
      <c r="F17" s="433"/>
      <c r="G17" s="433"/>
    </row>
    <row r="18" spans="1:8" ht="21.75" customHeight="1">
      <c r="A18" s="908" t="str">
        <f>CONCATENATE(A5,"について、")</f>
        <v>千葉市施設型給付対象施設保育士等配置基準改善事業補助金について、</v>
      </c>
      <c r="B18" s="908"/>
      <c r="C18" s="908"/>
      <c r="D18" s="908"/>
    </row>
    <row r="19" spans="1:8" ht="21.75" customHeight="1">
      <c r="A19" s="908" t="s">
        <v>1749</v>
      </c>
      <c r="B19" s="908"/>
      <c r="C19" s="908"/>
      <c r="D19" s="908"/>
    </row>
    <row r="20" spans="1:8" ht="21.75" customHeight="1">
      <c r="A20" s="434"/>
      <c r="B20" s="431"/>
      <c r="C20" s="431"/>
      <c r="D20" s="428"/>
    </row>
    <row r="21" spans="1:8" ht="21.75" customHeight="1">
      <c r="A21" s="435"/>
      <c r="D21" s="436"/>
    </row>
    <row r="22" spans="1:8" ht="37.5" customHeight="1">
      <c r="A22" s="437" t="s">
        <v>1750</v>
      </c>
      <c r="B22" s="438" t="s">
        <v>1751</v>
      </c>
      <c r="C22" s="438" t="s">
        <v>1752</v>
      </c>
      <c r="D22" s="439" t="s">
        <v>1753</v>
      </c>
    </row>
    <row r="23" spans="1:8" ht="50.15" customHeight="1">
      <c r="A23" s="458" t="e">
        <f>様式６!$E$21</f>
        <v>#N/A</v>
      </c>
      <c r="B23" s="459" t="e">
        <f>様式６!E38</f>
        <v>#N/A</v>
      </c>
      <c r="C23" s="459" t="e">
        <f>様式６!G38</f>
        <v>#N/A</v>
      </c>
      <c r="D23" s="460" t="e">
        <f>C23-B23</f>
        <v>#N/A</v>
      </c>
    </row>
    <row r="24" spans="1:8" s="441" customFormat="1">
      <c r="A24" s="425"/>
      <c r="B24" s="425"/>
      <c r="C24" s="440"/>
      <c r="F24" s="442"/>
      <c r="G24" s="442"/>
      <c r="H24" s="442"/>
    </row>
    <row r="25" spans="1:8">
      <c r="C25" s="440"/>
      <c r="D25" s="441"/>
    </row>
    <row r="26" spans="1:8" ht="26.25" customHeight="1"/>
    <row r="28" spans="1:8">
      <c r="D28" s="443"/>
    </row>
    <row r="30" spans="1:8">
      <c r="C30" s="443"/>
    </row>
  </sheetData>
  <sheetProtection algorithmName="SHA-512" hashValue="gPkhYrLKvKhXBwU+uXGsGEDhrVBoEqAgv3GOcnLMJWMebph44uMfG47BKcCV1SZ3jYX+qUMaktZOE34gf70cXA==" saltValue="nU5uZZU904lFk3c3coMxVQ==" spinCount="100000" sheet="1" selectLockedCells="1"/>
  <mergeCells count="10">
    <mergeCell ref="C15:D15"/>
    <mergeCell ref="A18:D18"/>
    <mergeCell ref="A19:D19"/>
    <mergeCell ref="E1:F2"/>
    <mergeCell ref="A5:D5"/>
    <mergeCell ref="A6:D6"/>
    <mergeCell ref="C10:D12"/>
    <mergeCell ref="C13:D13"/>
    <mergeCell ref="C14:D14"/>
    <mergeCell ref="C16:D16"/>
  </mergeCells>
  <phoneticPr fontId="1"/>
  <dataValidations disablePrompts="1" count="1">
    <dataValidation type="date" operator="notEqual" allowBlank="1" showInputMessage="1" showErrorMessage="1" sqref="D3" xr:uid="{46D66F5E-9182-4C23-98D8-C4A019D21AF5}">
      <formula1>92</formula1>
    </dataValidation>
  </dataValidations>
  <pageMargins left="0.7" right="0.7" top="0.75" bottom="0.75" header="0.3" footer="0.3"/>
  <pageSetup paperSize="9" scale="90" orientation="portrait" r:id="rId1"/>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5BC96-7FA8-4554-955E-DF01B7985F19}">
  <sheetPr>
    <tabColor rgb="FF7030A0"/>
  </sheetPr>
  <dimension ref="A1:AH42"/>
  <sheetViews>
    <sheetView view="pageBreakPreview" zoomScale="85" zoomScaleNormal="100" zoomScaleSheetLayoutView="85" workbookViewId="0">
      <selection activeCell="N8" sqref="N8:T9"/>
    </sheetView>
  </sheetViews>
  <sheetFormatPr defaultColWidth="9" defaultRowHeight="13"/>
  <cols>
    <col min="1" max="1" width="1" style="187" customWidth="1"/>
    <col min="2" max="21" width="4.5" style="187" customWidth="1"/>
    <col min="22" max="22" width="3.83203125" style="187" customWidth="1"/>
    <col min="23" max="25" width="6.25" style="187" customWidth="1"/>
    <col min="26" max="27" width="8.33203125" style="187" customWidth="1"/>
    <col min="28" max="28" width="4.75" style="187" customWidth="1"/>
    <col min="29" max="29" width="8" style="187" customWidth="1"/>
    <col min="30" max="30" width="10.25" style="187" customWidth="1"/>
    <col min="31" max="31" width="17.5" style="187" customWidth="1"/>
    <col min="32" max="32" width="5.83203125" style="187" customWidth="1"/>
    <col min="33" max="33" width="5.75" style="187" customWidth="1"/>
    <col min="34" max="34" width="5.58203125" style="187" customWidth="1"/>
    <col min="35" max="16384" width="9" style="187"/>
  </cols>
  <sheetData>
    <row r="1" spans="1:34" ht="23.15" customHeight="1">
      <c r="A1" s="288" t="s">
        <v>1085</v>
      </c>
      <c r="B1" s="288"/>
      <c r="C1" s="288"/>
      <c r="D1" s="288"/>
      <c r="E1" s="288"/>
      <c r="F1" s="288"/>
      <c r="G1" s="288"/>
      <c r="H1" s="288"/>
      <c r="I1" s="288"/>
      <c r="J1" s="288"/>
      <c r="K1" s="288"/>
      <c r="L1" s="288"/>
      <c r="N1" s="288"/>
      <c r="O1" s="955" t="s">
        <v>2447</v>
      </c>
      <c r="P1" s="955"/>
      <c r="Q1" s="955">
        <f>①基本情報!M4</f>
        <v>0</v>
      </c>
      <c r="R1" s="955"/>
      <c r="S1" s="288"/>
      <c r="T1" s="288"/>
      <c r="U1" s="288" t="e">
        <f>V1</f>
        <v>#N/A</v>
      </c>
      <c r="V1" s="289" t="e">
        <f>①基本情報!$Q$5</f>
        <v>#N/A</v>
      </c>
      <c r="W1" s="288"/>
      <c r="X1" s="288" t="s">
        <v>1626</v>
      </c>
      <c r="Y1" s="951"/>
      <c r="Z1" s="952"/>
      <c r="AA1" s="952"/>
      <c r="AB1" s="952"/>
      <c r="AC1" s="953"/>
    </row>
    <row r="2" spans="1:34" ht="23.15" customHeight="1">
      <c r="A2" s="288"/>
      <c r="B2" s="288"/>
      <c r="C2" s="288"/>
      <c r="D2" s="288"/>
      <c r="E2" s="288"/>
      <c r="F2" s="288"/>
      <c r="G2" s="288"/>
      <c r="H2" s="288"/>
      <c r="I2" s="288"/>
      <c r="J2" s="288"/>
      <c r="K2" s="288"/>
      <c r="L2" s="288"/>
      <c r="M2" s="288"/>
      <c r="N2" s="288"/>
      <c r="O2" s="954">
        <v>45566</v>
      </c>
      <c r="P2" s="955"/>
      <c r="Q2" s="955"/>
      <c r="R2" s="955"/>
      <c r="S2" s="955"/>
      <c r="T2" s="955"/>
      <c r="U2" s="288"/>
      <c r="V2" s="288"/>
      <c r="W2" s="288"/>
      <c r="Y2" s="288"/>
      <c r="Z2" s="288"/>
      <c r="AA2" s="288"/>
    </row>
    <row r="3" spans="1:34" ht="2.25" customHeight="1">
      <c r="A3" s="288"/>
      <c r="B3" s="288"/>
      <c r="C3" s="288"/>
      <c r="D3" s="288"/>
      <c r="E3" s="288"/>
      <c r="F3" s="288"/>
      <c r="G3" s="288"/>
      <c r="H3" s="288"/>
      <c r="I3" s="288"/>
      <c r="J3" s="288"/>
      <c r="K3" s="288"/>
      <c r="L3" s="288"/>
      <c r="M3" s="288"/>
      <c r="N3" s="288"/>
      <c r="O3" s="288"/>
      <c r="P3" s="288"/>
      <c r="Q3" s="288"/>
      <c r="R3" s="288"/>
      <c r="S3" s="288"/>
      <c r="T3" s="288"/>
      <c r="U3" s="288"/>
      <c r="V3" s="288"/>
      <c r="W3" s="288"/>
      <c r="X3" s="288"/>
      <c r="Y3" s="288"/>
      <c r="Z3" s="288"/>
      <c r="AA3" s="288"/>
      <c r="AB3" s="288"/>
      <c r="AC3" s="288"/>
      <c r="AD3" s="288"/>
      <c r="AE3" s="288"/>
      <c r="AF3" s="288"/>
      <c r="AG3" s="288"/>
      <c r="AH3" s="288"/>
    </row>
    <row r="4" spans="1:34" ht="23.15" customHeight="1">
      <c r="A4" s="288"/>
      <c r="B4" s="288"/>
      <c r="C4" s="288"/>
      <c r="D4" s="288"/>
      <c r="E4" s="288"/>
      <c r="F4" s="288" t="s">
        <v>1627</v>
      </c>
      <c r="G4" s="288"/>
      <c r="H4" s="288"/>
      <c r="I4" s="288"/>
      <c r="J4" s="288"/>
      <c r="K4" s="288"/>
      <c r="L4" s="288"/>
      <c r="M4" s="288"/>
      <c r="N4" s="288"/>
      <c r="O4" s="288"/>
      <c r="P4" s="288"/>
      <c r="Q4" s="288"/>
      <c r="R4" s="288"/>
      <c r="S4" s="288"/>
      <c r="U4" s="288"/>
      <c r="V4" s="288"/>
      <c r="W4" s="288"/>
      <c r="X4" s="288"/>
      <c r="Y4" s="288"/>
      <c r="Z4" s="288"/>
      <c r="AA4" s="288"/>
      <c r="AB4" s="288"/>
      <c r="AC4" s="288"/>
      <c r="AD4" s="288"/>
      <c r="AE4" s="288"/>
      <c r="AF4" s="288"/>
      <c r="AG4" s="288"/>
      <c r="AH4" s="288"/>
    </row>
    <row r="5" spans="1:34" ht="23.15" customHeight="1">
      <c r="A5" s="288"/>
      <c r="B5" s="288"/>
      <c r="C5" s="288"/>
      <c r="D5" s="288"/>
      <c r="E5" s="288"/>
      <c r="F5" s="288" t="s">
        <v>1628</v>
      </c>
      <c r="G5" s="288"/>
      <c r="H5" s="288"/>
      <c r="I5" s="288"/>
      <c r="J5" s="288"/>
      <c r="K5" s="288"/>
      <c r="L5" s="288"/>
      <c r="M5" s="288"/>
      <c r="N5" s="288"/>
      <c r="O5" s="288"/>
      <c r="P5" s="288"/>
      <c r="Q5" s="288"/>
      <c r="R5" s="288"/>
      <c r="S5" s="288"/>
      <c r="U5" s="288"/>
      <c r="V5" s="288"/>
      <c r="W5" s="288"/>
      <c r="X5" s="288"/>
      <c r="Y5" s="288"/>
      <c r="Z5" s="288"/>
      <c r="AA5" s="288"/>
      <c r="AB5" s="288"/>
      <c r="AC5" s="288"/>
      <c r="AD5" s="288"/>
      <c r="AE5" s="288"/>
      <c r="AF5" s="288"/>
      <c r="AG5" s="288"/>
      <c r="AH5" s="288"/>
    </row>
    <row r="6" spans="1:34" ht="4.5" customHeight="1">
      <c r="A6" s="288"/>
      <c r="B6" s="288"/>
      <c r="C6" s="288"/>
      <c r="D6" s="288"/>
      <c r="E6" s="288"/>
      <c r="F6" s="288"/>
      <c r="G6" s="288"/>
      <c r="H6" s="288"/>
      <c r="I6" s="288"/>
      <c r="J6" s="288"/>
      <c r="K6" s="288"/>
      <c r="L6" s="288"/>
      <c r="M6" s="288"/>
      <c r="N6" s="288"/>
      <c r="O6" s="288"/>
      <c r="P6" s="288"/>
      <c r="Q6" s="288"/>
      <c r="R6" s="288"/>
      <c r="S6" s="288"/>
      <c r="T6" s="288"/>
      <c r="U6" s="288"/>
      <c r="V6" s="288"/>
      <c r="W6" s="288"/>
      <c r="X6" s="288"/>
      <c r="Y6" s="288"/>
      <c r="Z6" s="288"/>
      <c r="AA6" s="288"/>
      <c r="AB6" s="288"/>
      <c r="AC6" s="288"/>
      <c r="AD6" s="288"/>
      <c r="AE6" s="288"/>
      <c r="AF6" s="288"/>
      <c r="AG6" s="288"/>
      <c r="AH6" s="288"/>
    </row>
    <row r="7" spans="1:34" ht="23.15" customHeight="1">
      <c r="A7" s="288"/>
      <c r="B7" s="956" t="s">
        <v>1629</v>
      </c>
      <c r="C7" s="956"/>
      <c r="D7" s="956"/>
      <c r="E7" s="956"/>
      <c r="F7" s="956"/>
      <c r="G7" s="288"/>
      <c r="H7" s="288"/>
      <c r="I7" s="288"/>
      <c r="J7" s="288"/>
      <c r="K7" s="288"/>
      <c r="L7" s="288"/>
      <c r="M7" s="288"/>
      <c r="N7" s="288"/>
      <c r="O7" s="288"/>
      <c r="P7" s="288"/>
      <c r="Q7" s="288"/>
      <c r="R7" s="288"/>
      <c r="S7" s="288"/>
    </row>
    <row r="8" spans="1:34" ht="17.149999999999999" customHeight="1">
      <c r="A8" s="288"/>
      <c r="B8" s="288"/>
      <c r="C8" s="288"/>
      <c r="D8" s="288"/>
      <c r="E8" s="288"/>
      <c r="F8" s="288"/>
      <c r="G8" s="288"/>
      <c r="H8" s="288"/>
      <c r="I8" s="288"/>
      <c r="J8" s="957" t="s">
        <v>1630</v>
      </c>
      <c r="K8" s="957"/>
      <c r="L8" s="957"/>
      <c r="M8" s="288"/>
      <c r="N8" s="958" t="e">
        <f>VLOOKUP($V$1,補助金用基本データ!$B$5:$Y$179,16,0)</f>
        <v>#N/A</v>
      </c>
      <c r="O8" s="958"/>
      <c r="P8" s="958"/>
      <c r="Q8" s="958"/>
      <c r="R8" s="958"/>
      <c r="S8" s="958"/>
      <c r="T8" s="958"/>
      <c r="U8" s="288"/>
      <c r="V8" s="288"/>
      <c r="W8" s="288"/>
      <c r="X8" s="288"/>
      <c r="Y8" s="288"/>
      <c r="Z8" s="288"/>
      <c r="AA8" s="288"/>
      <c r="AB8" s="288"/>
      <c r="AC8" s="288"/>
      <c r="AD8" s="288"/>
      <c r="AE8" s="288"/>
      <c r="AF8" s="288"/>
      <c r="AG8" s="288"/>
      <c r="AH8" s="288"/>
    </row>
    <row r="9" spans="1:34" ht="23.15" customHeight="1">
      <c r="A9" s="288"/>
      <c r="B9" s="288"/>
      <c r="C9" s="288"/>
      <c r="D9" s="288"/>
      <c r="E9" s="288"/>
      <c r="F9" s="288"/>
      <c r="G9" s="288"/>
      <c r="H9" s="288"/>
      <c r="I9" s="288"/>
      <c r="J9" s="957"/>
      <c r="K9" s="957"/>
      <c r="L9" s="957"/>
      <c r="N9" s="958"/>
      <c r="O9" s="958"/>
      <c r="P9" s="958"/>
      <c r="Q9" s="958"/>
      <c r="R9" s="958"/>
      <c r="S9" s="958"/>
      <c r="T9" s="958"/>
      <c r="U9" s="290"/>
      <c r="Z9" s="288"/>
    </row>
    <row r="10" spans="1:34" ht="23.15" customHeight="1">
      <c r="A10" s="288"/>
      <c r="B10" s="288"/>
      <c r="C10" s="288"/>
      <c r="D10" s="288"/>
      <c r="E10" s="288"/>
      <c r="F10" s="288"/>
      <c r="G10" s="288"/>
      <c r="H10" s="288"/>
      <c r="I10" s="288"/>
      <c r="J10" s="957" t="s">
        <v>1631</v>
      </c>
      <c r="K10" s="957"/>
      <c r="L10" s="957"/>
      <c r="N10" s="959" t="e">
        <f>VLOOKUP($V$1,補助金用基本データ!$B$5:$Y$179,12,0)</f>
        <v>#N/A</v>
      </c>
      <c r="O10" s="959"/>
      <c r="P10" s="959"/>
      <c r="Q10" s="959"/>
      <c r="R10" s="959"/>
      <c r="S10" s="959"/>
      <c r="T10" s="959"/>
      <c r="U10" s="291"/>
      <c r="Z10" s="288"/>
    </row>
    <row r="11" spans="1:34" ht="23.15" customHeight="1">
      <c r="A11" s="288"/>
      <c r="B11" s="288"/>
      <c r="C11" s="288"/>
      <c r="D11" s="288"/>
      <c r="E11" s="288"/>
      <c r="F11" s="288"/>
      <c r="G11" s="288"/>
      <c r="H11" s="288"/>
      <c r="I11" s="288"/>
      <c r="J11" s="960" t="s">
        <v>1632</v>
      </c>
      <c r="K11" s="960"/>
      <c r="L11" s="960"/>
      <c r="N11" s="961" t="e">
        <f>VLOOKUP($V$1,補助金用基本データ!$B$5:$Y$179,17,0)&amp;"　"&amp;VLOOKUP($V$1,補助金用基本データ!$B$5:$Y$179,18,0)</f>
        <v>#N/A</v>
      </c>
      <c r="O11" s="961"/>
      <c r="P11" s="961"/>
      <c r="Q11" s="961"/>
      <c r="R11" s="961"/>
      <c r="S11" s="961"/>
      <c r="T11" s="961"/>
      <c r="U11" s="291"/>
      <c r="W11" s="308"/>
      <c r="Z11" s="288"/>
    </row>
    <row r="12" spans="1:34" ht="23.15" customHeight="1">
      <c r="A12" s="288"/>
      <c r="B12" s="288"/>
      <c r="C12" s="288"/>
      <c r="D12" s="288"/>
      <c r="E12" s="288"/>
      <c r="F12" s="288"/>
      <c r="G12" s="288"/>
      <c r="H12" s="288"/>
      <c r="I12" s="288"/>
      <c r="J12" s="957" t="s">
        <v>1633</v>
      </c>
      <c r="K12" s="957"/>
      <c r="L12" s="957"/>
      <c r="N12" s="292" t="s">
        <v>1634</v>
      </c>
      <c r="O12" s="961" t="e">
        <f>VLOOKUP($V$1,補助金用基本データ!$B$5:$Y$179,2,0)</f>
        <v>#N/A</v>
      </c>
      <c r="P12" s="961"/>
      <c r="Q12" s="961"/>
      <c r="R12" s="961"/>
      <c r="S12" s="961"/>
      <c r="T12" s="961"/>
      <c r="U12" s="291" t="s">
        <v>1635</v>
      </c>
      <c r="W12" s="293" t="e">
        <f>VLOOKUP($V$1,個別データ!$B$5:$AM$179,38,0)</f>
        <v>#N/A</v>
      </c>
      <c r="Z12" s="288"/>
    </row>
    <row r="13" spans="1:34" ht="5.25" customHeight="1">
      <c r="A13" s="288"/>
      <c r="B13" s="288"/>
      <c r="C13" s="288"/>
      <c r="D13" s="288"/>
      <c r="E13" s="288"/>
      <c r="F13" s="288"/>
      <c r="G13" s="288"/>
      <c r="H13" s="288"/>
      <c r="I13" s="288"/>
      <c r="J13" s="288"/>
      <c r="K13" s="288"/>
      <c r="L13" s="288"/>
      <c r="M13" s="288"/>
      <c r="T13" s="288"/>
      <c r="U13" s="288"/>
      <c r="V13" s="288"/>
      <c r="W13" s="288"/>
      <c r="X13" s="288"/>
      <c r="Y13" s="288"/>
      <c r="Z13" s="288"/>
      <c r="AA13" s="288"/>
      <c r="AB13" s="288"/>
      <c r="AC13" s="288"/>
      <c r="AD13" s="288"/>
      <c r="AE13" s="288"/>
      <c r="AF13" s="288"/>
      <c r="AG13" s="288"/>
      <c r="AH13" s="288"/>
    </row>
    <row r="14" spans="1:34" ht="23.15" customHeight="1">
      <c r="B14" s="962" t="e">
        <f>CONCATENATE("　",DBCS(W11),"令和６年４月１日付け千葉市指令こ幼運第",W12,"により交付決定のあった補助金の分割事前交付を次のとおり受けたいので、千葉市施設型給付対象施設運営事業補助金交付要綱第８条の規定により請求します。")</f>
        <v>#N/A</v>
      </c>
      <c r="C14" s="963"/>
      <c r="D14" s="963"/>
      <c r="E14" s="963"/>
      <c r="F14" s="963"/>
      <c r="G14" s="963"/>
      <c r="H14" s="963"/>
      <c r="I14" s="963"/>
      <c r="J14" s="963"/>
      <c r="K14" s="963"/>
      <c r="L14" s="963"/>
      <c r="M14" s="963"/>
      <c r="N14" s="963"/>
      <c r="O14" s="963"/>
      <c r="P14" s="963"/>
      <c r="Q14" s="963"/>
      <c r="R14" s="963"/>
      <c r="S14" s="963"/>
      <c r="T14" s="963"/>
      <c r="U14" s="288"/>
      <c r="V14" s="288"/>
      <c r="W14" s="288"/>
      <c r="X14" s="288"/>
      <c r="Y14" s="288"/>
      <c r="Z14" s="288"/>
      <c r="AA14" s="288"/>
      <c r="AB14" s="288"/>
      <c r="AC14" s="288"/>
      <c r="AD14" s="288"/>
      <c r="AE14" s="288"/>
      <c r="AF14" s="288"/>
      <c r="AG14" s="288"/>
      <c r="AH14" s="288"/>
    </row>
    <row r="15" spans="1:34" ht="22.5" customHeight="1">
      <c r="B15" s="963"/>
      <c r="C15" s="963"/>
      <c r="D15" s="963"/>
      <c r="E15" s="963"/>
      <c r="F15" s="963"/>
      <c r="G15" s="963"/>
      <c r="H15" s="963"/>
      <c r="I15" s="963"/>
      <c r="J15" s="963"/>
      <c r="K15" s="963"/>
      <c r="L15" s="963"/>
      <c r="M15" s="963"/>
      <c r="N15" s="963"/>
      <c r="O15" s="963"/>
      <c r="P15" s="963"/>
      <c r="Q15" s="963"/>
      <c r="R15" s="963"/>
      <c r="S15" s="963"/>
      <c r="T15" s="963"/>
      <c r="U15" s="288"/>
      <c r="V15" s="288"/>
      <c r="W15" s="288"/>
      <c r="X15" s="288"/>
      <c r="Y15" s="288"/>
      <c r="Z15" s="288"/>
      <c r="AA15" s="288"/>
      <c r="AB15" s="288"/>
      <c r="AC15" s="288"/>
      <c r="AD15" s="288"/>
      <c r="AE15" s="288"/>
      <c r="AF15" s="288"/>
      <c r="AG15" s="288"/>
      <c r="AH15" s="288"/>
    </row>
    <row r="16" spans="1:34" ht="23.15" customHeight="1">
      <c r="A16" s="288"/>
      <c r="B16" s="963"/>
      <c r="C16" s="963"/>
      <c r="D16" s="963"/>
      <c r="E16" s="963"/>
      <c r="F16" s="963"/>
      <c r="G16" s="963"/>
      <c r="H16" s="963"/>
      <c r="I16" s="963"/>
      <c r="J16" s="963"/>
      <c r="K16" s="963"/>
      <c r="L16" s="963"/>
      <c r="M16" s="963"/>
      <c r="N16" s="963"/>
      <c r="O16" s="963"/>
      <c r="P16" s="963"/>
      <c r="Q16" s="963"/>
      <c r="R16" s="963"/>
      <c r="S16" s="963"/>
      <c r="T16" s="963"/>
      <c r="U16" s="288"/>
      <c r="V16" s="288"/>
      <c r="W16" s="288"/>
      <c r="X16" s="288"/>
      <c r="Y16" s="288"/>
      <c r="Z16" s="288"/>
      <c r="AA16" s="288"/>
      <c r="AB16" s="288"/>
      <c r="AC16" s="288"/>
      <c r="AD16" s="288"/>
      <c r="AE16" s="288"/>
      <c r="AF16" s="288"/>
      <c r="AG16" s="288"/>
      <c r="AH16" s="288"/>
    </row>
    <row r="17" spans="1:34" ht="59.25" customHeight="1">
      <c r="A17" s="288"/>
      <c r="B17" s="950" t="e">
        <f>IF(F36&lt;=W40,"","今回入力した数字を基にした交付決定額（Ｗ列～AA列）が、令和６年4月に交付決定した額（以下の「補助金の交付決定額」欄の数字）を下回っていますので、戻入となる可能性があることをご了承ください。")</f>
        <v>#N/A</v>
      </c>
      <c r="C17" s="950"/>
      <c r="D17" s="950"/>
      <c r="E17" s="950"/>
      <c r="F17" s="950"/>
      <c r="G17" s="950"/>
      <c r="H17" s="950"/>
      <c r="I17" s="950"/>
      <c r="J17" s="950"/>
      <c r="K17" s="950"/>
      <c r="L17" s="950"/>
      <c r="M17" s="950"/>
      <c r="N17" s="950"/>
      <c r="O17" s="950"/>
      <c r="P17" s="950"/>
      <c r="Q17" s="950"/>
      <c r="R17" s="950"/>
      <c r="S17" s="950"/>
      <c r="T17" s="950"/>
      <c r="U17" s="288"/>
      <c r="V17" s="288"/>
      <c r="W17" s="288"/>
      <c r="X17" s="288"/>
      <c r="Y17" s="288"/>
      <c r="Z17" s="288"/>
      <c r="AA17" s="288"/>
      <c r="AB17" s="288"/>
      <c r="AC17" s="288"/>
      <c r="AD17" s="288"/>
      <c r="AE17" s="288"/>
      <c r="AF17" s="288"/>
      <c r="AG17" s="288"/>
      <c r="AH17" s="288"/>
    </row>
    <row r="18" spans="1:34" ht="23.15" customHeight="1">
      <c r="B18" s="956" t="s">
        <v>1636</v>
      </c>
      <c r="C18" s="956"/>
      <c r="D18" s="956"/>
      <c r="E18" s="956"/>
      <c r="F18" s="288"/>
      <c r="G18" s="288"/>
      <c r="H18" s="964" t="e">
        <f>P36</f>
        <v>#N/A</v>
      </c>
      <c r="I18" s="964"/>
      <c r="J18" s="964"/>
      <c r="K18" s="964"/>
      <c r="L18" s="964" t="e">
        <v>#N/A</v>
      </c>
      <c r="M18" s="964"/>
      <c r="N18" s="964"/>
      <c r="O18" s="964"/>
      <c r="P18" s="288"/>
      <c r="Q18" s="288"/>
      <c r="R18" s="288"/>
      <c r="S18" s="288"/>
      <c r="T18" s="288"/>
      <c r="U18" s="288"/>
      <c r="W18" s="288"/>
      <c r="Z18" s="288"/>
      <c r="AA18" s="294"/>
      <c r="AB18" s="294"/>
      <c r="AC18" s="294"/>
      <c r="AD18" s="294"/>
      <c r="AF18" s="288"/>
      <c r="AG18" s="288"/>
      <c r="AH18" s="288"/>
    </row>
    <row r="19" spans="1:34" ht="24" customHeight="1" thickBot="1">
      <c r="A19" s="288"/>
      <c r="B19" s="288"/>
      <c r="C19" s="288"/>
      <c r="D19" s="288"/>
      <c r="E19" s="288"/>
      <c r="F19" s="288"/>
      <c r="G19" s="288"/>
      <c r="H19" s="288"/>
      <c r="I19" s="288"/>
      <c r="J19" s="288"/>
      <c r="K19" s="288"/>
      <c r="L19" s="288"/>
      <c r="M19" s="288"/>
      <c r="N19" s="288"/>
      <c r="O19" s="288"/>
      <c r="P19" s="288"/>
      <c r="Q19" s="288"/>
      <c r="R19" s="288"/>
      <c r="S19" s="288"/>
      <c r="T19" s="288"/>
      <c r="U19" s="288"/>
      <c r="V19" s="288"/>
      <c r="W19" s="288"/>
      <c r="X19" s="288"/>
      <c r="Y19" s="288"/>
      <c r="Z19" s="288"/>
      <c r="AA19" s="288"/>
      <c r="AB19" s="288"/>
      <c r="AC19" s="288"/>
      <c r="AD19" s="288"/>
      <c r="AE19" s="288"/>
      <c r="AF19" s="288"/>
      <c r="AG19" s="288"/>
      <c r="AH19" s="288"/>
    </row>
    <row r="20" spans="1:34" ht="27.75" customHeight="1" thickTop="1" thickBot="1">
      <c r="A20" s="288"/>
      <c r="B20" s="965" t="s">
        <v>311</v>
      </c>
      <c r="C20" s="965"/>
      <c r="D20" s="965"/>
      <c r="E20" s="966"/>
      <c r="F20" s="967" t="s">
        <v>314</v>
      </c>
      <c r="G20" s="967"/>
      <c r="H20" s="967"/>
      <c r="I20" s="967"/>
      <c r="J20" s="967"/>
      <c r="K20" s="968" t="s">
        <v>316</v>
      </c>
      <c r="L20" s="968"/>
      <c r="M20" s="968"/>
      <c r="N20" s="968"/>
      <c r="O20" s="969"/>
      <c r="P20" s="983" t="s">
        <v>1086</v>
      </c>
      <c r="Q20" s="984"/>
      <c r="R20" s="984"/>
      <c r="S20" s="984"/>
      <c r="T20" s="985"/>
      <c r="U20" s="288"/>
      <c r="V20" s="288"/>
      <c r="W20" s="970" t="s">
        <v>1637</v>
      </c>
      <c r="X20" s="970"/>
      <c r="Y20" s="970"/>
      <c r="Z20" s="970"/>
      <c r="AA20" s="970"/>
      <c r="AB20" s="288"/>
      <c r="AC20" s="288"/>
    </row>
    <row r="21" spans="1:34" ht="27" customHeight="1" thickTop="1">
      <c r="A21" s="288"/>
      <c r="B21" s="971" t="s">
        <v>1420</v>
      </c>
      <c r="C21" s="972"/>
      <c r="D21" s="972"/>
      <c r="E21" s="973"/>
      <c r="F21" s="295"/>
      <c r="G21" s="288"/>
      <c r="H21" s="288"/>
      <c r="I21" s="288"/>
      <c r="J21" s="296"/>
      <c r="K21" s="951"/>
      <c r="L21" s="952"/>
      <c r="M21" s="952"/>
      <c r="N21" s="952"/>
      <c r="O21" s="953"/>
      <c r="P21" s="295"/>
      <c r="Q21" s="288"/>
      <c r="R21" s="288"/>
      <c r="S21" s="288"/>
      <c r="T21" s="296"/>
      <c r="U21" s="288"/>
      <c r="V21" s="288"/>
      <c r="W21" s="295"/>
      <c r="X21" s="288"/>
      <c r="Y21" s="288"/>
      <c r="Z21" s="288"/>
      <c r="AA21" s="296"/>
      <c r="AB21" s="288"/>
      <c r="AC21" s="288"/>
    </row>
    <row r="22" spans="1:34" ht="27" customHeight="1">
      <c r="A22" s="288"/>
      <c r="B22" s="974"/>
      <c r="C22" s="975"/>
      <c r="D22" s="975"/>
      <c r="E22" s="976"/>
      <c r="F22" s="977" t="e">
        <f>VLOOKUP(V1,個別データ!$B$5:$AB$179,14,0)</f>
        <v>#N/A</v>
      </c>
      <c r="G22" s="978"/>
      <c r="H22" s="978"/>
      <c r="I22" s="978"/>
      <c r="J22" s="297" t="s">
        <v>312</v>
      </c>
      <c r="K22" s="977" t="e">
        <f>VLOOKUP(V1,個別データ!$B$5:$AB$179,21,0)</f>
        <v>#N/A</v>
      </c>
      <c r="L22" s="978"/>
      <c r="M22" s="978"/>
      <c r="N22" s="978"/>
      <c r="O22" s="298" t="s">
        <v>312</v>
      </c>
      <c r="P22" s="979" t="e">
        <f>F22-K22</f>
        <v>#N/A</v>
      </c>
      <c r="Q22" s="980"/>
      <c r="R22" s="980"/>
      <c r="S22" s="980"/>
      <c r="T22" s="298" t="s">
        <v>312</v>
      </c>
      <c r="U22" s="288" t="e">
        <f>IF(F22&lt;(K22+P22),"✕","")</f>
        <v>#N/A</v>
      </c>
      <c r="V22" s="288"/>
      <c r="W22" s="981">
        <f>⑤基本加算１!K30</f>
        <v>0</v>
      </c>
      <c r="X22" s="982"/>
      <c r="Y22" s="982"/>
      <c r="Z22" s="982"/>
      <c r="AA22" s="297" t="s">
        <v>312</v>
      </c>
      <c r="AB22" s="288"/>
      <c r="AC22" s="288"/>
    </row>
    <row r="23" spans="1:34" ht="27" customHeight="1">
      <c r="A23" s="288"/>
      <c r="B23" s="971" t="s">
        <v>1421</v>
      </c>
      <c r="C23" s="972"/>
      <c r="D23" s="972"/>
      <c r="E23" s="973"/>
      <c r="F23" s="299" t="s">
        <v>1638</v>
      </c>
      <c r="G23" s="300"/>
      <c r="H23" s="300"/>
      <c r="I23" s="300"/>
      <c r="J23" s="301"/>
      <c r="K23" s="951"/>
      <c r="L23" s="952"/>
      <c r="M23" s="952"/>
      <c r="N23" s="952"/>
      <c r="O23" s="953"/>
      <c r="P23" s="302"/>
      <c r="Q23" s="303"/>
      <c r="R23" s="303"/>
      <c r="S23" s="303"/>
      <c r="T23" s="301"/>
      <c r="U23" s="288"/>
      <c r="V23" s="288"/>
      <c r="W23" s="299" t="s">
        <v>1638</v>
      </c>
      <c r="X23" s="300"/>
      <c r="Y23" s="300"/>
      <c r="Z23" s="300"/>
      <c r="AA23" s="301"/>
      <c r="AB23" s="288"/>
      <c r="AC23" s="288"/>
    </row>
    <row r="24" spans="1:34" ht="27" customHeight="1">
      <c r="A24" s="288"/>
      <c r="B24" s="974"/>
      <c r="C24" s="975"/>
      <c r="D24" s="975"/>
      <c r="E24" s="976"/>
      <c r="F24" s="977" t="e">
        <f>VLOOKUP(V1,個別データ!$B$5:$AB$179,15,0)</f>
        <v>#N/A</v>
      </c>
      <c r="G24" s="978"/>
      <c r="H24" s="978"/>
      <c r="I24" s="978"/>
      <c r="J24" s="297" t="s">
        <v>312</v>
      </c>
      <c r="K24" s="977" t="e">
        <f>VLOOKUP(V1,個別データ!$B$5:$AB$179,22,0)</f>
        <v>#N/A</v>
      </c>
      <c r="L24" s="978"/>
      <c r="M24" s="978"/>
      <c r="N24" s="978"/>
      <c r="O24" s="298" t="s">
        <v>312</v>
      </c>
      <c r="P24" s="979" t="e">
        <f>F24-K24</f>
        <v>#N/A</v>
      </c>
      <c r="Q24" s="980"/>
      <c r="R24" s="980"/>
      <c r="S24" s="980"/>
      <c r="T24" s="298" t="s">
        <v>312</v>
      </c>
      <c r="U24" s="288" t="e">
        <f>IF(F24&lt;(K24+P24),"✕","")</f>
        <v>#N/A</v>
      </c>
      <c r="V24" s="288"/>
      <c r="W24" s="981">
        <f>⑥基本加算２!J30</f>
        <v>0</v>
      </c>
      <c r="X24" s="982"/>
      <c r="Y24" s="982"/>
      <c r="Z24" s="982"/>
      <c r="AA24" s="297" t="s">
        <v>312</v>
      </c>
      <c r="AB24" s="288"/>
      <c r="AC24" s="288"/>
    </row>
    <row r="25" spans="1:34" ht="27" customHeight="1">
      <c r="A25" s="288"/>
      <c r="B25" s="971" t="s">
        <v>1422</v>
      </c>
      <c r="C25" s="972"/>
      <c r="D25" s="972"/>
      <c r="E25" s="973"/>
      <c r="F25" s="299" t="s">
        <v>1638</v>
      </c>
      <c r="G25" s="300"/>
      <c r="H25" s="300"/>
      <c r="I25" s="300"/>
      <c r="J25" s="301"/>
      <c r="K25" s="951"/>
      <c r="L25" s="952"/>
      <c r="M25" s="952"/>
      <c r="N25" s="952"/>
      <c r="O25" s="953"/>
      <c r="P25" s="302"/>
      <c r="Q25" s="303"/>
      <c r="R25" s="303"/>
      <c r="S25" s="303"/>
      <c r="T25" s="301"/>
      <c r="U25" s="288"/>
      <c r="V25" s="288"/>
      <c r="W25" s="299" t="s">
        <v>1638</v>
      </c>
      <c r="X25" s="300"/>
      <c r="Y25" s="300"/>
      <c r="Z25" s="300"/>
      <c r="AA25" s="301"/>
      <c r="AB25" s="288"/>
      <c r="AC25" s="288"/>
    </row>
    <row r="26" spans="1:34" ht="27" customHeight="1">
      <c r="A26" s="288"/>
      <c r="B26" s="974"/>
      <c r="C26" s="975"/>
      <c r="D26" s="975"/>
      <c r="E26" s="976"/>
      <c r="F26" s="977" t="e">
        <f>VLOOKUP(V1,個別データ!$B$5:$AB$179,16,0)</f>
        <v>#N/A</v>
      </c>
      <c r="G26" s="978"/>
      <c r="H26" s="978"/>
      <c r="I26" s="978"/>
      <c r="J26" s="297" t="s">
        <v>312</v>
      </c>
      <c r="K26" s="977" t="e">
        <f>VLOOKUP(V1,個別データ!$B$5:$AB$179,23,0)</f>
        <v>#N/A</v>
      </c>
      <c r="L26" s="978"/>
      <c r="M26" s="978"/>
      <c r="N26" s="978"/>
      <c r="O26" s="298" t="s">
        <v>312</v>
      </c>
      <c r="P26" s="979" t="e">
        <f>F26-K26</f>
        <v>#N/A</v>
      </c>
      <c r="Q26" s="980"/>
      <c r="R26" s="980"/>
      <c r="S26" s="980"/>
      <c r="T26" s="298" t="s">
        <v>312</v>
      </c>
      <c r="U26" s="288" t="e">
        <f>IF(F26&lt;(K26+P26),"✕","")</f>
        <v>#N/A</v>
      </c>
      <c r="V26" s="288"/>
      <c r="W26" s="981">
        <f>⑦基本加算３!J30</f>
        <v>0</v>
      </c>
      <c r="X26" s="982"/>
      <c r="Y26" s="982"/>
      <c r="Z26" s="982"/>
      <c r="AA26" s="297" t="s">
        <v>312</v>
      </c>
      <c r="AB26" s="288"/>
      <c r="AC26" s="288"/>
    </row>
    <row r="27" spans="1:34" ht="27" customHeight="1">
      <c r="A27" s="288"/>
      <c r="B27" s="971" t="s">
        <v>1423</v>
      </c>
      <c r="C27" s="972"/>
      <c r="D27" s="972"/>
      <c r="E27" s="973"/>
      <c r="F27" s="299" t="s">
        <v>1638</v>
      </c>
      <c r="G27" s="300"/>
      <c r="H27" s="300"/>
      <c r="I27" s="300"/>
      <c r="J27" s="301"/>
      <c r="K27" s="951"/>
      <c r="L27" s="952"/>
      <c r="M27" s="952"/>
      <c r="N27" s="952"/>
      <c r="O27" s="953"/>
      <c r="P27" s="302"/>
      <c r="Q27" s="303"/>
      <c r="R27" s="303"/>
      <c r="S27" s="303"/>
      <c r="T27" s="301"/>
      <c r="U27" s="288"/>
      <c r="V27" s="288"/>
      <c r="W27" s="299" t="s">
        <v>1638</v>
      </c>
      <c r="X27" s="300"/>
      <c r="Y27" s="300"/>
      <c r="Z27" s="300"/>
      <c r="AA27" s="301"/>
      <c r="AB27" s="288"/>
      <c r="AC27" s="288"/>
    </row>
    <row r="28" spans="1:34" ht="27" customHeight="1">
      <c r="A28" s="288"/>
      <c r="B28" s="974"/>
      <c r="C28" s="975"/>
      <c r="D28" s="975"/>
      <c r="E28" s="976"/>
      <c r="F28" s="977" t="e">
        <f>VLOOKUP(V1,個別データ!$B$5:$AB$179,17,0)</f>
        <v>#N/A</v>
      </c>
      <c r="G28" s="978"/>
      <c r="H28" s="978"/>
      <c r="I28" s="978"/>
      <c r="J28" s="297" t="s">
        <v>312</v>
      </c>
      <c r="K28" s="977" t="e">
        <f>VLOOKUP(V1,個別データ!$B$5:$AB$179,24,0)</f>
        <v>#N/A</v>
      </c>
      <c r="L28" s="978"/>
      <c r="M28" s="978"/>
      <c r="N28" s="978"/>
      <c r="O28" s="298" t="s">
        <v>312</v>
      </c>
      <c r="P28" s="979" t="e">
        <f>F28-K28</f>
        <v>#N/A</v>
      </c>
      <c r="Q28" s="980"/>
      <c r="R28" s="980"/>
      <c r="S28" s="980"/>
      <c r="T28" s="298" t="s">
        <v>312</v>
      </c>
      <c r="U28" s="288" t="e">
        <f>IF(F28&lt;(K28+P28),"✕","")</f>
        <v>#N/A</v>
      </c>
      <c r="V28" s="288"/>
      <c r="W28" s="981">
        <f>⑧一般加算１!N78</f>
        <v>0</v>
      </c>
      <c r="X28" s="982"/>
      <c r="Y28" s="982"/>
      <c r="Z28" s="982"/>
      <c r="AA28" s="297" t="s">
        <v>312</v>
      </c>
      <c r="AB28" s="288"/>
      <c r="AC28" s="288"/>
    </row>
    <row r="29" spans="1:34" ht="27" customHeight="1">
      <c r="A29" s="288"/>
      <c r="B29" s="971" t="s">
        <v>1424</v>
      </c>
      <c r="C29" s="972"/>
      <c r="D29" s="972"/>
      <c r="E29" s="973"/>
      <c r="F29" s="299" t="s">
        <v>1638</v>
      </c>
      <c r="G29" s="300"/>
      <c r="H29" s="300"/>
      <c r="I29" s="300"/>
      <c r="J29" s="301"/>
      <c r="K29" s="951"/>
      <c r="L29" s="952"/>
      <c r="M29" s="952"/>
      <c r="N29" s="952"/>
      <c r="O29" s="953"/>
      <c r="P29" s="302"/>
      <c r="Q29" s="303"/>
      <c r="R29" s="303"/>
      <c r="S29" s="303"/>
      <c r="T29" s="301"/>
      <c r="U29" s="288"/>
      <c r="V29" s="288"/>
      <c r="W29" s="299" t="s">
        <v>1638</v>
      </c>
      <c r="X29" s="300"/>
      <c r="Y29" s="300"/>
      <c r="Z29" s="300"/>
      <c r="AA29" s="301"/>
      <c r="AB29" s="288"/>
      <c r="AC29" s="288"/>
    </row>
    <row r="30" spans="1:34" ht="27" customHeight="1">
      <c r="A30" s="288"/>
      <c r="B30" s="974"/>
      <c r="C30" s="975"/>
      <c r="D30" s="975"/>
      <c r="E30" s="976"/>
      <c r="F30" s="977" t="e">
        <f>VLOOKUP(V1,個別データ!$B$5:$AB$179,18,0)</f>
        <v>#N/A</v>
      </c>
      <c r="G30" s="978"/>
      <c r="H30" s="978"/>
      <c r="I30" s="978"/>
      <c r="J30" s="297" t="s">
        <v>312</v>
      </c>
      <c r="K30" s="977" t="e">
        <f>VLOOKUP(V1,個別データ!$B$5:$AB$179,25,0)</f>
        <v>#N/A</v>
      </c>
      <c r="L30" s="978"/>
      <c r="M30" s="978"/>
      <c r="N30" s="978"/>
      <c r="O30" s="298" t="s">
        <v>312</v>
      </c>
      <c r="P30" s="979" t="e">
        <f>F30-K30</f>
        <v>#N/A</v>
      </c>
      <c r="Q30" s="980"/>
      <c r="R30" s="980"/>
      <c r="S30" s="980"/>
      <c r="T30" s="298" t="s">
        <v>312</v>
      </c>
      <c r="U30" s="288" t="e">
        <f>IF(F30&lt;(K30+P30),"✕","")</f>
        <v>#N/A</v>
      </c>
      <c r="V30" s="288"/>
      <c r="W30" s="981">
        <f>⑨一般加算２!N78</f>
        <v>0</v>
      </c>
      <c r="X30" s="982"/>
      <c r="Y30" s="982"/>
      <c r="Z30" s="982"/>
      <c r="AA30" s="297" t="s">
        <v>312</v>
      </c>
      <c r="AB30" s="288"/>
      <c r="AC30" s="288"/>
    </row>
    <row r="31" spans="1:34" ht="27" customHeight="1">
      <c r="A31" s="288"/>
      <c r="B31" s="971" t="s">
        <v>1425</v>
      </c>
      <c r="C31" s="972"/>
      <c r="D31" s="972"/>
      <c r="E31" s="973"/>
      <c r="F31" s="299" t="s">
        <v>1638</v>
      </c>
      <c r="G31" s="300"/>
      <c r="H31" s="300"/>
      <c r="I31" s="300"/>
      <c r="J31" s="301"/>
      <c r="K31" s="951"/>
      <c r="L31" s="952"/>
      <c r="M31" s="952"/>
      <c r="N31" s="952"/>
      <c r="O31" s="953"/>
      <c r="P31" s="302"/>
      <c r="Q31" s="303"/>
      <c r="R31" s="303"/>
      <c r="S31" s="303"/>
      <c r="T31" s="301"/>
      <c r="U31" s="288"/>
      <c r="V31" s="288"/>
      <c r="W31" s="299" t="s">
        <v>1638</v>
      </c>
      <c r="X31" s="300"/>
      <c r="Y31" s="300"/>
      <c r="Z31" s="300"/>
      <c r="AA31" s="301"/>
      <c r="AB31" s="288"/>
      <c r="AC31" s="288"/>
    </row>
    <row r="32" spans="1:34" ht="27" customHeight="1">
      <c r="A32" s="288"/>
      <c r="B32" s="974"/>
      <c r="C32" s="975"/>
      <c r="D32" s="975"/>
      <c r="E32" s="976"/>
      <c r="F32" s="988" t="e">
        <f>VLOOKUP(V1,個別データ!$B$5:$AB$179,19,0)</f>
        <v>#N/A</v>
      </c>
      <c r="G32" s="989"/>
      <c r="H32" s="989"/>
      <c r="I32" s="989"/>
      <c r="J32" s="297" t="s">
        <v>312</v>
      </c>
      <c r="K32" s="977" t="e">
        <f>VLOOKUP(V1,個別データ!$B$5:$AB$179,26,0)</f>
        <v>#N/A</v>
      </c>
      <c r="L32" s="978"/>
      <c r="M32" s="978"/>
      <c r="N32" s="978"/>
      <c r="O32" s="298" t="s">
        <v>312</v>
      </c>
      <c r="P32" s="979" t="e">
        <f>F32-K32</f>
        <v>#N/A</v>
      </c>
      <c r="Q32" s="980"/>
      <c r="R32" s="980"/>
      <c r="S32" s="980"/>
      <c r="T32" s="298" t="s">
        <v>312</v>
      </c>
      <c r="U32" s="288" t="e">
        <f>IF(F32&lt;(K32+P32),"✕","")</f>
        <v>#N/A</v>
      </c>
      <c r="V32" s="288"/>
      <c r="W32" s="986">
        <f>⑩特定加算１!J138</f>
        <v>0</v>
      </c>
      <c r="X32" s="987"/>
      <c r="Y32" s="987"/>
      <c r="Z32" s="987"/>
      <c r="AA32" s="297" t="s">
        <v>312</v>
      </c>
      <c r="AB32" s="288"/>
      <c r="AC32" s="288"/>
    </row>
    <row r="33" spans="1:29" ht="27" customHeight="1">
      <c r="A33" s="288"/>
      <c r="B33" s="971" t="s">
        <v>1426</v>
      </c>
      <c r="C33" s="972"/>
      <c r="D33" s="972"/>
      <c r="E33" s="973"/>
      <c r="F33" s="299" t="s">
        <v>1638</v>
      </c>
      <c r="G33" s="300"/>
      <c r="H33" s="300"/>
      <c r="I33" s="300"/>
      <c r="J33" s="301"/>
      <c r="K33" s="951"/>
      <c r="L33" s="952"/>
      <c r="M33" s="952"/>
      <c r="N33" s="952"/>
      <c r="O33" s="953"/>
      <c r="P33" s="302"/>
      <c r="Q33" s="303"/>
      <c r="R33" s="303"/>
      <c r="S33" s="303"/>
      <c r="T33" s="301"/>
      <c r="U33" s="288"/>
      <c r="V33" s="288"/>
      <c r="W33" s="299" t="s">
        <v>1638</v>
      </c>
      <c r="X33" s="300"/>
      <c r="Y33" s="300"/>
      <c r="Z33" s="300"/>
      <c r="AA33" s="301"/>
      <c r="AB33" s="288"/>
      <c r="AC33" s="288"/>
    </row>
    <row r="34" spans="1:29" ht="27" customHeight="1" thickBot="1">
      <c r="A34" s="288"/>
      <c r="B34" s="974"/>
      <c r="C34" s="975"/>
      <c r="D34" s="975"/>
      <c r="E34" s="976"/>
      <c r="F34" s="988" t="e">
        <f>VLOOKUP(V1,個別データ!$B$5:$AB$179,20,0)</f>
        <v>#N/A</v>
      </c>
      <c r="G34" s="989"/>
      <c r="H34" s="989"/>
      <c r="I34" s="989"/>
      <c r="J34" s="297" t="s">
        <v>312</v>
      </c>
      <c r="K34" s="977" t="e">
        <f>VLOOKUP(V1,個別データ!$B$5:$AB$179,27,0)</f>
        <v>#N/A</v>
      </c>
      <c r="L34" s="978"/>
      <c r="M34" s="978"/>
      <c r="N34" s="978"/>
      <c r="O34" s="298" t="s">
        <v>312</v>
      </c>
      <c r="P34" s="979" t="e">
        <f>F34-K34</f>
        <v>#N/A</v>
      </c>
      <c r="Q34" s="980"/>
      <c r="R34" s="980"/>
      <c r="S34" s="980"/>
      <c r="T34" s="298" t="s">
        <v>312</v>
      </c>
      <c r="U34" s="288" t="e">
        <f>IF(F34&lt;(K34+P34),"✕","")</f>
        <v>#N/A</v>
      </c>
      <c r="V34" s="288"/>
      <c r="W34" s="986">
        <f>⑪特定加算２!J66</f>
        <v>0</v>
      </c>
      <c r="X34" s="987"/>
      <c r="Y34" s="987"/>
      <c r="Z34" s="987"/>
      <c r="AA34" s="297" t="s">
        <v>312</v>
      </c>
      <c r="AB34" s="288"/>
      <c r="AC34" s="288"/>
    </row>
    <row r="35" spans="1:29" ht="27" customHeight="1" thickTop="1">
      <c r="A35" s="288"/>
      <c r="B35" s="965" t="s">
        <v>313</v>
      </c>
      <c r="C35" s="965"/>
      <c r="D35" s="965"/>
      <c r="E35" s="966"/>
      <c r="F35" s="304" t="s">
        <v>1638</v>
      </c>
      <c r="G35" s="305"/>
      <c r="H35" s="305"/>
      <c r="I35" s="305"/>
      <c r="J35" s="306"/>
      <c r="K35" s="952"/>
      <c r="L35" s="952"/>
      <c r="M35" s="952"/>
      <c r="N35" s="952"/>
      <c r="O35" s="953"/>
      <c r="P35" s="302"/>
      <c r="Q35" s="303"/>
      <c r="R35" s="303"/>
      <c r="S35" s="303"/>
      <c r="T35" s="301"/>
      <c r="U35" s="288"/>
      <c r="V35" s="288"/>
      <c r="W35" s="299" t="s">
        <v>1638</v>
      </c>
      <c r="X35" s="300"/>
      <c r="Y35" s="300"/>
      <c r="Z35" s="300"/>
      <c r="AA35" s="301"/>
      <c r="AB35" s="288"/>
      <c r="AC35" s="288"/>
    </row>
    <row r="36" spans="1:29" ht="27" customHeight="1" thickBot="1">
      <c r="A36" s="288"/>
      <c r="B36" s="965"/>
      <c r="C36" s="965"/>
      <c r="D36" s="965"/>
      <c r="E36" s="966"/>
      <c r="F36" s="990" t="e">
        <f>SUM(F34,F32,F30,F28,F26,F24,F22)</f>
        <v>#N/A</v>
      </c>
      <c r="G36" s="991"/>
      <c r="H36" s="991"/>
      <c r="I36" s="991"/>
      <c r="J36" s="307" t="s">
        <v>312</v>
      </c>
      <c r="K36" s="978" t="e">
        <f>SUM(K22,K24,K26,K28,K30,K32,K34)</f>
        <v>#N/A</v>
      </c>
      <c r="L36" s="978"/>
      <c r="M36" s="978"/>
      <c r="N36" s="978"/>
      <c r="O36" s="298" t="s">
        <v>312</v>
      </c>
      <c r="P36" s="977" t="e">
        <f>F36-K36</f>
        <v>#N/A</v>
      </c>
      <c r="Q36" s="978"/>
      <c r="R36" s="978"/>
      <c r="S36" s="978"/>
      <c r="T36" s="298" t="s">
        <v>312</v>
      </c>
      <c r="U36" s="288" t="e">
        <f>IF(F36&lt;(K36+P36),"✕","")</f>
        <v>#N/A</v>
      </c>
      <c r="V36" s="288"/>
      <c r="W36" s="981">
        <f>SUM(W22,W24,W26,W28,W30,W34,W32)</f>
        <v>0</v>
      </c>
      <c r="X36" s="982"/>
      <c r="Y36" s="982"/>
      <c r="Z36" s="982"/>
      <c r="AA36" s="298" t="s">
        <v>312</v>
      </c>
      <c r="AB36" s="288"/>
      <c r="AC36" s="288"/>
    </row>
    <row r="37" spans="1:29" ht="28" customHeight="1" thickTop="1">
      <c r="W37" s="299" t="s">
        <v>1638</v>
      </c>
      <c r="X37" s="300"/>
      <c r="Y37" s="300"/>
      <c r="Z37" s="300"/>
      <c r="AA37" s="301"/>
    </row>
    <row r="38" spans="1:29" ht="28" customHeight="1" thickBot="1">
      <c r="W38" s="947" t="e">
        <f>⑫公定価格加算分!F21*-1</f>
        <v>#N/A</v>
      </c>
      <c r="X38" s="948"/>
      <c r="Y38" s="948"/>
      <c r="Z38" s="948"/>
      <c r="AA38" s="581" t="s">
        <v>312</v>
      </c>
    </row>
    <row r="39" spans="1:29" ht="28" customHeight="1" thickTop="1">
      <c r="W39" s="304" t="s">
        <v>1638</v>
      </c>
      <c r="X39" s="305"/>
      <c r="Y39" s="305"/>
      <c r="Z39" s="305"/>
      <c r="AA39" s="306"/>
    </row>
    <row r="40" spans="1:29" ht="28" customHeight="1" thickBot="1">
      <c r="W40" s="949" t="e">
        <f>W36+W38</f>
        <v>#N/A</v>
      </c>
      <c r="X40" s="948"/>
      <c r="Y40" s="948"/>
      <c r="Z40" s="948"/>
      <c r="AA40" s="307" t="s">
        <v>312</v>
      </c>
    </row>
    <row r="41" spans="1:29" ht="28" customHeight="1" thickTop="1"/>
    <row r="42" spans="1:29" ht="28" customHeight="1"/>
  </sheetData>
  <sheetProtection algorithmName="SHA-512" hashValue="FmXnXxHJmscWRkZLPaTtL5pkD/qAfKgPmb7NrWzmyDqelJcIj/qIsfI8uyHvKGuF/r2vEFXw5fyvOVk1zRd1Hg==" saltValue="UoKFpKX8QNMjAqId3NaeUw==" spinCount="100000" sheet="1" selectLockedCells="1"/>
  <mergeCells count="72">
    <mergeCell ref="O1:P1"/>
    <mergeCell ref="Q1:R1"/>
    <mergeCell ref="B31:E32"/>
    <mergeCell ref="K31:O31"/>
    <mergeCell ref="F32:I32"/>
    <mergeCell ref="B29:E30"/>
    <mergeCell ref="K29:O29"/>
    <mergeCell ref="F30:I30"/>
    <mergeCell ref="K30:N30"/>
    <mergeCell ref="P30:S30"/>
    <mergeCell ref="B27:E28"/>
    <mergeCell ref="K27:O27"/>
    <mergeCell ref="F28:I28"/>
    <mergeCell ref="K28:N28"/>
    <mergeCell ref="P28:S28"/>
    <mergeCell ref="B25:E26"/>
    <mergeCell ref="W36:Z36"/>
    <mergeCell ref="B33:E34"/>
    <mergeCell ref="K33:O33"/>
    <mergeCell ref="F34:I34"/>
    <mergeCell ref="K34:N34"/>
    <mergeCell ref="P34:S34"/>
    <mergeCell ref="W34:Z34"/>
    <mergeCell ref="B35:E36"/>
    <mergeCell ref="K35:O35"/>
    <mergeCell ref="F36:I36"/>
    <mergeCell ref="K36:N36"/>
    <mergeCell ref="P36:S36"/>
    <mergeCell ref="F26:I26"/>
    <mergeCell ref="K26:N26"/>
    <mergeCell ref="P26:S26"/>
    <mergeCell ref="B23:E24"/>
    <mergeCell ref="K23:O23"/>
    <mergeCell ref="F24:I24"/>
    <mergeCell ref="K24:N24"/>
    <mergeCell ref="P24:S24"/>
    <mergeCell ref="W22:Z22"/>
    <mergeCell ref="P20:T20"/>
    <mergeCell ref="K32:N32"/>
    <mergeCell ref="P32:S32"/>
    <mergeCell ref="W26:Z26"/>
    <mergeCell ref="W24:Z24"/>
    <mergeCell ref="W30:Z30"/>
    <mergeCell ref="W28:Z28"/>
    <mergeCell ref="W32:Z32"/>
    <mergeCell ref="K25:O25"/>
    <mergeCell ref="B21:E22"/>
    <mergeCell ref="K21:O21"/>
    <mergeCell ref="F22:I22"/>
    <mergeCell ref="K22:N22"/>
    <mergeCell ref="P22:S22"/>
    <mergeCell ref="H18:O18"/>
    <mergeCell ref="B20:E20"/>
    <mergeCell ref="F20:J20"/>
    <mergeCell ref="K20:O20"/>
    <mergeCell ref="W20:AA20"/>
    <mergeCell ref="W38:Z38"/>
    <mergeCell ref="W40:Z40"/>
    <mergeCell ref="B17:T17"/>
    <mergeCell ref="Y1:AC1"/>
    <mergeCell ref="O2:T2"/>
    <mergeCell ref="B7:F7"/>
    <mergeCell ref="J8:L9"/>
    <mergeCell ref="N8:T9"/>
    <mergeCell ref="J10:L10"/>
    <mergeCell ref="N10:T10"/>
    <mergeCell ref="J11:L11"/>
    <mergeCell ref="N11:T11"/>
    <mergeCell ref="J12:L12"/>
    <mergeCell ref="O12:T12"/>
    <mergeCell ref="B14:T16"/>
    <mergeCell ref="B18:E18"/>
  </mergeCells>
  <phoneticPr fontId="1"/>
  <conditionalFormatting sqref="B17:T17">
    <cfRule type="notContainsBlanks" dxfId="0" priority="1">
      <formula>LEN(TRIM(B17))&gt;0</formula>
    </cfRule>
  </conditionalFormatting>
  <pageMargins left="0.95" right="0.69" top="0.98399999999999999" bottom="0.98399999999999999" header="0.51200000000000001" footer="0.51200000000000001"/>
  <pageSetup paperSize="9" scale="78" orientation="portrait" r:id="rId1"/>
  <headerFooter alignWithMargins="0"/>
  <colBreaks count="1" manualBreakCount="1">
    <brk id="21" max="1048575" man="1"/>
  </colBreaks>
  <ignoredErrors>
    <ignoredError sqref="P22:S36 N9:T9 O8:T8 N12:T12 O10:T10 O11:T11" unlockedFormula="1"/>
  </ignoredErrors>
  <drawing r:id="rId2"/>
  <legacyDrawing r:id="rId3"/>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B09F3-C184-4FDE-B393-BD34331EB56A}">
  <dimension ref="A1:H18"/>
  <sheetViews>
    <sheetView showGridLines="0" workbookViewId="0">
      <selection activeCell="O12" sqref="O12:T12"/>
    </sheetView>
  </sheetViews>
  <sheetFormatPr defaultColWidth="9" defaultRowHeight="12"/>
  <cols>
    <col min="1" max="1" width="1.33203125" style="311" customWidth="1"/>
    <col min="2" max="3" width="31" style="311" customWidth="1"/>
    <col min="4" max="5" width="17.75" style="311" customWidth="1"/>
    <col min="6" max="6" width="2.58203125" style="311" customWidth="1"/>
    <col min="7" max="7" width="9" style="311"/>
    <col min="8" max="8" width="4.83203125" style="311" customWidth="1"/>
    <col min="9" max="16384" width="9" style="311"/>
  </cols>
  <sheetData>
    <row r="1" spans="1:8" ht="31.5" customHeight="1">
      <c r="A1" s="309"/>
      <c r="B1" s="310" t="s">
        <v>1665</v>
      </c>
      <c r="C1" s="309"/>
      <c r="D1" s="309"/>
      <c r="E1" s="309"/>
      <c r="F1" s="309"/>
      <c r="G1" s="309"/>
      <c r="H1" s="309"/>
    </row>
    <row r="2" spans="1:8" ht="20.25" customHeight="1">
      <c r="A2" s="309"/>
      <c r="B2" s="992" t="s">
        <v>1688</v>
      </c>
      <c r="C2" s="992"/>
      <c r="D2" s="992"/>
      <c r="E2" s="992"/>
      <c r="F2" s="309"/>
      <c r="G2" s="309"/>
      <c r="H2" s="309"/>
    </row>
    <row r="3" spans="1:8" ht="6.75" customHeight="1">
      <c r="A3" s="309"/>
      <c r="B3" s="309"/>
      <c r="C3" s="309"/>
      <c r="D3" s="309"/>
      <c r="E3" s="309"/>
      <c r="F3" s="309"/>
      <c r="G3" s="309"/>
      <c r="H3" s="309"/>
    </row>
    <row r="4" spans="1:8" ht="12.75" customHeight="1">
      <c r="A4" s="309"/>
      <c r="B4" s="993" t="s">
        <v>1666</v>
      </c>
      <c r="C4" s="994" t="s">
        <v>1667</v>
      </c>
      <c r="D4" s="312"/>
      <c r="E4" s="313"/>
      <c r="F4" s="309"/>
      <c r="G4" s="309"/>
      <c r="H4" s="309"/>
    </row>
    <row r="5" spans="1:8" ht="17.25" customHeight="1" thickBot="1">
      <c r="A5" s="309"/>
      <c r="B5" s="993"/>
      <c r="C5" s="995"/>
      <c r="D5" s="314" t="s">
        <v>1668</v>
      </c>
      <c r="E5" s="314" t="s">
        <v>1669</v>
      </c>
      <c r="F5" s="309"/>
      <c r="G5" s="309"/>
      <c r="H5" s="309"/>
    </row>
    <row r="6" spans="1:8" ht="17.25" customHeight="1" thickTop="1">
      <c r="A6" s="309"/>
      <c r="B6" s="315" t="s">
        <v>1670</v>
      </c>
      <c r="C6" s="316" t="s">
        <v>1671</v>
      </c>
      <c r="D6" s="313" t="s">
        <v>1672</v>
      </c>
      <c r="E6" s="314" t="s">
        <v>1673</v>
      </c>
      <c r="F6" s="309"/>
      <c r="G6" s="309"/>
      <c r="H6" s="309"/>
    </row>
    <row r="7" spans="1:8" ht="29.25" customHeight="1" thickBot="1">
      <c r="A7" s="309"/>
      <c r="B7" s="317" t="s">
        <v>1674</v>
      </c>
      <c r="C7" s="318" t="s">
        <v>1675</v>
      </c>
      <c r="D7" s="319" t="s">
        <v>1676</v>
      </c>
      <c r="E7" s="320" t="s">
        <v>1677</v>
      </c>
      <c r="F7" s="309"/>
      <c r="G7" s="309"/>
      <c r="H7" s="309"/>
    </row>
    <row r="8" spans="1:8" ht="42" customHeight="1" thickTop="1">
      <c r="A8" s="309"/>
      <c r="B8" s="309"/>
      <c r="C8" s="309"/>
      <c r="D8" s="309"/>
      <c r="E8" s="309"/>
      <c r="F8" s="309"/>
      <c r="G8" s="309"/>
      <c r="H8" s="309"/>
    </row>
    <row r="9" spans="1:8" ht="39.75" customHeight="1">
      <c r="A9" s="309"/>
      <c r="B9" s="321"/>
      <c r="C9" s="322"/>
      <c r="D9" s="323"/>
      <c r="E9" s="323"/>
      <c r="F9" s="309"/>
      <c r="G9" s="309"/>
      <c r="H9" s="309"/>
    </row>
    <row r="10" spans="1:8">
      <c r="A10" s="309"/>
      <c r="B10" s="309"/>
      <c r="C10" s="309"/>
      <c r="D10" s="309"/>
      <c r="E10" s="309"/>
      <c r="F10" s="309"/>
      <c r="G10" s="309"/>
      <c r="H10" s="309"/>
    </row>
    <row r="11" spans="1:8">
      <c r="A11" s="309"/>
      <c r="B11" s="309"/>
      <c r="C11" s="309"/>
      <c r="D11" s="309"/>
      <c r="E11" s="309"/>
      <c r="F11" s="309"/>
      <c r="G11" s="309"/>
      <c r="H11" s="309"/>
    </row>
    <row r="12" spans="1:8">
      <c r="A12" s="324"/>
      <c r="B12" s="324"/>
      <c r="C12" s="324"/>
      <c r="D12" s="324"/>
      <c r="E12" s="324"/>
      <c r="F12" s="309"/>
      <c r="G12" s="309"/>
      <c r="H12" s="309"/>
    </row>
    <row r="13" spans="1:8">
      <c r="A13" s="324"/>
      <c r="B13" s="324"/>
      <c r="C13" s="324"/>
      <c r="D13" s="324"/>
      <c r="E13" s="324"/>
      <c r="F13" s="309"/>
      <c r="G13" s="309"/>
      <c r="H13" s="309"/>
    </row>
    <row r="14" spans="1:8" ht="32.25" customHeight="1">
      <c r="A14" s="324"/>
      <c r="B14" s="324"/>
      <c r="C14" s="324"/>
      <c r="D14" s="324"/>
      <c r="E14" s="324"/>
      <c r="F14" s="309"/>
      <c r="G14" s="309"/>
      <c r="H14" s="309"/>
    </row>
    <row r="15" spans="1:8" ht="32.25" customHeight="1">
      <c r="A15" s="324"/>
      <c r="B15" s="324"/>
      <c r="C15" s="324"/>
      <c r="D15" s="324"/>
      <c r="E15" s="324"/>
      <c r="F15" s="309"/>
      <c r="G15" s="309"/>
      <c r="H15" s="309"/>
    </row>
    <row r="16" spans="1:8" ht="15" customHeight="1">
      <c r="A16" s="324"/>
      <c r="B16" s="324"/>
      <c r="C16" s="324"/>
      <c r="D16" s="324"/>
      <c r="E16" s="324"/>
      <c r="F16" s="309"/>
      <c r="G16" s="309"/>
      <c r="H16" s="309"/>
    </row>
    <row r="17" spans="1:8" ht="32.25" customHeight="1">
      <c r="A17" s="324"/>
      <c r="B17" s="324"/>
      <c r="C17" s="324"/>
      <c r="D17" s="324"/>
      <c r="E17" s="324"/>
      <c r="F17" s="309"/>
      <c r="G17" s="309"/>
      <c r="H17" s="309"/>
    </row>
    <row r="18" spans="1:8" ht="32.25" customHeight="1"/>
  </sheetData>
  <mergeCells count="3">
    <mergeCell ref="B2:E2"/>
    <mergeCell ref="B4:B5"/>
    <mergeCell ref="C4:C5"/>
  </mergeCells>
  <phoneticPr fontId="1"/>
  <pageMargins left="0.7" right="0.7" top="0.75" bottom="0.75" header="0.3" footer="0.3"/>
  <drawing r:id="rId1"/>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7BDDD-EA64-425C-88BD-A75FA7C17D0B}">
  <dimension ref="B2:F6"/>
  <sheetViews>
    <sheetView showGridLines="0" workbookViewId="0">
      <selection activeCell="G9" sqref="G9:G11"/>
    </sheetView>
  </sheetViews>
  <sheetFormatPr defaultColWidth="9" defaultRowHeight="18"/>
  <cols>
    <col min="1" max="1" width="1" style="327" customWidth="1"/>
    <col min="2" max="2" width="35.5" style="327" bestFit="1" customWidth="1"/>
    <col min="3" max="3" width="19.08203125" style="327" customWidth="1"/>
    <col min="4" max="4" width="4" style="327" customWidth="1"/>
    <col min="5" max="5" width="22.58203125" style="327" customWidth="1"/>
    <col min="6" max="6" width="32.33203125" style="327" customWidth="1"/>
    <col min="7" max="16384" width="9" style="327"/>
  </cols>
  <sheetData>
    <row r="2" spans="2:6" ht="27.75" customHeight="1">
      <c r="B2" s="996" t="s">
        <v>1678</v>
      </c>
      <c r="C2" s="314" t="s">
        <v>1679</v>
      </c>
      <c r="D2" s="325" t="s">
        <v>1680</v>
      </c>
      <c r="E2" s="326" t="s">
        <v>1681</v>
      </c>
      <c r="F2" s="996" t="s">
        <v>1682</v>
      </c>
    </row>
    <row r="3" spans="2:6">
      <c r="B3" s="996"/>
      <c r="C3" s="325" t="s">
        <v>1683</v>
      </c>
      <c r="D3" s="309"/>
      <c r="E3" s="325" t="s">
        <v>1670</v>
      </c>
      <c r="F3" s="996"/>
    </row>
    <row r="4" spans="2:6" ht="5.25" customHeight="1">
      <c r="B4" s="328"/>
      <c r="C4" s="325"/>
      <c r="D4" s="309"/>
      <c r="E4" s="325"/>
      <c r="F4" s="328"/>
    </row>
    <row r="5" spans="2:6" ht="27.75" customHeight="1">
      <c r="B5" s="997" t="s">
        <v>1684</v>
      </c>
      <c r="C5" s="314" t="s">
        <v>1679</v>
      </c>
      <c r="D5" s="325" t="s">
        <v>1685</v>
      </c>
      <c r="E5" s="326" t="s">
        <v>1681</v>
      </c>
      <c r="F5" s="998" t="s">
        <v>1686</v>
      </c>
    </row>
    <row r="6" spans="2:6">
      <c r="B6" s="997"/>
      <c r="C6" s="325" t="s">
        <v>1683</v>
      </c>
      <c r="D6" s="309"/>
      <c r="E6" s="325" t="s">
        <v>1687</v>
      </c>
      <c r="F6" s="996"/>
    </row>
  </sheetData>
  <mergeCells count="4">
    <mergeCell ref="B2:B3"/>
    <mergeCell ref="F2:F3"/>
    <mergeCell ref="B5:B6"/>
    <mergeCell ref="F5:F6"/>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B8234-C372-43B1-A25A-A18436FB2FBC}">
  <sheetPr codeName="Sheet211">
    <tabColor rgb="FFFF0000"/>
  </sheetPr>
  <dimension ref="B1:U69"/>
  <sheetViews>
    <sheetView showGridLines="0" view="pageBreakPreview" zoomScaleNormal="100" zoomScaleSheetLayoutView="100" workbookViewId="0">
      <selection activeCell="G48" sqref="G48"/>
    </sheetView>
  </sheetViews>
  <sheetFormatPr defaultColWidth="9" defaultRowHeight="13"/>
  <cols>
    <col min="1" max="1" width="1.5" style="469" customWidth="1"/>
    <col min="2" max="15" width="9" style="469"/>
    <col min="16" max="16" width="1.25" style="469" customWidth="1"/>
    <col min="17" max="16384" width="9" style="469"/>
  </cols>
  <sheetData>
    <row r="1" spans="2:15" ht="14">
      <c r="B1" s="478" t="s">
        <v>319</v>
      </c>
    </row>
    <row r="2" spans="2:15" ht="19.5" customHeight="1" thickBot="1">
      <c r="B2" s="477" t="s">
        <v>320</v>
      </c>
    </row>
    <row r="3" spans="2:15" ht="11.25" customHeight="1">
      <c r="B3" s="644" t="s">
        <v>321</v>
      </c>
      <c r="C3" s="645"/>
      <c r="D3" s="645"/>
      <c r="E3" s="645"/>
      <c r="F3" s="645"/>
      <c r="G3" s="479" t="s">
        <v>322</v>
      </c>
      <c r="H3" s="479"/>
      <c r="I3" s="479"/>
      <c r="J3" s="479"/>
      <c r="K3" s="479"/>
      <c r="L3" s="479"/>
      <c r="M3" s="479"/>
      <c r="N3" s="479"/>
      <c r="O3" s="480"/>
    </row>
    <row r="4" spans="2:15" ht="11.25" customHeight="1">
      <c r="B4" s="481" t="s">
        <v>323</v>
      </c>
      <c r="C4" s="482"/>
      <c r="D4" s="482"/>
      <c r="E4" s="482"/>
      <c r="F4" s="482"/>
      <c r="G4" s="482" t="s">
        <v>1881</v>
      </c>
      <c r="H4" s="482"/>
      <c r="I4" s="482"/>
      <c r="J4" s="482"/>
      <c r="K4" s="482"/>
      <c r="L4" s="482"/>
      <c r="M4" s="482"/>
      <c r="N4" s="482"/>
      <c r="O4" s="483"/>
    </row>
    <row r="5" spans="2:15" ht="11.25" customHeight="1">
      <c r="B5" s="481"/>
      <c r="C5" s="482"/>
      <c r="D5" s="482"/>
      <c r="E5" s="482"/>
      <c r="F5" s="482"/>
      <c r="G5" s="482" t="s">
        <v>1882</v>
      </c>
      <c r="H5" s="482"/>
      <c r="I5" s="482"/>
      <c r="J5" s="482"/>
      <c r="K5" s="482"/>
      <c r="L5" s="482"/>
      <c r="M5" s="482"/>
      <c r="N5" s="482"/>
      <c r="O5" s="483"/>
    </row>
    <row r="6" spans="2:15" ht="11.25" customHeight="1" thickBot="1">
      <c r="B6" s="484" t="s">
        <v>324</v>
      </c>
      <c r="C6" s="485"/>
      <c r="D6" s="485"/>
      <c r="E6" s="485"/>
      <c r="F6" s="485"/>
      <c r="G6" s="485"/>
      <c r="H6" s="485"/>
      <c r="I6" s="485"/>
      <c r="J6" s="485"/>
      <c r="K6" s="485"/>
      <c r="L6" s="485"/>
      <c r="M6" s="485"/>
      <c r="N6" s="485"/>
      <c r="O6" s="486"/>
    </row>
    <row r="7" spans="2:15" ht="3.75" customHeight="1">
      <c r="B7" s="472"/>
      <c r="C7" s="473"/>
      <c r="D7" s="473"/>
      <c r="E7" s="473"/>
      <c r="F7" s="473"/>
      <c r="G7" s="473"/>
      <c r="H7" s="473"/>
      <c r="I7" s="473"/>
      <c r="J7" s="473"/>
      <c r="K7" s="473"/>
      <c r="L7" s="473"/>
      <c r="M7" s="473"/>
      <c r="N7" s="473"/>
      <c r="O7" s="473"/>
    </row>
    <row r="8" spans="2:15" ht="19.5" customHeight="1">
      <c r="B8" s="477" t="s">
        <v>1879</v>
      </c>
    </row>
    <row r="9" spans="2:15" ht="18.75" customHeight="1">
      <c r="C9" s="487"/>
      <c r="D9" s="632" t="s">
        <v>325</v>
      </c>
      <c r="E9" s="632"/>
      <c r="F9" s="632"/>
      <c r="G9" s="488"/>
      <c r="H9" s="646" t="s">
        <v>326</v>
      </c>
      <c r="I9" s="647"/>
      <c r="J9" s="647"/>
      <c r="K9" s="647"/>
      <c r="L9" s="647"/>
      <c r="M9" s="647"/>
      <c r="N9" s="647"/>
      <c r="O9" s="648"/>
    </row>
    <row r="10" spans="2:15">
      <c r="C10" s="633" t="s">
        <v>327</v>
      </c>
      <c r="D10" s="633"/>
      <c r="E10" s="634"/>
      <c r="F10" s="635" t="s">
        <v>418</v>
      </c>
      <c r="G10" s="636"/>
      <c r="H10" s="649"/>
      <c r="I10" s="650"/>
      <c r="J10" s="650"/>
      <c r="K10" s="650"/>
      <c r="L10" s="650"/>
      <c r="M10" s="650"/>
      <c r="N10" s="650"/>
      <c r="O10" s="651"/>
    </row>
    <row r="11" spans="2:15">
      <c r="B11" s="487"/>
      <c r="C11" s="637"/>
      <c r="D11" s="638"/>
      <c r="E11" s="638"/>
      <c r="F11" s="652"/>
      <c r="G11" s="653"/>
      <c r="H11" s="470"/>
      <c r="I11" s="470"/>
      <c r="J11" s="470"/>
      <c r="K11" s="470"/>
      <c r="L11" s="470"/>
      <c r="M11" s="470"/>
      <c r="N11" s="470"/>
      <c r="O11" s="471"/>
    </row>
    <row r="12" spans="2:15" ht="13.5" customHeight="1">
      <c r="B12" s="654" t="s">
        <v>328</v>
      </c>
      <c r="C12" s="630"/>
      <c r="D12" s="631"/>
      <c r="E12" s="631"/>
      <c r="F12" s="639" t="s">
        <v>1880</v>
      </c>
      <c r="G12" s="640"/>
      <c r="O12" s="474"/>
    </row>
    <row r="13" spans="2:15">
      <c r="B13" s="654"/>
      <c r="C13" s="630"/>
      <c r="D13" s="631"/>
      <c r="E13" s="631"/>
      <c r="F13" s="639"/>
      <c r="G13" s="640"/>
      <c r="O13" s="474"/>
    </row>
    <row r="14" spans="2:15">
      <c r="B14" s="654"/>
      <c r="C14" s="630"/>
      <c r="D14" s="631"/>
      <c r="E14" s="631"/>
      <c r="F14" s="639"/>
      <c r="G14" s="640"/>
      <c r="O14" s="474"/>
    </row>
    <row r="15" spans="2:15">
      <c r="B15" s="654"/>
      <c r="C15" s="630"/>
      <c r="D15" s="631"/>
      <c r="E15" s="631"/>
      <c r="F15" s="639"/>
      <c r="G15" s="640"/>
      <c r="O15" s="474"/>
    </row>
    <row r="16" spans="2:15">
      <c r="B16" s="654"/>
      <c r="C16" s="630"/>
      <c r="D16" s="631"/>
      <c r="E16" s="631"/>
      <c r="F16" s="639"/>
      <c r="G16" s="640"/>
      <c r="O16" s="474"/>
    </row>
    <row r="17" spans="2:15">
      <c r="B17" s="654"/>
      <c r="C17" s="630"/>
      <c r="D17" s="631"/>
      <c r="E17" s="631"/>
      <c r="F17" s="639"/>
      <c r="G17" s="640"/>
      <c r="O17" s="474"/>
    </row>
    <row r="18" spans="2:15">
      <c r="B18" s="654"/>
      <c r="C18" s="630"/>
      <c r="D18" s="631"/>
      <c r="E18" s="631"/>
      <c r="F18" s="639"/>
      <c r="G18" s="640"/>
      <c r="O18" s="474"/>
    </row>
    <row r="19" spans="2:15">
      <c r="B19" s="654"/>
      <c r="C19" s="630"/>
      <c r="D19" s="631"/>
      <c r="E19" s="631"/>
      <c r="F19" s="639"/>
      <c r="G19" s="640"/>
      <c r="O19" s="474"/>
    </row>
    <row r="20" spans="2:15">
      <c r="B20" s="654"/>
      <c r="C20" s="630"/>
      <c r="D20" s="631"/>
      <c r="E20" s="631"/>
      <c r="F20" s="639"/>
      <c r="G20" s="640"/>
      <c r="O20" s="474"/>
    </row>
    <row r="21" spans="2:15">
      <c r="B21" s="489"/>
      <c r="C21" s="630"/>
      <c r="D21" s="631"/>
      <c r="E21" s="631"/>
      <c r="F21" s="639"/>
      <c r="G21" s="640"/>
      <c r="O21" s="474"/>
    </row>
    <row r="22" spans="2:15">
      <c r="B22" s="489"/>
      <c r="C22" s="630"/>
      <c r="D22" s="631"/>
      <c r="E22" s="631"/>
      <c r="F22" s="639"/>
      <c r="G22" s="640"/>
      <c r="O22" s="474"/>
    </row>
    <row r="23" spans="2:15">
      <c r="B23" s="489"/>
      <c r="C23" s="630"/>
      <c r="D23" s="631"/>
      <c r="E23" s="631"/>
      <c r="F23" s="639"/>
      <c r="G23" s="640"/>
      <c r="O23" s="474"/>
    </row>
    <row r="24" spans="2:15">
      <c r="B24" s="489"/>
      <c r="C24" s="630"/>
      <c r="D24" s="631"/>
      <c r="E24" s="631"/>
      <c r="F24" s="639"/>
      <c r="G24" s="640"/>
      <c r="O24" s="474"/>
    </row>
    <row r="25" spans="2:15">
      <c r="B25" s="490"/>
      <c r="C25" s="642"/>
      <c r="D25" s="643"/>
      <c r="E25" s="643"/>
      <c r="F25" s="655"/>
      <c r="G25" s="656"/>
      <c r="H25" s="476"/>
      <c r="I25" s="476"/>
      <c r="J25" s="476"/>
      <c r="K25" s="476"/>
      <c r="L25" s="476"/>
      <c r="M25" s="476"/>
      <c r="N25" s="476"/>
      <c r="O25" s="475"/>
    </row>
    <row r="26" spans="2:15">
      <c r="B26" s="487"/>
      <c r="C26" s="637"/>
      <c r="D26" s="638"/>
      <c r="E26" s="638"/>
      <c r="F26" s="657"/>
      <c r="G26" s="658"/>
      <c r="O26" s="474"/>
    </row>
    <row r="27" spans="2:15">
      <c r="B27" s="641" t="s">
        <v>329</v>
      </c>
      <c r="C27" s="630"/>
      <c r="D27" s="631"/>
      <c r="E27" s="631"/>
      <c r="F27" s="639"/>
      <c r="G27" s="640"/>
      <c r="O27" s="474"/>
    </row>
    <row r="28" spans="2:15">
      <c r="B28" s="641"/>
      <c r="C28" s="630"/>
      <c r="D28" s="631"/>
      <c r="E28" s="631"/>
      <c r="F28" s="639"/>
      <c r="G28" s="640"/>
      <c r="O28" s="474"/>
    </row>
    <row r="29" spans="2:15">
      <c r="B29" s="641"/>
      <c r="C29" s="630"/>
      <c r="D29" s="631"/>
      <c r="E29" s="631"/>
      <c r="F29" s="639"/>
      <c r="G29" s="640"/>
      <c r="O29" s="474"/>
    </row>
    <row r="30" spans="2:15">
      <c r="B30" s="641"/>
      <c r="C30" s="630"/>
      <c r="D30" s="631"/>
      <c r="E30" s="631"/>
      <c r="F30" s="639"/>
      <c r="G30" s="640"/>
      <c r="O30" s="474"/>
    </row>
    <row r="31" spans="2:15">
      <c r="B31" s="641"/>
      <c r="C31" s="630"/>
      <c r="D31" s="631"/>
      <c r="E31" s="631"/>
      <c r="F31" s="639"/>
      <c r="G31" s="640"/>
      <c r="O31" s="474"/>
    </row>
    <row r="32" spans="2:15">
      <c r="B32" s="641"/>
      <c r="C32" s="630"/>
      <c r="D32" s="631"/>
      <c r="E32" s="631"/>
      <c r="F32" s="639"/>
      <c r="G32" s="640"/>
      <c r="O32" s="474"/>
    </row>
    <row r="33" spans="2:21">
      <c r="B33" s="641"/>
      <c r="C33" s="630"/>
      <c r="D33" s="631"/>
      <c r="E33" s="631"/>
      <c r="F33" s="639"/>
      <c r="G33" s="640"/>
      <c r="O33" s="474"/>
    </row>
    <row r="34" spans="2:21">
      <c r="B34" s="641"/>
      <c r="C34" s="630"/>
      <c r="D34" s="631"/>
      <c r="E34" s="631"/>
      <c r="F34" s="639"/>
      <c r="G34" s="640"/>
      <c r="O34" s="474"/>
    </row>
    <row r="35" spans="2:21">
      <c r="B35" s="641"/>
      <c r="C35" s="630"/>
      <c r="D35" s="631"/>
      <c r="E35" s="631"/>
      <c r="F35" s="639"/>
      <c r="G35" s="640"/>
      <c r="O35" s="474"/>
    </row>
    <row r="36" spans="2:21">
      <c r="B36" s="491"/>
      <c r="C36" s="630"/>
      <c r="D36" s="631"/>
      <c r="E36" s="631"/>
      <c r="F36" s="639"/>
      <c r="G36" s="640"/>
      <c r="O36" s="474"/>
    </row>
    <row r="37" spans="2:21">
      <c r="B37" s="491"/>
      <c r="C37" s="630"/>
      <c r="D37" s="631"/>
      <c r="E37" s="631"/>
      <c r="F37" s="639"/>
      <c r="G37" s="640"/>
      <c r="O37" s="474"/>
    </row>
    <row r="38" spans="2:21">
      <c r="B38" s="491"/>
      <c r="C38" s="630"/>
      <c r="D38" s="631"/>
      <c r="E38" s="631"/>
      <c r="F38" s="639"/>
      <c r="G38" s="640"/>
      <c r="O38" s="474"/>
    </row>
    <row r="39" spans="2:21">
      <c r="B39" s="490"/>
      <c r="C39" s="642"/>
      <c r="D39" s="643"/>
      <c r="E39" s="643"/>
      <c r="F39" s="655"/>
      <c r="G39" s="656"/>
      <c r="H39" s="476"/>
      <c r="I39" s="476"/>
      <c r="J39" s="476"/>
      <c r="K39" s="476"/>
      <c r="L39" s="476"/>
      <c r="M39" s="476"/>
      <c r="N39" s="476"/>
      <c r="O39" s="475"/>
    </row>
    <row r="44" spans="2:21">
      <c r="H44" s="612" t="s">
        <v>2493</v>
      </c>
    </row>
    <row r="46" spans="2:21">
      <c r="C46" s="469" t="s">
        <v>327</v>
      </c>
      <c r="H46" s="659" t="s">
        <v>2492</v>
      </c>
      <c r="I46" s="659"/>
      <c r="J46" s="659"/>
      <c r="K46" s="659"/>
      <c r="L46" s="659"/>
      <c r="M46" s="659"/>
      <c r="N46" s="659"/>
      <c r="O46" s="659"/>
      <c r="P46" s="659"/>
      <c r="Q46" s="659"/>
      <c r="R46" s="659"/>
      <c r="S46" s="659"/>
      <c r="T46" s="659"/>
      <c r="U46" s="659"/>
    </row>
    <row r="47" spans="2:21">
      <c r="H47" s="659"/>
      <c r="I47" s="659"/>
      <c r="J47" s="659"/>
      <c r="K47" s="659"/>
      <c r="L47" s="659"/>
      <c r="M47" s="659"/>
      <c r="N47" s="659"/>
      <c r="O47" s="659"/>
      <c r="P47" s="659"/>
      <c r="Q47" s="659"/>
      <c r="R47" s="659"/>
      <c r="S47" s="659"/>
      <c r="T47" s="659"/>
      <c r="U47" s="659"/>
    </row>
    <row r="48" spans="2:21">
      <c r="C48" s="469" t="s">
        <v>330</v>
      </c>
      <c r="H48" s="659"/>
      <c r="I48" s="659"/>
      <c r="J48" s="659"/>
      <c r="K48" s="659"/>
      <c r="L48" s="659"/>
      <c r="M48" s="659"/>
      <c r="N48" s="659"/>
      <c r="O48" s="659"/>
      <c r="P48" s="659"/>
      <c r="Q48" s="659"/>
      <c r="R48" s="659"/>
      <c r="S48" s="659"/>
      <c r="T48" s="659"/>
      <c r="U48" s="659"/>
    </row>
    <row r="49" spans="3:21">
      <c r="C49" s="469" t="s">
        <v>331</v>
      </c>
      <c r="H49" s="659"/>
      <c r="I49" s="659"/>
      <c r="J49" s="659"/>
      <c r="K49" s="659"/>
      <c r="L49" s="659"/>
      <c r="M49" s="659"/>
      <c r="N49" s="659"/>
      <c r="O49" s="659"/>
      <c r="P49" s="659"/>
      <c r="Q49" s="659"/>
      <c r="R49" s="659"/>
      <c r="S49" s="659"/>
      <c r="T49" s="659"/>
      <c r="U49" s="659"/>
    </row>
    <row r="50" spans="3:21">
      <c r="C50" s="469" t="s">
        <v>332</v>
      </c>
      <c r="H50" s="659"/>
      <c r="I50" s="659"/>
      <c r="J50" s="659"/>
      <c r="K50" s="659"/>
      <c r="L50" s="659"/>
      <c r="M50" s="659"/>
      <c r="N50" s="659"/>
      <c r="O50" s="659"/>
      <c r="P50" s="659"/>
      <c r="Q50" s="659"/>
      <c r="R50" s="659"/>
      <c r="S50" s="659"/>
      <c r="T50" s="659"/>
      <c r="U50" s="659"/>
    </row>
    <row r="51" spans="3:21">
      <c r="C51" s="469" t="s">
        <v>333</v>
      </c>
      <c r="H51" s="659"/>
      <c r="I51" s="659"/>
      <c r="J51" s="659"/>
      <c r="K51" s="659"/>
      <c r="L51" s="659"/>
      <c r="M51" s="659"/>
      <c r="N51" s="659"/>
      <c r="O51" s="659"/>
      <c r="P51" s="659"/>
      <c r="Q51" s="659"/>
      <c r="R51" s="659"/>
      <c r="S51" s="659"/>
      <c r="T51" s="659"/>
      <c r="U51" s="659"/>
    </row>
    <row r="52" spans="3:21">
      <c r="C52" s="469" t="s">
        <v>334</v>
      </c>
      <c r="H52" s="659"/>
      <c r="I52" s="659"/>
      <c r="J52" s="659"/>
      <c r="K52" s="659"/>
      <c r="L52" s="659"/>
      <c r="M52" s="659"/>
      <c r="N52" s="659"/>
      <c r="O52" s="659"/>
      <c r="P52" s="659"/>
      <c r="Q52" s="659"/>
      <c r="R52" s="659"/>
      <c r="S52" s="659"/>
      <c r="T52" s="659"/>
      <c r="U52" s="659"/>
    </row>
    <row r="53" spans="3:21">
      <c r="C53" s="469" t="s">
        <v>335</v>
      </c>
      <c r="H53" s="659"/>
      <c r="I53" s="659"/>
      <c r="J53" s="659"/>
      <c r="K53" s="659"/>
      <c r="L53" s="659"/>
      <c r="M53" s="659"/>
      <c r="N53" s="659"/>
      <c r="O53" s="659"/>
      <c r="P53" s="659"/>
      <c r="Q53" s="659"/>
      <c r="R53" s="659"/>
      <c r="S53" s="659"/>
      <c r="T53" s="659"/>
      <c r="U53" s="659"/>
    </row>
    <row r="54" spans="3:21">
      <c r="C54" s="469" t="s">
        <v>1698</v>
      </c>
      <c r="H54" s="659"/>
      <c r="I54" s="659"/>
      <c r="J54" s="659"/>
      <c r="K54" s="659"/>
      <c r="L54" s="659"/>
      <c r="M54" s="659"/>
      <c r="N54" s="659"/>
      <c r="O54" s="659"/>
      <c r="P54" s="659"/>
      <c r="Q54" s="659"/>
      <c r="R54" s="659"/>
      <c r="S54" s="659"/>
      <c r="T54" s="659"/>
      <c r="U54" s="659"/>
    </row>
    <row r="55" spans="3:21">
      <c r="C55" s="469" t="s">
        <v>1697</v>
      </c>
      <c r="H55" s="659"/>
      <c r="I55" s="659"/>
      <c r="J55" s="659"/>
      <c r="K55" s="659"/>
      <c r="L55" s="659"/>
      <c r="M55" s="659"/>
      <c r="N55" s="659"/>
      <c r="O55" s="659"/>
      <c r="P55" s="659"/>
      <c r="Q55" s="659"/>
      <c r="R55" s="659"/>
      <c r="S55" s="659"/>
      <c r="T55" s="659"/>
      <c r="U55" s="659"/>
    </row>
    <row r="56" spans="3:21">
      <c r="C56" s="469" t="s">
        <v>1699</v>
      </c>
      <c r="H56" s="659"/>
      <c r="I56" s="659"/>
      <c r="J56" s="659"/>
      <c r="K56" s="659"/>
      <c r="L56" s="659"/>
      <c r="M56" s="659"/>
      <c r="N56" s="659"/>
      <c r="O56" s="659"/>
      <c r="P56" s="659"/>
      <c r="Q56" s="659"/>
      <c r="R56" s="659"/>
      <c r="S56" s="659"/>
      <c r="T56" s="659"/>
      <c r="U56" s="659"/>
    </row>
    <row r="57" spans="3:21">
      <c r="C57" s="469" t="s">
        <v>1700</v>
      </c>
      <c r="H57" s="659"/>
      <c r="I57" s="659"/>
      <c r="J57" s="659"/>
      <c r="K57" s="659"/>
      <c r="L57" s="659"/>
      <c r="M57" s="659"/>
      <c r="N57" s="659"/>
      <c r="O57" s="659"/>
      <c r="P57" s="659"/>
      <c r="Q57" s="659"/>
      <c r="R57" s="659"/>
      <c r="S57" s="659"/>
      <c r="T57" s="659"/>
      <c r="U57" s="659"/>
    </row>
    <row r="58" spans="3:21">
      <c r="C58" s="469" t="s">
        <v>1701</v>
      </c>
      <c r="H58" s="659"/>
      <c r="I58" s="659"/>
      <c r="J58" s="659"/>
      <c r="K58" s="659"/>
      <c r="L58" s="659"/>
      <c r="M58" s="659"/>
      <c r="N58" s="659"/>
      <c r="O58" s="659"/>
      <c r="P58" s="659"/>
      <c r="Q58" s="659"/>
      <c r="R58" s="659"/>
      <c r="S58" s="659"/>
      <c r="T58" s="659"/>
      <c r="U58" s="659"/>
    </row>
    <row r="59" spans="3:21">
      <c r="C59" s="469" t="s">
        <v>1702</v>
      </c>
      <c r="H59" s="659"/>
      <c r="I59" s="659"/>
      <c r="J59" s="659"/>
      <c r="K59" s="659"/>
      <c r="L59" s="659"/>
      <c r="M59" s="659"/>
      <c r="N59" s="659"/>
      <c r="O59" s="659"/>
      <c r="P59" s="659"/>
      <c r="Q59" s="659"/>
      <c r="R59" s="659"/>
      <c r="S59" s="659"/>
      <c r="T59" s="659"/>
      <c r="U59" s="659"/>
    </row>
    <row r="60" spans="3:21">
      <c r="C60" s="469" t="s">
        <v>1703</v>
      </c>
      <c r="H60" s="659"/>
      <c r="I60" s="659"/>
      <c r="J60" s="659"/>
      <c r="K60" s="659"/>
      <c r="L60" s="659"/>
      <c r="M60" s="659"/>
      <c r="N60" s="659"/>
      <c r="O60" s="659"/>
      <c r="P60" s="659"/>
      <c r="Q60" s="659"/>
      <c r="R60" s="659"/>
      <c r="S60" s="659"/>
      <c r="T60" s="659"/>
      <c r="U60" s="659"/>
    </row>
    <row r="61" spans="3:21">
      <c r="C61" s="469" t="s">
        <v>1704</v>
      </c>
      <c r="H61" s="659"/>
      <c r="I61" s="659"/>
      <c r="J61" s="659"/>
      <c r="K61" s="659"/>
      <c r="L61" s="659"/>
      <c r="M61" s="659"/>
      <c r="N61" s="659"/>
      <c r="O61" s="659"/>
      <c r="P61" s="659"/>
      <c r="Q61" s="659"/>
      <c r="R61" s="659"/>
      <c r="S61" s="659"/>
      <c r="T61" s="659"/>
      <c r="U61" s="659"/>
    </row>
    <row r="62" spans="3:21">
      <c r="C62" s="469" t="s">
        <v>1705</v>
      </c>
      <c r="H62" s="659"/>
      <c r="I62" s="659"/>
      <c r="J62" s="659"/>
      <c r="K62" s="659"/>
      <c r="L62" s="659"/>
      <c r="M62" s="659"/>
      <c r="N62" s="659"/>
      <c r="O62" s="659"/>
      <c r="P62" s="659"/>
      <c r="Q62" s="659"/>
      <c r="R62" s="659"/>
      <c r="S62" s="659"/>
      <c r="T62" s="659"/>
      <c r="U62" s="659"/>
    </row>
    <row r="63" spans="3:21">
      <c r="C63" s="469" t="s">
        <v>2494</v>
      </c>
      <c r="H63" s="659"/>
      <c r="I63" s="659"/>
      <c r="J63" s="659"/>
      <c r="K63" s="659"/>
      <c r="L63" s="659"/>
      <c r="M63" s="659"/>
      <c r="N63" s="659"/>
      <c r="O63" s="659"/>
      <c r="P63" s="659"/>
      <c r="Q63" s="659"/>
      <c r="R63" s="659"/>
      <c r="S63" s="659"/>
      <c r="T63" s="659"/>
      <c r="U63" s="659"/>
    </row>
    <row r="64" spans="3:21">
      <c r="C64" s="469" t="s">
        <v>2495</v>
      </c>
      <c r="H64" s="659"/>
      <c r="I64" s="659"/>
      <c r="J64" s="659"/>
      <c r="K64" s="659"/>
      <c r="L64" s="659"/>
      <c r="M64" s="659"/>
      <c r="N64" s="659"/>
      <c r="O64" s="659"/>
      <c r="P64" s="659"/>
      <c r="Q64" s="659"/>
      <c r="R64" s="659"/>
      <c r="S64" s="659"/>
      <c r="T64" s="659"/>
      <c r="U64" s="659"/>
    </row>
    <row r="65" spans="3:21">
      <c r="C65" s="469" t="s">
        <v>2496</v>
      </c>
      <c r="H65" s="659"/>
      <c r="I65" s="659"/>
      <c r="J65" s="659"/>
      <c r="K65" s="659"/>
      <c r="L65" s="659"/>
      <c r="M65" s="659"/>
      <c r="N65" s="659"/>
      <c r="O65" s="659"/>
      <c r="P65" s="659"/>
      <c r="Q65" s="659"/>
      <c r="R65" s="659"/>
      <c r="S65" s="659"/>
      <c r="T65" s="659"/>
      <c r="U65" s="659"/>
    </row>
    <row r="66" spans="3:21">
      <c r="C66" s="469" t="s">
        <v>2497</v>
      </c>
      <c r="H66" s="659"/>
      <c r="I66" s="659"/>
      <c r="J66" s="659"/>
      <c r="K66" s="659"/>
      <c r="L66" s="659"/>
      <c r="M66" s="659"/>
      <c r="N66" s="659"/>
      <c r="O66" s="659"/>
      <c r="P66" s="659"/>
      <c r="Q66" s="659"/>
      <c r="R66" s="659"/>
      <c r="S66" s="659"/>
      <c r="T66" s="659"/>
      <c r="U66" s="659"/>
    </row>
    <row r="67" spans="3:21">
      <c r="H67" s="659"/>
      <c r="I67" s="659"/>
      <c r="J67" s="659"/>
      <c r="K67" s="659"/>
      <c r="L67" s="659"/>
      <c r="M67" s="659"/>
      <c r="N67" s="659"/>
      <c r="O67" s="659"/>
      <c r="P67" s="659"/>
      <c r="Q67" s="659"/>
      <c r="R67" s="659"/>
      <c r="S67" s="659"/>
      <c r="T67" s="659"/>
      <c r="U67" s="659"/>
    </row>
    <row r="68" spans="3:21">
      <c r="H68" s="659"/>
      <c r="I68" s="659"/>
      <c r="J68" s="659"/>
      <c r="K68" s="659"/>
      <c r="L68" s="659"/>
      <c r="M68" s="659"/>
      <c r="N68" s="659"/>
      <c r="O68" s="659"/>
      <c r="P68" s="659"/>
      <c r="Q68" s="659"/>
      <c r="R68" s="659"/>
      <c r="S68" s="659"/>
      <c r="T68" s="659"/>
      <c r="U68" s="659"/>
    </row>
    <row r="69" spans="3:21">
      <c r="H69" s="659"/>
      <c r="I69" s="659"/>
      <c r="J69" s="659"/>
      <c r="K69" s="659"/>
      <c r="L69" s="659"/>
      <c r="M69" s="659"/>
      <c r="N69" s="659"/>
      <c r="O69" s="659"/>
      <c r="P69" s="659"/>
      <c r="Q69" s="659"/>
      <c r="R69" s="659"/>
      <c r="S69" s="659"/>
      <c r="T69" s="659"/>
      <c r="U69" s="659"/>
    </row>
  </sheetData>
  <mergeCells count="66">
    <mergeCell ref="H46:U69"/>
    <mergeCell ref="F31:G31"/>
    <mergeCell ref="F32:G32"/>
    <mergeCell ref="F33:G33"/>
    <mergeCell ref="F39:G39"/>
    <mergeCell ref="F34:G34"/>
    <mergeCell ref="F35:G35"/>
    <mergeCell ref="F36:G36"/>
    <mergeCell ref="F37:G37"/>
    <mergeCell ref="F38:G38"/>
    <mergeCell ref="F26:G26"/>
    <mergeCell ref="F27:G27"/>
    <mergeCell ref="F28:G28"/>
    <mergeCell ref="F29:G29"/>
    <mergeCell ref="F30:G30"/>
    <mergeCell ref="F21:G21"/>
    <mergeCell ref="F22:G22"/>
    <mergeCell ref="F23:G23"/>
    <mergeCell ref="F24:G24"/>
    <mergeCell ref="F25:G25"/>
    <mergeCell ref="B3:F3"/>
    <mergeCell ref="H9:O10"/>
    <mergeCell ref="F11:G11"/>
    <mergeCell ref="F12:G12"/>
    <mergeCell ref="F13:G13"/>
    <mergeCell ref="B12:B20"/>
    <mergeCell ref="C13:E13"/>
    <mergeCell ref="C14:E14"/>
    <mergeCell ref="C15:E15"/>
    <mergeCell ref="F19:G19"/>
    <mergeCell ref="F20:G20"/>
    <mergeCell ref="C37:E37"/>
    <mergeCell ref="C38:E38"/>
    <mergeCell ref="C39:E39"/>
    <mergeCell ref="C31:E31"/>
    <mergeCell ref="C32:E32"/>
    <mergeCell ref="C33:E33"/>
    <mergeCell ref="C34:E34"/>
    <mergeCell ref="C35:E35"/>
    <mergeCell ref="C36:E36"/>
    <mergeCell ref="C22:E22"/>
    <mergeCell ref="C23:E23"/>
    <mergeCell ref="C24:E24"/>
    <mergeCell ref="C25:E25"/>
    <mergeCell ref="C26:E26"/>
    <mergeCell ref="B27:B35"/>
    <mergeCell ref="C27:E27"/>
    <mergeCell ref="C28:E28"/>
    <mergeCell ref="C29:E29"/>
    <mergeCell ref="C30:E30"/>
    <mergeCell ref="C21:E21"/>
    <mergeCell ref="D9:F9"/>
    <mergeCell ref="C10:E10"/>
    <mergeCell ref="F10:G10"/>
    <mergeCell ref="C11:E11"/>
    <mergeCell ref="C16:E16"/>
    <mergeCell ref="C17:E17"/>
    <mergeCell ref="C18:E18"/>
    <mergeCell ref="C19:E19"/>
    <mergeCell ref="C20:E20"/>
    <mergeCell ref="F14:G14"/>
    <mergeCell ref="F15:G15"/>
    <mergeCell ref="F16:G16"/>
    <mergeCell ref="F17:G17"/>
    <mergeCell ref="F18:G18"/>
    <mergeCell ref="C12:E12"/>
  </mergeCells>
  <phoneticPr fontId="1"/>
  <dataValidations count="1">
    <dataValidation type="list" allowBlank="1" showInputMessage="1" showErrorMessage="1" sqref="C11:E39" xr:uid="{9F2EAD56-08F9-4E25-AD41-4F6C4730F85A}">
      <formula1>$C$48:$C$68</formula1>
    </dataValidation>
  </dataValidations>
  <pageMargins left="0.70866141732283472" right="0.70866141732283472" top="0.74803149606299213" bottom="0.74803149606299213" header="0.31496062992125984" footer="0.31496062992125984"/>
  <pageSetup paperSize="9" scale="6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8C799-3229-491C-8AEA-932405624539}">
  <dimension ref="B1:AQ30"/>
  <sheetViews>
    <sheetView view="pageBreakPreview" zoomScaleNormal="100" zoomScaleSheetLayoutView="100" workbookViewId="0">
      <pane ySplit="6" topLeftCell="A7" activePane="bottomLeft" state="frozen"/>
      <selection activeCell="A5" sqref="A5:AI41"/>
      <selection pane="bottomLeft" activeCell="D20" sqref="D20"/>
    </sheetView>
  </sheetViews>
  <sheetFormatPr defaultColWidth="9" defaultRowHeight="18"/>
  <cols>
    <col min="1" max="1" width="0.5" style="327" customWidth="1"/>
    <col min="2" max="2" width="6.58203125" style="327" customWidth="1"/>
    <col min="3" max="12" width="5.58203125" style="327" customWidth="1"/>
    <col min="13" max="14" width="7.08203125" style="327" customWidth="1"/>
    <col min="15" max="16" width="6.25" style="327" customWidth="1"/>
    <col min="17" max="29" width="5.58203125" style="327" customWidth="1"/>
    <col min="30" max="30" width="4.08203125" style="327" customWidth="1"/>
    <col min="31" max="31" width="9" style="462"/>
    <col min="32" max="34" width="9" style="327"/>
    <col min="35" max="38" width="7.25" style="327" customWidth="1"/>
    <col min="39" max="16384" width="9" style="327"/>
  </cols>
  <sheetData>
    <row r="1" spans="2:43" ht="6" customHeight="1"/>
    <row r="2" spans="2:43" ht="13.5" customHeight="1">
      <c r="B2" s="666" t="s">
        <v>1900</v>
      </c>
      <c r="C2" s="668" t="s">
        <v>1908</v>
      </c>
      <c r="D2" s="675"/>
      <c r="E2" s="675"/>
      <c r="F2" s="671"/>
      <c r="G2" s="673" t="s">
        <v>1909</v>
      </c>
      <c r="H2" s="674"/>
      <c r="I2" s="668" t="s">
        <v>1785</v>
      </c>
      <c r="J2" s="675"/>
      <c r="K2" s="671"/>
      <c r="L2" s="685" t="s">
        <v>1786</v>
      </c>
      <c r="M2" s="502"/>
      <c r="N2" s="503"/>
      <c r="O2" s="687" t="s">
        <v>1901</v>
      </c>
      <c r="P2" s="682" t="s">
        <v>2459</v>
      </c>
      <c r="Q2" s="688" t="s">
        <v>1787</v>
      </c>
      <c r="R2" s="688"/>
      <c r="S2" s="688"/>
      <c r="T2" s="688"/>
      <c r="U2" s="688"/>
      <c r="V2" s="688"/>
      <c r="W2" s="673"/>
      <c r="X2" s="673"/>
      <c r="Y2" s="673"/>
      <c r="Z2" s="673"/>
      <c r="AA2" s="499"/>
      <c r="AB2" s="671" t="s">
        <v>1788</v>
      </c>
      <c r="AC2" s="666" t="s">
        <v>1789</v>
      </c>
      <c r="AE2" s="462" t="s">
        <v>1790</v>
      </c>
    </row>
    <row r="3" spans="2:43" ht="22.5" customHeight="1">
      <c r="B3" s="670"/>
      <c r="C3" s="666" t="s">
        <v>1791</v>
      </c>
      <c r="D3" s="682" t="s">
        <v>1899</v>
      </c>
      <c r="E3" s="666" t="s">
        <v>1793</v>
      </c>
      <c r="F3" s="670" t="s">
        <v>1796</v>
      </c>
      <c r="G3" s="666" t="s">
        <v>1906</v>
      </c>
      <c r="H3" s="671" t="s">
        <v>1907</v>
      </c>
      <c r="I3" s="666" t="s">
        <v>1794</v>
      </c>
      <c r="J3" s="666" t="s">
        <v>1795</v>
      </c>
      <c r="K3" s="670" t="s">
        <v>1796</v>
      </c>
      <c r="L3" s="686"/>
      <c r="M3" s="682" t="s">
        <v>1897</v>
      </c>
      <c r="N3" s="682" t="s">
        <v>1898</v>
      </c>
      <c r="O3" s="670"/>
      <c r="P3" s="683"/>
      <c r="Q3" s="666" t="s">
        <v>1797</v>
      </c>
      <c r="R3" s="666" t="s">
        <v>1798</v>
      </c>
      <c r="S3" s="666" t="s">
        <v>1799</v>
      </c>
      <c r="T3" s="666" t="s">
        <v>1800</v>
      </c>
      <c r="U3" s="666" t="s">
        <v>1801</v>
      </c>
      <c r="V3" s="669" t="s">
        <v>1902</v>
      </c>
      <c r="W3" s="669" t="s">
        <v>1903</v>
      </c>
      <c r="X3" s="669" t="s">
        <v>1904</v>
      </c>
      <c r="Y3" s="500"/>
      <c r="Z3" s="668" t="s">
        <v>1802</v>
      </c>
      <c r="AA3" s="500"/>
      <c r="AB3" s="672"/>
      <c r="AC3" s="670"/>
    </row>
    <row r="4" spans="2:43" ht="22.5" customHeight="1">
      <c r="B4" s="670"/>
      <c r="C4" s="670"/>
      <c r="D4" s="670"/>
      <c r="E4" s="670"/>
      <c r="F4" s="670"/>
      <c r="G4" s="670"/>
      <c r="H4" s="672"/>
      <c r="I4" s="670"/>
      <c r="J4" s="670"/>
      <c r="K4" s="670"/>
      <c r="L4" s="686"/>
      <c r="M4" s="683"/>
      <c r="N4" s="683"/>
      <c r="O4" s="670"/>
      <c r="P4" s="684"/>
      <c r="Q4" s="667"/>
      <c r="R4" s="667"/>
      <c r="S4" s="667"/>
      <c r="T4" s="667"/>
      <c r="U4" s="667"/>
      <c r="V4" s="667"/>
      <c r="W4" s="667"/>
      <c r="X4" s="667"/>
      <c r="Y4" s="501" t="s">
        <v>1894</v>
      </c>
      <c r="Z4" s="667"/>
      <c r="AA4" s="501" t="s">
        <v>1893</v>
      </c>
      <c r="AB4" s="672"/>
      <c r="AC4" s="670"/>
      <c r="AF4" s="327" t="s">
        <v>1895</v>
      </c>
      <c r="AG4" s="327" t="s">
        <v>1896</v>
      </c>
      <c r="AI4" s="548"/>
      <c r="AJ4" s="549"/>
      <c r="AK4" s="549"/>
      <c r="AL4" s="676" t="s">
        <v>1960</v>
      </c>
      <c r="AN4" s="327" t="s">
        <v>1961</v>
      </c>
      <c r="AO4" s="327" t="s">
        <v>1965</v>
      </c>
    </row>
    <row r="5" spans="2:43" ht="13.5" customHeight="1">
      <c r="B5" s="660" t="s">
        <v>1955</v>
      </c>
      <c r="C5" s="661"/>
      <c r="D5" s="661"/>
      <c r="E5" s="661"/>
      <c r="F5" s="661"/>
      <c r="G5" s="661"/>
      <c r="H5" s="661"/>
      <c r="I5" s="661"/>
      <c r="J5" s="661"/>
      <c r="K5" s="661"/>
      <c r="L5" s="661"/>
      <c r="M5" s="661"/>
      <c r="N5" s="661"/>
      <c r="O5" s="661"/>
      <c r="P5" s="662"/>
      <c r="Q5" s="547">
        <f>⑤基本加算１!J6</f>
        <v>175250</v>
      </c>
      <c r="R5" s="546">
        <f>⑥基本加算２!I6</f>
        <v>302333.33333333401</v>
      </c>
      <c r="S5" s="546">
        <f>R5</f>
        <v>302333.33333333401</v>
      </c>
      <c r="T5" s="546">
        <f>⑧一般加算１!M6</f>
        <v>199000</v>
      </c>
      <c r="U5" s="546">
        <f>T5</f>
        <v>199000</v>
      </c>
      <c r="V5" s="546">
        <f>⑩特定加算１!I6</f>
        <v>242333.33333333401</v>
      </c>
      <c r="W5" s="546">
        <f>V5</f>
        <v>242333.33333333401</v>
      </c>
      <c r="X5" s="546">
        <f>V5</f>
        <v>242333.33333333401</v>
      </c>
      <c r="Y5" s="546" t="s">
        <v>1956</v>
      </c>
      <c r="Z5" s="546">
        <f>X5</f>
        <v>242333.33333333401</v>
      </c>
      <c r="AA5" s="546" t="s">
        <v>1956</v>
      </c>
      <c r="AB5" s="672"/>
      <c r="AC5" s="670"/>
      <c r="AI5" s="681" t="s">
        <v>1957</v>
      </c>
      <c r="AJ5" s="681" t="s">
        <v>1958</v>
      </c>
      <c r="AK5" s="681" t="s">
        <v>1959</v>
      </c>
      <c r="AL5" s="677"/>
    </row>
    <row r="6" spans="2:43" ht="13.5" customHeight="1" thickBot="1">
      <c r="B6" s="663" t="s">
        <v>1962</v>
      </c>
      <c r="C6" s="664"/>
      <c r="D6" s="664"/>
      <c r="E6" s="664"/>
      <c r="F6" s="664"/>
      <c r="G6" s="664"/>
      <c r="H6" s="664"/>
      <c r="I6" s="664"/>
      <c r="J6" s="664"/>
      <c r="K6" s="664"/>
      <c r="L6" s="664"/>
      <c r="M6" s="664"/>
      <c r="N6" s="664"/>
      <c r="O6" s="664"/>
      <c r="P6" s="665"/>
      <c r="Q6" s="547">
        <f>Q5-(個別データ!$GD$3-10000)</f>
        <v>105300</v>
      </c>
      <c r="R6" s="546" t="s">
        <v>1956</v>
      </c>
      <c r="S6" s="546" t="s">
        <v>1956</v>
      </c>
      <c r="T6" s="547">
        <f>T5-(個別データ!$GD$3-10000)</f>
        <v>129050</v>
      </c>
      <c r="U6" s="547">
        <f>U5-(個別データ!$GD$3-10000)</f>
        <v>129050</v>
      </c>
      <c r="V6" s="546" t="s">
        <v>1956</v>
      </c>
      <c r="W6" s="546" t="s">
        <v>1956</v>
      </c>
      <c r="X6" s="546" t="s">
        <v>1956</v>
      </c>
      <c r="Y6" s="546" t="s">
        <v>1956</v>
      </c>
      <c r="Z6" s="546" t="s">
        <v>1956</v>
      </c>
      <c r="AA6" s="546" t="s">
        <v>1956</v>
      </c>
      <c r="AB6" s="679"/>
      <c r="AC6" s="680"/>
      <c r="AI6" s="678"/>
      <c r="AJ6" s="678"/>
      <c r="AK6" s="678"/>
      <c r="AL6" s="678"/>
      <c r="AQ6" s="327" t="s">
        <v>2121</v>
      </c>
    </row>
    <row r="7" spans="2:43" ht="16.5" customHeight="1" thickTop="1">
      <c r="B7" s="497" t="s">
        <v>1803</v>
      </c>
      <c r="C7" s="497" t="e">
        <f>'④-1月別配置内訳書(2)-(2)-(A)'!AD9</f>
        <v>#N/A</v>
      </c>
      <c r="D7" s="497" t="e">
        <f>'④-1月別配置内訳書(2)-(2)-(A)'!AF9</f>
        <v>#N/A</v>
      </c>
      <c r="E7" s="497" t="e">
        <f>'④-1月別配置内訳書(2)-(2)-(A)'!AG9</f>
        <v>#DIV/0!</v>
      </c>
      <c r="F7" s="513" t="e">
        <f>'④-1月別配置内訳書(2)-(2)-(A)'!AK9</f>
        <v>#N/A</v>
      </c>
      <c r="G7" s="520" t="e">
        <f>'④-2月別配置内訳書(2)-(2)-(B)'!AF9-'④-2月別配置内訳書(2)-(2)-(B)'!AG9</f>
        <v>#DIV/0!</v>
      </c>
      <c r="H7" s="514" t="e">
        <f>'④-3月別配置内訳書(2)-(2)-(C)・(D)'!V9-'④-3月別配置内訳書(2)-(2)-(C)・(D)'!W9</f>
        <v>#DIV/0!</v>
      </c>
      <c r="I7" s="505" t="e">
        <f>'④-3月別配置内訳書(2)-(2)-(C)・(D)'!Z9</f>
        <v>#N/A</v>
      </c>
      <c r="J7" s="511" t="e">
        <f>'④-3月別配置内訳書(2)-(2)-(C)・(D)'!AT9</f>
        <v>#DIV/0!</v>
      </c>
      <c r="K7" s="513" t="e">
        <f>IF(J7-I7&lt;0,0,J7-I7)</f>
        <v>#DIV/0!</v>
      </c>
      <c r="L7" s="514" t="e">
        <f>'④-４月別配置内訳書(2)-(2)-(E)'!V9</f>
        <v>#DIV/0!</v>
      </c>
      <c r="M7" s="512" t="e">
        <f>SUM(K7:L7,C7:E7,G7:H7)</f>
        <v>#DIV/0!</v>
      </c>
      <c r="N7" s="504" t="e">
        <f t="shared" ref="N7:N18" si="0">AF7</f>
        <v>#N/A</v>
      </c>
      <c r="O7" s="506" t="e">
        <f>MIN(M7:N7)</f>
        <v>#DIV/0!</v>
      </c>
      <c r="P7" s="515" t="e">
        <f>M7-K7-AB7</f>
        <v>#DIV/0!</v>
      </c>
      <c r="Q7" s="509"/>
      <c r="R7" s="509"/>
      <c r="S7" s="509"/>
      <c r="T7" s="510"/>
      <c r="U7" s="509"/>
      <c r="V7" s="509"/>
      <c r="W7" s="509"/>
      <c r="X7" s="509"/>
      <c r="Y7" s="498" t="e">
        <f>①基本情報!F29</f>
        <v>#N/A</v>
      </c>
      <c r="Z7" s="510"/>
      <c r="AA7" s="498">
        <f>SUM('③児童数及び保育士定数 (2)-(1)'!C10:D10)</f>
        <v>0</v>
      </c>
      <c r="AB7" s="504">
        <f>COUNTA(Q7:X7,Z7)</f>
        <v>0</v>
      </c>
      <c r="AC7" s="506" t="e">
        <f>IF(ROUNDDOWN(O7,0)=AB7,"○","✕")</f>
        <v>#DIV/0!</v>
      </c>
      <c r="AD7" s="327" t="str">
        <f>IF(AQ7=5,"✕","○")</f>
        <v>○</v>
      </c>
      <c r="AF7" s="327" t="e">
        <f>IF(AG7="〇",4+Y7+1,4+Y7)</f>
        <v>#N/A</v>
      </c>
      <c r="AG7" s="327" t="str">
        <f>IF(AA7&gt;=36,"〇","✕")</f>
        <v>✕</v>
      </c>
      <c r="AI7" s="550" t="e">
        <f>IF(Y7=0,"","〇")</f>
        <v>#N/A</v>
      </c>
      <c r="AJ7" s="550" t="str">
        <f>IF(Q7="","","〇")</f>
        <v/>
      </c>
      <c r="AK7" s="550" t="str">
        <f>IF(AND(R7="",S7="",T7="",U7="",V7=""),"〇","")</f>
        <v>〇</v>
      </c>
      <c r="AL7" s="550" t="e">
        <f>IF(AND(AI7="〇",AJ7="〇",AK7="〇"),"〇","")</f>
        <v>#N/A</v>
      </c>
      <c r="AN7" s="327" t="str">
        <f>IF(Q7="","〇","")</f>
        <v>〇</v>
      </c>
      <c r="AO7" s="327" t="e">
        <f>SUM(C7:E7)</f>
        <v>#N/A</v>
      </c>
      <c r="AP7" s="327" t="e">
        <f>IF(AO7&lt;0,"✕","〇")</f>
        <v>#N/A</v>
      </c>
      <c r="AQ7" s="327">
        <f>COUNTA(Q7:U7)</f>
        <v>0</v>
      </c>
    </row>
    <row r="8" spans="2:43" ht="16.5" customHeight="1">
      <c r="B8" s="497" t="s">
        <v>1804</v>
      </c>
      <c r="C8" s="497" t="e">
        <f>'④-1月別配置内訳書(2)-(2)-(A)'!AD10</f>
        <v>#N/A</v>
      </c>
      <c r="D8" s="497" t="e">
        <f>'④-1月別配置内訳書(2)-(2)-(A)'!AF10</f>
        <v>#N/A</v>
      </c>
      <c r="E8" s="497" t="e">
        <f>'④-1月別配置内訳書(2)-(2)-(A)'!AG10</f>
        <v>#DIV/0!</v>
      </c>
      <c r="F8" s="522" t="e">
        <f>'④-1月別配置内訳書(2)-(2)-(A)'!AK10</f>
        <v>#N/A</v>
      </c>
      <c r="G8" s="519" t="e">
        <f>'④-2月別配置内訳書(2)-(2)-(B)'!AF10-'④-2月別配置内訳書(2)-(2)-(B)'!AG10</f>
        <v>#DIV/0!</v>
      </c>
      <c r="H8" s="516" t="e">
        <f>'④-3月別配置内訳書(2)-(2)-(C)・(D)'!V10-'④-3月別配置内訳書(2)-(2)-(C)・(D)'!W10</f>
        <v>#DIV/0!</v>
      </c>
      <c r="I8" s="505" t="e">
        <f>'④-3月別配置内訳書(2)-(2)-(C)・(D)'!Z10</f>
        <v>#N/A</v>
      </c>
      <c r="J8" s="511" t="e">
        <f>'④-3月別配置内訳書(2)-(2)-(C)・(D)'!AT10</f>
        <v>#DIV/0!</v>
      </c>
      <c r="K8" s="515" t="e">
        <f t="shared" ref="K8:K18" si="1">IF(J8-I8&lt;0,0,J8-I8)</f>
        <v>#DIV/0!</v>
      </c>
      <c r="L8" s="516" t="e">
        <f>'④-４月別配置内訳書(2)-(2)-(E)'!V10</f>
        <v>#DIV/0!</v>
      </c>
      <c r="M8" s="512" t="e">
        <f>SUM(K8:L8,C8:E8,G8:H8)</f>
        <v>#DIV/0!</v>
      </c>
      <c r="N8" s="504" t="e">
        <f t="shared" si="0"/>
        <v>#N/A</v>
      </c>
      <c r="O8" s="507" t="e">
        <f t="shared" ref="O8:O18" si="2">MIN(M8:N8)</f>
        <v>#DIV/0!</v>
      </c>
      <c r="P8" s="515" t="e">
        <f t="shared" ref="P8:P18" si="3">M8-K8-AB8</f>
        <v>#DIV/0!</v>
      </c>
      <c r="Q8" s="509"/>
      <c r="R8" s="509"/>
      <c r="S8" s="509"/>
      <c r="T8" s="509"/>
      <c r="U8" s="509"/>
      <c r="V8" s="509"/>
      <c r="W8" s="509"/>
      <c r="X8" s="509"/>
      <c r="Y8" s="498" t="e">
        <f>①基本情報!G29</f>
        <v>#N/A</v>
      </c>
      <c r="Z8" s="510"/>
      <c r="AA8" s="498">
        <f>SUM('③児童数及び保育士定数 (2)-(1)'!C11:D11)</f>
        <v>0</v>
      </c>
      <c r="AB8" s="504">
        <f t="shared" ref="AB8:AB18" si="4">COUNTA(Q8:X8,Z8)</f>
        <v>0</v>
      </c>
      <c r="AC8" s="507" t="e">
        <f t="shared" ref="AC8:AC18" si="5">IF(ROUNDDOWN(O8,0)=AB8,"○","✕")</f>
        <v>#DIV/0!</v>
      </c>
      <c r="AD8" s="327" t="str">
        <f t="shared" ref="AD8:AD18" si="6">IF(AQ8=5,"✕","○")</f>
        <v>○</v>
      </c>
      <c r="AF8" s="327" t="e">
        <f t="shared" ref="AF8:AF18" si="7">IF(AG8="〇",4+Y8+1,4+Y8)</f>
        <v>#N/A</v>
      </c>
      <c r="AG8" s="327" t="str">
        <f t="shared" ref="AG8:AG18" si="8">IF(AA8&gt;=36,"〇","✕")</f>
        <v>✕</v>
      </c>
      <c r="AI8" s="550" t="e">
        <f t="shared" ref="AI8:AI18" si="9">IF(Y8=0,"","〇")</f>
        <v>#N/A</v>
      </c>
      <c r="AJ8" s="550" t="str">
        <f>IF(Q8="","","〇")</f>
        <v/>
      </c>
      <c r="AK8" s="550" t="str">
        <f t="shared" ref="AK8:AK18" si="10">IF(AND(R8="",S8="",T8="",U8="",V8=""),"〇","")</f>
        <v>〇</v>
      </c>
      <c r="AL8" s="550" t="e">
        <f>IF(AND(AI8="〇",AJ8="〇",AK8="〇"),"〇","")</f>
        <v>#N/A</v>
      </c>
      <c r="AN8" s="327" t="str">
        <f t="shared" ref="AN8:AN18" si="11">IF(Q8="","〇","")</f>
        <v>〇</v>
      </c>
      <c r="AO8" s="327" t="e">
        <f t="shared" ref="AO8:AO18" si="12">SUM(C8:E8)</f>
        <v>#N/A</v>
      </c>
      <c r="AP8" s="327" t="e">
        <f t="shared" ref="AP8:AP18" si="13">IF(AO8&lt;0,"✕","〇")</f>
        <v>#N/A</v>
      </c>
      <c r="AQ8" s="327">
        <f t="shared" ref="AQ8:AQ18" si="14">COUNTA(Q8:U8)</f>
        <v>0</v>
      </c>
    </row>
    <row r="9" spans="2:43" ht="16.5" customHeight="1">
      <c r="B9" s="497" t="s">
        <v>1805</v>
      </c>
      <c r="C9" s="497" t="e">
        <f>'④-1月別配置内訳書(2)-(2)-(A)'!AD11</f>
        <v>#N/A</v>
      </c>
      <c r="D9" s="497" t="e">
        <f>'④-1月別配置内訳書(2)-(2)-(A)'!AF11</f>
        <v>#N/A</v>
      </c>
      <c r="E9" s="497" t="e">
        <f>'④-1月別配置内訳書(2)-(2)-(A)'!AG11</f>
        <v>#DIV/0!</v>
      </c>
      <c r="F9" s="522" t="e">
        <f>'④-1月別配置内訳書(2)-(2)-(A)'!AK11</f>
        <v>#N/A</v>
      </c>
      <c r="G9" s="519" t="e">
        <f>'④-2月別配置内訳書(2)-(2)-(B)'!AF11-'④-2月別配置内訳書(2)-(2)-(B)'!AG11</f>
        <v>#DIV/0!</v>
      </c>
      <c r="H9" s="516" t="e">
        <f>'④-3月別配置内訳書(2)-(2)-(C)・(D)'!V11-'④-3月別配置内訳書(2)-(2)-(C)・(D)'!W11</f>
        <v>#DIV/0!</v>
      </c>
      <c r="I9" s="505" t="e">
        <f>'④-3月別配置内訳書(2)-(2)-(C)・(D)'!Z11</f>
        <v>#N/A</v>
      </c>
      <c r="J9" s="511" t="e">
        <f>'④-3月別配置内訳書(2)-(2)-(C)・(D)'!AT11</f>
        <v>#DIV/0!</v>
      </c>
      <c r="K9" s="515" t="e">
        <f t="shared" si="1"/>
        <v>#DIV/0!</v>
      </c>
      <c r="L9" s="516" t="e">
        <f>'④-４月別配置内訳書(2)-(2)-(E)'!V11</f>
        <v>#DIV/0!</v>
      </c>
      <c r="M9" s="512" t="e">
        <f t="shared" ref="M9:M18" si="15">SUM(K9:L9,C9:E9,G9:H9)</f>
        <v>#DIV/0!</v>
      </c>
      <c r="N9" s="504" t="e">
        <f t="shared" si="0"/>
        <v>#N/A</v>
      </c>
      <c r="O9" s="507" t="e">
        <f t="shared" si="2"/>
        <v>#DIV/0!</v>
      </c>
      <c r="P9" s="515" t="e">
        <f t="shared" si="3"/>
        <v>#DIV/0!</v>
      </c>
      <c r="Q9" s="509"/>
      <c r="R9" s="509"/>
      <c r="S9" s="509"/>
      <c r="T9" s="509"/>
      <c r="U9" s="509"/>
      <c r="V9" s="509"/>
      <c r="W9" s="509"/>
      <c r="X9" s="509"/>
      <c r="Y9" s="498" t="e">
        <f>①基本情報!H29</f>
        <v>#N/A</v>
      </c>
      <c r="Z9" s="510"/>
      <c r="AA9" s="498">
        <f>SUM('③児童数及び保育士定数 (2)-(1)'!C12:D12)</f>
        <v>0</v>
      </c>
      <c r="AB9" s="504">
        <f t="shared" si="4"/>
        <v>0</v>
      </c>
      <c r="AC9" s="507" t="e">
        <f t="shared" si="5"/>
        <v>#DIV/0!</v>
      </c>
      <c r="AD9" s="327" t="str">
        <f t="shared" si="6"/>
        <v>○</v>
      </c>
      <c r="AF9" s="327" t="e">
        <f t="shared" si="7"/>
        <v>#N/A</v>
      </c>
      <c r="AG9" s="327" t="str">
        <f t="shared" si="8"/>
        <v>✕</v>
      </c>
      <c r="AI9" s="550" t="e">
        <f t="shared" si="9"/>
        <v>#N/A</v>
      </c>
      <c r="AJ9" s="550" t="str">
        <f t="shared" ref="AJ9:AJ18" si="16">IF(Q9="","","〇")</f>
        <v/>
      </c>
      <c r="AK9" s="550" t="str">
        <f t="shared" si="10"/>
        <v>〇</v>
      </c>
      <c r="AL9" s="550" t="e">
        <f t="shared" ref="AL9:AL17" si="17">IF(AND(AI9="〇",AJ9="〇",AK9="〇"),"〇","")</f>
        <v>#N/A</v>
      </c>
      <c r="AN9" s="327" t="str">
        <f t="shared" si="11"/>
        <v>〇</v>
      </c>
      <c r="AO9" s="327" t="e">
        <f t="shared" si="12"/>
        <v>#N/A</v>
      </c>
      <c r="AP9" s="327" t="e">
        <f t="shared" si="13"/>
        <v>#N/A</v>
      </c>
      <c r="AQ9" s="327">
        <f t="shared" si="14"/>
        <v>0</v>
      </c>
    </row>
    <row r="10" spans="2:43" ht="16.5" customHeight="1">
      <c r="B10" s="497" t="s">
        <v>1806</v>
      </c>
      <c r="C10" s="497" t="e">
        <f>'④-1月別配置内訳書(2)-(2)-(A)'!AD12</f>
        <v>#N/A</v>
      </c>
      <c r="D10" s="497" t="e">
        <f>'④-1月別配置内訳書(2)-(2)-(A)'!AF12</f>
        <v>#N/A</v>
      </c>
      <c r="E10" s="497" t="e">
        <f>'④-1月別配置内訳書(2)-(2)-(A)'!AG12</f>
        <v>#DIV/0!</v>
      </c>
      <c r="F10" s="522" t="e">
        <f>'④-1月別配置内訳書(2)-(2)-(A)'!AK12</f>
        <v>#N/A</v>
      </c>
      <c r="G10" s="519" t="e">
        <f>'④-2月別配置内訳書(2)-(2)-(B)'!AF12-'④-2月別配置内訳書(2)-(2)-(B)'!AG12</f>
        <v>#DIV/0!</v>
      </c>
      <c r="H10" s="516" t="e">
        <f>'④-3月別配置内訳書(2)-(2)-(C)・(D)'!V12-'④-3月別配置内訳書(2)-(2)-(C)・(D)'!W12</f>
        <v>#DIV/0!</v>
      </c>
      <c r="I10" s="505" t="e">
        <f>'④-3月別配置内訳書(2)-(2)-(C)・(D)'!Z12</f>
        <v>#N/A</v>
      </c>
      <c r="J10" s="511" t="e">
        <f>'④-3月別配置内訳書(2)-(2)-(C)・(D)'!AT12</f>
        <v>#DIV/0!</v>
      </c>
      <c r="K10" s="515" t="e">
        <f t="shared" si="1"/>
        <v>#DIV/0!</v>
      </c>
      <c r="L10" s="516" t="e">
        <f>'④-４月別配置内訳書(2)-(2)-(E)'!V12</f>
        <v>#DIV/0!</v>
      </c>
      <c r="M10" s="512" t="e">
        <f t="shared" si="15"/>
        <v>#DIV/0!</v>
      </c>
      <c r="N10" s="504" t="e">
        <f t="shared" si="0"/>
        <v>#N/A</v>
      </c>
      <c r="O10" s="507" t="e">
        <f t="shared" si="2"/>
        <v>#DIV/0!</v>
      </c>
      <c r="P10" s="515" t="e">
        <f t="shared" si="3"/>
        <v>#DIV/0!</v>
      </c>
      <c r="Q10" s="509"/>
      <c r="R10" s="509"/>
      <c r="S10" s="509"/>
      <c r="T10" s="509"/>
      <c r="U10" s="509"/>
      <c r="V10" s="509"/>
      <c r="W10" s="509"/>
      <c r="X10" s="509"/>
      <c r="Y10" s="498" t="e">
        <f>①基本情報!I29</f>
        <v>#N/A</v>
      </c>
      <c r="Z10" s="510"/>
      <c r="AA10" s="498">
        <f>SUM('③児童数及び保育士定数 (2)-(1)'!C13:D13)</f>
        <v>0</v>
      </c>
      <c r="AB10" s="504">
        <f t="shared" si="4"/>
        <v>0</v>
      </c>
      <c r="AC10" s="507" t="e">
        <f t="shared" si="5"/>
        <v>#DIV/0!</v>
      </c>
      <c r="AD10" s="327" t="str">
        <f t="shared" si="6"/>
        <v>○</v>
      </c>
      <c r="AF10" s="327" t="e">
        <f t="shared" si="7"/>
        <v>#N/A</v>
      </c>
      <c r="AG10" s="327" t="str">
        <f t="shared" si="8"/>
        <v>✕</v>
      </c>
      <c r="AI10" s="550" t="e">
        <f t="shared" si="9"/>
        <v>#N/A</v>
      </c>
      <c r="AJ10" s="550" t="str">
        <f t="shared" si="16"/>
        <v/>
      </c>
      <c r="AK10" s="550" t="str">
        <f t="shared" si="10"/>
        <v>〇</v>
      </c>
      <c r="AL10" s="550" t="e">
        <f t="shared" si="17"/>
        <v>#N/A</v>
      </c>
      <c r="AN10" s="327" t="str">
        <f t="shared" si="11"/>
        <v>〇</v>
      </c>
      <c r="AO10" s="327" t="e">
        <f t="shared" si="12"/>
        <v>#N/A</v>
      </c>
      <c r="AP10" s="327" t="e">
        <f t="shared" si="13"/>
        <v>#N/A</v>
      </c>
      <c r="AQ10" s="327">
        <f t="shared" si="14"/>
        <v>0</v>
      </c>
    </row>
    <row r="11" spans="2:43" ht="16.5" customHeight="1">
      <c r="B11" s="497" t="s">
        <v>1807</v>
      </c>
      <c r="C11" s="497" t="e">
        <f>'④-1月別配置内訳書(2)-(2)-(A)'!AD13</f>
        <v>#N/A</v>
      </c>
      <c r="D11" s="497" t="e">
        <f>'④-1月別配置内訳書(2)-(2)-(A)'!AF13</f>
        <v>#N/A</v>
      </c>
      <c r="E11" s="497" t="e">
        <f>'④-1月別配置内訳書(2)-(2)-(A)'!AG13</f>
        <v>#DIV/0!</v>
      </c>
      <c r="F11" s="522" t="e">
        <f>'④-1月別配置内訳書(2)-(2)-(A)'!AK13</f>
        <v>#N/A</v>
      </c>
      <c r="G11" s="519" t="e">
        <f>'④-2月別配置内訳書(2)-(2)-(B)'!AF13-'④-2月別配置内訳書(2)-(2)-(B)'!AG13</f>
        <v>#DIV/0!</v>
      </c>
      <c r="H11" s="516" t="e">
        <f>'④-3月別配置内訳書(2)-(2)-(C)・(D)'!V13-'④-3月別配置内訳書(2)-(2)-(C)・(D)'!W13</f>
        <v>#DIV/0!</v>
      </c>
      <c r="I11" s="505" t="e">
        <f>'④-3月別配置内訳書(2)-(2)-(C)・(D)'!Z13</f>
        <v>#N/A</v>
      </c>
      <c r="J11" s="511" t="e">
        <f>'④-3月別配置内訳書(2)-(2)-(C)・(D)'!AT13</f>
        <v>#DIV/0!</v>
      </c>
      <c r="K11" s="515" t="e">
        <f t="shared" si="1"/>
        <v>#DIV/0!</v>
      </c>
      <c r="L11" s="516" t="e">
        <f>'④-４月別配置内訳書(2)-(2)-(E)'!V13</f>
        <v>#DIV/0!</v>
      </c>
      <c r="M11" s="512" t="e">
        <f t="shared" si="15"/>
        <v>#DIV/0!</v>
      </c>
      <c r="N11" s="504" t="e">
        <f t="shared" si="0"/>
        <v>#N/A</v>
      </c>
      <c r="O11" s="507" t="e">
        <f t="shared" si="2"/>
        <v>#DIV/0!</v>
      </c>
      <c r="P11" s="515" t="e">
        <f t="shared" si="3"/>
        <v>#DIV/0!</v>
      </c>
      <c r="Q11" s="509"/>
      <c r="R11" s="509"/>
      <c r="S11" s="509"/>
      <c r="T11" s="509"/>
      <c r="U11" s="509"/>
      <c r="V11" s="509"/>
      <c r="W11" s="509"/>
      <c r="X11" s="509"/>
      <c r="Y11" s="498" t="e">
        <f>①基本情報!J29</f>
        <v>#N/A</v>
      </c>
      <c r="Z11" s="510"/>
      <c r="AA11" s="498">
        <f>SUM('③児童数及び保育士定数 (2)-(1)'!C14:D14)</f>
        <v>0</v>
      </c>
      <c r="AB11" s="504">
        <f t="shared" si="4"/>
        <v>0</v>
      </c>
      <c r="AC11" s="507" t="e">
        <f t="shared" si="5"/>
        <v>#DIV/0!</v>
      </c>
      <c r="AD11" s="327" t="str">
        <f t="shared" si="6"/>
        <v>○</v>
      </c>
      <c r="AF11" s="327" t="e">
        <f t="shared" si="7"/>
        <v>#N/A</v>
      </c>
      <c r="AG11" s="327" t="str">
        <f t="shared" si="8"/>
        <v>✕</v>
      </c>
      <c r="AI11" s="550" t="e">
        <f t="shared" si="9"/>
        <v>#N/A</v>
      </c>
      <c r="AJ11" s="550" t="str">
        <f t="shared" si="16"/>
        <v/>
      </c>
      <c r="AK11" s="550" t="str">
        <f t="shared" si="10"/>
        <v>〇</v>
      </c>
      <c r="AL11" s="550" t="e">
        <f t="shared" si="17"/>
        <v>#N/A</v>
      </c>
      <c r="AN11" s="327" t="str">
        <f t="shared" si="11"/>
        <v>〇</v>
      </c>
      <c r="AO11" s="327" t="e">
        <f t="shared" si="12"/>
        <v>#N/A</v>
      </c>
      <c r="AP11" s="327" t="e">
        <f t="shared" si="13"/>
        <v>#N/A</v>
      </c>
      <c r="AQ11" s="327">
        <f t="shared" si="14"/>
        <v>0</v>
      </c>
    </row>
    <row r="12" spans="2:43" ht="16.5" customHeight="1">
      <c r="B12" s="497" t="s">
        <v>1808</v>
      </c>
      <c r="C12" s="497" t="e">
        <f>'④-1月別配置内訳書(2)-(2)-(A)'!AD14</f>
        <v>#N/A</v>
      </c>
      <c r="D12" s="497" t="e">
        <f>'④-1月別配置内訳書(2)-(2)-(A)'!AF14</f>
        <v>#N/A</v>
      </c>
      <c r="E12" s="497" t="e">
        <f>'④-1月別配置内訳書(2)-(2)-(A)'!AG14</f>
        <v>#DIV/0!</v>
      </c>
      <c r="F12" s="522" t="e">
        <f>'④-1月別配置内訳書(2)-(2)-(A)'!AK14</f>
        <v>#N/A</v>
      </c>
      <c r="G12" s="519" t="e">
        <f>'④-2月別配置内訳書(2)-(2)-(B)'!AF14-'④-2月別配置内訳書(2)-(2)-(B)'!AG14</f>
        <v>#DIV/0!</v>
      </c>
      <c r="H12" s="516" t="e">
        <f>'④-3月別配置内訳書(2)-(2)-(C)・(D)'!V14-'④-3月別配置内訳書(2)-(2)-(C)・(D)'!W14</f>
        <v>#DIV/0!</v>
      </c>
      <c r="I12" s="505" t="e">
        <f>'④-3月別配置内訳書(2)-(2)-(C)・(D)'!Z14</f>
        <v>#N/A</v>
      </c>
      <c r="J12" s="511" t="e">
        <f>'④-3月別配置内訳書(2)-(2)-(C)・(D)'!AT14</f>
        <v>#DIV/0!</v>
      </c>
      <c r="K12" s="515" t="e">
        <f t="shared" si="1"/>
        <v>#DIV/0!</v>
      </c>
      <c r="L12" s="516" t="e">
        <f>'④-４月別配置内訳書(2)-(2)-(E)'!V14</f>
        <v>#DIV/0!</v>
      </c>
      <c r="M12" s="512" t="e">
        <f t="shared" si="15"/>
        <v>#DIV/0!</v>
      </c>
      <c r="N12" s="504" t="e">
        <f t="shared" si="0"/>
        <v>#N/A</v>
      </c>
      <c r="O12" s="507" t="e">
        <f t="shared" si="2"/>
        <v>#DIV/0!</v>
      </c>
      <c r="P12" s="515" t="e">
        <f t="shared" si="3"/>
        <v>#DIV/0!</v>
      </c>
      <c r="Q12" s="509"/>
      <c r="R12" s="509"/>
      <c r="S12" s="509"/>
      <c r="T12" s="509"/>
      <c r="U12" s="509"/>
      <c r="V12" s="509"/>
      <c r="W12" s="509"/>
      <c r="X12" s="509"/>
      <c r="Y12" s="498" t="e">
        <f>①基本情報!K29</f>
        <v>#N/A</v>
      </c>
      <c r="Z12" s="510"/>
      <c r="AA12" s="498">
        <f>SUM('③児童数及び保育士定数 (2)-(1)'!C15:D15)</f>
        <v>0</v>
      </c>
      <c r="AB12" s="504">
        <f t="shared" si="4"/>
        <v>0</v>
      </c>
      <c r="AC12" s="507" t="e">
        <f t="shared" si="5"/>
        <v>#DIV/0!</v>
      </c>
      <c r="AD12" s="327" t="str">
        <f t="shared" si="6"/>
        <v>○</v>
      </c>
      <c r="AF12" s="327" t="e">
        <f t="shared" si="7"/>
        <v>#N/A</v>
      </c>
      <c r="AG12" s="327" t="str">
        <f t="shared" si="8"/>
        <v>✕</v>
      </c>
      <c r="AI12" s="550" t="e">
        <f t="shared" si="9"/>
        <v>#N/A</v>
      </c>
      <c r="AJ12" s="550" t="str">
        <f t="shared" si="16"/>
        <v/>
      </c>
      <c r="AK12" s="550" t="str">
        <f t="shared" si="10"/>
        <v>〇</v>
      </c>
      <c r="AL12" s="550" t="e">
        <f t="shared" si="17"/>
        <v>#N/A</v>
      </c>
      <c r="AN12" s="327" t="str">
        <f t="shared" si="11"/>
        <v>〇</v>
      </c>
      <c r="AO12" s="327" t="e">
        <f t="shared" si="12"/>
        <v>#N/A</v>
      </c>
      <c r="AP12" s="327" t="e">
        <f t="shared" si="13"/>
        <v>#N/A</v>
      </c>
      <c r="AQ12" s="327">
        <f t="shared" si="14"/>
        <v>0</v>
      </c>
    </row>
    <row r="13" spans="2:43" ht="16.5" customHeight="1">
      <c r="B13" s="497" t="s">
        <v>1809</v>
      </c>
      <c r="C13" s="497" t="e">
        <f>'④-1月別配置内訳書(2)-(2)-(A)'!AD15</f>
        <v>#N/A</v>
      </c>
      <c r="D13" s="497" t="e">
        <f>'④-1月別配置内訳書(2)-(2)-(A)'!AF15</f>
        <v>#N/A</v>
      </c>
      <c r="E13" s="497" t="e">
        <f>'④-1月別配置内訳書(2)-(2)-(A)'!AG15</f>
        <v>#DIV/0!</v>
      </c>
      <c r="F13" s="522" t="e">
        <f>'④-1月別配置内訳書(2)-(2)-(A)'!AK15</f>
        <v>#N/A</v>
      </c>
      <c r="G13" s="519" t="e">
        <f>'④-2月別配置内訳書(2)-(2)-(B)'!AF15-'④-2月別配置内訳書(2)-(2)-(B)'!AG15</f>
        <v>#DIV/0!</v>
      </c>
      <c r="H13" s="516" t="e">
        <f>'④-3月別配置内訳書(2)-(2)-(C)・(D)'!V15-'④-3月別配置内訳書(2)-(2)-(C)・(D)'!W15</f>
        <v>#DIV/0!</v>
      </c>
      <c r="I13" s="505" t="e">
        <f>'④-3月別配置内訳書(2)-(2)-(C)・(D)'!Z15</f>
        <v>#N/A</v>
      </c>
      <c r="J13" s="511" t="e">
        <f>'④-3月別配置内訳書(2)-(2)-(C)・(D)'!AT15</f>
        <v>#DIV/0!</v>
      </c>
      <c r="K13" s="515" t="e">
        <f t="shared" si="1"/>
        <v>#DIV/0!</v>
      </c>
      <c r="L13" s="516" t="e">
        <f>'④-４月別配置内訳書(2)-(2)-(E)'!V15</f>
        <v>#DIV/0!</v>
      </c>
      <c r="M13" s="512" t="e">
        <f t="shared" si="15"/>
        <v>#DIV/0!</v>
      </c>
      <c r="N13" s="504" t="e">
        <f t="shared" si="0"/>
        <v>#N/A</v>
      </c>
      <c r="O13" s="507" t="e">
        <f t="shared" si="2"/>
        <v>#DIV/0!</v>
      </c>
      <c r="P13" s="515" t="e">
        <f t="shared" si="3"/>
        <v>#DIV/0!</v>
      </c>
      <c r="Q13" s="509"/>
      <c r="R13" s="509"/>
      <c r="S13" s="509"/>
      <c r="T13" s="509"/>
      <c r="U13" s="509"/>
      <c r="V13" s="509"/>
      <c r="W13" s="509"/>
      <c r="X13" s="509"/>
      <c r="Y13" s="498" t="e">
        <f>①基本情報!L29</f>
        <v>#N/A</v>
      </c>
      <c r="Z13" s="510"/>
      <c r="AA13" s="498">
        <f>SUM('③児童数及び保育士定数 (2)-(1)'!C16:D16)</f>
        <v>0</v>
      </c>
      <c r="AB13" s="504">
        <f t="shared" si="4"/>
        <v>0</v>
      </c>
      <c r="AC13" s="507" t="e">
        <f t="shared" si="5"/>
        <v>#DIV/0!</v>
      </c>
      <c r="AD13" s="327" t="str">
        <f t="shared" si="6"/>
        <v>○</v>
      </c>
      <c r="AF13" s="327" t="e">
        <f t="shared" si="7"/>
        <v>#N/A</v>
      </c>
      <c r="AG13" s="327" t="str">
        <f t="shared" si="8"/>
        <v>✕</v>
      </c>
      <c r="AI13" s="550" t="e">
        <f t="shared" si="9"/>
        <v>#N/A</v>
      </c>
      <c r="AJ13" s="550" t="str">
        <f t="shared" si="16"/>
        <v/>
      </c>
      <c r="AK13" s="550" t="str">
        <f t="shared" si="10"/>
        <v>〇</v>
      </c>
      <c r="AL13" s="550" t="e">
        <f t="shared" si="17"/>
        <v>#N/A</v>
      </c>
      <c r="AN13" s="327" t="str">
        <f t="shared" si="11"/>
        <v>〇</v>
      </c>
      <c r="AO13" s="327" t="e">
        <f t="shared" si="12"/>
        <v>#N/A</v>
      </c>
      <c r="AP13" s="327" t="e">
        <f t="shared" si="13"/>
        <v>#N/A</v>
      </c>
      <c r="AQ13" s="327">
        <f t="shared" si="14"/>
        <v>0</v>
      </c>
    </row>
    <row r="14" spans="2:43" ht="16.5" customHeight="1">
      <c r="B14" s="497" t="s">
        <v>1810</v>
      </c>
      <c r="C14" s="497" t="e">
        <f>'④-1月別配置内訳書(2)-(2)-(A)'!AD16</f>
        <v>#N/A</v>
      </c>
      <c r="D14" s="497" t="e">
        <f>'④-1月別配置内訳書(2)-(2)-(A)'!AF16</f>
        <v>#N/A</v>
      </c>
      <c r="E14" s="497" t="e">
        <f>'④-1月別配置内訳書(2)-(2)-(A)'!AG16</f>
        <v>#DIV/0!</v>
      </c>
      <c r="F14" s="522" t="e">
        <f>'④-1月別配置内訳書(2)-(2)-(A)'!AK16</f>
        <v>#N/A</v>
      </c>
      <c r="G14" s="519" t="e">
        <f>'④-2月別配置内訳書(2)-(2)-(B)'!AF16-'④-2月別配置内訳書(2)-(2)-(B)'!AG16</f>
        <v>#DIV/0!</v>
      </c>
      <c r="H14" s="516" t="e">
        <f>'④-3月別配置内訳書(2)-(2)-(C)・(D)'!V16-'④-3月別配置内訳書(2)-(2)-(C)・(D)'!W16</f>
        <v>#DIV/0!</v>
      </c>
      <c r="I14" s="505" t="e">
        <f>'④-3月別配置内訳書(2)-(2)-(C)・(D)'!Z16</f>
        <v>#N/A</v>
      </c>
      <c r="J14" s="511" t="e">
        <f>'④-3月別配置内訳書(2)-(2)-(C)・(D)'!AT16</f>
        <v>#DIV/0!</v>
      </c>
      <c r="K14" s="515" t="e">
        <f t="shared" si="1"/>
        <v>#DIV/0!</v>
      </c>
      <c r="L14" s="516" t="e">
        <f>'④-４月別配置内訳書(2)-(2)-(E)'!V16</f>
        <v>#DIV/0!</v>
      </c>
      <c r="M14" s="512" t="e">
        <f t="shared" si="15"/>
        <v>#DIV/0!</v>
      </c>
      <c r="N14" s="504" t="e">
        <f t="shared" si="0"/>
        <v>#N/A</v>
      </c>
      <c r="O14" s="507" t="e">
        <f t="shared" si="2"/>
        <v>#DIV/0!</v>
      </c>
      <c r="P14" s="515" t="e">
        <f t="shared" si="3"/>
        <v>#DIV/0!</v>
      </c>
      <c r="Q14" s="509"/>
      <c r="R14" s="509"/>
      <c r="S14" s="509"/>
      <c r="T14" s="509"/>
      <c r="U14" s="509"/>
      <c r="V14" s="509"/>
      <c r="W14" s="509"/>
      <c r="X14" s="509"/>
      <c r="Y14" s="498" t="e">
        <f>①基本情報!M29</f>
        <v>#N/A</v>
      </c>
      <c r="Z14" s="510"/>
      <c r="AA14" s="498">
        <f>SUM('③児童数及び保育士定数 (2)-(1)'!C17:D17)</f>
        <v>0</v>
      </c>
      <c r="AB14" s="504">
        <f t="shared" si="4"/>
        <v>0</v>
      </c>
      <c r="AC14" s="507" t="e">
        <f t="shared" si="5"/>
        <v>#DIV/0!</v>
      </c>
      <c r="AD14" s="327" t="str">
        <f t="shared" si="6"/>
        <v>○</v>
      </c>
      <c r="AF14" s="327" t="e">
        <f t="shared" si="7"/>
        <v>#N/A</v>
      </c>
      <c r="AG14" s="327" t="str">
        <f t="shared" si="8"/>
        <v>✕</v>
      </c>
      <c r="AI14" s="550" t="e">
        <f t="shared" si="9"/>
        <v>#N/A</v>
      </c>
      <c r="AJ14" s="550" t="str">
        <f t="shared" si="16"/>
        <v/>
      </c>
      <c r="AK14" s="550" t="str">
        <f t="shared" si="10"/>
        <v>〇</v>
      </c>
      <c r="AL14" s="550" t="e">
        <f t="shared" si="17"/>
        <v>#N/A</v>
      </c>
      <c r="AN14" s="327" t="str">
        <f t="shared" si="11"/>
        <v>〇</v>
      </c>
      <c r="AO14" s="327" t="e">
        <f t="shared" si="12"/>
        <v>#N/A</v>
      </c>
      <c r="AP14" s="327" t="e">
        <f t="shared" si="13"/>
        <v>#N/A</v>
      </c>
      <c r="AQ14" s="327">
        <f t="shared" si="14"/>
        <v>0</v>
      </c>
    </row>
    <row r="15" spans="2:43" ht="16.5" customHeight="1">
      <c r="B15" s="497" t="s">
        <v>1811</v>
      </c>
      <c r="C15" s="497" t="e">
        <f>'④-1月別配置内訳書(2)-(2)-(A)'!AD17</f>
        <v>#N/A</v>
      </c>
      <c r="D15" s="497" t="e">
        <f>'④-1月別配置内訳書(2)-(2)-(A)'!AF17</f>
        <v>#N/A</v>
      </c>
      <c r="E15" s="497" t="e">
        <f>'④-1月別配置内訳書(2)-(2)-(A)'!AG17</f>
        <v>#DIV/0!</v>
      </c>
      <c r="F15" s="522" t="e">
        <f>'④-1月別配置内訳書(2)-(2)-(A)'!AK17</f>
        <v>#N/A</v>
      </c>
      <c r="G15" s="519" t="e">
        <f>'④-2月別配置内訳書(2)-(2)-(B)'!AF17-'④-2月別配置内訳書(2)-(2)-(B)'!AG17</f>
        <v>#DIV/0!</v>
      </c>
      <c r="H15" s="516" t="e">
        <f>'④-3月別配置内訳書(2)-(2)-(C)・(D)'!V17-'④-3月別配置内訳書(2)-(2)-(C)・(D)'!W17</f>
        <v>#DIV/0!</v>
      </c>
      <c r="I15" s="505" t="e">
        <f>'④-3月別配置内訳書(2)-(2)-(C)・(D)'!Z17</f>
        <v>#N/A</v>
      </c>
      <c r="J15" s="511" t="e">
        <f>'④-3月別配置内訳書(2)-(2)-(C)・(D)'!AT17</f>
        <v>#DIV/0!</v>
      </c>
      <c r="K15" s="515" t="e">
        <f t="shared" si="1"/>
        <v>#DIV/0!</v>
      </c>
      <c r="L15" s="516" t="e">
        <f>'④-４月別配置内訳書(2)-(2)-(E)'!V17</f>
        <v>#DIV/0!</v>
      </c>
      <c r="M15" s="512" t="e">
        <f t="shared" si="15"/>
        <v>#DIV/0!</v>
      </c>
      <c r="N15" s="504" t="e">
        <f t="shared" si="0"/>
        <v>#N/A</v>
      </c>
      <c r="O15" s="507" t="e">
        <f t="shared" si="2"/>
        <v>#DIV/0!</v>
      </c>
      <c r="P15" s="515" t="e">
        <f t="shared" si="3"/>
        <v>#DIV/0!</v>
      </c>
      <c r="Q15" s="509"/>
      <c r="R15" s="509"/>
      <c r="S15" s="509"/>
      <c r="T15" s="509"/>
      <c r="U15" s="509"/>
      <c r="V15" s="509"/>
      <c r="W15" s="509"/>
      <c r="X15" s="509"/>
      <c r="Y15" s="498" t="e">
        <f>①基本情報!N29</f>
        <v>#N/A</v>
      </c>
      <c r="Z15" s="510"/>
      <c r="AA15" s="498">
        <f>SUM('③児童数及び保育士定数 (2)-(1)'!C18:D18)</f>
        <v>0</v>
      </c>
      <c r="AB15" s="504">
        <f t="shared" si="4"/>
        <v>0</v>
      </c>
      <c r="AC15" s="507" t="e">
        <f t="shared" si="5"/>
        <v>#DIV/0!</v>
      </c>
      <c r="AD15" s="327" t="str">
        <f t="shared" si="6"/>
        <v>○</v>
      </c>
      <c r="AF15" s="327" t="e">
        <f t="shared" si="7"/>
        <v>#N/A</v>
      </c>
      <c r="AG15" s="327" t="str">
        <f t="shared" si="8"/>
        <v>✕</v>
      </c>
      <c r="AI15" s="550" t="e">
        <f t="shared" si="9"/>
        <v>#N/A</v>
      </c>
      <c r="AJ15" s="550" t="str">
        <f t="shared" si="16"/>
        <v/>
      </c>
      <c r="AK15" s="550" t="str">
        <f t="shared" si="10"/>
        <v>〇</v>
      </c>
      <c r="AL15" s="550" t="e">
        <f t="shared" si="17"/>
        <v>#N/A</v>
      </c>
      <c r="AN15" s="327" t="str">
        <f t="shared" si="11"/>
        <v>〇</v>
      </c>
      <c r="AO15" s="327" t="e">
        <f t="shared" si="12"/>
        <v>#N/A</v>
      </c>
      <c r="AP15" s="327" t="e">
        <f t="shared" si="13"/>
        <v>#N/A</v>
      </c>
      <c r="AQ15" s="327">
        <f t="shared" si="14"/>
        <v>0</v>
      </c>
    </row>
    <row r="16" spans="2:43" ht="16.5" customHeight="1">
      <c r="B16" s="497" t="s">
        <v>1812</v>
      </c>
      <c r="C16" s="497" t="e">
        <f>'④-1月別配置内訳書(2)-(2)-(A)'!AD18</f>
        <v>#N/A</v>
      </c>
      <c r="D16" s="497" t="e">
        <f>'④-1月別配置内訳書(2)-(2)-(A)'!AF18</f>
        <v>#N/A</v>
      </c>
      <c r="E16" s="497" t="e">
        <f>'④-1月別配置内訳書(2)-(2)-(A)'!AG18</f>
        <v>#DIV/0!</v>
      </c>
      <c r="F16" s="522" t="e">
        <f>'④-1月別配置内訳書(2)-(2)-(A)'!AK18</f>
        <v>#N/A</v>
      </c>
      <c r="G16" s="519" t="e">
        <f>'④-2月別配置内訳書(2)-(2)-(B)'!AF18-'④-2月別配置内訳書(2)-(2)-(B)'!AG18</f>
        <v>#DIV/0!</v>
      </c>
      <c r="H16" s="516" t="e">
        <f>'④-3月別配置内訳書(2)-(2)-(C)・(D)'!V18-'④-3月別配置内訳書(2)-(2)-(C)・(D)'!W18</f>
        <v>#DIV/0!</v>
      </c>
      <c r="I16" s="505" t="e">
        <f>'④-3月別配置内訳書(2)-(2)-(C)・(D)'!Z18</f>
        <v>#N/A</v>
      </c>
      <c r="J16" s="511" t="e">
        <f>'④-3月別配置内訳書(2)-(2)-(C)・(D)'!AT18</f>
        <v>#DIV/0!</v>
      </c>
      <c r="K16" s="515" t="e">
        <f t="shared" si="1"/>
        <v>#DIV/0!</v>
      </c>
      <c r="L16" s="516" t="e">
        <f>'④-４月別配置内訳書(2)-(2)-(E)'!V18</f>
        <v>#DIV/0!</v>
      </c>
      <c r="M16" s="512" t="e">
        <f t="shared" si="15"/>
        <v>#DIV/0!</v>
      </c>
      <c r="N16" s="504" t="e">
        <f t="shared" si="0"/>
        <v>#N/A</v>
      </c>
      <c r="O16" s="507" t="e">
        <f t="shared" si="2"/>
        <v>#DIV/0!</v>
      </c>
      <c r="P16" s="515" t="e">
        <f t="shared" si="3"/>
        <v>#DIV/0!</v>
      </c>
      <c r="Q16" s="509"/>
      <c r="R16" s="509"/>
      <c r="S16" s="509"/>
      <c r="T16" s="509"/>
      <c r="U16" s="509"/>
      <c r="V16" s="509"/>
      <c r="W16" s="509"/>
      <c r="X16" s="509"/>
      <c r="Y16" s="498" t="e">
        <f>①基本情報!O29</f>
        <v>#N/A</v>
      </c>
      <c r="Z16" s="510"/>
      <c r="AA16" s="498">
        <f>SUM('③児童数及び保育士定数 (2)-(1)'!C19:D19)</f>
        <v>0</v>
      </c>
      <c r="AB16" s="504">
        <f t="shared" si="4"/>
        <v>0</v>
      </c>
      <c r="AC16" s="507" t="e">
        <f t="shared" si="5"/>
        <v>#DIV/0!</v>
      </c>
      <c r="AD16" s="327" t="str">
        <f t="shared" si="6"/>
        <v>○</v>
      </c>
      <c r="AF16" s="327" t="e">
        <f t="shared" si="7"/>
        <v>#N/A</v>
      </c>
      <c r="AG16" s="327" t="str">
        <f t="shared" si="8"/>
        <v>✕</v>
      </c>
      <c r="AI16" s="550" t="e">
        <f t="shared" si="9"/>
        <v>#N/A</v>
      </c>
      <c r="AJ16" s="550" t="str">
        <f t="shared" si="16"/>
        <v/>
      </c>
      <c r="AK16" s="550" t="str">
        <f t="shared" si="10"/>
        <v>〇</v>
      </c>
      <c r="AL16" s="550" t="e">
        <f t="shared" si="17"/>
        <v>#N/A</v>
      </c>
      <c r="AN16" s="327" t="str">
        <f t="shared" si="11"/>
        <v>〇</v>
      </c>
      <c r="AO16" s="327" t="e">
        <f t="shared" si="12"/>
        <v>#N/A</v>
      </c>
      <c r="AP16" s="327" t="e">
        <f t="shared" si="13"/>
        <v>#N/A</v>
      </c>
      <c r="AQ16" s="327">
        <f t="shared" si="14"/>
        <v>0</v>
      </c>
    </row>
    <row r="17" spans="2:43" ht="16.5" customHeight="1">
      <c r="B17" s="497" t="s">
        <v>1813</v>
      </c>
      <c r="C17" s="497" t="e">
        <f>'④-1月別配置内訳書(2)-(2)-(A)'!AD19</f>
        <v>#N/A</v>
      </c>
      <c r="D17" s="497" t="e">
        <f>'④-1月別配置内訳書(2)-(2)-(A)'!AF19</f>
        <v>#N/A</v>
      </c>
      <c r="E17" s="497" t="e">
        <f>'④-1月別配置内訳書(2)-(2)-(A)'!AG19</f>
        <v>#DIV/0!</v>
      </c>
      <c r="F17" s="522" t="e">
        <f>'④-1月別配置内訳書(2)-(2)-(A)'!AK19</f>
        <v>#N/A</v>
      </c>
      <c r="G17" s="519" t="e">
        <f>'④-2月別配置内訳書(2)-(2)-(B)'!AF19-'④-2月別配置内訳書(2)-(2)-(B)'!AG19</f>
        <v>#DIV/0!</v>
      </c>
      <c r="H17" s="516" t="e">
        <f>'④-3月別配置内訳書(2)-(2)-(C)・(D)'!V19-'④-3月別配置内訳書(2)-(2)-(C)・(D)'!W19</f>
        <v>#DIV/0!</v>
      </c>
      <c r="I17" s="505" t="e">
        <f>'④-3月別配置内訳書(2)-(2)-(C)・(D)'!Z19</f>
        <v>#N/A</v>
      </c>
      <c r="J17" s="511" t="e">
        <f>'④-3月別配置内訳書(2)-(2)-(C)・(D)'!AT19</f>
        <v>#DIV/0!</v>
      </c>
      <c r="K17" s="515" t="e">
        <f t="shared" si="1"/>
        <v>#DIV/0!</v>
      </c>
      <c r="L17" s="516" t="e">
        <f>'④-４月別配置内訳書(2)-(2)-(E)'!V19</f>
        <v>#DIV/0!</v>
      </c>
      <c r="M17" s="512" t="e">
        <f t="shared" si="15"/>
        <v>#DIV/0!</v>
      </c>
      <c r="N17" s="504" t="e">
        <f t="shared" si="0"/>
        <v>#N/A</v>
      </c>
      <c r="O17" s="507" t="e">
        <f t="shared" si="2"/>
        <v>#DIV/0!</v>
      </c>
      <c r="P17" s="515" t="e">
        <f t="shared" si="3"/>
        <v>#DIV/0!</v>
      </c>
      <c r="Q17" s="509"/>
      <c r="R17" s="509"/>
      <c r="S17" s="509"/>
      <c r="T17" s="509"/>
      <c r="U17" s="509"/>
      <c r="V17" s="509"/>
      <c r="W17" s="509"/>
      <c r="X17" s="509"/>
      <c r="Y17" s="498" t="e">
        <f>①基本情報!P29</f>
        <v>#N/A</v>
      </c>
      <c r="Z17" s="510"/>
      <c r="AA17" s="498">
        <f>SUM('③児童数及び保育士定数 (2)-(1)'!C20:D20)</f>
        <v>0</v>
      </c>
      <c r="AB17" s="504">
        <f t="shared" si="4"/>
        <v>0</v>
      </c>
      <c r="AC17" s="507" t="e">
        <f t="shared" si="5"/>
        <v>#DIV/0!</v>
      </c>
      <c r="AD17" s="327" t="str">
        <f t="shared" si="6"/>
        <v>○</v>
      </c>
      <c r="AF17" s="327" t="e">
        <f t="shared" si="7"/>
        <v>#N/A</v>
      </c>
      <c r="AG17" s="327" t="str">
        <f t="shared" si="8"/>
        <v>✕</v>
      </c>
      <c r="AI17" s="550" t="e">
        <f t="shared" si="9"/>
        <v>#N/A</v>
      </c>
      <c r="AJ17" s="550" t="str">
        <f t="shared" si="16"/>
        <v/>
      </c>
      <c r="AK17" s="550" t="str">
        <f t="shared" si="10"/>
        <v>〇</v>
      </c>
      <c r="AL17" s="550" t="e">
        <f t="shared" si="17"/>
        <v>#N/A</v>
      </c>
      <c r="AN17" s="327" t="str">
        <f t="shared" si="11"/>
        <v>〇</v>
      </c>
      <c r="AO17" s="327" t="e">
        <f t="shared" si="12"/>
        <v>#N/A</v>
      </c>
      <c r="AP17" s="327" t="e">
        <f t="shared" si="13"/>
        <v>#N/A</v>
      </c>
      <c r="AQ17" s="327">
        <f t="shared" si="14"/>
        <v>0</v>
      </c>
    </row>
    <row r="18" spans="2:43" ht="16.5" customHeight="1" thickBot="1">
      <c r="B18" s="497" t="s">
        <v>1814</v>
      </c>
      <c r="C18" s="497" t="e">
        <f>'④-1月別配置内訳書(2)-(2)-(A)'!AD20</f>
        <v>#N/A</v>
      </c>
      <c r="D18" s="497" t="e">
        <f>'④-1月別配置内訳書(2)-(2)-(A)'!AF20</f>
        <v>#N/A</v>
      </c>
      <c r="E18" s="497" t="e">
        <f>'④-1月別配置内訳書(2)-(2)-(A)'!AG20</f>
        <v>#DIV/0!</v>
      </c>
      <c r="F18" s="523" t="e">
        <f>'④-1月別配置内訳書(2)-(2)-(A)'!AK20</f>
        <v>#N/A</v>
      </c>
      <c r="G18" s="521" t="e">
        <f>'④-2月別配置内訳書(2)-(2)-(B)'!AF20-'④-2月別配置内訳書(2)-(2)-(B)'!AG20</f>
        <v>#DIV/0!</v>
      </c>
      <c r="H18" s="518" t="e">
        <f>'④-3月別配置内訳書(2)-(2)-(C)・(D)'!V20-'④-3月別配置内訳書(2)-(2)-(C)・(D)'!W20</f>
        <v>#DIV/0!</v>
      </c>
      <c r="I18" s="505" t="e">
        <f>'④-3月別配置内訳書(2)-(2)-(C)・(D)'!Z20</f>
        <v>#N/A</v>
      </c>
      <c r="J18" s="511" t="e">
        <f>'④-3月別配置内訳書(2)-(2)-(C)・(D)'!AT20</f>
        <v>#DIV/0!</v>
      </c>
      <c r="K18" s="517" t="e">
        <f t="shared" si="1"/>
        <v>#DIV/0!</v>
      </c>
      <c r="L18" s="518" t="e">
        <f>'④-４月別配置内訳書(2)-(2)-(E)'!V20</f>
        <v>#DIV/0!</v>
      </c>
      <c r="M18" s="512" t="e">
        <f t="shared" si="15"/>
        <v>#DIV/0!</v>
      </c>
      <c r="N18" s="504" t="e">
        <f t="shared" si="0"/>
        <v>#N/A</v>
      </c>
      <c r="O18" s="508" t="e">
        <f t="shared" si="2"/>
        <v>#DIV/0!</v>
      </c>
      <c r="P18" s="515" t="e">
        <f t="shared" si="3"/>
        <v>#DIV/0!</v>
      </c>
      <c r="Q18" s="509"/>
      <c r="R18" s="509"/>
      <c r="S18" s="509"/>
      <c r="T18" s="509"/>
      <c r="U18" s="509"/>
      <c r="V18" s="509"/>
      <c r="W18" s="509"/>
      <c r="X18" s="509"/>
      <c r="Y18" s="498" t="e">
        <f>①基本情報!Q29</f>
        <v>#N/A</v>
      </c>
      <c r="Z18" s="510"/>
      <c r="AA18" s="498">
        <f>SUM('③児童数及び保育士定数 (2)-(1)'!C21:D21)</f>
        <v>0</v>
      </c>
      <c r="AB18" s="504">
        <f t="shared" si="4"/>
        <v>0</v>
      </c>
      <c r="AC18" s="508" t="e">
        <f t="shared" si="5"/>
        <v>#DIV/0!</v>
      </c>
      <c r="AD18" s="327" t="str">
        <f t="shared" si="6"/>
        <v>○</v>
      </c>
      <c r="AF18" s="327" t="e">
        <f t="shared" si="7"/>
        <v>#N/A</v>
      </c>
      <c r="AG18" s="327" t="str">
        <f t="shared" si="8"/>
        <v>✕</v>
      </c>
      <c r="AI18" s="550" t="e">
        <f t="shared" si="9"/>
        <v>#N/A</v>
      </c>
      <c r="AJ18" s="550" t="str">
        <f t="shared" si="16"/>
        <v/>
      </c>
      <c r="AK18" s="550" t="str">
        <f t="shared" si="10"/>
        <v>〇</v>
      </c>
      <c r="AL18" s="550" t="e">
        <f>IF(AND(AI18="〇",AJ18="〇",AK18="〇"),"〇","")</f>
        <v>#N/A</v>
      </c>
      <c r="AN18" s="327" t="str">
        <f t="shared" si="11"/>
        <v>〇</v>
      </c>
      <c r="AO18" s="327" t="e">
        <f t="shared" si="12"/>
        <v>#N/A</v>
      </c>
      <c r="AP18" s="327" t="e">
        <f t="shared" si="13"/>
        <v>#N/A</v>
      </c>
      <c r="AQ18" s="327">
        <f t="shared" si="14"/>
        <v>0</v>
      </c>
    </row>
    <row r="19" spans="2:43" ht="16.5" customHeight="1" thickTop="1">
      <c r="B19" s="551" t="s">
        <v>1966</v>
      </c>
      <c r="C19" s="551" t="e">
        <f>精算書!D23</f>
        <v>#N/A</v>
      </c>
      <c r="D19" s="551"/>
      <c r="E19" s="551"/>
      <c r="F19" s="552"/>
      <c r="G19" s="551"/>
      <c r="H19" s="551"/>
      <c r="I19" s="551"/>
      <c r="J19" s="553"/>
      <c r="K19" s="552"/>
      <c r="L19" s="551"/>
      <c r="M19" s="552"/>
      <c r="N19" s="552"/>
      <c r="O19" s="552" t="s">
        <v>2122</v>
      </c>
      <c r="P19" s="552"/>
      <c r="Q19" s="555">
        <f>ROUNDDOWN(Q$5*Q$29-Q$30*(個別データ!$GD$3-10000),-3)</f>
        <v>0</v>
      </c>
      <c r="R19" s="555">
        <f>ROUNDDOWN(R$5*R$29-R$30*(個別データ!$GD$3-10000),-3)</f>
        <v>0</v>
      </c>
      <c r="S19" s="555">
        <f>ROUNDDOWN(S$5*S$29-S$30*(個別データ!$GD$3-10000),-3)</f>
        <v>0</v>
      </c>
      <c r="T19" s="555">
        <f>ROUNDDOWN(T$5*T$29-T$30*(個別データ!$GD$3-10000),-3)</f>
        <v>0</v>
      </c>
      <c r="U19" s="555">
        <f>ROUNDDOWN(U$5*U$29-U$30*(個別データ!$GD$3-10000),-3)</f>
        <v>0</v>
      </c>
      <c r="V19" s="555">
        <f>ROUNDDOWN(V$5*V$29-V$30*(個別データ!$GD$3-10000),-3)</f>
        <v>0</v>
      </c>
      <c r="W19" s="555">
        <f>ROUNDDOWN(W$5*W$29-W$30*(個別データ!$GD$3-10000),-3)</f>
        <v>0</v>
      </c>
      <c r="X19" s="555">
        <f>ROUNDDOWN(X$5*X$29-X$30*(個別データ!$GD$3-10000),-3)</f>
        <v>0</v>
      </c>
      <c r="Y19" s="555"/>
      <c r="Z19" s="555">
        <f>ROUNDDOWN(Z$5*Z$29-Z$30*(個別データ!$GD$3-10000),-3)</f>
        <v>0</v>
      </c>
      <c r="AA19" s="555"/>
      <c r="AB19" s="555"/>
      <c r="AC19" s="555"/>
      <c r="AI19" s="554"/>
      <c r="AJ19" s="554"/>
      <c r="AK19" s="554"/>
      <c r="AL19" s="554"/>
    </row>
    <row r="20" spans="2:43" ht="16.5" customHeight="1">
      <c r="B20" s="551" t="s">
        <v>2515</v>
      </c>
      <c r="C20" s="551" t="str">
        <f>IF('②-2勤務時間数入力'!AJ5&gt;0,"×","○")</f>
        <v>○</v>
      </c>
      <c r="D20" s="551"/>
      <c r="E20" s="551"/>
      <c r="F20" s="552"/>
      <c r="G20" s="551"/>
      <c r="H20" s="551"/>
      <c r="I20" s="551"/>
      <c r="J20" s="553"/>
      <c r="K20" s="552"/>
      <c r="L20" s="551"/>
      <c r="M20" s="552"/>
      <c r="N20" s="552"/>
      <c r="O20" s="552" t="s">
        <v>2123</v>
      </c>
      <c r="P20" s="552"/>
      <c r="Q20" s="555">
        <f>様式４!C23</f>
        <v>0</v>
      </c>
      <c r="R20" s="555">
        <f>様式４!C25</f>
        <v>0</v>
      </c>
      <c r="S20" s="555">
        <f>様式４!C27</f>
        <v>0</v>
      </c>
      <c r="T20" s="555">
        <f>様式４!C29</f>
        <v>0</v>
      </c>
      <c r="U20" s="555">
        <f>様式４!C31</f>
        <v>0</v>
      </c>
      <c r="V20" s="555">
        <f>様式４!C33</f>
        <v>0</v>
      </c>
      <c r="W20" s="555"/>
      <c r="X20" s="555"/>
      <c r="Y20" s="555"/>
      <c r="Z20" s="555">
        <f>様式４!C35</f>
        <v>0</v>
      </c>
      <c r="AA20" s="555"/>
      <c r="AB20" s="555"/>
      <c r="AC20" s="555"/>
      <c r="AI20" s="554"/>
      <c r="AJ20" s="554"/>
      <c r="AK20" s="554"/>
      <c r="AL20" s="554"/>
    </row>
    <row r="21" spans="2:43" ht="15" customHeight="1">
      <c r="Q21" s="327" t="str">
        <f>IF(Q19=Q20,"〇","✕")</f>
        <v>〇</v>
      </c>
      <c r="R21" s="327" t="str">
        <f t="shared" ref="R21:U21" si="18">IF(R19=R20,"〇","✕")</f>
        <v>〇</v>
      </c>
      <c r="S21" s="327" t="str">
        <f t="shared" si="18"/>
        <v>〇</v>
      </c>
      <c r="T21" s="327" t="str">
        <f t="shared" si="18"/>
        <v>〇</v>
      </c>
      <c r="U21" s="327" t="str">
        <f t="shared" si="18"/>
        <v>〇</v>
      </c>
      <c r="V21" s="327" t="str">
        <f>IF(SUM(V19:X19)=V20,"〇","✕")</f>
        <v>〇</v>
      </c>
      <c r="Z21" s="327" t="str">
        <f t="shared" ref="Z21" si="19">IF(Z19=Z20,"〇","✕")</f>
        <v>〇</v>
      </c>
    </row>
    <row r="22" spans="2:43">
      <c r="R22" s="327" t="s">
        <v>1791</v>
      </c>
    </row>
    <row r="23" spans="2:43">
      <c r="R23" s="327" t="s">
        <v>1792</v>
      </c>
    </row>
    <row r="24" spans="2:43">
      <c r="R24" s="327" t="s">
        <v>1793</v>
      </c>
    </row>
    <row r="25" spans="2:43">
      <c r="R25" s="327" t="s">
        <v>1845</v>
      </c>
    </row>
    <row r="26" spans="2:43">
      <c r="R26" s="327" t="s">
        <v>1846</v>
      </c>
    </row>
    <row r="29" spans="2:43">
      <c r="O29" s="327" t="s">
        <v>1963</v>
      </c>
      <c r="Q29" s="327">
        <f>COUNTA(Q7:Q18)</f>
        <v>0</v>
      </c>
      <c r="R29" s="327">
        <f t="shared" ref="R29:AA29" si="20">COUNTA(R7:R18)</f>
        <v>0</v>
      </c>
      <c r="S29" s="327">
        <f t="shared" si="20"/>
        <v>0</v>
      </c>
      <c r="T29" s="327">
        <f t="shared" si="20"/>
        <v>0</v>
      </c>
      <c r="U29" s="327">
        <f t="shared" si="20"/>
        <v>0</v>
      </c>
      <c r="V29" s="327">
        <f t="shared" si="20"/>
        <v>0</v>
      </c>
      <c r="W29" s="327">
        <f t="shared" si="20"/>
        <v>0</v>
      </c>
      <c r="X29" s="327">
        <f t="shared" si="20"/>
        <v>0</v>
      </c>
      <c r="Y29" s="327">
        <f t="shared" si="20"/>
        <v>12</v>
      </c>
      <c r="Z29" s="327">
        <f t="shared" si="20"/>
        <v>0</v>
      </c>
      <c r="AA29" s="327">
        <f t="shared" si="20"/>
        <v>12</v>
      </c>
    </row>
    <row r="30" spans="2:43">
      <c r="O30" s="327" t="s">
        <v>1964</v>
      </c>
      <c r="Q30" s="327">
        <f>COUNTIF(Q7:Q18,"調理員等")</f>
        <v>0</v>
      </c>
      <c r="R30" s="327">
        <f t="shared" ref="R30:AA30" si="21">COUNTIF(R7:R18,"調理員等")</f>
        <v>0</v>
      </c>
      <c r="S30" s="327">
        <f t="shared" si="21"/>
        <v>0</v>
      </c>
      <c r="T30" s="327">
        <f t="shared" si="21"/>
        <v>0</v>
      </c>
      <c r="U30" s="327">
        <f t="shared" si="21"/>
        <v>0</v>
      </c>
      <c r="V30" s="327">
        <f t="shared" si="21"/>
        <v>0</v>
      </c>
      <c r="W30" s="327">
        <f t="shared" si="21"/>
        <v>0</v>
      </c>
      <c r="X30" s="327">
        <f t="shared" si="21"/>
        <v>0</v>
      </c>
      <c r="Y30" s="327">
        <f t="shared" si="21"/>
        <v>0</v>
      </c>
      <c r="Z30" s="327">
        <f t="shared" si="21"/>
        <v>0</v>
      </c>
      <c r="AA30" s="327">
        <f t="shared" si="21"/>
        <v>0</v>
      </c>
    </row>
  </sheetData>
  <mergeCells count="36">
    <mergeCell ref="R3:R4"/>
    <mergeCell ref="Q3:Q4"/>
    <mergeCell ref="I3:I4"/>
    <mergeCell ref="P2:P4"/>
    <mergeCell ref="C2:F2"/>
    <mergeCell ref="E3:E4"/>
    <mergeCell ref="D3:D4"/>
    <mergeCell ref="C3:C4"/>
    <mergeCell ref="L2:L4"/>
    <mergeCell ref="F3:F4"/>
    <mergeCell ref="O2:O4"/>
    <mergeCell ref="N3:N4"/>
    <mergeCell ref="M3:M4"/>
    <mergeCell ref="Q2:Z2"/>
    <mergeCell ref="AL4:AL6"/>
    <mergeCell ref="AB2:AB6"/>
    <mergeCell ref="AC2:AC6"/>
    <mergeCell ref="AK5:AK6"/>
    <mergeCell ref="AJ5:AJ6"/>
    <mergeCell ref="AI5:AI6"/>
    <mergeCell ref="B5:P5"/>
    <mergeCell ref="B6:P6"/>
    <mergeCell ref="T3:T4"/>
    <mergeCell ref="Z3:Z4"/>
    <mergeCell ref="V3:V4"/>
    <mergeCell ref="U3:U4"/>
    <mergeCell ref="W3:W4"/>
    <mergeCell ref="X3:X4"/>
    <mergeCell ref="G3:G4"/>
    <mergeCell ref="H3:H4"/>
    <mergeCell ref="B2:B4"/>
    <mergeCell ref="G2:H2"/>
    <mergeCell ref="I2:K2"/>
    <mergeCell ref="K3:K4"/>
    <mergeCell ref="J3:J4"/>
    <mergeCell ref="S3:S4"/>
  </mergeCells>
  <phoneticPr fontId="1"/>
  <conditionalFormatting sqref="C19">
    <cfRule type="expression" dxfId="103" priority="24">
      <formula>$C$19&lt;0</formula>
    </cfRule>
  </conditionalFormatting>
  <conditionalFormatting sqref="C20">
    <cfRule type="cellIs" dxfId="102" priority="1" operator="equal">
      <formula>"×"</formula>
    </cfRule>
  </conditionalFormatting>
  <conditionalFormatting sqref="Q7:Q18">
    <cfRule type="expression" dxfId="101" priority="4">
      <formula>AP7="✕"</formula>
    </cfRule>
    <cfRule type="expression" dxfId="100" priority="5">
      <formula>AL7="〇"</formula>
    </cfRule>
  </conditionalFormatting>
  <conditionalFormatting sqref="R7:S18 U7:U18">
    <cfRule type="expression" dxfId="99" priority="3">
      <formula>AP7="✕"</formula>
    </cfRule>
  </conditionalFormatting>
  <conditionalFormatting sqref="T7:T18">
    <cfRule type="expression" dxfId="98" priority="2">
      <formula>AN7="〇"</formula>
    </cfRule>
  </conditionalFormatting>
  <conditionalFormatting sqref="V7:V18">
    <cfRule type="expression" dxfId="97" priority="9">
      <formula>$Y7&gt;0</formula>
    </cfRule>
    <cfRule type="expression" dxfId="96" priority="10">
      <formula>AP7="×"</formula>
    </cfRule>
    <cfRule type="expression" dxfId="95" priority="11">
      <formula>AL7="〇"</formula>
    </cfRule>
  </conditionalFormatting>
  <conditionalFormatting sqref="W7:W18">
    <cfRule type="expression" dxfId="94" priority="12">
      <formula>$Y7&gt;1</formula>
    </cfRule>
    <cfRule type="expression" dxfId="93" priority="21">
      <formula>AP7="✕"</formula>
    </cfRule>
    <cfRule type="expression" dxfId="92" priority="23">
      <formula>AL7="〇"</formula>
    </cfRule>
  </conditionalFormatting>
  <conditionalFormatting sqref="X7:X18">
    <cfRule type="expression" dxfId="91" priority="6">
      <formula>$Y7&gt;2</formula>
    </cfRule>
    <cfRule type="expression" dxfId="90" priority="7">
      <formula>AP7="×"</formula>
    </cfRule>
    <cfRule type="expression" dxfId="89" priority="8">
      <formula>AL7="〇"</formula>
    </cfRule>
  </conditionalFormatting>
  <conditionalFormatting sqref="Z7:Z18">
    <cfRule type="expression" dxfId="88" priority="18">
      <formula>$AA7&gt;35</formula>
    </cfRule>
    <cfRule type="expression" dxfId="87" priority="26">
      <formula>AX7="✕"</formula>
    </cfRule>
  </conditionalFormatting>
  <conditionalFormatting sqref="Z20">
    <cfRule type="expression" dxfId="86" priority="13">
      <formula>AU20="〇"</formula>
    </cfRule>
  </conditionalFormatting>
  <conditionalFormatting sqref="AD7:AD18">
    <cfRule type="containsText" dxfId="85" priority="19" operator="containsText" text="✕">
      <formula>NOT(ISERROR(SEARCH("✕",AD7)))</formula>
    </cfRule>
  </conditionalFormatting>
  <dataValidations count="1">
    <dataValidation type="list" allowBlank="1" showInputMessage="1" showErrorMessage="1" sqref="Z7:Z18 Q7:X18" xr:uid="{948E1559-8EBC-4310-A5DA-8CF953F70C91}">
      <formula1>$R$22:$R$26</formula1>
    </dataValidation>
  </dataValidations>
  <pageMargins left="0.7" right="0.7" top="0.75" bottom="0.75" header="0.3" footer="0.3"/>
  <pageSetup paperSize="9" scale="48" orientation="portrait" r:id="rId1"/>
  <ignoredErrors>
    <ignoredError sqref="AA7:AA18" formulaRange="1"/>
    <ignoredError sqref="T5:Z5 V6:Z6"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6D3C6-4A62-49C4-9E85-0C76895622B0}">
  <dimension ref="A1:K28"/>
  <sheetViews>
    <sheetView tabSelected="1" view="pageBreakPreview" zoomScaleNormal="85" zoomScaleSheetLayoutView="100" workbookViewId="0">
      <selection activeCell="C21" sqref="C21:K21"/>
    </sheetView>
  </sheetViews>
  <sheetFormatPr defaultRowHeight="16.5"/>
  <cols>
    <col min="1" max="1" width="5.08203125" style="164" customWidth="1"/>
    <col min="2" max="3" width="9" style="164"/>
    <col min="4" max="4" width="5.08203125" style="164" customWidth="1"/>
    <col min="5" max="10" width="9" style="164"/>
    <col min="11" max="11" width="8.25" style="164" customWidth="1"/>
    <col min="12" max="256" width="9" style="164"/>
    <col min="257" max="257" width="5.08203125" style="164" customWidth="1"/>
    <col min="258" max="259" width="9" style="164"/>
    <col min="260" max="260" width="5.08203125" style="164" customWidth="1"/>
    <col min="261" max="266" width="9" style="164"/>
    <col min="267" max="267" width="8.25" style="164" customWidth="1"/>
    <col min="268" max="512" width="9" style="164"/>
    <col min="513" max="513" width="5.08203125" style="164" customWidth="1"/>
    <col min="514" max="515" width="9" style="164"/>
    <col min="516" max="516" width="5.08203125" style="164" customWidth="1"/>
    <col min="517" max="522" width="9" style="164"/>
    <col min="523" max="523" width="8.25" style="164" customWidth="1"/>
    <col min="524" max="768" width="9" style="164"/>
    <col min="769" max="769" width="5.08203125" style="164" customWidth="1"/>
    <col min="770" max="771" width="9" style="164"/>
    <col min="772" max="772" width="5.08203125" style="164" customWidth="1"/>
    <col min="773" max="778" width="9" style="164"/>
    <col min="779" max="779" width="8.25" style="164" customWidth="1"/>
    <col min="780" max="1024" width="9" style="164"/>
    <col min="1025" max="1025" width="5.08203125" style="164" customWidth="1"/>
    <col min="1026" max="1027" width="9" style="164"/>
    <col min="1028" max="1028" width="5.08203125" style="164" customWidth="1"/>
    <col min="1029" max="1034" width="9" style="164"/>
    <col min="1035" max="1035" width="8.25" style="164" customWidth="1"/>
    <col min="1036" max="1280" width="9" style="164"/>
    <col min="1281" max="1281" width="5.08203125" style="164" customWidth="1"/>
    <col min="1282" max="1283" width="9" style="164"/>
    <col min="1284" max="1284" width="5.08203125" style="164" customWidth="1"/>
    <col min="1285" max="1290" width="9" style="164"/>
    <col min="1291" max="1291" width="8.25" style="164" customWidth="1"/>
    <col min="1292" max="1536" width="9" style="164"/>
    <col min="1537" max="1537" width="5.08203125" style="164" customWidth="1"/>
    <col min="1538" max="1539" width="9" style="164"/>
    <col min="1540" max="1540" width="5.08203125" style="164" customWidth="1"/>
    <col min="1541" max="1546" width="9" style="164"/>
    <col min="1547" max="1547" width="8.25" style="164" customWidth="1"/>
    <col min="1548" max="1792" width="9" style="164"/>
    <col min="1793" max="1793" width="5.08203125" style="164" customWidth="1"/>
    <col min="1794" max="1795" width="9" style="164"/>
    <col min="1796" max="1796" width="5.08203125" style="164" customWidth="1"/>
    <col min="1797" max="1802" width="9" style="164"/>
    <col min="1803" max="1803" width="8.25" style="164" customWidth="1"/>
    <col min="1804" max="2048" width="9" style="164"/>
    <col min="2049" max="2049" width="5.08203125" style="164" customWidth="1"/>
    <col min="2050" max="2051" width="9" style="164"/>
    <col min="2052" max="2052" width="5.08203125" style="164" customWidth="1"/>
    <col min="2053" max="2058" width="9" style="164"/>
    <col min="2059" max="2059" width="8.25" style="164" customWidth="1"/>
    <col min="2060" max="2304" width="9" style="164"/>
    <col min="2305" max="2305" width="5.08203125" style="164" customWidth="1"/>
    <col min="2306" max="2307" width="9" style="164"/>
    <col min="2308" max="2308" width="5.08203125" style="164" customWidth="1"/>
    <col min="2309" max="2314" width="9" style="164"/>
    <col min="2315" max="2315" width="8.25" style="164" customWidth="1"/>
    <col min="2316" max="2560" width="9" style="164"/>
    <col min="2561" max="2561" width="5.08203125" style="164" customWidth="1"/>
    <col min="2562" max="2563" width="9" style="164"/>
    <col min="2564" max="2564" width="5.08203125" style="164" customWidth="1"/>
    <col min="2565" max="2570" width="9" style="164"/>
    <col min="2571" max="2571" width="8.25" style="164" customWidth="1"/>
    <col min="2572" max="2816" width="9" style="164"/>
    <col min="2817" max="2817" width="5.08203125" style="164" customWidth="1"/>
    <col min="2818" max="2819" width="9" style="164"/>
    <col min="2820" max="2820" width="5.08203125" style="164" customWidth="1"/>
    <col min="2821" max="2826" width="9" style="164"/>
    <col min="2827" max="2827" width="8.25" style="164" customWidth="1"/>
    <col min="2828" max="3072" width="9" style="164"/>
    <col min="3073" max="3073" width="5.08203125" style="164" customWidth="1"/>
    <col min="3074" max="3075" width="9" style="164"/>
    <col min="3076" max="3076" width="5.08203125" style="164" customWidth="1"/>
    <col min="3077" max="3082" width="9" style="164"/>
    <col min="3083" max="3083" width="8.25" style="164" customWidth="1"/>
    <col min="3084" max="3328" width="9" style="164"/>
    <col min="3329" max="3329" width="5.08203125" style="164" customWidth="1"/>
    <col min="3330" max="3331" width="9" style="164"/>
    <col min="3332" max="3332" width="5.08203125" style="164" customWidth="1"/>
    <col min="3333" max="3338" width="9" style="164"/>
    <col min="3339" max="3339" width="8.25" style="164" customWidth="1"/>
    <col min="3340" max="3584" width="9" style="164"/>
    <col min="3585" max="3585" width="5.08203125" style="164" customWidth="1"/>
    <col min="3586" max="3587" width="9" style="164"/>
    <col min="3588" max="3588" width="5.08203125" style="164" customWidth="1"/>
    <col min="3589" max="3594" width="9" style="164"/>
    <col min="3595" max="3595" width="8.25" style="164" customWidth="1"/>
    <col min="3596" max="3840" width="9" style="164"/>
    <col min="3841" max="3841" width="5.08203125" style="164" customWidth="1"/>
    <col min="3842" max="3843" width="9" style="164"/>
    <col min="3844" max="3844" width="5.08203125" style="164" customWidth="1"/>
    <col min="3845" max="3850" width="9" style="164"/>
    <col min="3851" max="3851" width="8.25" style="164" customWidth="1"/>
    <col min="3852" max="4096" width="9" style="164"/>
    <col min="4097" max="4097" width="5.08203125" style="164" customWidth="1"/>
    <col min="4098" max="4099" width="9" style="164"/>
    <col min="4100" max="4100" width="5.08203125" style="164" customWidth="1"/>
    <col min="4101" max="4106" width="9" style="164"/>
    <col min="4107" max="4107" width="8.25" style="164" customWidth="1"/>
    <col min="4108" max="4352" width="9" style="164"/>
    <col min="4353" max="4353" width="5.08203125" style="164" customWidth="1"/>
    <col min="4354" max="4355" width="9" style="164"/>
    <col min="4356" max="4356" width="5.08203125" style="164" customWidth="1"/>
    <col min="4357" max="4362" width="9" style="164"/>
    <col min="4363" max="4363" width="8.25" style="164" customWidth="1"/>
    <col min="4364" max="4608" width="9" style="164"/>
    <col min="4609" max="4609" width="5.08203125" style="164" customWidth="1"/>
    <col min="4610" max="4611" width="9" style="164"/>
    <col min="4612" max="4612" width="5.08203125" style="164" customWidth="1"/>
    <col min="4613" max="4618" width="9" style="164"/>
    <col min="4619" max="4619" width="8.25" style="164" customWidth="1"/>
    <col min="4620" max="4864" width="9" style="164"/>
    <col min="4865" max="4865" width="5.08203125" style="164" customWidth="1"/>
    <col min="4866" max="4867" width="9" style="164"/>
    <col min="4868" max="4868" width="5.08203125" style="164" customWidth="1"/>
    <col min="4869" max="4874" width="9" style="164"/>
    <col min="4875" max="4875" width="8.25" style="164" customWidth="1"/>
    <col min="4876" max="5120" width="9" style="164"/>
    <col min="5121" max="5121" width="5.08203125" style="164" customWidth="1"/>
    <col min="5122" max="5123" width="9" style="164"/>
    <col min="5124" max="5124" width="5.08203125" style="164" customWidth="1"/>
    <col min="5125" max="5130" width="9" style="164"/>
    <col min="5131" max="5131" width="8.25" style="164" customWidth="1"/>
    <col min="5132" max="5376" width="9" style="164"/>
    <col min="5377" max="5377" width="5.08203125" style="164" customWidth="1"/>
    <col min="5378" max="5379" width="9" style="164"/>
    <col min="5380" max="5380" width="5.08203125" style="164" customWidth="1"/>
    <col min="5381" max="5386" width="9" style="164"/>
    <col min="5387" max="5387" width="8.25" style="164" customWidth="1"/>
    <col min="5388" max="5632" width="9" style="164"/>
    <col min="5633" max="5633" width="5.08203125" style="164" customWidth="1"/>
    <col min="5634" max="5635" width="9" style="164"/>
    <col min="5636" max="5636" width="5.08203125" style="164" customWidth="1"/>
    <col min="5637" max="5642" width="9" style="164"/>
    <col min="5643" max="5643" width="8.25" style="164" customWidth="1"/>
    <col min="5644" max="5888" width="9" style="164"/>
    <col min="5889" max="5889" width="5.08203125" style="164" customWidth="1"/>
    <col min="5890" max="5891" width="9" style="164"/>
    <col min="5892" max="5892" width="5.08203125" style="164" customWidth="1"/>
    <col min="5893" max="5898" width="9" style="164"/>
    <col min="5899" max="5899" width="8.25" style="164" customWidth="1"/>
    <col min="5900" max="6144" width="9" style="164"/>
    <col min="6145" max="6145" width="5.08203125" style="164" customWidth="1"/>
    <col min="6146" max="6147" width="9" style="164"/>
    <col min="6148" max="6148" width="5.08203125" style="164" customWidth="1"/>
    <col min="6149" max="6154" width="9" style="164"/>
    <col min="6155" max="6155" width="8.25" style="164" customWidth="1"/>
    <col min="6156" max="6400" width="9" style="164"/>
    <col min="6401" max="6401" width="5.08203125" style="164" customWidth="1"/>
    <col min="6402" max="6403" width="9" style="164"/>
    <col min="6404" max="6404" width="5.08203125" style="164" customWidth="1"/>
    <col min="6405" max="6410" width="9" style="164"/>
    <col min="6411" max="6411" width="8.25" style="164" customWidth="1"/>
    <col min="6412" max="6656" width="9" style="164"/>
    <col min="6657" max="6657" width="5.08203125" style="164" customWidth="1"/>
    <col min="6658" max="6659" width="9" style="164"/>
    <col min="6660" max="6660" width="5.08203125" style="164" customWidth="1"/>
    <col min="6661" max="6666" width="9" style="164"/>
    <col min="6667" max="6667" width="8.25" style="164" customWidth="1"/>
    <col min="6668" max="6912" width="9" style="164"/>
    <col min="6913" max="6913" width="5.08203125" style="164" customWidth="1"/>
    <col min="6914" max="6915" width="9" style="164"/>
    <col min="6916" max="6916" width="5.08203125" style="164" customWidth="1"/>
    <col min="6917" max="6922" width="9" style="164"/>
    <col min="6923" max="6923" width="8.25" style="164" customWidth="1"/>
    <col min="6924" max="7168" width="9" style="164"/>
    <col min="7169" max="7169" width="5.08203125" style="164" customWidth="1"/>
    <col min="7170" max="7171" width="9" style="164"/>
    <col min="7172" max="7172" width="5.08203125" style="164" customWidth="1"/>
    <col min="7173" max="7178" width="9" style="164"/>
    <col min="7179" max="7179" width="8.25" style="164" customWidth="1"/>
    <col min="7180" max="7424" width="9" style="164"/>
    <col min="7425" max="7425" width="5.08203125" style="164" customWidth="1"/>
    <col min="7426" max="7427" width="9" style="164"/>
    <col min="7428" max="7428" width="5.08203125" style="164" customWidth="1"/>
    <col min="7429" max="7434" width="9" style="164"/>
    <col min="7435" max="7435" width="8.25" style="164" customWidth="1"/>
    <col min="7436" max="7680" width="9" style="164"/>
    <col min="7681" max="7681" width="5.08203125" style="164" customWidth="1"/>
    <col min="7682" max="7683" width="9" style="164"/>
    <col min="7684" max="7684" width="5.08203125" style="164" customWidth="1"/>
    <col min="7685" max="7690" width="9" style="164"/>
    <col min="7691" max="7691" width="8.25" style="164" customWidth="1"/>
    <col min="7692" max="7936" width="9" style="164"/>
    <col min="7937" max="7937" width="5.08203125" style="164" customWidth="1"/>
    <col min="7938" max="7939" width="9" style="164"/>
    <col min="7940" max="7940" width="5.08203125" style="164" customWidth="1"/>
    <col min="7941" max="7946" width="9" style="164"/>
    <col min="7947" max="7947" width="8.25" style="164" customWidth="1"/>
    <col min="7948" max="8192" width="9" style="164"/>
    <col min="8193" max="8193" width="5.08203125" style="164" customWidth="1"/>
    <col min="8194" max="8195" width="9" style="164"/>
    <col min="8196" max="8196" width="5.08203125" style="164" customWidth="1"/>
    <col min="8197" max="8202" width="9" style="164"/>
    <col min="8203" max="8203" width="8.25" style="164" customWidth="1"/>
    <col min="8204" max="8448" width="9" style="164"/>
    <col min="8449" max="8449" width="5.08203125" style="164" customWidth="1"/>
    <col min="8450" max="8451" width="9" style="164"/>
    <col min="8452" max="8452" width="5.08203125" style="164" customWidth="1"/>
    <col min="8453" max="8458" width="9" style="164"/>
    <col min="8459" max="8459" width="8.25" style="164" customWidth="1"/>
    <col min="8460" max="8704" width="9" style="164"/>
    <col min="8705" max="8705" width="5.08203125" style="164" customWidth="1"/>
    <col min="8706" max="8707" width="9" style="164"/>
    <col min="8708" max="8708" width="5.08203125" style="164" customWidth="1"/>
    <col min="8709" max="8714" width="9" style="164"/>
    <col min="8715" max="8715" width="8.25" style="164" customWidth="1"/>
    <col min="8716" max="8960" width="9" style="164"/>
    <col min="8961" max="8961" width="5.08203125" style="164" customWidth="1"/>
    <col min="8962" max="8963" width="9" style="164"/>
    <col min="8964" max="8964" width="5.08203125" style="164" customWidth="1"/>
    <col min="8965" max="8970" width="9" style="164"/>
    <col min="8971" max="8971" width="8.25" style="164" customWidth="1"/>
    <col min="8972" max="9216" width="9" style="164"/>
    <col min="9217" max="9217" width="5.08203125" style="164" customWidth="1"/>
    <col min="9218" max="9219" width="9" style="164"/>
    <col min="9220" max="9220" width="5.08203125" style="164" customWidth="1"/>
    <col min="9221" max="9226" width="9" style="164"/>
    <col min="9227" max="9227" width="8.25" style="164" customWidth="1"/>
    <col min="9228" max="9472" width="9" style="164"/>
    <col min="9473" max="9473" width="5.08203125" style="164" customWidth="1"/>
    <col min="9474" max="9475" width="9" style="164"/>
    <col min="9476" max="9476" width="5.08203125" style="164" customWidth="1"/>
    <col min="9477" max="9482" width="9" style="164"/>
    <col min="9483" max="9483" width="8.25" style="164" customWidth="1"/>
    <col min="9484" max="9728" width="9" style="164"/>
    <col min="9729" max="9729" width="5.08203125" style="164" customWidth="1"/>
    <col min="9730" max="9731" width="9" style="164"/>
    <col min="9732" max="9732" width="5.08203125" style="164" customWidth="1"/>
    <col min="9733" max="9738" width="9" style="164"/>
    <col min="9739" max="9739" width="8.25" style="164" customWidth="1"/>
    <col min="9740" max="9984" width="9" style="164"/>
    <col min="9985" max="9985" width="5.08203125" style="164" customWidth="1"/>
    <col min="9986" max="9987" width="9" style="164"/>
    <col min="9988" max="9988" width="5.08203125" style="164" customWidth="1"/>
    <col min="9989" max="9994" width="9" style="164"/>
    <col min="9995" max="9995" width="8.25" style="164" customWidth="1"/>
    <col min="9996" max="10240" width="9" style="164"/>
    <col min="10241" max="10241" width="5.08203125" style="164" customWidth="1"/>
    <col min="10242" max="10243" width="9" style="164"/>
    <col min="10244" max="10244" width="5.08203125" style="164" customWidth="1"/>
    <col min="10245" max="10250" width="9" style="164"/>
    <col min="10251" max="10251" width="8.25" style="164" customWidth="1"/>
    <col min="10252" max="10496" width="9" style="164"/>
    <col min="10497" max="10497" width="5.08203125" style="164" customWidth="1"/>
    <col min="10498" max="10499" width="9" style="164"/>
    <col min="10500" max="10500" width="5.08203125" style="164" customWidth="1"/>
    <col min="10501" max="10506" width="9" style="164"/>
    <col min="10507" max="10507" width="8.25" style="164" customWidth="1"/>
    <col min="10508" max="10752" width="9" style="164"/>
    <col min="10753" max="10753" width="5.08203125" style="164" customWidth="1"/>
    <col min="10754" max="10755" width="9" style="164"/>
    <col min="10756" max="10756" width="5.08203125" style="164" customWidth="1"/>
    <col min="10757" max="10762" width="9" style="164"/>
    <col min="10763" max="10763" width="8.25" style="164" customWidth="1"/>
    <col min="10764" max="11008" width="9" style="164"/>
    <col min="11009" max="11009" width="5.08203125" style="164" customWidth="1"/>
    <col min="11010" max="11011" width="9" style="164"/>
    <col min="11012" max="11012" width="5.08203125" style="164" customWidth="1"/>
    <col min="11013" max="11018" width="9" style="164"/>
    <col min="11019" max="11019" width="8.25" style="164" customWidth="1"/>
    <col min="11020" max="11264" width="9" style="164"/>
    <col min="11265" max="11265" width="5.08203125" style="164" customWidth="1"/>
    <col min="11266" max="11267" width="9" style="164"/>
    <col min="11268" max="11268" width="5.08203125" style="164" customWidth="1"/>
    <col min="11269" max="11274" width="9" style="164"/>
    <col min="11275" max="11275" width="8.25" style="164" customWidth="1"/>
    <col min="11276" max="11520" width="9" style="164"/>
    <col min="11521" max="11521" width="5.08203125" style="164" customWidth="1"/>
    <col min="11522" max="11523" width="9" style="164"/>
    <col min="11524" max="11524" width="5.08203125" style="164" customWidth="1"/>
    <col min="11525" max="11530" width="9" style="164"/>
    <col min="11531" max="11531" width="8.25" style="164" customWidth="1"/>
    <col min="11532" max="11776" width="9" style="164"/>
    <col min="11777" max="11777" width="5.08203125" style="164" customWidth="1"/>
    <col min="11778" max="11779" width="9" style="164"/>
    <col min="11780" max="11780" width="5.08203125" style="164" customWidth="1"/>
    <col min="11781" max="11786" width="9" style="164"/>
    <col min="11787" max="11787" width="8.25" style="164" customWidth="1"/>
    <col min="11788" max="12032" width="9" style="164"/>
    <col min="12033" max="12033" width="5.08203125" style="164" customWidth="1"/>
    <col min="12034" max="12035" width="9" style="164"/>
    <col min="12036" max="12036" width="5.08203125" style="164" customWidth="1"/>
    <col min="12037" max="12042" width="9" style="164"/>
    <col min="12043" max="12043" width="8.25" style="164" customWidth="1"/>
    <col min="12044" max="12288" width="9" style="164"/>
    <col min="12289" max="12289" width="5.08203125" style="164" customWidth="1"/>
    <col min="12290" max="12291" width="9" style="164"/>
    <col min="12292" max="12292" width="5.08203125" style="164" customWidth="1"/>
    <col min="12293" max="12298" width="9" style="164"/>
    <col min="12299" max="12299" width="8.25" style="164" customWidth="1"/>
    <col min="12300" max="12544" width="9" style="164"/>
    <col min="12545" max="12545" width="5.08203125" style="164" customWidth="1"/>
    <col min="12546" max="12547" width="9" style="164"/>
    <col min="12548" max="12548" width="5.08203125" style="164" customWidth="1"/>
    <col min="12549" max="12554" width="9" style="164"/>
    <col min="12555" max="12555" width="8.25" style="164" customWidth="1"/>
    <col min="12556" max="12800" width="9" style="164"/>
    <col min="12801" max="12801" width="5.08203125" style="164" customWidth="1"/>
    <col min="12802" max="12803" width="9" style="164"/>
    <col min="12804" max="12804" width="5.08203125" style="164" customWidth="1"/>
    <col min="12805" max="12810" width="9" style="164"/>
    <col min="12811" max="12811" width="8.25" style="164" customWidth="1"/>
    <col min="12812" max="13056" width="9" style="164"/>
    <col min="13057" max="13057" width="5.08203125" style="164" customWidth="1"/>
    <col min="13058" max="13059" width="9" style="164"/>
    <col min="13060" max="13060" width="5.08203125" style="164" customWidth="1"/>
    <col min="13061" max="13066" width="9" style="164"/>
    <col min="13067" max="13067" width="8.25" style="164" customWidth="1"/>
    <col min="13068" max="13312" width="9" style="164"/>
    <col min="13313" max="13313" width="5.08203125" style="164" customWidth="1"/>
    <col min="13314" max="13315" width="9" style="164"/>
    <col min="13316" max="13316" width="5.08203125" style="164" customWidth="1"/>
    <col min="13317" max="13322" width="9" style="164"/>
    <col min="13323" max="13323" width="8.25" style="164" customWidth="1"/>
    <col min="13324" max="13568" width="9" style="164"/>
    <col min="13569" max="13569" width="5.08203125" style="164" customWidth="1"/>
    <col min="13570" max="13571" width="9" style="164"/>
    <col min="13572" max="13572" width="5.08203125" style="164" customWidth="1"/>
    <col min="13573" max="13578" width="9" style="164"/>
    <col min="13579" max="13579" width="8.25" style="164" customWidth="1"/>
    <col min="13580" max="13824" width="9" style="164"/>
    <col min="13825" max="13825" width="5.08203125" style="164" customWidth="1"/>
    <col min="13826" max="13827" width="9" style="164"/>
    <col min="13828" max="13828" width="5.08203125" style="164" customWidth="1"/>
    <col min="13829" max="13834" width="9" style="164"/>
    <col min="13835" max="13835" width="8.25" style="164" customWidth="1"/>
    <col min="13836" max="14080" width="9" style="164"/>
    <col min="14081" max="14081" width="5.08203125" style="164" customWidth="1"/>
    <col min="14082" max="14083" width="9" style="164"/>
    <col min="14084" max="14084" width="5.08203125" style="164" customWidth="1"/>
    <col min="14085" max="14090" width="9" style="164"/>
    <col min="14091" max="14091" width="8.25" style="164" customWidth="1"/>
    <col min="14092" max="14336" width="9" style="164"/>
    <col min="14337" max="14337" width="5.08203125" style="164" customWidth="1"/>
    <col min="14338" max="14339" width="9" style="164"/>
    <col min="14340" max="14340" width="5.08203125" style="164" customWidth="1"/>
    <col min="14341" max="14346" width="9" style="164"/>
    <col min="14347" max="14347" width="8.25" style="164" customWidth="1"/>
    <col min="14348" max="14592" width="9" style="164"/>
    <col min="14593" max="14593" width="5.08203125" style="164" customWidth="1"/>
    <col min="14594" max="14595" width="9" style="164"/>
    <col min="14596" max="14596" width="5.08203125" style="164" customWidth="1"/>
    <col min="14597" max="14602" width="9" style="164"/>
    <col min="14603" max="14603" width="8.25" style="164" customWidth="1"/>
    <col min="14604" max="14848" width="9" style="164"/>
    <col min="14849" max="14849" width="5.08203125" style="164" customWidth="1"/>
    <col min="14850" max="14851" width="9" style="164"/>
    <col min="14852" max="14852" width="5.08203125" style="164" customWidth="1"/>
    <col min="14853" max="14858" width="9" style="164"/>
    <col min="14859" max="14859" width="8.25" style="164" customWidth="1"/>
    <col min="14860" max="15104" width="9" style="164"/>
    <col min="15105" max="15105" width="5.08203125" style="164" customWidth="1"/>
    <col min="15106" max="15107" width="9" style="164"/>
    <col min="15108" max="15108" width="5.08203125" style="164" customWidth="1"/>
    <col min="15109" max="15114" width="9" style="164"/>
    <col min="15115" max="15115" width="8.25" style="164" customWidth="1"/>
    <col min="15116" max="15360" width="9" style="164"/>
    <col min="15361" max="15361" width="5.08203125" style="164" customWidth="1"/>
    <col min="15362" max="15363" width="9" style="164"/>
    <col min="15364" max="15364" width="5.08203125" style="164" customWidth="1"/>
    <col min="15365" max="15370" width="9" style="164"/>
    <col min="15371" max="15371" width="8.25" style="164" customWidth="1"/>
    <col min="15372" max="15616" width="9" style="164"/>
    <col min="15617" max="15617" width="5.08203125" style="164" customWidth="1"/>
    <col min="15618" max="15619" width="9" style="164"/>
    <col min="15620" max="15620" width="5.08203125" style="164" customWidth="1"/>
    <col min="15621" max="15626" width="9" style="164"/>
    <col min="15627" max="15627" width="8.25" style="164" customWidth="1"/>
    <col min="15628" max="15872" width="9" style="164"/>
    <col min="15873" max="15873" width="5.08203125" style="164" customWidth="1"/>
    <col min="15874" max="15875" width="9" style="164"/>
    <col min="15876" max="15876" width="5.08203125" style="164" customWidth="1"/>
    <col min="15877" max="15882" width="9" style="164"/>
    <col min="15883" max="15883" width="8.25" style="164" customWidth="1"/>
    <col min="15884" max="16128" width="9" style="164"/>
    <col min="16129" max="16129" width="5.08203125" style="164" customWidth="1"/>
    <col min="16130" max="16131" width="9" style="164"/>
    <col min="16132" max="16132" width="5.08203125" style="164" customWidth="1"/>
    <col min="16133" max="16138" width="9" style="164"/>
    <col min="16139" max="16139" width="8.25" style="164" customWidth="1"/>
    <col min="16140" max="16384" width="9" style="164"/>
  </cols>
  <sheetData>
    <row r="1" spans="1:11" ht="39.75" customHeight="1">
      <c r="A1" s="690" t="s">
        <v>1848</v>
      </c>
      <c r="B1" s="690"/>
      <c r="C1" s="690"/>
      <c r="D1" s="690"/>
      <c r="E1" s="690"/>
      <c r="F1" s="690"/>
      <c r="G1" s="690"/>
      <c r="H1" s="690"/>
      <c r="I1" s="690"/>
      <c r="J1" s="690"/>
      <c r="K1" s="690"/>
    </row>
    <row r="2" spans="1:11" ht="20.149999999999999" customHeight="1">
      <c r="A2" s="166"/>
      <c r="B2" s="166"/>
      <c r="C2" s="166"/>
      <c r="D2" s="166"/>
      <c r="E2" s="166"/>
      <c r="F2" s="166"/>
      <c r="G2" s="166"/>
      <c r="H2" s="466"/>
      <c r="I2" s="691" t="s">
        <v>2450</v>
      </c>
      <c r="J2" s="691"/>
      <c r="K2" s="691"/>
    </row>
    <row r="3" spans="1:11" ht="33.75" customHeight="1">
      <c r="A3" s="692" t="s">
        <v>410</v>
      </c>
      <c r="B3" s="692"/>
      <c r="C3" s="692"/>
      <c r="D3" s="692"/>
      <c r="E3" s="692"/>
      <c r="F3" s="692"/>
      <c r="G3" s="166"/>
      <c r="H3" s="166"/>
      <c r="I3" s="166"/>
      <c r="J3" s="166"/>
      <c r="K3" s="166"/>
    </row>
    <row r="4" spans="1:11" ht="5.15" customHeight="1">
      <c r="A4" s="166"/>
      <c r="B4" s="166"/>
      <c r="C4" s="166"/>
      <c r="D4" s="166"/>
      <c r="E4" s="166"/>
      <c r="F4" s="166"/>
      <c r="G4" s="166"/>
      <c r="H4" s="166"/>
      <c r="I4" s="166"/>
      <c r="J4" s="166"/>
      <c r="K4" s="166"/>
    </row>
    <row r="5" spans="1:11" ht="20.149999999999999" customHeight="1">
      <c r="A5" s="492"/>
      <c r="B5" s="493"/>
      <c r="C5" s="166" t="s">
        <v>1884</v>
      </c>
      <c r="D5" s="166"/>
      <c r="E5" s="166"/>
      <c r="F5" s="166"/>
      <c r="G5" s="166"/>
      <c r="H5" s="166"/>
      <c r="I5" s="166"/>
      <c r="J5" s="166"/>
      <c r="K5" s="166"/>
    </row>
    <row r="6" spans="1:11" ht="5.15" customHeight="1">
      <c r="A6" s="166"/>
      <c r="B6" s="166"/>
      <c r="C6" s="166"/>
      <c r="D6" s="166"/>
      <c r="E6" s="166"/>
      <c r="F6" s="166"/>
      <c r="G6" s="166"/>
      <c r="H6" s="166"/>
      <c r="I6" s="166"/>
      <c r="J6" s="166"/>
      <c r="K6" s="166"/>
    </row>
    <row r="7" spans="1:11" ht="20.149999999999999" customHeight="1">
      <c r="A7" s="494"/>
      <c r="B7" s="495"/>
      <c r="C7" s="693" t="s">
        <v>1885</v>
      </c>
      <c r="D7" s="693"/>
      <c r="E7" s="693"/>
      <c r="F7" s="693"/>
      <c r="G7" s="693"/>
      <c r="H7" s="693"/>
      <c r="I7" s="693"/>
      <c r="J7" s="693"/>
      <c r="K7" s="693"/>
    </row>
    <row r="8" spans="1:11" ht="51.75" customHeight="1">
      <c r="A8" s="166"/>
      <c r="B8" s="166"/>
      <c r="C8" s="693"/>
      <c r="D8" s="693"/>
      <c r="E8" s="693"/>
      <c r="F8" s="693"/>
      <c r="G8" s="693"/>
      <c r="H8" s="693"/>
      <c r="I8" s="693"/>
      <c r="J8" s="693"/>
      <c r="K8" s="693"/>
    </row>
    <row r="9" spans="1:11" ht="5.15" customHeight="1">
      <c r="A9" s="166"/>
      <c r="B9" s="166"/>
      <c r="C9" s="166"/>
      <c r="D9" s="166"/>
      <c r="E9" s="166"/>
      <c r="F9" s="166"/>
      <c r="G9" s="166"/>
      <c r="H9" s="166"/>
      <c r="I9" s="166"/>
      <c r="J9" s="166"/>
      <c r="K9" s="166"/>
    </row>
    <row r="10" spans="1:11" ht="28.5" customHeight="1">
      <c r="A10" s="694" t="s">
        <v>1886</v>
      </c>
      <c r="B10" s="694"/>
      <c r="C10" s="694"/>
      <c r="D10" s="694"/>
      <c r="E10" s="694"/>
      <c r="F10" s="694"/>
      <c r="G10" s="694"/>
      <c r="H10" s="694"/>
      <c r="I10" s="694"/>
      <c r="J10" s="694"/>
      <c r="K10" s="166"/>
    </row>
    <row r="11" spans="1:11" ht="5.15" customHeight="1">
      <c r="A11" s="166"/>
      <c r="B11" s="166"/>
      <c r="C11" s="166"/>
      <c r="D11" s="166"/>
      <c r="E11" s="166"/>
      <c r="F11" s="166"/>
      <c r="G11" s="166"/>
      <c r="H11" s="166"/>
      <c r="I11" s="166"/>
      <c r="J11" s="166"/>
      <c r="K11" s="166"/>
    </row>
    <row r="12" spans="1:11" ht="30.75" customHeight="1">
      <c r="A12" s="692" t="s">
        <v>1887</v>
      </c>
      <c r="B12" s="692"/>
      <c r="C12" s="692"/>
      <c r="D12" s="692"/>
      <c r="E12" s="692"/>
      <c r="F12" s="692"/>
      <c r="G12" s="166"/>
      <c r="H12" s="166"/>
      <c r="I12" s="166"/>
      <c r="J12" s="166"/>
      <c r="K12" s="166"/>
    </row>
    <row r="13" spans="1:11" ht="51.75" customHeight="1">
      <c r="A13" s="695" t="s">
        <v>1888</v>
      </c>
      <c r="B13" s="695"/>
      <c r="C13" s="695"/>
      <c r="D13" s="695"/>
      <c r="E13" s="695"/>
      <c r="F13" s="695"/>
      <c r="G13" s="695"/>
      <c r="H13" s="695"/>
      <c r="I13" s="695"/>
      <c r="J13" s="695"/>
      <c r="K13" s="695"/>
    </row>
    <row r="14" spans="1:11" ht="33.75" customHeight="1">
      <c r="A14" s="692" t="s">
        <v>1889</v>
      </c>
      <c r="B14" s="692"/>
      <c r="C14" s="692"/>
      <c r="D14" s="692"/>
      <c r="E14" s="692"/>
      <c r="F14" s="692"/>
      <c r="G14" s="166"/>
      <c r="H14" s="166"/>
      <c r="I14" s="166"/>
      <c r="J14" s="166"/>
      <c r="K14" s="166"/>
    </row>
    <row r="15" spans="1:11" ht="20.149999999999999" customHeight="1">
      <c r="A15" s="696" t="s">
        <v>2451</v>
      </c>
      <c r="B15" s="696"/>
      <c r="C15" s="696"/>
      <c r="D15" s="696"/>
      <c r="E15" s="696"/>
      <c r="F15" s="696"/>
      <c r="G15" s="463" t="s">
        <v>412</v>
      </c>
      <c r="H15" s="697" t="s">
        <v>416</v>
      </c>
      <c r="I15" s="698"/>
      <c r="J15" s="698"/>
      <c r="K15" s="698"/>
    </row>
    <row r="16" spans="1:11" ht="37" customHeight="1">
      <c r="A16" s="689" t="s">
        <v>2452</v>
      </c>
      <c r="B16" s="689"/>
      <c r="C16" s="689"/>
      <c r="D16" s="689"/>
      <c r="E16" s="689"/>
      <c r="F16" s="689"/>
      <c r="G16" s="689"/>
      <c r="H16" s="689"/>
      <c r="I16" s="689"/>
      <c r="J16" s="689"/>
      <c r="K16" s="689"/>
    </row>
    <row r="17" spans="1:11" ht="9.75" customHeight="1">
      <c r="A17" s="699"/>
      <c r="B17" s="699"/>
      <c r="C17" s="699"/>
      <c r="D17" s="699"/>
      <c r="E17" s="699"/>
      <c r="F17" s="699"/>
      <c r="G17" s="699"/>
      <c r="H17" s="699"/>
      <c r="I17" s="699"/>
      <c r="J17" s="699"/>
      <c r="K17" s="699"/>
    </row>
    <row r="18" spans="1:11" ht="21.75" customHeight="1">
      <c r="A18" s="166"/>
      <c r="B18" s="166"/>
      <c r="C18" s="699" t="s">
        <v>2271</v>
      </c>
      <c r="D18" s="699"/>
      <c r="E18" s="699"/>
      <c r="F18" s="699"/>
      <c r="G18" s="699"/>
      <c r="H18" s="699"/>
      <c r="I18" s="699"/>
      <c r="J18" s="699"/>
      <c r="K18" s="699"/>
    </row>
    <row r="19" spans="1:11" ht="21.75" customHeight="1">
      <c r="A19" s="166"/>
      <c r="B19" s="166"/>
      <c r="C19" s="699" t="s">
        <v>2272</v>
      </c>
      <c r="D19" s="699"/>
      <c r="E19" s="699"/>
      <c r="F19" s="699"/>
      <c r="G19" s="699"/>
      <c r="H19" s="699"/>
      <c r="I19" s="699"/>
      <c r="J19" s="699"/>
      <c r="K19" s="699"/>
    </row>
    <row r="20" spans="1:11" ht="21.75" customHeight="1">
      <c r="A20" s="166"/>
      <c r="B20" s="166"/>
      <c r="C20" s="166" t="s">
        <v>2508</v>
      </c>
      <c r="D20" s="166"/>
      <c r="E20" s="166"/>
      <c r="F20" s="166"/>
      <c r="G20" s="166"/>
      <c r="H20" s="165"/>
      <c r="I20" s="165"/>
      <c r="J20" s="165"/>
      <c r="K20" s="166"/>
    </row>
    <row r="21" spans="1:11" ht="21.75" customHeight="1">
      <c r="A21" s="166"/>
      <c r="B21" s="166"/>
      <c r="C21" s="699" t="s">
        <v>414</v>
      </c>
      <c r="D21" s="699"/>
      <c r="E21" s="699"/>
      <c r="F21" s="699"/>
      <c r="G21" s="699"/>
      <c r="H21" s="699"/>
      <c r="I21" s="699"/>
      <c r="J21" s="699"/>
      <c r="K21" s="699"/>
    </row>
    <row r="22" spans="1:11" ht="21.75" customHeight="1">
      <c r="A22" s="166"/>
      <c r="B22" s="166"/>
      <c r="C22" s="167" t="s">
        <v>417</v>
      </c>
      <c r="D22" s="700" t="s">
        <v>416</v>
      </c>
      <c r="E22" s="700"/>
      <c r="F22" s="700"/>
      <c r="G22" s="700"/>
      <c r="H22" s="700"/>
      <c r="I22" s="700"/>
      <c r="J22" s="700"/>
      <c r="K22" s="700"/>
    </row>
    <row r="23" spans="1:11" ht="21.75" customHeight="1">
      <c r="A23" s="166"/>
      <c r="B23" s="166"/>
      <c r="D23" s="166"/>
      <c r="E23" s="166"/>
      <c r="F23" s="166"/>
      <c r="G23" s="166"/>
      <c r="H23" s="166"/>
      <c r="I23" s="166"/>
      <c r="J23" s="166"/>
      <c r="K23" s="166"/>
    </row>
    <row r="24" spans="1:11" ht="21.75" customHeight="1"/>
    <row r="25" spans="1:11" ht="20.149999999999999" customHeight="1"/>
    <row r="26" spans="1:11" ht="20.149999999999999" customHeight="1"/>
    <row r="27" spans="1:11" ht="20.149999999999999" customHeight="1"/>
    <row r="28" spans="1:11" ht="20.149999999999999" customHeight="1"/>
  </sheetData>
  <sheetProtection selectLockedCells="1"/>
  <mergeCells count="16">
    <mergeCell ref="C19:K19"/>
    <mergeCell ref="C21:K21"/>
    <mergeCell ref="D22:K22"/>
    <mergeCell ref="A17:K17"/>
    <mergeCell ref="C18:K18"/>
    <mergeCell ref="A16:K16"/>
    <mergeCell ref="A1:K1"/>
    <mergeCell ref="I2:K2"/>
    <mergeCell ref="A3:F3"/>
    <mergeCell ref="C7:K8"/>
    <mergeCell ref="A10:J10"/>
    <mergeCell ref="A12:F12"/>
    <mergeCell ref="A13:K13"/>
    <mergeCell ref="A14:F14"/>
    <mergeCell ref="A15:F15"/>
    <mergeCell ref="H15:K15"/>
  </mergeCells>
  <phoneticPr fontId="1"/>
  <hyperlinks>
    <hyperlink ref="H15" r:id="rId1" xr:uid="{0743966E-5BC8-4B40-984F-20C0C28AF60C}"/>
    <hyperlink ref="D22" r:id="rId2" xr:uid="{CF800924-9851-4A82-B4E7-26B98896C81D}"/>
  </hyperlinks>
  <printOptions horizontalCentered="1"/>
  <pageMargins left="0.59055118110236227" right="0.59055118110236227" top="0.98425196850393704" bottom="0.98425196850393704" header="0.51181102362204722" footer="0.51181102362204722"/>
  <pageSetup paperSize="9" scale="91" orientation="portrait" r:id="rId3"/>
  <headerFooter alignWithMargins="0"/>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15E4E-EABD-4A01-B734-D093C2E3F4FB}">
  <dimension ref="A1:K33"/>
  <sheetViews>
    <sheetView view="pageBreakPreview" zoomScale="85" zoomScaleNormal="85" zoomScaleSheetLayoutView="85" workbookViewId="0">
      <selection activeCell="I4" sqref="I4:K4"/>
    </sheetView>
  </sheetViews>
  <sheetFormatPr defaultRowHeight="16.5"/>
  <cols>
    <col min="1" max="1" width="5.08203125" style="164" customWidth="1"/>
    <col min="2" max="3" width="9" style="164"/>
    <col min="4" max="4" width="5.08203125" style="164" customWidth="1"/>
    <col min="5" max="10" width="9" style="164"/>
    <col min="11" max="11" width="8.25" style="164" customWidth="1"/>
    <col min="12" max="256" width="9" style="164"/>
    <col min="257" max="257" width="5.08203125" style="164" customWidth="1"/>
    <col min="258" max="259" width="9" style="164"/>
    <col min="260" max="260" width="5.08203125" style="164" customWidth="1"/>
    <col min="261" max="266" width="9" style="164"/>
    <col min="267" max="267" width="8.25" style="164" customWidth="1"/>
    <col min="268" max="512" width="9" style="164"/>
    <col min="513" max="513" width="5.08203125" style="164" customWidth="1"/>
    <col min="514" max="515" width="9" style="164"/>
    <col min="516" max="516" width="5.08203125" style="164" customWidth="1"/>
    <col min="517" max="522" width="9" style="164"/>
    <col min="523" max="523" width="8.25" style="164" customWidth="1"/>
    <col min="524" max="768" width="9" style="164"/>
    <col min="769" max="769" width="5.08203125" style="164" customWidth="1"/>
    <col min="770" max="771" width="9" style="164"/>
    <col min="772" max="772" width="5.08203125" style="164" customWidth="1"/>
    <col min="773" max="778" width="9" style="164"/>
    <col min="779" max="779" width="8.25" style="164" customWidth="1"/>
    <col min="780" max="1024" width="9" style="164"/>
    <col min="1025" max="1025" width="5.08203125" style="164" customWidth="1"/>
    <col min="1026" max="1027" width="9" style="164"/>
    <col min="1028" max="1028" width="5.08203125" style="164" customWidth="1"/>
    <col min="1029" max="1034" width="9" style="164"/>
    <col min="1035" max="1035" width="8.25" style="164" customWidth="1"/>
    <col min="1036" max="1280" width="9" style="164"/>
    <col min="1281" max="1281" width="5.08203125" style="164" customWidth="1"/>
    <col min="1282" max="1283" width="9" style="164"/>
    <col min="1284" max="1284" width="5.08203125" style="164" customWidth="1"/>
    <col min="1285" max="1290" width="9" style="164"/>
    <col min="1291" max="1291" width="8.25" style="164" customWidth="1"/>
    <col min="1292" max="1536" width="9" style="164"/>
    <col min="1537" max="1537" width="5.08203125" style="164" customWidth="1"/>
    <col min="1538" max="1539" width="9" style="164"/>
    <col min="1540" max="1540" width="5.08203125" style="164" customWidth="1"/>
    <col min="1541" max="1546" width="9" style="164"/>
    <col min="1547" max="1547" width="8.25" style="164" customWidth="1"/>
    <col min="1548" max="1792" width="9" style="164"/>
    <col min="1793" max="1793" width="5.08203125" style="164" customWidth="1"/>
    <col min="1794" max="1795" width="9" style="164"/>
    <col min="1796" max="1796" width="5.08203125" style="164" customWidth="1"/>
    <col min="1797" max="1802" width="9" style="164"/>
    <col min="1803" max="1803" width="8.25" style="164" customWidth="1"/>
    <col min="1804" max="2048" width="9" style="164"/>
    <col min="2049" max="2049" width="5.08203125" style="164" customWidth="1"/>
    <col min="2050" max="2051" width="9" style="164"/>
    <col min="2052" max="2052" width="5.08203125" style="164" customWidth="1"/>
    <col min="2053" max="2058" width="9" style="164"/>
    <col min="2059" max="2059" width="8.25" style="164" customWidth="1"/>
    <col min="2060" max="2304" width="9" style="164"/>
    <col min="2305" max="2305" width="5.08203125" style="164" customWidth="1"/>
    <col min="2306" max="2307" width="9" style="164"/>
    <col min="2308" max="2308" width="5.08203125" style="164" customWidth="1"/>
    <col min="2309" max="2314" width="9" style="164"/>
    <col min="2315" max="2315" width="8.25" style="164" customWidth="1"/>
    <col min="2316" max="2560" width="9" style="164"/>
    <col min="2561" max="2561" width="5.08203125" style="164" customWidth="1"/>
    <col min="2562" max="2563" width="9" style="164"/>
    <col min="2564" max="2564" width="5.08203125" style="164" customWidth="1"/>
    <col min="2565" max="2570" width="9" style="164"/>
    <col min="2571" max="2571" width="8.25" style="164" customWidth="1"/>
    <col min="2572" max="2816" width="9" style="164"/>
    <col min="2817" max="2817" width="5.08203125" style="164" customWidth="1"/>
    <col min="2818" max="2819" width="9" style="164"/>
    <col min="2820" max="2820" width="5.08203125" style="164" customWidth="1"/>
    <col min="2821" max="2826" width="9" style="164"/>
    <col min="2827" max="2827" width="8.25" style="164" customWidth="1"/>
    <col min="2828" max="3072" width="9" style="164"/>
    <col min="3073" max="3073" width="5.08203125" style="164" customWidth="1"/>
    <col min="3074" max="3075" width="9" style="164"/>
    <col min="3076" max="3076" width="5.08203125" style="164" customWidth="1"/>
    <col min="3077" max="3082" width="9" style="164"/>
    <col min="3083" max="3083" width="8.25" style="164" customWidth="1"/>
    <col min="3084" max="3328" width="9" style="164"/>
    <col min="3329" max="3329" width="5.08203125" style="164" customWidth="1"/>
    <col min="3330" max="3331" width="9" style="164"/>
    <col min="3332" max="3332" width="5.08203125" style="164" customWidth="1"/>
    <col min="3333" max="3338" width="9" style="164"/>
    <col min="3339" max="3339" width="8.25" style="164" customWidth="1"/>
    <col min="3340" max="3584" width="9" style="164"/>
    <col min="3585" max="3585" width="5.08203125" style="164" customWidth="1"/>
    <col min="3586" max="3587" width="9" style="164"/>
    <col min="3588" max="3588" width="5.08203125" style="164" customWidth="1"/>
    <col min="3589" max="3594" width="9" style="164"/>
    <col min="3595" max="3595" width="8.25" style="164" customWidth="1"/>
    <col min="3596" max="3840" width="9" style="164"/>
    <col min="3841" max="3841" width="5.08203125" style="164" customWidth="1"/>
    <col min="3842" max="3843" width="9" style="164"/>
    <col min="3844" max="3844" width="5.08203125" style="164" customWidth="1"/>
    <col min="3845" max="3850" width="9" style="164"/>
    <col min="3851" max="3851" width="8.25" style="164" customWidth="1"/>
    <col min="3852" max="4096" width="9" style="164"/>
    <col min="4097" max="4097" width="5.08203125" style="164" customWidth="1"/>
    <col min="4098" max="4099" width="9" style="164"/>
    <col min="4100" max="4100" width="5.08203125" style="164" customWidth="1"/>
    <col min="4101" max="4106" width="9" style="164"/>
    <col min="4107" max="4107" width="8.25" style="164" customWidth="1"/>
    <col min="4108" max="4352" width="9" style="164"/>
    <col min="4353" max="4353" width="5.08203125" style="164" customWidth="1"/>
    <col min="4354" max="4355" width="9" style="164"/>
    <col min="4356" max="4356" width="5.08203125" style="164" customWidth="1"/>
    <col min="4357" max="4362" width="9" style="164"/>
    <col min="4363" max="4363" width="8.25" style="164" customWidth="1"/>
    <col min="4364" max="4608" width="9" style="164"/>
    <col min="4609" max="4609" width="5.08203125" style="164" customWidth="1"/>
    <col min="4610" max="4611" width="9" style="164"/>
    <col min="4612" max="4612" width="5.08203125" style="164" customWidth="1"/>
    <col min="4613" max="4618" width="9" style="164"/>
    <col min="4619" max="4619" width="8.25" style="164" customWidth="1"/>
    <col min="4620" max="4864" width="9" style="164"/>
    <col min="4865" max="4865" width="5.08203125" style="164" customWidth="1"/>
    <col min="4866" max="4867" width="9" style="164"/>
    <col min="4868" max="4868" width="5.08203125" style="164" customWidth="1"/>
    <col min="4869" max="4874" width="9" style="164"/>
    <col min="4875" max="4875" width="8.25" style="164" customWidth="1"/>
    <col min="4876" max="5120" width="9" style="164"/>
    <col min="5121" max="5121" width="5.08203125" style="164" customWidth="1"/>
    <col min="5122" max="5123" width="9" style="164"/>
    <col min="5124" max="5124" width="5.08203125" style="164" customWidth="1"/>
    <col min="5125" max="5130" width="9" style="164"/>
    <col min="5131" max="5131" width="8.25" style="164" customWidth="1"/>
    <col min="5132" max="5376" width="9" style="164"/>
    <col min="5377" max="5377" width="5.08203125" style="164" customWidth="1"/>
    <col min="5378" max="5379" width="9" style="164"/>
    <col min="5380" max="5380" width="5.08203125" style="164" customWidth="1"/>
    <col min="5381" max="5386" width="9" style="164"/>
    <col min="5387" max="5387" width="8.25" style="164" customWidth="1"/>
    <col min="5388" max="5632" width="9" style="164"/>
    <col min="5633" max="5633" width="5.08203125" style="164" customWidth="1"/>
    <col min="5634" max="5635" width="9" style="164"/>
    <col min="5636" max="5636" width="5.08203125" style="164" customWidth="1"/>
    <col min="5637" max="5642" width="9" style="164"/>
    <col min="5643" max="5643" width="8.25" style="164" customWidth="1"/>
    <col min="5644" max="5888" width="9" style="164"/>
    <col min="5889" max="5889" width="5.08203125" style="164" customWidth="1"/>
    <col min="5890" max="5891" width="9" style="164"/>
    <col min="5892" max="5892" width="5.08203125" style="164" customWidth="1"/>
    <col min="5893" max="5898" width="9" style="164"/>
    <col min="5899" max="5899" width="8.25" style="164" customWidth="1"/>
    <col min="5900" max="6144" width="9" style="164"/>
    <col min="6145" max="6145" width="5.08203125" style="164" customWidth="1"/>
    <col min="6146" max="6147" width="9" style="164"/>
    <col min="6148" max="6148" width="5.08203125" style="164" customWidth="1"/>
    <col min="6149" max="6154" width="9" style="164"/>
    <col min="6155" max="6155" width="8.25" style="164" customWidth="1"/>
    <col min="6156" max="6400" width="9" style="164"/>
    <col min="6401" max="6401" width="5.08203125" style="164" customWidth="1"/>
    <col min="6402" max="6403" width="9" style="164"/>
    <col min="6404" max="6404" width="5.08203125" style="164" customWidth="1"/>
    <col min="6405" max="6410" width="9" style="164"/>
    <col min="6411" max="6411" width="8.25" style="164" customWidth="1"/>
    <col min="6412" max="6656" width="9" style="164"/>
    <col min="6657" max="6657" width="5.08203125" style="164" customWidth="1"/>
    <col min="6658" max="6659" width="9" style="164"/>
    <col min="6660" max="6660" width="5.08203125" style="164" customWidth="1"/>
    <col min="6661" max="6666" width="9" style="164"/>
    <col min="6667" max="6667" width="8.25" style="164" customWidth="1"/>
    <col min="6668" max="6912" width="9" style="164"/>
    <col min="6913" max="6913" width="5.08203125" style="164" customWidth="1"/>
    <col min="6914" max="6915" width="9" style="164"/>
    <col min="6916" max="6916" width="5.08203125" style="164" customWidth="1"/>
    <col min="6917" max="6922" width="9" style="164"/>
    <col min="6923" max="6923" width="8.25" style="164" customWidth="1"/>
    <col min="6924" max="7168" width="9" style="164"/>
    <col min="7169" max="7169" width="5.08203125" style="164" customWidth="1"/>
    <col min="7170" max="7171" width="9" style="164"/>
    <col min="7172" max="7172" width="5.08203125" style="164" customWidth="1"/>
    <col min="7173" max="7178" width="9" style="164"/>
    <col min="7179" max="7179" width="8.25" style="164" customWidth="1"/>
    <col min="7180" max="7424" width="9" style="164"/>
    <col min="7425" max="7425" width="5.08203125" style="164" customWidth="1"/>
    <col min="7426" max="7427" width="9" style="164"/>
    <col min="7428" max="7428" width="5.08203125" style="164" customWidth="1"/>
    <col min="7429" max="7434" width="9" style="164"/>
    <col min="7435" max="7435" width="8.25" style="164" customWidth="1"/>
    <col min="7436" max="7680" width="9" style="164"/>
    <col min="7681" max="7681" width="5.08203125" style="164" customWidth="1"/>
    <col min="7682" max="7683" width="9" style="164"/>
    <col min="7684" max="7684" width="5.08203125" style="164" customWidth="1"/>
    <col min="7685" max="7690" width="9" style="164"/>
    <col min="7691" max="7691" width="8.25" style="164" customWidth="1"/>
    <col min="7692" max="7936" width="9" style="164"/>
    <col min="7937" max="7937" width="5.08203125" style="164" customWidth="1"/>
    <col min="7938" max="7939" width="9" style="164"/>
    <col min="7940" max="7940" width="5.08203125" style="164" customWidth="1"/>
    <col min="7941" max="7946" width="9" style="164"/>
    <col min="7947" max="7947" width="8.25" style="164" customWidth="1"/>
    <col min="7948" max="8192" width="9" style="164"/>
    <col min="8193" max="8193" width="5.08203125" style="164" customWidth="1"/>
    <col min="8194" max="8195" width="9" style="164"/>
    <col min="8196" max="8196" width="5.08203125" style="164" customWidth="1"/>
    <col min="8197" max="8202" width="9" style="164"/>
    <col min="8203" max="8203" width="8.25" style="164" customWidth="1"/>
    <col min="8204" max="8448" width="9" style="164"/>
    <col min="8449" max="8449" width="5.08203125" style="164" customWidth="1"/>
    <col min="8450" max="8451" width="9" style="164"/>
    <col min="8452" max="8452" width="5.08203125" style="164" customWidth="1"/>
    <col min="8453" max="8458" width="9" style="164"/>
    <col min="8459" max="8459" width="8.25" style="164" customWidth="1"/>
    <col min="8460" max="8704" width="9" style="164"/>
    <col min="8705" max="8705" width="5.08203125" style="164" customWidth="1"/>
    <col min="8706" max="8707" width="9" style="164"/>
    <col min="8708" max="8708" width="5.08203125" style="164" customWidth="1"/>
    <col min="8709" max="8714" width="9" style="164"/>
    <col min="8715" max="8715" width="8.25" style="164" customWidth="1"/>
    <col min="8716" max="8960" width="9" style="164"/>
    <col min="8961" max="8961" width="5.08203125" style="164" customWidth="1"/>
    <col min="8962" max="8963" width="9" style="164"/>
    <col min="8964" max="8964" width="5.08203125" style="164" customWidth="1"/>
    <col min="8965" max="8970" width="9" style="164"/>
    <col min="8971" max="8971" width="8.25" style="164" customWidth="1"/>
    <col min="8972" max="9216" width="9" style="164"/>
    <col min="9217" max="9217" width="5.08203125" style="164" customWidth="1"/>
    <col min="9218" max="9219" width="9" style="164"/>
    <col min="9220" max="9220" width="5.08203125" style="164" customWidth="1"/>
    <col min="9221" max="9226" width="9" style="164"/>
    <col min="9227" max="9227" width="8.25" style="164" customWidth="1"/>
    <col min="9228" max="9472" width="9" style="164"/>
    <col min="9473" max="9473" width="5.08203125" style="164" customWidth="1"/>
    <col min="9474" max="9475" width="9" style="164"/>
    <col min="9476" max="9476" width="5.08203125" style="164" customWidth="1"/>
    <col min="9477" max="9482" width="9" style="164"/>
    <col min="9483" max="9483" width="8.25" style="164" customWidth="1"/>
    <col min="9484" max="9728" width="9" style="164"/>
    <col min="9729" max="9729" width="5.08203125" style="164" customWidth="1"/>
    <col min="9730" max="9731" width="9" style="164"/>
    <col min="9732" max="9732" width="5.08203125" style="164" customWidth="1"/>
    <col min="9733" max="9738" width="9" style="164"/>
    <col min="9739" max="9739" width="8.25" style="164" customWidth="1"/>
    <col min="9740" max="9984" width="9" style="164"/>
    <col min="9985" max="9985" width="5.08203125" style="164" customWidth="1"/>
    <col min="9986" max="9987" width="9" style="164"/>
    <col min="9988" max="9988" width="5.08203125" style="164" customWidth="1"/>
    <col min="9989" max="9994" width="9" style="164"/>
    <col min="9995" max="9995" width="8.25" style="164" customWidth="1"/>
    <col min="9996" max="10240" width="9" style="164"/>
    <col min="10241" max="10241" width="5.08203125" style="164" customWidth="1"/>
    <col min="10242" max="10243" width="9" style="164"/>
    <col min="10244" max="10244" width="5.08203125" style="164" customWidth="1"/>
    <col min="10245" max="10250" width="9" style="164"/>
    <col min="10251" max="10251" width="8.25" style="164" customWidth="1"/>
    <col min="10252" max="10496" width="9" style="164"/>
    <col min="10497" max="10497" width="5.08203125" style="164" customWidth="1"/>
    <col min="10498" max="10499" width="9" style="164"/>
    <col min="10500" max="10500" width="5.08203125" style="164" customWidth="1"/>
    <col min="10501" max="10506" width="9" style="164"/>
    <col min="10507" max="10507" width="8.25" style="164" customWidth="1"/>
    <col min="10508" max="10752" width="9" style="164"/>
    <col min="10753" max="10753" width="5.08203125" style="164" customWidth="1"/>
    <col min="10754" max="10755" width="9" style="164"/>
    <col min="10756" max="10756" width="5.08203125" style="164" customWidth="1"/>
    <col min="10757" max="10762" width="9" style="164"/>
    <col min="10763" max="10763" width="8.25" style="164" customWidth="1"/>
    <col min="10764" max="11008" width="9" style="164"/>
    <col min="11009" max="11009" width="5.08203125" style="164" customWidth="1"/>
    <col min="11010" max="11011" width="9" style="164"/>
    <col min="11012" max="11012" width="5.08203125" style="164" customWidth="1"/>
    <col min="11013" max="11018" width="9" style="164"/>
    <col min="11019" max="11019" width="8.25" style="164" customWidth="1"/>
    <col min="11020" max="11264" width="9" style="164"/>
    <col min="11265" max="11265" width="5.08203125" style="164" customWidth="1"/>
    <col min="11266" max="11267" width="9" style="164"/>
    <col min="11268" max="11268" width="5.08203125" style="164" customWidth="1"/>
    <col min="11269" max="11274" width="9" style="164"/>
    <col min="11275" max="11275" width="8.25" style="164" customWidth="1"/>
    <col min="11276" max="11520" width="9" style="164"/>
    <col min="11521" max="11521" width="5.08203125" style="164" customWidth="1"/>
    <col min="11522" max="11523" width="9" style="164"/>
    <col min="11524" max="11524" width="5.08203125" style="164" customWidth="1"/>
    <col min="11525" max="11530" width="9" style="164"/>
    <col min="11531" max="11531" width="8.25" style="164" customWidth="1"/>
    <col min="11532" max="11776" width="9" style="164"/>
    <col min="11777" max="11777" width="5.08203125" style="164" customWidth="1"/>
    <col min="11778" max="11779" width="9" style="164"/>
    <col min="11780" max="11780" width="5.08203125" style="164" customWidth="1"/>
    <col min="11781" max="11786" width="9" style="164"/>
    <col min="11787" max="11787" width="8.25" style="164" customWidth="1"/>
    <col min="11788" max="12032" width="9" style="164"/>
    <col min="12033" max="12033" width="5.08203125" style="164" customWidth="1"/>
    <col min="12034" max="12035" width="9" style="164"/>
    <col min="12036" max="12036" width="5.08203125" style="164" customWidth="1"/>
    <col min="12037" max="12042" width="9" style="164"/>
    <col min="12043" max="12043" width="8.25" style="164" customWidth="1"/>
    <col min="12044" max="12288" width="9" style="164"/>
    <col min="12289" max="12289" width="5.08203125" style="164" customWidth="1"/>
    <col min="12290" max="12291" width="9" style="164"/>
    <col min="12292" max="12292" width="5.08203125" style="164" customWidth="1"/>
    <col min="12293" max="12298" width="9" style="164"/>
    <col min="12299" max="12299" width="8.25" style="164" customWidth="1"/>
    <col min="12300" max="12544" width="9" style="164"/>
    <col min="12545" max="12545" width="5.08203125" style="164" customWidth="1"/>
    <col min="12546" max="12547" width="9" style="164"/>
    <col min="12548" max="12548" width="5.08203125" style="164" customWidth="1"/>
    <col min="12549" max="12554" width="9" style="164"/>
    <col min="12555" max="12555" width="8.25" style="164" customWidth="1"/>
    <col min="12556" max="12800" width="9" style="164"/>
    <col min="12801" max="12801" width="5.08203125" style="164" customWidth="1"/>
    <col min="12802" max="12803" width="9" style="164"/>
    <col min="12804" max="12804" width="5.08203125" style="164" customWidth="1"/>
    <col min="12805" max="12810" width="9" style="164"/>
    <col min="12811" max="12811" width="8.25" style="164" customWidth="1"/>
    <col min="12812" max="13056" width="9" style="164"/>
    <col min="13057" max="13057" width="5.08203125" style="164" customWidth="1"/>
    <col min="13058" max="13059" width="9" style="164"/>
    <col min="13060" max="13060" width="5.08203125" style="164" customWidth="1"/>
    <col min="13061" max="13066" width="9" style="164"/>
    <col min="13067" max="13067" width="8.25" style="164" customWidth="1"/>
    <col min="13068" max="13312" width="9" style="164"/>
    <col min="13313" max="13313" width="5.08203125" style="164" customWidth="1"/>
    <col min="13314" max="13315" width="9" style="164"/>
    <col min="13316" max="13316" width="5.08203125" style="164" customWidth="1"/>
    <col min="13317" max="13322" width="9" style="164"/>
    <col min="13323" max="13323" width="8.25" style="164" customWidth="1"/>
    <col min="13324" max="13568" width="9" style="164"/>
    <col min="13569" max="13569" width="5.08203125" style="164" customWidth="1"/>
    <col min="13570" max="13571" width="9" style="164"/>
    <col min="13572" max="13572" width="5.08203125" style="164" customWidth="1"/>
    <col min="13573" max="13578" width="9" style="164"/>
    <col min="13579" max="13579" width="8.25" style="164" customWidth="1"/>
    <col min="13580" max="13824" width="9" style="164"/>
    <col min="13825" max="13825" width="5.08203125" style="164" customWidth="1"/>
    <col min="13826" max="13827" width="9" style="164"/>
    <col min="13828" max="13828" width="5.08203125" style="164" customWidth="1"/>
    <col min="13829" max="13834" width="9" style="164"/>
    <col min="13835" max="13835" width="8.25" style="164" customWidth="1"/>
    <col min="13836" max="14080" width="9" style="164"/>
    <col min="14081" max="14081" width="5.08203125" style="164" customWidth="1"/>
    <col min="14082" max="14083" width="9" style="164"/>
    <col min="14084" max="14084" width="5.08203125" style="164" customWidth="1"/>
    <col min="14085" max="14090" width="9" style="164"/>
    <col min="14091" max="14091" width="8.25" style="164" customWidth="1"/>
    <col min="14092" max="14336" width="9" style="164"/>
    <col min="14337" max="14337" width="5.08203125" style="164" customWidth="1"/>
    <col min="14338" max="14339" width="9" style="164"/>
    <col min="14340" max="14340" width="5.08203125" style="164" customWidth="1"/>
    <col min="14341" max="14346" width="9" style="164"/>
    <col min="14347" max="14347" width="8.25" style="164" customWidth="1"/>
    <col min="14348" max="14592" width="9" style="164"/>
    <col min="14593" max="14593" width="5.08203125" style="164" customWidth="1"/>
    <col min="14594" max="14595" width="9" style="164"/>
    <col min="14596" max="14596" width="5.08203125" style="164" customWidth="1"/>
    <col min="14597" max="14602" width="9" style="164"/>
    <col min="14603" max="14603" width="8.25" style="164" customWidth="1"/>
    <col min="14604" max="14848" width="9" style="164"/>
    <col min="14849" max="14849" width="5.08203125" style="164" customWidth="1"/>
    <col min="14850" max="14851" width="9" style="164"/>
    <col min="14852" max="14852" width="5.08203125" style="164" customWidth="1"/>
    <col min="14853" max="14858" width="9" style="164"/>
    <col min="14859" max="14859" width="8.25" style="164" customWidth="1"/>
    <col min="14860" max="15104" width="9" style="164"/>
    <col min="15105" max="15105" width="5.08203125" style="164" customWidth="1"/>
    <col min="15106" max="15107" width="9" style="164"/>
    <col min="15108" max="15108" width="5.08203125" style="164" customWidth="1"/>
    <col min="15109" max="15114" width="9" style="164"/>
    <col min="15115" max="15115" width="8.25" style="164" customWidth="1"/>
    <col min="15116" max="15360" width="9" style="164"/>
    <col min="15361" max="15361" width="5.08203125" style="164" customWidth="1"/>
    <col min="15362" max="15363" width="9" style="164"/>
    <col min="15364" max="15364" width="5.08203125" style="164" customWidth="1"/>
    <col min="15365" max="15370" width="9" style="164"/>
    <col min="15371" max="15371" width="8.25" style="164" customWidth="1"/>
    <col min="15372" max="15616" width="9" style="164"/>
    <col min="15617" max="15617" width="5.08203125" style="164" customWidth="1"/>
    <col min="15618" max="15619" width="9" style="164"/>
    <col min="15620" max="15620" width="5.08203125" style="164" customWidth="1"/>
    <col min="15621" max="15626" width="9" style="164"/>
    <col min="15627" max="15627" width="8.25" style="164" customWidth="1"/>
    <col min="15628" max="15872" width="9" style="164"/>
    <col min="15873" max="15873" width="5.08203125" style="164" customWidth="1"/>
    <col min="15874" max="15875" width="9" style="164"/>
    <col min="15876" max="15876" width="5.08203125" style="164" customWidth="1"/>
    <col min="15877" max="15882" width="9" style="164"/>
    <col min="15883" max="15883" width="8.25" style="164" customWidth="1"/>
    <col min="15884" max="16128" width="9" style="164"/>
    <col min="16129" max="16129" width="5.08203125" style="164" customWidth="1"/>
    <col min="16130" max="16131" width="9" style="164"/>
    <col min="16132" max="16132" width="5.08203125" style="164" customWidth="1"/>
    <col min="16133" max="16138" width="9" style="164"/>
    <col min="16139" max="16139" width="8.25" style="164" customWidth="1"/>
    <col min="16140" max="16384" width="9" style="164"/>
  </cols>
  <sheetData>
    <row r="1" spans="1:11" ht="20.149999999999999" customHeight="1">
      <c r="A1" s="464"/>
      <c r="B1" s="464"/>
      <c r="C1" s="464"/>
      <c r="D1" s="464"/>
      <c r="E1" s="464"/>
      <c r="F1" s="464"/>
      <c r="G1" s="464"/>
      <c r="H1" s="464"/>
      <c r="I1" s="701"/>
      <c r="J1" s="701"/>
      <c r="K1" s="701"/>
    </row>
    <row r="2" spans="1:11" ht="5.15" customHeight="1">
      <c r="A2" s="464"/>
      <c r="B2" s="464"/>
      <c r="C2" s="464"/>
      <c r="D2" s="464"/>
      <c r="E2" s="464"/>
      <c r="F2" s="464"/>
      <c r="G2" s="464"/>
      <c r="H2" s="464"/>
      <c r="I2" s="465"/>
      <c r="J2" s="465"/>
      <c r="K2" s="465"/>
    </row>
    <row r="3" spans="1:11" ht="39.75" customHeight="1">
      <c r="A3" s="702" t="s">
        <v>1848</v>
      </c>
      <c r="B3" s="702"/>
      <c r="C3" s="702"/>
      <c r="D3" s="702"/>
      <c r="E3" s="702"/>
      <c r="F3" s="702"/>
      <c r="G3" s="702"/>
      <c r="H3" s="702"/>
      <c r="I3" s="702"/>
      <c r="J3" s="702"/>
      <c r="K3" s="702"/>
    </row>
    <row r="4" spans="1:11" ht="20.149999999999999" customHeight="1">
      <c r="A4" s="166"/>
      <c r="B4" s="166"/>
      <c r="C4" s="166"/>
      <c r="D4" s="166"/>
      <c r="E4" s="166"/>
      <c r="F4" s="166"/>
      <c r="G4" s="166"/>
      <c r="H4" s="466"/>
      <c r="I4" s="703" t="s">
        <v>1883</v>
      </c>
      <c r="J4" s="703"/>
      <c r="K4" s="703"/>
    </row>
    <row r="5" spans="1:11" ht="5.25" customHeight="1">
      <c r="A5" s="704"/>
      <c r="B5" s="704"/>
      <c r="C5" s="704"/>
      <c r="D5" s="704"/>
      <c r="E5" s="704"/>
      <c r="F5" s="704"/>
      <c r="G5" s="704"/>
      <c r="H5" s="704"/>
      <c r="I5" s="704"/>
      <c r="J5" s="704"/>
      <c r="K5" s="704"/>
    </row>
    <row r="6" spans="1:11" ht="33.75" customHeight="1">
      <c r="A6" s="692" t="s">
        <v>410</v>
      </c>
      <c r="B6" s="692"/>
      <c r="C6" s="692"/>
      <c r="D6" s="692"/>
      <c r="E6" s="692"/>
      <c r="F6" s="692"/>
      <c r="G6" s="166"/>
      <c r="H6" s="166"/>
      <c r="I6" s="166"/>
      <c r="J6" s="166"/>
      <c r="K6" s="166"/>
    </row>
    <row r="7" spans="1:11" ht="5.15" customHeight="1">
      <c r="A7" s="166"/>
      <c r="B7" s="166"/>
      <c r="C7" s="166"/>
      <c r="D7" s="166"/>
      <c r="E7" s="166"/>
      <c r="F7" s="166"/>
      <c r="G7" s="166"/>
      <c r="H7" s="166"/>
      <c r="I7" s="166"/>
      <c r="J7" s="166"/>
      <c r="K7" s="166"/>
    </row>
    <row r="8" spans="1:11" ht="18" customHeight="1">
      <c r="A8" s="705"/>
      <c r="B8" s="706"/>
      <c r="C8" s="709" t="s">
        <v>1849</v>
      </c>
      <c r="D8" s="709"/>
      <c r="E8" s="709"/>
      <c r="F8" s="709"/>
      <c r="G8" s="709"/>
      <c r="H8" s="709"/>
      <c r="I8" s="709"/>
      <c r="J8" s="709"/>
      <c r="K8" s="709"/>
    </row>
    <row r="9" spans="1:11" ht="18" customHeight="1">
      <c r="A9" s="707"/>
      <c r="B9" s="708"/>
      <c r="C9" s="709"/>
      <c r="D9" s="709"/>
      <c r="E9" s="709"/>
      <c r="F9" s="709"/>
      <c r="G9" s="709"/>
      <c r="H9" s="709"/>
      <c r="I9" s="709"/>
      <c r="J9" s="709"/>
      <c r="K9" s="709"/>
    </row>
    <row r="10" spans="1:11" ht="26.25" customHeight="1">
      <c r="A10" s="694" t="s">
        <v>1850</v>
      </c>
      <c r="B10" s="694"/>
      <c r="C10" s="694"/>
      <c r="D10" s="694"/>
      <c r="E10" s="694"/>
      <c r="F10" s="694"/>
      <c r="G10" s="694"/>
      <c r="H10" s="694"/>
      <c r="I10" s="694"/>
      <c r="J10" s="694"/>
      <c r="K10" s="166"/>
    </row>
    <row r="11" spans="1:11" ht="12.75" customHeight="1">
      <c r="A11" s="166"/>
      <c r="B11" s="166"/>
      <c r="C11" s="166"/>
      <c r="D11" s="166"/>
      <c r="E11" s="166"/>
      <c r="F11" s="166"/>
      <c r="G11" s="166"/>
      <c r="H11" s="166"/>
      <c r="I11" s="166"/>
      <c r="J11" s="166"/>
      <c r="K11" s="166"/>
    </row>
    <row r="12" spans="1:11" ht="5.15" customHeight="1">
      <c r="A12" s="166"/>
      <c r="B12" s="166"/>
      <c r="C12" s="166"/>
      <c r="D12" s="166"/>
      <c r="E12" s="166"/>
      <c r="F12" s="166"/>
      <c r="G12" s="166"/>
      <c r="H12" s="166"/>
      <c r="I12" s="166"/>
      <c r="J12" s="166"/>
      <c r="K12" s="166"/>
    </row>
    <row r="13" spans="1:11" ht="20.149999999999999" customHeight="1">
      <c r="A13" s="166"/>
      <c r="B13" s="166"/>
      <c r="C13" s="166"/>
      <c r="D13" s="166"/>
      <c r="E13" s="166"/>
      <c r="F13" s="166"/>
      <c r="G13" s="166"/>
      <c r="H13" s="166"/>
      <c r="I13" s="166"/>
      <c r="J13" s="166"/>
      <c r="K13" s="166"/>
    </row>
    <row r="14" spans="1:11" ht="33.75" customHeight="1">
      <c r="A14" s="692" t="s">
        <v>1851</v>
      </c>
      <c r="B14" s="692"/>
      <c r="C14" s="692"/>
      <c r="D14" s="692"/>
      <c r="E14" s="692"/>
      <c r="F14" s="692"/>
      <c r="G14" s="166"/>
      <c r="H14" s="166"/>
      <c r="I14" s="166"/>
      <c r="J14" s="166"/>
      <c r="K14" s="166"/>
    </row>
    <row r="15" spans="1:11" ht="23.25" customHeight="1">
      <c r="A15" s="699" t="s">
        <v>411</v>
      </c>
      <c r="B15" s="699"/>
      <c r="C15" s="699"/>
      <c r="D15" s="699"/>
      <c r="E15" s="699"/>
      <c r="F15" s="699"/>
      <c r="G15" s="699"/>
      <c r="H15" s="699"/>
      <c r="I15" s="699"/>
      <c r="J15" s="699"/>
      <c r="K15" s="166"/>
    </row>
    <row r="16" spans="1:11" ht="20.149999999999999" customHeight="1">
      <c r="A16" s="696" t="s">
        <v>1856</v>
      </c>
      <c r="B16" s="696"/>
      <c r="C16" s="696"/>
      <c r="D16" s="696"/>
      <c r="E16" s="696"/>
      <c r="F16" s="696"/>
      <c r="G16" s="463" t="s">
        <v>412</v>
      </c>
      <c r="H16" s="710" t="s">
        <v>416</v>
      </c>
      <c r="I16" s="698"/>
      <c r="J16" s="698"/>
      <c r="K16" s="698"/>
    </row>
    <row r="17" spans="1:11" ht="8.25" customHeight="1">
      <c r="A17" s="166"/>
      <c r="B17" s="166"/>
      <c r="C17" s="166"/>
      <c r="D17" s="166"/>
      <c r="E17" s="166"/>
      <c r="F17" s="166"/>
      <c r="G17" s="166"/>
      <c r="H17" s="166"/>
      <c r="I17" s="166"/>
      <c r="J17" s="166"/>
      <c r="K17" s="166"/>
    </row>
    <row r="18" spans="1:11" ht="19.5" customHeight="1">
      <c r="A18" s="699" t="s">
        <v>1852</v>
      </c>
      <c r="B18" s="699"/>
      <c r="C18" s="699"/>
      <c r="D18" s="699"/>
      <c r="E18" s="699"/>
      <c r="F18" s="699"/>
      <c r="G18" s="699"/>
      <c r="H18" s="699"/>
      <c r="I18" s="699"/>
      <c r="J18" s="699"/>
      <c r="K18" s="699"/>
    </row>
    <row r="19" spans="1:11" ht="9" customHeight="1">
      <c r="A19" s="166"/>
      <c r="B19" s="166"/>
      <c r="C19" s="166"/>
      <c r="D19" s="166"/>
      <c r="E19" s="166"/>
      <c r="F19" s="166"/>
      <c r="G19" s="166"/>
      <c r="H19" s="166"/>
      <c r="I19" s="166"/>
      <c r="J19" s="166"/>
      <c r="K19" s="166"/>
    </row>
    <row r="20" spans="1:11" ht="20.149999999999999" customHeight="1">
      <c r="A20" s="699" t="s">
        <v>1853</v>
      </c>
      <c r="B20" s="699"/>
      <c r="C20" s="699"/>
      <c r="D20" s="699"/>
      <c r="E20" s="699"/>
      <c r="F20" s="699"/>
      <c r="G20" s="699"/>
      <c r="H20" s="699"/>
      <c r="I20" s="699"/>
      <c r="J20" s="699"/>
      <c r="K20" s="699"/>
    </row>
    <row r="21" spans="1:11" ht="54" customHeight="1">
      <c r="A21" s="711" t="s">
        <v>1854</v>
      </c>
      <c r="B21" s="711"/>
      <c r="C21" s="711"/>
      <c r="D21" s="711"/>
      <c r="E21" s="711"/>
      <c r="F21" s="711"/>
      <c r="G21" s="711"/>
      <c r="H21" s="711"/>
      <c r="I21" s="711"/>
      <c r="J21" s="711"/>
      <c r="K21" s="711"/>
    </row>
    <row r="22" spans="1:11" ht="28.5" customHeight="1">
      <c r="A22" s="693" t="s">
        <v>1855</v>
      </c>
      <c r="B22" s="693"/>
      <c r="C22" s="693"/>
      <c r="D22" s="693"/>
      <c r="E22" s="693"/>
      <c r="F22" s="693"/>
      <c r="G22" s="693"/>
      <c r="H22" s="693"/>
      <c r="I22" s="693"/>
      <c r="J22" s="693"/>
      <c r="K22" s="693"/>
    </row>
    <row r="23" spans="1:11" ht="20.149999999999999" customHeight="1">
      <c r="A23" s="693"/>
      <c r="B23" s="693"/>
      <c r="C23" s="693"/>
      <c r="D23" s="693"/>
      <c r="E23" s="693"/>
      <c r="F23" s="693"/>
      <c r="G23" s="693"/>
      <c r="H23" s="693"/>
      <c r="I23" s="693"/>
      <c r="J23" s="693"/>
      <c r="K23" s="693"/>
    </row>
    <row r="24" spans="1:11" ht="21.75" customHeight="1">
      <c r="A24" s="166"/>
      <c r="B24" s="166"/>
      <c r="C24" s="699" t="s">
        <v>413</v>
      </c>
      <c r="D24" s="699"/>
      <c r="E24" s="699"/>
      <c r="F24" s="699"/>
      <c r="G24" s="699"/>
      <c r="H24" s="699"/>
      <c r="I24" s="699"/>
      <c r="J24" s="699"/>
      <c r="K24" s="699"/>
    </row>
    <row r="25" spans="1:11" ht="21.75" customHeight="1">
      <c r="A25" s="166"/>
      <c r="B25" s="166"/>
      <c r="C25" s="699" t="s">
        <v>415</v>
      </c>
      <c r="D25" s="699"/>
      <c r="E25" s="699"/>
      <c r="F25" s="699"/>
      <c r="G25" s="699"/>
      <c r="H25" s="699"/>
      <c r="I25" s="699"/>
      <c r="J25" s="699"/>
      <c r="K25" s="699"/>
    </row>
    <row r="26" spans="1:11" ht="21.75" customHeight="1">
      <c r="A26" s="166"/>
      <c r="B26" s="166"/>
      <c r="C26" s="166" t="s">
        <v>1815</v>
      </c>
      <c r="D26" s="166"/>
      <c r="E26" s="166"/>
      <c r="F26" s="166"/>
      <c r="G26" s="166"/>
      <c r="H26" s="165"/>
      <c r="I26" s="165"/>
      <c r="J26" s="165"/>
      <c r="K26" s="166"/>
    </row>
    <row r="27" spans="1:11" ht="21.75" customHeight="1">
      <c r="A27" s="166"/>
      <c r="B27" s="166"/>
      <c r="C27" s="699" t="s">
        <v>414</v>
      </c>
      <c r="D27" s="699"/>
      <c r="E27" s="699"/>
      <c r="F27" s="699"/>
      <c r="G27" s="699"/>
      <c r="H27" s="699"/>
      <c r="I27" s="699"/>
      <c r="J27" s="699"/>
      <c r="K27" s="699"/>
    </row>
    <row r="28" spans="1:11" ht="21.75" customHeight="1">
      <c r="A28" s="166"/>
      <c r="B28" s="166"/>
      <c r="C28" s="167" t="s">
        <v>417</v>
      </c>
      <c r="D28" s="700" t="s">
        <v>416</v>
      </c>
      <c r="E28" s="700"/>
      <c r="F28" s="700"/>
      <c r="G28" s="700"/>
      <c r="H28" s="700"/>
      <c r="I28" s="700"/>
      <c r="J28" s="700"/>
      <c r="K28" s="700"/>
    </row>
    <row r="29" spans="1:11" ht="21.75" customHeight="1"/>
    <row r="30" spans="1:11" ht="20.149999999999999" customHeight="1"/>
    <row r="31" spans="1:11" ht="20.149999999999999" customHeight="1"/>
    <row r="32" spans="1:11" ht="20.149999999999999" customHeight="1"/>
    <row r="33" ht="20.149999999999999" customHeight="1"/>
  </sheetData>
  <mergeCells count="20">
    <mergeCell ref="D28:K28"/>
    <mergeCell ref="A20:K20"/>
    <mergeCell ref="A21:K21"/>
    <mergeCell ref="A22:K23"/>
    <mergeCell ref="C24:K24"/>
    <mergeCell ref="C25:K25"/>
    <mergeCell ref="C27:K27"/>
    <mergeCell ref="A18:K18"/>
    <mergeCell ref="I1:K1"/>
    <mergeCell ref="A3:K3"/>
    <mergeCell ref="I4:K4"/>
    <mergeCell ref="A5:K5"/>
    <mergeCell ref="A6:F6"/>
    <mergeCell ref="A8:B9"/>
    <mergeCell ref="C8:K9"/>
    <mergeCell ref="A10:J10"/>
    <mergeCell ref="A14:F14"/>
    <mergeCell ref="A15:J15"/>
    <mergeCell ref="A16:F16"/>
    <mergeCell ref="H16:K16"/>
  </mergeCells>
  <phoneticPr fontId="1"/>
  <hyperlinks>
    <hyperlink ref="H16" r:id="rId1" xr:uid="{2ECDACF5-325F-4EED-9D79-064D4E68CB80}"/>
    <hyperlink ref="D28" r:id="rId2" xr:uid="{A227A395-99D7-4794-AE70-1D6B21EC45EA}"/>
  </hyperlinks>
  <printOptions horizontalCentered="1"/>
  <pageMargins left="0.59055118110236227" right="0.59055118110236227" top="0.98425196850393704" bottom="0.98425196850393704" header="0.51181102362204722" footer="0.51181102362204722"/>
  <pageSetup paperSize="9" scale="92" orientation="portrait" r:id="rId3"/>
  <headerFooter alignWithMargins="0"/>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429D5-8EBE-4C75-92E1-8E6B2E6F33C6}">
  <dimension ref="A1:K35"/>
  <sheetViews>
    <sheetView view="pageBreakPreview" zoomScaleNormal="85" zoomScaleSheetLayoutView="100" workbookViewId="0">
      <selection activeCell="N3" sqref="N3"/>
    </sheetView>
  </sheetViews>
  <sheetFormatPr defaultRowHeight="16.5"/>
  <cols>
    <col min="1" max="1" width="5.08203125" style="164" customWidth="1"/>
    <col min="2" max="3" width="9" style="164"/>
    <col min="4" max="4" width="5.08203125" style="164" customWidth="1"/>
    <col min="5" max="10" width="9" style="164"/>
    <col min="11" max="11" width="8.25" style="164" customWidth="1"/>
    <col min="12" max="256" width="9" style="164"/>
    <col min="257" max="257" width="5.08203125" style="164" customWidth="1"/>
    <col min="258" max="259" width="9" style="164"/>
    <col min="260" max="260" width="5.08203125" style="164" customWidth="1"/>
    <col min="261" max="266" width="9" style="164"/>
    <col min="267" max="267" width="8.25" style="164" customWidth="1"/>
    <col min="268" max="512" width="9" style="164"/>
    <col min="513" max="513" width="5.08203125" style="164" customWidth="1"/>
    <col min="514" max="515" width="9" style="164"/>
    <col min="516" max="516" width="5.08203125" style="164" customWidth="1"/>
    <col min="517" max="522" width="9" style="164"/>
    <col min="523" max="523" width="8.25" style="164" customWidth="1"/>
    <col min="524" max="768" width="9" style="164"/>
    <col min="769" max="769" width="5.08203125" style="164" customWidth="1"/>
    <col min="770" max="771" width="9" style="164"/>
    <col min="772" max="772" width="5.08203125" style="164" customWidth="1"/>
    <col min="773" max="778" width="9" style="164"/>
    <col min="779" max="779" width="8.25" style="164" customWidth="1"/>
    <col min="780" max="1024" width="9" style="164"/>
    <col min="1025" max="1025" width="5.08203125" style="164" customWidth="1"/>
    <col min="1026" max="1027" width="9" style="164"/>
    <col min="1028" max="1028" width="5.08203125" style="164" customWidth="1"/>
    <col min="1029" max="1034" width="9" style="164"/>
    <col min="1035" max="1035" width="8.25" style="164" customWidth="1"/>
    <col min="1036" max="1280" width="9" style="164"/>
    <col min="1281" max="1281" width="5.08203125" style="164" customWidth="1"/>
    <col min="1282" max="1283" width="9" style="164"/>
    <col min="1284" max="1284" width="5.08203125" style="164" customWidth="1"/>
    <col min="1285" max="1290" width="9" style="164"/>
    <col min="1291" max="1291" width="8.25" style="164" customWidth="1"/>
    <col min="1292" max="1536" width="9" style="164"/>
    <col min="1537" max="1537" width="5.08203125" style="164" customWidth="1"/>
    <col min="1538" max="1539" width="9" style="164"/>
    <col min="1540" max="1540" width="5.08203125" style="164" customWidth="1"/>
    <col min="1541" max="1546" width="9" style="164"/>
    <col min="1547" max="1547" width="8.25" style="164" customWidth="1"/>
    <col min="1548" max="1792" width="9" style="164"/>
    <col min="1793" max="1793" width="5.08203125" style="164" customWidth="1"/>
    <col min="1794" max="1795" width="9" style="164"/>
    <col min="1796" max="1796" width="5.08203125" style="164" customWidth="1"/>
    <col min="1797" max="1802" width="9" style="164"/>
    <col min="1803" max="1803" width="8.25" style="164" customWidth="1"/>
    <col min="1804" max="2048" width="9" style="164"/>
    <col min="2049" max="2049" width="5.08203125" style="164" customWidth="1"/>
    <col min="2050" max="2051" width="9" style="164"/>
    <col min="2052" max="2052" width="5.08203125" style="164" customWidth="1"/>
    <col min="2053" max="2058" width="9" style="164"/>
    <col min="2059" max="2059" width="8.25" style="164" customWidth="1"/>
    <col min="2060" max="2304" width="9" style="164"/>
    <col min="2305" max="2305" width="5.08203125" style="164" customWidth="1"/>
    <col min="2306" max="2307" width="9" style="164"/>
    <col min="2308" max="2308" width="5.08203125" style="164" customWidth="1"/>
    <col min="2309" max="2314" width="9" style="164"/>
    <col min="2315" max="2315" width="8.25" style="164" customWidth="1"/>
    <col min="2316" max="2560" width="9" style="164"/>
    <col min="2561" max="2561" width="5.08203125" style="164" customWidth="1"/>
    <col min="2562" max="2563" width="9" style="164"/>
    <col min="2564" max="2564" width="5.08203125" style="164" customWidth="1"/>
    <col min="2565" max="2570" width="9" style="164"/>
    <col min="2571" max="2571" width="8.25" style="164" customWidth="1"/>
    <col min="2572" max="2816" width="9" style="164"/>
    <col min="2817" max="2817" width="5.08203125" style="164" customWidth="1"/>
    <col min="2818" max="2819" width="9" style="164"/>
    <col min="2820" max="2820" width="5.08203125" style="164" customWidth="1"/>
    <col min="2821" max="2826" width="9" style="164"/>
    <col min="2827" max="2827" width="8.25" style="164" customWidth="1"/>
    <col min="2828" max="3072" width="9" style="164"/>
    <col min="3073" max="3073" width="5.08203125" style="164" customWidth="1"/>
    <col min="3074" max="3075" width="9" style="164"/>
    <col min="3076" max="3076" width="5.08203125" style="164" customWidth="1"/>
    <col min="3077" max="3082" width="9" style="164"/>
    <col min="3083" max="3083" width="8.25" style="164" customWidth="1"/>
    <col min="3084" max="3328" width="9" style="164"/>
    <col min="3329" max="3329" width="5.08203125" style="164" customWidth="1"/>
    <col min="3330" max="3331" width="9" style="164"/>
    <col min="3332" max="3332" width="5.08203125" style="164" customWidth="1"/>
    <col min="3333" max="3338" width="9" style="164"/>
    <col min="3339" max="3339" width="8.25" style="164" customWidth="1"/>
    <col min="3340" max="3584" width="9" style="164"/>
    <col min="3585" max="3585" width="5.08203125" style="164" customWidth="1"/>
    <col min="3586" max="3587" width="9" style="164"/>
    <col min="3588" max="3588" width="5.08203125" style="164" customWidth="1"/>
    <col min="3589" max="3594" width="9" style="164"/>
    <col min="3595" max="3595" width="8.25" style="164" customWidth="1"/>
    <col min="3596" max="3840" width="9" style="164"/>
    <col min="3841" max="3841" width="5.08203125" style="164" customWidth="1"/>
    <col min="3842" max="3843" width="9" style="164"/>
    <col min="3844" max="3844" width="5.08203125" style="164" customWidth="1"/>
    <col min="3845" max="3850" width="9" style="164"/>
    <col min="3851" max="3851" width="8.25" style="164" customWidth="1"/>
    <col min="3852" max="4096" width="9" style="164"/>
    <col min="4097" max="4097" width="5.08203125" style="164" customWidth="1"/>
    <col min="4098" max="4099" width="9" style="164"/>
    <col min="4100" max="4100" width="5.08203125" style="164" customWidth="1"/>
    <col min="4101" max="4106" width="9" style="164"/>
    <col min="4107" max="4107" width="8.25" style="164" customWidth="1"/>
    <col min="4108" max="4352" width="9" style="164"/>
    <col min="4353" max="4353" width="5.08203125" style="164" customWidth="1"/>
    <col min="4354" max="4355" width="9" style="164"/>
    <col min="4356" max="4356" width="5.08203125" style="164" customWidth="1"/>
    <col min="4357" max="4362" width="9" style="164"/>
    <col min="4363" max="4363" width="8.25" style="164" customWidth="1"/>
    <col min="4364" max="4608" width="9" style="164"/>
    <col min="4609" max="4609" width="5.08203125" style="164" customWidth="1"/>
    <col min="4610" max="4611" width="9" style="164"/>
    <col min="4612" max="4612" width="5.08203125" style="164" customWidth="1"/>
    <col min="4613" max="4618" width="9" style="164"/>
    <col min="4619" max="4619" width="8.25" style="164" customWidth="1"/>
    <col min="4620" max="4864" width="9" style="164"/>
    <col min="4865" max="4865" width="5.08203125" style="164" customWidth="1"/>
    <col min="4866" max="4867" width="9" style="164"/>
    <col min="4868" max="4868" width="5.08203125" style="164" customWidth="1"/>
    <col min="4869" max="4874" width="9" style="164"/>
    <col min="4875" max="4875" width="8.25" style="164" customWidth="1"/>
    <col min="4876" max="5120" width="9" style="164"/>
    <col min="5121" max="5121" width="5.08203125" style="164" customWidth="1"/>
    <col min="5122" max="5123" width="9" style="164"/>
    <col min="5124" max="5124" width="5.08203125" style="164" customWidth="1"/>
    <col min="5125" max="5130" width="9" style="164"/>
    <col min="5131" max="5131" width="8.25" style="164" customWidth="1"/>
    <col min="5132" max="5376" width="9" style="164"/>
    <col min="5377" max="5377" width="5.08203125" style="164" customWidth="1"/>
    <col min="5378" max="5379" width="9" style="164"/>
    <col min="5380" max="5380" width="5.08203125" style="164" customWidth="1"/>
    <col min="5381" max="5386" width="9" style="164"/>
    <col min="5387" max="5387" width="8.25" style="164" customWidth="1"/>
    <col min="5388" max="5632" width="9" style="164"/>
    <col min="5633" max="5633" width="5.08203125" style="164" customWidth="1"/>
    <col min="5634" max="5635" width="9" style="164"/>
    <col min="5636" max="5636" width="5.08203125" style="164" customWidth="1"/>
    <col min="5637" max="5642" width="9" style="164"/>
    <col min="5643" max="5643" width="8.25" style="164" customWidth="1"/>
    <col min="5644" max="5888" width="9" style="164"/>
    <col min="5889" max="5889" width="5.08203125" style="164" customWidth="1"/>
    <col min="5890" max="5891" width="9" style="164"/>
    <col min="5892" max="5892" width="5.08203125" style="164" customWidth="1"/>
    <col min="5893" max="5898" width="9" style="164"/>
    <col min="5899" max="5899" width="8.25" style="164" customWidth="1"/>
    <col min="5900" max="6144" width="9" style="164"/>
    <col min="6145" max="6145" width="5.08203125" style="164" customWidth="1"/>
    <col min="6146" max="6147" width="9" style="164"/>
    <col min="6148" max="6148" width="5.08203125" style="164" customWidth="1"/>
    <col min="6149" max="6154" width="9" style="164"/>
    <col min="6155" max="6155" width="8.25" style="164" customWidth="1"/>
    <col min="6156" max="6400" width="9" style="164"/>
    <col min="6401" max="6401" width="5.08203125" style="164" customWidth="1"/>
    <col min="6402" max="6403" width="9" style="164"/>
    <col min="6404" max="6404" width="5.08203125" style="164" customWidth="1"/>
    <col min="6405" max="6410" width="9" style="164"/>
    <col min="6411" max="6411" width="8.25" style="164" customWidth="1"/>
    <col min="6412" max="6656" width="9" style="164"/>
    <col min="6657" max="6657" width="5.08203125" style="164" customWidth="1"/>
    <col min="6658" max="6659" width="9" style="164"/>
    <col min="6660" max="6660" width="5.08203125" style="164" customWidth="1"/>
    <col min="6661" max="6666" width="9" style="164"/>
    <col min="6667" max="6667" width="8.25" style="164" customWidth="1"/>
    <col min="6668" max="6912" width="9" style="164"/>
    <col min="6913" max="6913" width="5.08203125" style="164" customWidth="1"/>
    <col min="6914" max="6915" width="9" style="164"/>
    <col min="6916" max="6916" width="5.08203125" style="164" customWidth="1"/>
    <col min="6917" max="6922" width="9" style="164"/>
    <col min="6923" max="6923" width="8.25" style="164" customWidth="1"/>
    <col min="6924" max="7168" width="9" style="164"/>
    <col min="7169" max="7169" width="5.08203125" style="164" customWidth="1"/>
    <col min="7170" max="7171" width="9" style="164"/>
    <col min="7172" max="7172" width="5.08203125" style="164" customWidth="1"/>
    <col min="7173" max="7178" width="9" style="164"/>
    <col min="7179" max="7179" width="8.25" style="164" customWidth="1"/>
    <col min="7180" max="7424" width="9" style="164"/>
    <col min="7425" max="7425" width="5.08203125" style="164" customWidth="1"/>
    <col min="7426" max="7427" width="9" style="164"/>
    <col min="7428" max="7428" width="5.08203125" style="164" customWidth="1"/>
    <col min="7429" max="7434" width="9" style="164"/>
    <col min="7435" max="7435" width="8.25" style="164" customWidth="1"/>
    <col min="7436" max="7680" width="9" style="164"/>
    <col min="7681" max="7681" width="5.08203125" style="164" customWidth="1"/>
    <col min="7682" max="7683" width="9" style="164"/>
    <col min="7684" max="7684" width="5.08203125" style="164" customWidth="1"/>
    <col min="7685" max="7690" width="9" style="164"/>
    <col min="7691" max="7691" width="8.25" style="164" customWidth="1"/>
    <col min="7692" max="7936" width="9" style="164"/>
    <col min="7937" max="7937" width="5.08203125" style="164" customWidth="1"/>
    <col min="7938" max="7939" width="9" style="164"/>
    <col min="7940" max="7940" width="5.08203125" style="164" customWidth="1"/>
    <col min="7941" max="7946" width="9" style="164"/>
    <col min="7947" max="7947" width="8.25" style="164" customWidth="1"/>
    <col min="7948" max="8192" width="9" style="164"/>
    <col min="8193" max="8193" width="5.08203125" style="164" customWidth="1"/>
    <col min="8194" max="8195" width="9" style="164"/>
    <col min="8196" max="8196" width="5.08203125" style="164" customWidth="1"/>
    <col min="8197" max="8202" width="9" style="164"/>
    <col min="8203" max="8203" width="8.25" style="164" customWidth="1"/>
    <col min="8204" max="8448" width="9" style="164"/>
    <col min="8449" max="8449" width="5.08203125" style="164" customWidth="1"/>
    <col min="8450" max="8451" width="9" style="164"/>
    <col min="8452" max="8452" width="5.08203125" style="164" customWidth="1"/>
    <col min="8453" max="8458" width="9" style="164"/>
    <col min="8459" max="8459" width="8.25" style="164" customWidth="1"/>
    <col min="8460" max="8704" width="9" style="164"/>
    <col min="8705" max="8705" width="5.08203125" style="164" customWidth="1"/>
    <col min="8706" max="8707" width="9" style="164"/>
    <col min="8708" max="8708" width="5.08203125" style="164" customWidth="1"/>
    <col min="8709" max="8714" width="9" style="164"/>
    <col min="8715" max="8715" width="8.25" style="164" customWidth="1"/>
    <col min="8716" max="8960" width="9" style="164"/>
    <col min="8961" max="8961" width="5.08203125" style="164" customWidth="1"/>
    <col min="8962" max="8963" width="9" style="164"/>
    <col min="8964" max="8964" width="5.08203125" style="164" customWidth="1"/>
    <col min="8965" max="8970" width="9" style="164"/>
    <col min="8971" max="8971" width="8.25" style="164" customWidth="1"/>
    <col min="8972" max="9216" width="9" style="164"/>
    <col min="9217" max="9217" width="5.08203125" style="164" customWidth="1"/>
    <col min="9218" max="9219" width="9" style="164"/>
    <col min="9220" max="9220" width="5.08203125" style="164" customWidth="1"/>
    <col min="9221" max="9226" width="9" style="164"/>
    <col min="9227" max="9227" width="8.25" style="164" customWidth="1"/>
    <col min="9228" max="9472" width="9" style="164"/>
    <col min="9473" max="9473" width="5.08203125" style="164" customWidth="1"/>
    <col min="9474" max="9475" width="9" style="164"/>
    <col min="9476" max="9476" width="5.08203125" style="164" customWidth="1"/>
    <col min="9477" max="9482" width="9" style="164"/>
    <col min="9483" max="9483" width="8.25" style="164" customWidth="1"/>
    <col min="9484" max="9728" width="9" style="164"/>
    <col min="9729" max="9729" width="5.08203125" style="164" customWidth="1"/>
    <col min="9730" max="9731" width="9" style="164"/>
    <col min="9732" max="9732" width="5.08203125" style="164" customWidth="1"/>
    <col min="9733" max="9738" width="9" style="164"/>
    <col min="9739" max="9739" width="8.25" style="164" customWidth="1"/>
    <col min="9740" max="9984" width="9" style="164"/>
    <col min="9985" max="9985" width="5.08203125" style="164" customWidth="1"/>
    <col min="9986" max="9987" width="9" style="164"/>
    <col min="9988" max="9988" width="5.08203125" style="164" customWidth="1"/>
    <col min="9989" max="9994" width="9" style="164"/>
    <col min="9995" max="9995" width="8.25" style="164" customWidth="1"/>
    <col min="9996" max="10240" width="9" style="164"/>
    <col min="10241" max="10241" width="5.08203125" style="164" customWidth="1"/>
    <col min="10242" max="10243" width="9" style="164"/>
    <col min="10244" max="10244" width="5.08203125" style="164" customWidth="1"/>
    <col min="10245" max="10250" width="9" style="164"/>
    <col min="10251" max="10251" width="8.25" style="164" customWidth="1"/>
    <col min="10252" max="10496" width="9" style="164"/>
    <col min="10497" max="10497" width="5.08203125" style="164" customWidth="1"/>
    <col min="10498" max="10499" width="9" style="164"/>
    <col min="10500" max="10500" width="5.08203125" style="164" customWidth="1"/>
    <col min="10501" max="10506" width="9" style="164"/>
    <col min="10507" max="10507" width="8.25" style="164" customWidth="1"/>
    <col min="10508" max="10752" width="9" style="164"/>
    <col min="10753" max="10753" width="5.08203125" style="164" customWidth="1"/>
    <col min="10754" max="10755" width="9" style="164"/>
    <col min="10756" max="10756" width="5.08203125" style="164" customWidth="1"/>
    <col min="10757" max="10762" width="9" style="164"/>
    <col min="10763" max="10763" width="8.25" style="164" customWidth="1"/>
    <col min="10764" max="11008" width="9" style="164"/>
    <col min="11009" max="11009" width="5.08203125" style="164" customWidth="1"/>
    <col min="11010" max="11011" width="9" style="164"/>
    <col min="11012" max="11012" width="5.08203125" style="164" customWidth="1"/>
    <col min="11013" max="11018" width="9" style="164"/>
    <col min="11019" max="11019" width="8.25" style="164" customWidth="1"/>
    <col min="11020" max="11264" width="9" style="164"/>
    <col min="11265" max="11265" width="5.08203125" style="164" customWidth="1"/>
    <col min="11266" max="11267" width="9" style="164"/>
    <col min="11268" max="11268" width="5.08203125" style="164" customWidth="1"/>
    <col min="11269" max="11274" width="9" style="164"/>
    <col min="11275" max="11275" width="8.25" style="164" customWidth="1"/>
    <col min="11276" max="11520" width="9" style="164"/>
    <col min="11521" max="11521" width="5.08203125" style="164" customWidth="1"/>
    <col min="11522" max="11523" width="9" style="164"/>
    <col min="11524" max="11524" width="5.08203125" style="164" customWidth="1"/>
    <col min="11525" max="11530" width="9" style="164"/>
    <col min="11531" max="11531" width="8.25" style="164" customWidth="1"/>
    <col min="11532" max="11776" width="9" style="164"/>
    <col min="11777" max="11777" width="5.08203125" style="164" customWidth="1"/>
    <col min="11778" max="11779" width="9" style="164"/>
    <col min="11780" max="11780" width="5.08203125" style="164" customWidth="1"/>
    <col min="11781" max="11786" width="9" style="164"/>
    <col min="11787" max="11787" width="8.25" style="164" customWidth="1"/>
    <col min="11788" max="12032" width="9" style="164"/>
    <col min="12033" max="12033" width="5.08203125" style="164" customWidth="1"/>
    <col min="12034" max="12035" width="9" style="164"/>
    <col min="12036" max="12036" width="5.08203125" style="164" customWidth="1"/>
    <col min="12037" max="12042" width="9" style="164"/>
    <col min="12043" max="12043" width="8.25" style="164" customWidth="1"/>
    <col min="12044" max="12288" width="9" style="164"/>
    <col min="12289" max="12289" width="5.08203125" style="164" customWidth="1"/>
    <col min="12290" max="12291" width="9" style="164"/>
    <col min="12292" max="12292" width="5.08203125" style="164" customWidth="1"/>
    <col min="12293" max="12298" width="9" style="164"/>
    <col min="12299" max="12299" width="8.25" style="164" customWidth="1"/>
    <col min="12300" max="12544" width="9" style="164"/>
    <col min="12545" max="12545" width="5.08203125" style="164" customWidth="1"/>
    <col min="12546" max="12547" width="9" style="164"/>
    <col min="12548" max="12548" width="5.08203125" style="164" customWidth="1"/>
    <col min="12549" max="12554" width="9" style="164"/>
    <col min="12555" max="12555" width="8.25" style="164" customWidth="1"/>
    <col min="12556" max="12800" width="9" style="164"/>
    <col min="12801" max="12801" width="5.08203125" style="164" customWidth="1"/>
    <col min="12802" max="12803" width="9" style="164"/>
    <col min="12804" max="12804" width="5.08203125" style="164" customWidth="1"/>
    <col min="12805" max="12810" width="9" style="164"/>
    <col min="12811" max="12811" width="8.25" style="164" customWidth="1"/>
    <col min="12812" max="13056" width="9" style="164"/>
    <col min="13057" max="13057" width="5.08203125" style="164" customWidth="1"/>
    <col min="13058" max="13059" width="9" style="164"/>
    <col min="13060" max="13060" width="5.08203125" style="164" customWidth="1"/>
    <col min="13061" max="13066" width="9" style="164"/>
    <col min="13067" max="13067" width="8.25" style="164" customWidth="1"/>
    <col min="13068" max="13312" width="9" style="164"/>
    <col min="13313" max="13313" width="5.08203125" style="164" customWidth="1"/>
    <col min="13314" max="13315" width="9" style="164"/>
    <col min="13316" max="13316" width="5.08203125" style="164" customWidth="1"/>
    <col min="13317" max="13322" width="9" style="164"/>
    <col min="13323" max="13323" width="8.25" style="164" customWidth="1"/>
    <col min="13324" max="13568" width="9" style="164"/>
    <col min="13569" max="13569" width="5.08203125" style="164" customWidth="1"/>
    <col min="13570" max="13571" width="9" style="164"/>
    <col min="13572" max="13572" width="5.08203125" style="164" customWidth="1"/>
    <col min="13573" max="13578" width="9" style="164"/>
    <col min="13579" max="13579" width="8.25" style="164" customWidth="1"/>
    <col min="13580" max="13824" width="9" style="164"/>
    <col min="13825" max="13825" width="5.08203125" style="164" customWidth="1"/>
    <col min="13826" max="13827" width="9" style="164"/>
    <col min="13828" max="13828" width="5.08203125" style="164" customWidth="1"/>
    <col min="13829" max="13834" width="9" style="164"/>
    <col min="13835" max="13835" width="8.25" style="164" customWidth="1"/>
    <col min="13836" max="14080" width="9" style="164"/>
    <col min="14081" max="14081" width="5.08203125" style="164" customWidth="1"/>
    <col min="14082" max="14083" width="9" style="164"/>
    <col min="14084" max="14084" width="5.08203125" style="164" customWidth="1"/>
    <col min="14085" max="14090" width="9" style="164"/>
    <col min="14091" max="14091" width="8.25" style="164" customWidth="1"/>
    <col min="14092" max="14336" width="9" style="164"/>
    <col min="14337" max="14337" width="5.08203125" style="164" customWidth="1"/>
    <col min="14338" max="14339" width="9" style="164"/>
    <col min="14340" max="14340" width="5.08203125" style="164" customWidth="1"/>
    <col min="14341" max="14346" width="9" style="164"/>
    <col min="14347" max="14347" width="8.25" style="164" customWidth="1"/>
    <col min="14348" max="14592" width="9" style="164"/>
    <col min="14593" max="14593" width="5.08203125" style="164" customWidth="1"/>
    <col min="14594" max="14595" width="9" style="164"/>
    <col min="14596" max="14596" width="5.08203125" style="164" customWidth="1"/>
    <col min="14597" max="14602" width="9" style="164"/>
    <col min="14603" max="14603" width="8.25" style="164" customWidth="1"/>
    <col min="14604" max="14848" width="9" style="164"/>
    <col min="14849" max="14849" width="5.08203125" style="164" customWidth="1"/>
    <col min="14850" max="14851" width="9" style="164"/>
    <col min="14852" max="14852" width="5.08203125" style="164" customWidth="1"/>
    <col min="14853" max="14858" width="9" style="164"/>
    <col min="14859" max="14859" width="8.25" style="164" customWidth="1"/>
    <col min="14860" max="15104" width="9" style="164"/>
    <col min="15105" max="15105" width="5.08203125" style="164" customWidth="1"/>
    <col min="15106" max="15107" width="9" style="164"/>
    <col min="15108" max="15108" width="5.08203125" style="164" customWidth="1"/>
    <col min="15109" max="15114" width="9" style="164"/>
    <col min="15115" max="15115" width="8.25" style="164" customWidth="1"/>
    <col min="15116" max="15360" width="9" style="164"/>
    <col min="15361" max="15361" width="5.08203125" style="164" customWidth="1"/>
    <col min="15362" max="15363" width="9" style="164"/>
    <col min="15364" max="15364" width="5.08203125" style="164" customWidth="1"/>
    <col min="15365" max="15370" width="9" style="164"/>
    <col min="15371" max="15371" width="8.25" style="164" customWidth="1"/>
    <col min="15372" max="15616" width="9" style="164"/>
    <col min="15617" max="15617" width="5.08203125" style="164" customWidth="1"/>
    <col min="15618" max="15619" width="9" style="164"/>
    <col min="15620" max="15620" width="5.08203125" style="164" customWidth="1"/>
    <col min="15621" max="15626" width="9" style="164"/>
    <col min="15627" max="15627" width="8.25" style="164" customWidth="1"/>
    <col min="15628" max="15872" width="9" style="164"/>
    <col min="15873" max="15873" width="5.08203125" style="164" customWidth="1"/>
    <col min="15874" max="15875" width="9" style="164"/>
    <col min="15876" max="15876" width="5.08203125" style="164" customWidth="1"/>
    <col min="15877" max="15882" width="9" style="164"/>
    <col min="15883" max="15883" width="8.25" style="164" customWidth="1"/>
    <col min="15884" max="16128" width="9" style="164"/>
    <col min="16129" max="16129" width="5.08203125" style="164" customWidth="1"/>
    <col min="16130" max="16131" width="9" style="164"/>
    <col min="16132" max="16132" width="5.08203125" style="164" customWidth="1"/>
    <col min="16133" max="16138" width="9" style="164"/>
    <col min="16139" max="16139" width="8.25" style="164" customWidth="1"/>
    <col min="16140" max="16384" width="9" style="164"/>
  </cols>
  <sheetData>
    <row r="1" spans="1:11" ht="30" customHeight="1">
      <c r="A1" s="712" t="s">
        <v>1967</v>
      </c>
      <c r="B1" s="712"/>
      <c r="C1" s="712"/>
      <c r="D1" s="712"/>
      <c r="E1" s="712"/>
      <c r="F1" s="712"/>
      <c r="G1" s="712"/>
      <c r="H1" s="712"/>
      <c r="I1" s="712"/>
      <c r="J1" s="712"/>
      <c r="K1" s="712"/>
    </row>
    <row r="2" spans="1:11" ht="23.25" customHeight="1" thickBot="1">
      <c r="A2" s="543"/>
      <c r="B2" s="543"/>
      <c r="C2" s="543"/>
      <c r="D2" s="543"/>
      <c r="E2" s="543"/>
      <c r="F2" s="543"/>
      <c r="G2" s="543"/>
      <c r="H2" s="543"/>
      <c r="I2" s="543"/>
      <c r="J2" s="543"/>
      <c r="K2" s="556" t="s">
        <v>2349</v>
      </c>
    </row>
    <row r="3" spans="1:11" ht="211.5" customHeight="1" thickTop="1" thickBot="1">
      <c r="A3" s="713" t="s">
        <v>2350</v>
      </c>
      <c r="B3" s="713"/>
      <c r="C3" s="713"/>
      <c r="D3" s="713"/>
      <c r="E3" s="713"/>
      <c r="F3" s="713"/>
      <c r="G3" s="713"/>
      <c r="H3" s="713"/>
      <c r="I3" s="713"/>
      <c r="J3" s="713"/>
      <c r="K3" s="713"/>
    </row>
    <row r="4" spans="1:11" ht="33.75" customHeight="1" thickTop="1">
      <c r="A4" s="692" t="s">
        <v>410</v>
      </c>
      <c r="B4" s="692"/>
      <c r="C4" s="692"/>
      <c r="D4" s="692"/>
      <c r="E4" s="692"/>
      <c r="F4" s="692"/>
      <c r="G4" s="166"/>
      <c r="H4" s="166"/>
      <c r="I4" s="166"/>
      <c r="J4" s="166"/>
      <c r="K4" s="166"/>
    </row>
    <row r="5" spans="1:11" ht="5.15" customHeight="1">
      <c r="A5" s="166"/>
      <c r="B5" s="166"/>
      <c r="C5" s="166"/>
      <c r="D5" s="166"/>
      <c r="E5" s="166"/>
      <c r="F5" s="166"/>
      <c r="G5" s="166"/>
      <c r="H5" s="166"/>
      <c r="I5" s="166"/>
      <c r="J5" s="166"/>
      <c r="K5" s="166"/>
    </row>
    <row r="6" spans="1:11" ht="20.149999999999999" customHeight="1">
      <c r="A6" s="492"/>
      <c r="B6" s="493"/>
      <c r="C6" s="166" t="s">
        <v>1884</v>
      </c>
      <c r="D6" s="166"/>
      <c r="E6" s="166"/>
      <c r="F6" s="166"/>
      <c r="G6" s="166"/>
      <c r="H6" s="166"/>
      <c r="I6" s="166"/>
      <c r="J6" s="166"/>
      <c r="K6" s="166"/>
    </row>
    <row r="7" spans="1:11" ht="5.15" customHeight="1">
      <c r="A7" s="166"/>
      <c r="B7" s="166"/>
      <c r="C7" s="166"/>
      <c r="D7" s="166"/>
      <c r="E7" s="166"/>
      <c r="F7" s="166"/>
      <c r="G7" s="166"/>
      <c r="H7" s="166"/>
      <c r="I7" s="166"/>
      <c r="J7" s="166"/>
      <c r="K7" s="166"/>
    </row>
    <row r="8" spans="1:11" ht="20.149999999999999" customHeight="1">
      <c r="A8" s="494"/>
      <c r="B8" s="495"/>
      <c r="C8" s="693" t="s">
        <v>1885</v>
      </c>
      <c r="D8" s="693"/>
      <c r="E8" s="693"/>
      <c r="F8" s="693"/>
      <c r="G8" s="693"/>
      <c r="H8" s="693"/>
      <c r="I8" s="693"/>
      <c r="J8" s="693"/>
      <c r="K8" s="693"/>
    </row>
    <row r="9" spans="1:11" ht="51.75" customHeight="1">
      <c r="A9" s="166"/>
      <c r="B9" s="166"/>
      <c r="C9" s="693"/>
      <c r="D9" s="693"/>
      <c r="E9" s="693"/>
      <c r="F9" s="693"/>
      <c r="G9" s="693"/>
      <c r="H9" s="693"/>
      <c r="I9" s="693"/>
      <c r="J9" s="693"/>
      <c r="K9" s="693"/>
    </row>
    <row r="10" spans="1:11" ht="20.25" customHeight="1">
      <c r="A10" s="714" t="s">
        <v>1968</v>
      </c>
      <c r="B10" s="714"/>
      <c r="C10" s="714"/>
      <c r="D10" s="714"/>
      <c r="E10" s="714"/>
      <c r="F10" s="714"/>
      <c r="G10" s="714"/>
      <c r="H10" s="714"/>
      <c r="I10" s="714"/>
      <c r="J10" s="714"/>
      <c r="K10" s="166"/>
    </row>
    <row r="11" spans="1:11" ht="5.15" customHeight="1">
      <c r="A11" s="166"/>
      <c r="B11" s="166"/>
      <c r="C11" s="166"/>
      <c r="D11" s="166"/>
      <c r="E11" s="166"/>
      <c r="F11" s="166"/>
      <c r="G11" s="166"/>
      <c r="H11" s="166"/>
      <c r="I11" s="166"/>
      <c r="J11" s="166"/>
      <c r="K11" s="166"/>
    </row>
    <row r="12" spans="1:11" ht="30.75" hidden="1" customHeight="1">
      <c r="A12" s="692" t="s">
        <v>1887</v>
      </c>
      <c r="B12" s="692"/>
      <c r="C12" s="692"/>
      <c r="D12" s="692"/>
      <c r="E12" s="692"/>
      <c r="F12" s="692"/>
      <c r="G12" s="166"/>
      <c r="H12" s="166"/>
      <c r="I12" s="166"/>
      <c r="J12" s="166"/>
      <c r="K12" s="166"/>
    </row>
    <row r="13" spans="1:11" ht="51.75" hidden="1" customHeight="1">
      <c r="A13" s="695" t="s">
        <v>1888</v>
      </c>
      <c r="B13" s="695"/>
      <c r="C13" s="695"/>
      <c r="D13" s="695"/>
      <c r="E13" s="695"/>
      <c r="F13" s="695"/>
      <c r="G13" s="695"/>
      <c r="H13" s="695"/>
      <c r="I13" s="695"/>
      <c r="J13" s="695"/>
      <c r="K13" s="695"/>
    </row>
    <row r="14" spans="1:11" ht="12" customHeight="1">
      <c r="A14" s="166"/>
      <c r="B14" s="166"/>
      <c r="C14" s="166"/>
      <c r="D14" s="166"/>
      <c r="E14" s="166"/>
      <c r="F14" s="166"/>
      <c r="G14" s="166"/>
      <c r="H14" s="166"/>
      <c r="I14" s="166"/>
      <c r="J14" s="166"/>
      <c r="K14" s="166"/>
    </row>
    <row r="15" spans="1:11" ht="33.75" customHeight="1">
      <c r="A15" s="715" t="s">
        <v>1969</v>
      </c>
      <c r="B15" s="715"/>
      <c r="C15" s="715"/>
      <c r="D15" s="715"/>
      <c r="E15" s="715"/>
      <c r="F15" s="715"/>
      <c r="G15" s="715"/>
      <c r="H15" s="715"/>
      <c r="I15" s="715"/>
      <c r="J15" s="715"/>
      <c r="K15" s="166"/>
    </row>
    <row r="16" spans="1:11" ht="23.25" hidden="1" customHeight="1">
      <c r="A16" s="699" t="s">
        <v>411</v>
      </c>
      <c r="B16" s="699"/>
      <c r="C16" s="699"/>
      <c r="D16" s="699"/>
      <c r="E16" s="699"/>
      <c r="F16" s="699"/>
      <c r="G16" s="699"/>
      <c r="H16" s="699"/>
      <c r="I16" s="699"/>
      <c r="J16" s="699"/>
      <c r="K16" s="166"/>
    </row>
    <row r="17" spans="1:11" ht="20.149999999999999" hidden="1" customHeight="1">
      <c r="A17" s="696" t="s">
        <v>1970</v>
      </c>
      <c r="B17" s="696"/>
      <c r="C17" s="696"/>
      <c r="D17" s="696"/>
      <c r="E17" s="696"/>
      <c r="F17" s="696"/>
      <c r="G17" s="463" t="s">
        <v>412</v>
      </c>
      <c r="H17" s="710" t="s">
        <v>416</v>
      </c>
      <c r="I17" s="698"/>
      <c r="J17" s="698"/>
      <c r="K17" s="698"/>
    </row>
    <row r="18" spans="1:11" ht="8.25" hidden="1" customHeight="1">
      <c r="A18" s="166"/>
      <c r="B18" s="166"/>
      <c r="C18" s="166"/>
      <c r="D18" s="166"/>
      <c r="E18" s="166"/>
      <c r="F18" s="166"/>
      <c r="G18" s="166"/>
      <c r="H18" s="166"/>
      <c r="I18" s="166"/>
      <c r="J18" s="166"/>
      <c r="K18" s="166"/>
    </row>
    <row r="19" spans="1:11" ht="19.5" hidden="1" customHeight="1">
      <c r="A19" s="699" t="s">
        <v>1951</v>
      </c>
      <c r="B19" s="699"/>
      <c r="C19" s="699"/>
      <c r="D19" s="699"/>
      <c r="E19" s="699"/>
      <c r="F19" s="699"/>
      <c r="G19" s="699"/>
      <c r="H19" s="699"/>
      <c r="I19" s="699"/>
      <c r="J19" s="699"/>
      <c r="K19" s="699"/>
    </row>
    <row r="20" spans="1:11" ht="9" customHeight="1">
      <c r="A20" s="166"/>
      <c r="B20" s="166"/>
      <c r="C20" s="166"/>
      <c r="D20" s="166"/>
      <c r="E20" s="166"/>
      <c r="F20" s="166"/>
      <c r="G20" s="166"/>
      <c r="H20" s="166"/>
      <c r="I20" s="166"/>
      <c r="J20" s="166"/>
      <c r="K20" s="166"/>
    </row>
    <row r="21" spans="1:11" ht="28.5" customHeight="1">
      <c r="A21" s="716" t="s">
        <v>2351</v>
      </c>
      <c r="B21" s="716"/>
      <c r="C21" s="716"/>
      <c r="D21" s="716"/>
      <c r="E21" s="716"/>
      <c r="F21" s="716"/>
      <c r="G21" s="716"/>
      <c r="H21" s="716"/>
      <c r="I21" s="716"/>
      <c r="J21" s="716"/>
      <c r="K21" s="716"/>
    </row>
    <row r="22" spans="1:11" ht="20.25" customHeight="1">
      <c r="A22" s="717" t="s">
        <v>2352</v>
      </c>
      <c r="B22" s="717"/>
      <c r="C22" s="717"/>
      <c r="D22" s="717"/>
      <c r="E22" s="717"/>
      <c r="F22" s="717"/>
      <c r="G22" s="717"/>
      <c r="H22" s="717"/>
      <c r="I22" s="717"/>
      <c r="J22" s="717"/>
      <c r="K22" s="717"/>
    </row>
    <row r="23" spans="1:11" ht="42" hidden="1" customHeight="1">
      <c r="A23" s="711" t="s">
        <v>1890</v>
      </c>
      <c r="B23" s="711"/>
      <c r="C23" s="711"/>
      <c r="D23" s="711"/>
      <c r="E23" s="711"/>
      <c r="F23" s="711"/>
      <c r="G23" s="711"/>
      <c r="H23" s="711"/>
      <c r="I23" s="711"/>
      <c r="J23" s="711"/>
      <c r="K23" s="711"/>
    </row>
    <row r="24" spans="1:11" ht="28.5" hidden="1" customHeight="1" thickBot="1">
      <c r="A24" s="718" t="s">
        <v>1891</v>
      </c>
      <c r="B24" s="718"/>
      <c r="C24" s="718"/>
      <c r="D24" s="718"/>
      <c r="E24" s="718"/>
      <c r="F24" s="718"/>
      <c r="G24" s="718"/>
      <c r="H24" s="718"/>
      <c r="I24" s="718"/>
      <c r="J24" s="718"/>
      <c r="K24" s="718"/>
    </row>
    <row r="25" spans="1:11" ht="99" hidden="1" customHeight="1" thickBot="1">
      <c r="A25" s="719" t="s">
        <v>1971</v>
      </c>
      <c r="B25" s="720"/>
      <c r="C25" s="720"/>
      <c r="D25" s="720"/>
      <c r="E25" s="720"/>
      <c r="F25" s="720"/>
      <c r="G25" s="720"/>
      <c r="H25" s="720"/>
      <c r="I25" s="720"/>
      <c r="J25" s="720"/>
      <c r="K25" s="721"/>
    </row>
    <row r="26" spans="1:11" ht="7.5" customHeight="1">
      <c r="A26" s="699"/>
      <c r="B26" s="699"/>
      <c r="C26" s="699"/>
      <c r="D26" s="699"/>
      <c r="E26" s="699"/>
      <c r="F26" s="699"/>
      <c r="G26" s="699"/>
      <c r="H26" s="699"/>
      <c r="I26" s="699"/>
      <c r="J26" s="699"/>
      <c r="K26" s="699"/>
    </row>
    <row r="27" spans="1:11" ht="21.75" customHeight="1">
      <c r="A27" s="166"/>
      <c r="B27" s="166"/>
      <c r="C27" s="699" t="s">
        <v>2354</v>
      </c>
      <c r="D27" s="699"/>
      <c r="E27" s="699"/>
      <c r="F27" s="699"/>
      <c r="G27" s="699"/>
      <c r="H27" s="699"/>
      <c r="I27" s="699"/>
      <c r="J27" s="699"/>
      <c r="K27" s="699"/>
    </row>
    <row r="28" spans="1:11" ht="21.75" customHeight="1">
      <c r="A28" s="166"/>
      <c r="B28" s="166"/>
      <c r="C28" s="699" t="s">
        <v>2353</v>
      </c>
      <c r="D28" s="699"/>
      <c r="E28" s="699"/>
      <c r="F28" s="699"/>
      <c r="G28" s="699"/>
      <c r="H28" s="699"/>
      <c r="I28" s="699"/>
      <c r="J28" s="699"/>
      <c r="K28" s="699"/>
    </row>
    <row r="29" spans="1:11" ht="21.75" customHeight="1">
      <c r="A29" s="166"/>
      <c r="B29" s="166"/>
      <c r="C29" s="699" t="s">
        <v>414</v>
      </c>
      <c r="D29" s="699"/>
      <c r="E29" s="699"/>
      <c r="F29" s="699"/>
      <c r="G29" s="699"/>
      <c r="H29" s="699"/>
      <c r="I29" s="699"/>
      <c r="J29" s="699"/>
      <c r="K29" s="699"/>
    </row>
    <row r="30" spans="1:11" ht="21.75" customHeight="1">
      <c r="A30" s="166"/>
      <c r="B30" s="166"/>
      <c r="C30" s="167" t="s">
        <v>417</v>
      </c>
      <c r="D30" s="700" t="s">
        <v>416</v>
      </c>
      <c r="E30" s="700"/>
      <c r="F30" s="700"/>
      <c r="G30" s="700"/>
      <c r="H30" s="700"/>
      <c r="I30" s="700"/>
      <c r="J30" s="700"/>
      <c r="K30" s="700"/>
    </row>
    <row r="31" spans="1:11" ht="21.75" customHeight="1"/>
    <row r="32" spans="1:11" ht="20.149999999999999" customHeight="1"/>
    <row r="33" ht="20.149999999999999" customHeight="1"/>
    <row r="34" ht="20.149999999999999" customHeight="1"/>
    <row r="35" ht="20.149999999999999" customHeight="1"/>
  </sheetData>
  <mergeCells count="22">
    <mergeCell ref="C27:K27"/>
    <mergeCell ref="C28:K28"/>
    <mergeCell ref="C29:K29"/>
    <mergeCell ref="D30:K30"/>
    <mergeCell ref="A21:K21"/>
    <mergeCell ref="A22:K22"/>
    <mergeCell ref="A23:K23"/>
    <mergeCell ref="A24:K24"/>
    <mergeCell ref="A25:K25"/>
    <mergeCell ref="A26:K26"/>
    <mergeCell ref="A19:K19"/>
    <mergeCell ref="A1:K1"/>
    <mergeCell ref="A3:K3"/>
    <mergeCell ref="A4:F4"/>
    <mergeCell ref="C8:K9"/>
    <mergeCell ref="A10:J10"/>
    <mergeCell ref="A12:F12"/>
    <mergeCell ref="A13:K13"/>
    <mergeCell ref="A15:J15"/>
    <mergeCell ref="A16:J16"/>
    <mergeCell ref="A17:F17"/>
    <mergeCell ref="H17:K17"/>
  </mergeCells>
  <phoneticPr fontId="1"/>
  <hyperlinks>
    <hyperlink ref="H17" r:id="rId1" xr:uid="{9E5725CE-3EA7-44B2-8DFE-E0D3C8018AE7}"/>
    <hyperlink ref="D30" r:id="rId2" xr:uid="{73366DE2-9C93-41D6-B175-54386B253732}"/>
  </hyperlinks>
  <printOptions horizontalCentered="1"/>
  <pageMargins left="0.59055118110236227" right="0.59055118110236227" top="0.98425196850393704" bottom="0.98425196850393704" header="0.51181102362204722" footer="0.51181102362204722"/>
  <pageSetup paperSize="9" scale="91" orientation="portrait" r:id="rId3"/>
  <headerFooter alignWithMargins="0"/>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B7B6F-33DB-4481-A956-216E3BFAB8DC}">
  <sheetPr>
    <pageSetUpPr fitToPage="1"/>
  </sheetPr>
  <dimension ref="A1:K44"/>
  <sheetViews>
    <sheetView view="pageBreakPreview" zoomScale="90" zoomScaleNormal="85" zoomScaleSheetLayoutView="90" workbookViewId="0">
      <selection activeCell="A31" sqref="A31:K33"/>
    </sheetView>
  </sheetViews>
  <sheetFormatPr defaultRowHeight="16.5"/>
  <cols>
    <col min="1" max="1" width="5.08203125" style="164" customWidth="1"/>
    <col min="2" max="3" width="9" style="164"/>
    <col min="4" max="4" width="5.08203125" style="164" customWidth="1"/>
    <col min="5" max="10" width="9" style="164"/>
    <col min="11" max="11" width="8.25" style="164" customWidth="1"/>
    <col min="12" max="256" width="9" style="164"/>
    <col min="257" max="257" width="5.08203125" style="164" customWidth="1"/>
    <col min="258" max="259" width="9" style="164"/>
    <col min="260" max="260" width="5.08203125" style="164" customWidth="1"/>
    <col min="261" max="266" width="9" style="164"/>
    <col min="267" max="267" width="8.25" style="164" customWidth="1"/>
    <col min="268" max="512" width="9" style="164"/>
    <col min="513" max="513" width="5.08203125" style="164" customWidth="1"/>
    <col min="514" max="515" width="9" style="164"/>
    <col min="516" max="516" width="5.08203125" style="164" customWidth="1"/>
    <col min="517" max="522" width="9" style="164"/>
    <col min="523" max="523" width="8.25" style="164" customWidth="1"/>
    <col min="524" max="768" width="9" style="164"/>
    <col min="769" max="769" width="5.08203125" style="164" customWidth="1"/>
    <col min="770" max="771" width="9" style="164"/>
    <col min="772" max="772" width="5.08203125" style="164" customWidth="1"/>
    <col min="773" max="778" width="9" style="164"/>
    <col min="779" max="779" width="8.25" style="164" customWidth="1"/>
    <col min="780" max="1024" width="9" style="164"/>
    <col min="1025" max="1025" width="5.08203125" style="164" customWidth="1"/>
    <col min="1026" max="1027" width="9" style="164"/>
    <col min="1028" max="1028" width="5.08203125" style="164" customWidth="1"/>
    <col min="1029" max="1034" width="9" style="164"/>
    <col min="1035" max="1035" width="8.25" style="164" customWidth="1"/>
    <col min="1036" max="1280" width="9" style="164"/>
    <col min="1281" max="1281" width="5.08203125" style="164" customWidth="1"/>
    <col min="1282" max="1283" width="9" style="164"/>
    <col min="1284" max="1284" width="5.08203125" style="164" customWidth="1"/>
    <col min="1285" max="1290" width="9" style="164"/>
    <col min="1291" max="1291" width="8.25" style="164" customWidth="1"/>
    <col min="1292" max="1536" width="9" style="164"/>
    <col min="1537" max="1537" width="5.08203125" style="164" customWidth="1"/>
    <col min="1538" max="1539" width="9" style="164"/>
    <col min="1540" max="1540" width="5.08203125" style="164" customWidth="1"/>
    <col min="1541" max="1546" width="9" style="164"/>
    <col min="1547" max="1547" width="8.25" style="164" customWidth="1"/>
    <col min="1548" max="1792" width="9" style="164"/>
    <col min="1793" max="1793" width="5.08203125" style="164" customWidth="1"/>
    <col min="1794" max="1795" width="9" style="164"/>
    <col min="1796" max="1796" width="5.08203125" style="164" customWidth="1"/>
    <col min="1797" max="1802" width="9" style="164"/>
    <col min="1803" max="1803" width="8.25" style="164" customWidth="1"/>
    <col min="1804" max="2048" width="9" style="164"/>
    <col min="2049" max="2049" width="5.08203125" style="164" customWidth="1"/>
    <col min="2050" max="2051" width="9" style="164"/>
    <col min="2052" max="2052" width="5.08203125" style="164" customWidth="1"/>
    <col min="2053" max="2058" width="9" style="164"/>
    <col min="2059" max="2059" width="8.25" style="164" customWidth="1"/>
    <col min="2060" max="2304" width="9" style="164"/>
    <col min="2305" max="2305" width="5.08203125" style="164" customWidth="1"/>
    <col min="2306" max="2307" width="9" style="164"/>
    <col min="2308" max="2308" width="5.08203125" style="164" customWidth="1"/>
    <col min="2309" max="2314" width="9" style="164"/>
    <col min="2315" max="2315" width="8.25" style="164" customWidth="1"/>
    <col min="2316" max="2560" width="9" style="164"/>
    <col min="2561" max="2561" width="5.08203125" style="164" customWidth="1"/>
    <col min="2562" max="2563" width="9" style="164"/>
    <col min="2564" max="2564" width="5.08203125" style="164" customWidth="1"/>
    <col min="2565" max="2570" width="9" style="164"/>
    <col min="2571" max="2571" width="8.25" style="164" customWidth="1"/>
    <col min="2572" max="2816" width="9" style="164"/>
    <col min="2817" max="2817" width="5.08203125" style="164" customWidth="1"/>
    <col min="2818" max="2819" width="9" style="164"/>
    <col min="2820" max="2820" width="5.08203125" style="164" customWidth="1"/>
    <col min="2821" max="2826" width="9" style="164"/>
    <col min="2827" max="2827" width="8.25" style="164" customWidth="1"/>
    <col min="2828" max="3072" width="9" style="164"/>
    <col min="3073" max="3073" width="5.08203125" style="164" customWidth="1"/>
    <col min="3074" max="3075" width="9" style="164"/>
    <col min="3076" max="3076" width="5.08203125" style="164" customWidth="1"/>
    <col min="3077" max="3082" width="9" style="164"/>
    <col min="3083" max="3083" width="8.25" style="164" customWidth="1"/>
    <col min="3084" max="3328" width="9" style="164"/>
    <col min="3329" max="3329" width="5.08203125" style="164" customWidth="1"/>
    <col min="3330" max="3331" width="9" style="164"/>
    <col min="3332" max="3332" width="5.08203125" style="164" customWidth="1"/>
    <col min="3333" max="3338" width="9" style="164"/>
    <col min="3339" max="3339" width="8.25" style="164" customWidth="1"/>
    <col min="3340" max="3584" width="9" style="164"/>
    <col min="3585" max="3585" width="5.08203125" style="164" customWidth="1"/>
    <col min="3586" max="3587" width="9" style="164"/>
    <col min="3588" max="3588" width="5.08203125" style="164" customWidth="1"/>
    <col min="3589" max="3594" width="9" style="164"/>
    <col min="3595" max="3595" width="8.25" style="164" customWidth="1"/>
    <col min="3596" max="3840" width="9" style="164"/>
    <col min="3841" max="3841" width="5.08203125" style="164" customWidth="1"/>
    <col min="3842" max="3843" width="9" style="164"/>
    <col min="3844" max="3844" width="5.08203125" style="164" customWidth="1"/>
    <col min="3845" max="3850" width="9" style="164"/>
    <col min="3851" max="3851" width="8.25" style="164" customWidth="1"/>
    <col min="3852" max="4096" width="9" style="164"/>
    <col min="4097" max="4097" width="5.08203125" style="164" customWidth="1"/>
    <col min="4098" max="4099" width="9" style="164"/>
    <col min="4100" max="4100" width="5.08203125" style="164" customWidth="1"/>
    <col min="4101" max="4106" width="9" style="164"/>
    <col min="4107" max="4107" width="8.25" style="164" customWidth="1"/>
    <col min="4108" max="4352" width="9" style="164"/>
    <col min="4353" max="4353" width="5.08203125" style="164" customWidth="1"/>
    <col min="4354" max="4355" width="9" style="164"/>
    <col min="4356" max="4356" width="5.08203125" style="164" customWidth="1"/>
    <col min="4357" max="4362" width="9" style="164"/>
    <col min="4363" max="4363" width="8.25" style="164" customWidth="1"/>
    <col min="4364" max="4608" width="9" style="164"/>
    <col min="4609" max="4609" width="5.08203125" style="164" customWidth="1"/>
    <col min="4610" max="4611" width="9" style="164"/>
    <col min="4612" max="4612" width="5.08203125" style="164" customWidth="1"/>
    <col min="4613" max="4618" width="9" style="164"/>
    <col min="4619" max="4619" width="8.25" style="164" customWidth="1"/>
    <col min="4620" max="4864" width="9" style="164"/>
    <col min="4865" max="4865" width="5.08203125" style="164" customWidth="1"/>
    <col min="4866" max="4867" width="9" style="164"/>
    <col min="4868" max="4868" width="5.08203125" style="164" customWidth="1"/>
    <col min="4869" max="4874" width="9" style="164"/>
    <col min="4875" max="4875" width="8.25" style="164" customWidth="1"/>
    <col min="4876" max="5120" width="9" style="164"/>
    <col min="5121" max="5121" width="5.08203125" style="164" customWidth="1"/>
    <col min="5122" max="5123" width="9" style="164"/>
    <col min="5124" max="5124" width="5.08203125" style="164" customWidth="1"/>
    <col min="5125" max="5130" width="9" style="164"/>
    <col min="5131" max="5131" width="8.25" style="164" customWidth="1"/>
    <col min="5132" max="5376" width="9" style="164"/>
    <col min="5377" max="5377" width="5.08203125" style="164" customWidth="1"/>
    <col min="5378" max="5379" width="9" style="164"/>
    <col min="5380" max="5380" width="5.08203125" style="164" customWidth="1"/>
    <col min="5381" max="5386" width="9" style="164"/>
    <col min="5387" max="5387" width="8.25" style="164" customWidth="1"/>
    <col min="5388" max="5632" width="9" style="164"/>
    <col min="5633" max="5633" width="5.08203125" style="164" customWidth="1"/>
    <col min="5634" max="5635" width="9" style="164"/>
    <col min="5636" max="5636" width="5.08203125" style="164" customWidth="1"/>
    <col min="5637" max="5642" width="9" style="164"/>
    <col min="5643" max="5643" width="8.25" style="164" customWidth="1"/>
    <col min="5644" max="5888" width="9" style="164"/>
    <col min="5889" max="5889" width="5.08203125" style="164" customWidth="1"/>
    <col min="5890" max="5891" width="9" style="164"/>
    <col min="5892" max="5892" width="5.08203125" style="164" customWidth="1"/>
    <col min="5893" max="5898" width="9" style="164"/>
    <col min="5899" max="5899" width="8.25" style="164" customWidth="1"/>
    <col min="5900" max="6144" width="9" style="164"/>
    <col min="6145" max="6145" width="5.08203125" style="164" customWidth="1"/>
    <col min="6146" max="6147" width="9" style="164"/>
    <col min="6148" max="6148" width="5.08203125" style="164" customWidth="1"/>
    <col min="6149" max="6154" width="9" style="164"/>
    <col min="6155" max="6155" width="8.25" style="164" customWidth="1"/>
    <col min="6156" max="6400" width="9" style="164"/>
    <col min="6401" max="6401" width="5.08203125" style="164" customWidth="1"/>
    <col min="6402" max="6403" width="9" style="164"/>
    <col min="6404" max="6404" width="5.08203125" style="164" customWidth="1"/>
    <col min="6405" max="6410" width="9" style="164"/>
    <col min="6411" max="6411" width="8.25" style="164" customWidth="1"/>
    <col min="6412" max="6656" width="9" style="164"/>
    <col min="6657" max="6657" width="5.08203125" style="164" customWidth="1"/>
    <col min="6658" max="6659" width="9" style="164"/>
    <col min="6660" max="6660" width="5.08203125" style="164" customWidth="1"/>
    <col min="6661" max="6666" width="9" style="164"/>
    <col min="6667" max="6667" width="8.25" style="164" customWidth="1"/>
    <col min="6668" max="6912" width="9" style="164"/>
    <col min="6913" max="6913" width="5.08203125" style="164" customWidth="1"/>
    <col min="6914" max="6915" width="9" style="164"/>
    <col min="6916" max="6916" width="5.08203125" style="164" customWidth="1"/>
    <col min="6917" max="6922" width="9" style="164"/>
    <col min="6923" max="6923" width="8.25" style="164" customWidth="1"/>
    <col min="6924" max="7168" width="9" style="164"/>
    <col min="7169" max="7169" width="5.08203125" style="164" customWidth="1"/>
    <col min="7170" max="7171" width="9" style="164"/>
    <col min="7172" max="7172" width="5.08203125" style="164" customWidth="1"/>
    <col min="7173" max="7178" width="9" style="164"/>
    <col min="7179" max="7179" width="8.25" style="164" customWidth="1"/>
    <col min="7180" max="7424" width="9" style="164"/>
    <col min="7425" max="7425" width="5.08203125" style="164" customWidth="1"/>
    <col min="7426" max="7427" width="9" style="164"/>
    <col min="7428" max="7428" width="5.08203125" style="164" customWidth="1"/>
    <col min="7429" max="7434" width="9" style="164"/>
    <col min="7435" max="7435" width="8.25" style="164" customWidth="1"/>
    <col min="7436" max="7680" width="9" style="164"/>
    <col min="7681" max="7681" width="5.08203125" style="164" customWidth="1"/>
    <col min="7682" max="7683" width="9" style="164"/>
    <col min="7684" max="7684" width="5.08203125" style="164" customWidth="1"/>
    <col min="7685" max="7690" width="9" style="164"/>
    <col min="7691" max="7691" width="8.25" style="164" customWidth="1"/>
    <col min="7692" max="7936" width="9" style="164"/>
    <col min="7937" max="7937" width="5.08203125" style="164" customWidth="1"/>
    <col min="7938" max="7939" width="9" style="164"/>
    <col min="7940" max="7940" width="5.08203125" style="164" customWidth="1"/>
    <col min="7941" max="7946" width="9" style="164"/>
    <col min="7947" max="7947" width="8.25" style="164" customWidth="1"/>
    <col min="7948" max="8192" width="9" style="164"/>
    <col min="8193" max="8193" width="5.08203125" style="164" customWidth="1"/>
    <col min="8194" max="8195" width="9" style="164"/>
    <col min="8196" max="8196" width="5.08203125" style="164" customWidth="1"/>
    <col min="8197" max="8202" width="9" style="164"/>
    <col min="8203" max="8203" width="8.25" style="164" customWidth="1"/>
    <col min="8204" max="8448" width="9" style="164"/>
    <col min="8449" max="8449" width="5.08203125" style="164" customWidth="1"/>
    <col min="8450" max="8451" width="9" style="164"/>
    <col min="8452" max="8452" width="5.08203125" style="164" customWidth="1"/>
    <col min="8453" max="8458" width="9" style="164"/>
    <col min="8459" max="8459" width="8.25" style="164" customWidth="1"/>
    <col min="8460" max="8704" width="9" style="164"/>
    <col min="8705" max="8705" width="5.08203125" style="164" customWidth="1"/>
    <col min="8706" max="8707" width="9" style="164"/>
    <col min="8708" max="8708" width="5.08203125" style="164" customWidth="1"/>
    <col min="8709" max="8714" width="9" style="164"/>
    <col min="8715" max="8715" width="8.25" style="164" customWidth="1"/>
    <col min="8716" max="8960" width="9" style="164"/>
    <col min="8961" max="8961" width="5.08203125" style="164" customWidth="1"/>
    <col min="8962" max="8963" width="9" style="164"/>
    <col min="8964" max="8964" width="5.08203125" style="164" customWidth="1"/>
    <col min="8965" max="8970" width="9" style="164"/>
    <col min="8971" max="8971" width="8.25" style="164" customWidth="1"/>
    <col min="8972" max="9216" width="9" style="164"/>
    <col min="9217" max="9217" width="5.08203125" style="164" customWidth="1"/>
    <col min="9218" max="9219" width="9" style="164"/>
    <col min="9220" max="9220" width="5.08203125" style="164" customWidth="1"/>
    <col min="9221" max="9226" width="9" style="164"/>
    <col min="9227" max="9227" width="8.25" style="164" customWidth="1"/>
    <col min="9228" max="9472" width="9" style="164"/>
    <col min="9473" max="9473" width="5.08203125" style="164" customWidth="1"/>
    <col min="9474" max="9475" width="9" style="164"/>
    <col min="9476" max="9476" width="5.08203125" style="164" customWidth="1"/>
    <col min="9477" max="9482" width="9" style="164"/>
    <col min="9483" max="9483" width="8.25" style="164" customWidth="1"/>
    <col min="9484" max="9728" width="9" style="164"/>
    <col min="9729" max="9729" width="5.08203125" style="164" customWidth="1"/>
    <col min="9730" max="9731" width="9" style="164"/>
    <col min="9732" max="9732" width="5.08203125" style="164" customWidth="1"/>
    <col min="9733" max="9738" width="9" style="164"/>
    <col min="9739" max="9739" width="8.25" style="164" customWidth="1"/>
    <col min="9740" max="9984" width="9" style="164"/>
    <col min="9985" max="9985" width="5.08203125" style="164" customWidth="1"/>
    <col min="9986" max="9987" width="9" style="164"/>
    <col min="9988" max="9988" width="5.08203125" style="164" customWidth="1"/>
    <col min="9989" max="9994" width="9" style="164"/>
    <col min="9995" max="9995" width="8.25" style="164" customWidth="1"/>
    <col min="9996" max="10240" width="9" style="164"/>
    <col min="10241" max="10241" width="5.08203125" style="164" customWidth="1"/>
    <col min="10242" max="10243" width="9" style="164"/>
    <col min="10244" max="10244" width="5.08203125" style="164" customWidth="1"/>
    <col min="10245" max="10250" width="9" style="164"/>
    <col min="10251" max="10251" width="8.25" style="164" customWidth="1"/>
    <col min="10252" max="10496" width="9" style="164"/>
    <col min="10497" max="10497" width="5.08203125" style="164" customWidth="1"/>
    <col min="10498" max="10499" width="9" style="164"/>
    <col min="10500" max="10500" width="5.08203125" style="164" customWidth="1"/>
    <col min="10501" max="10506" width="9" style="164"/>
    <col min="10507" max="10507" width="8.25" style="164" customWidth="1"/>
    <col min="10508" max="10752" width="9" style="164"/>
    <col min="10753" max="10753" width="5.08203125" style="164" customWidth="1"/>
    <col min="10754" max="10755" width="9" style="164"/>
    <col min="10756" max="10756" width="5.08203125" style="164" customWidth="1"/>
    <col min="10757" max="10762" width="9" style="164"/>
    <col min="10763" max="10763" width="8.25" style="164" customWidth="1"/>
    <col min="10764" max="11008" width="9" style="164"/>
    <col min="11009" max="11009" width="5.08203125" style="164" customWidth="1"/>
    <col min="11010" max="11011" width="9" style="164"/>
    <col min="11012" max="11012" width="5.08203125" style="164" customWidth="1"/>
    <col min="11013" max="11018" width="9" style="164"/>
    <col min="11019" max="11019" width="8.25" style="164" customWidth="1"/>
    <col min="11020" max="11264" width="9" style="164"/>
    <col min="11265" max="11265" width="5.08203125" style="164" customWidth="1"/>
    <col min="11266" max="11267" width="9" style="164"/>
    <col min="11268" max="11268" width="5.08203125" style="164" customWidth="1"/>
    <col min="11269" max="11274" width="9" style="164"/>
    <col min="11275" max="11275" width="8.25" style="164" customWidth="1"/>
    <col min="11276" max="11520" width="9" style="164"/>
    <col min="11521" max="11521" width="5.08203125" style="164" customWidth="1"/>
    <col min="11522" max="11523" width="9" style="164"/>
    <col min="11524" max="11524" width="5.08203125" style="164" customWidth="1"/>
    <col min="11525" max="11530" width="9" style="164"/>
    <col min="11531" max="11531" width="8.25" style="164" customWidth="1"/>
    <col min="11532" max="11776" width="9" style="164"/>
    <col min="11777" max="11777" width="5.08203125" style="164" customWidth="1"/>
    <col min="11778" max="11779" width="9" style="164"/>
    <col min="11780" max="11780" width="5.08203125" style="164" customWidth="1"/>
    <col min="11781" max="11786" width="9" style="164"/>
    <col min="11787" max="11787" width="8.25" style="164" customWidth="1"/>
    <col min="11788" max="12032" width="9" style="164"/>
    <col min="12033" max="12033" width="5.08203125" style="164" customWidth="1"/>
    <col min="12034" max="12035" width="9" style="164"/>
    <col min="12036" max="12036" width="5.08203125" style="164" customWidth="1"/>
    <col min="12037" max="12042" width="9" style="164"/>
    <col min="12043" max="12043" width="8.25" style="164" customWidth="1"/>
    <col min="12044" max="12288" width="9" style="164"/>
    <col min="12289" max="12289" width="5.08203125" style="164" customWidth="1"/>
    <col min="12290" max="12291" width="9" style="164"/>
    <col min="12292" max="12292" width="5.08203125" style="164" customWidth="1"/>
    <col min="12293" max="12298" width="9" style="164"/>
    <col min="12299" max="12299" width="8.25" style="164" customWidth="1"/>
    <col min="12300" max="12544" width="9" style="164"/>
    <col min="12545" max="12545" width="5.08203125" style="164" customWidth="1"/>
    <col min="12546" max="12547" width="9" style="164"/>
    <col min="12548" max="12548" width="5.08203125" style="164" customWidth="1"/>
    <col min="12549" max="12554" width="9" style="164"/>
    <col min="12555" max="12555" width="8.25" style="164" customWidth="1"/>
    <col min="12556" max="12800" width="9" style="164"/>
    <col min="12801" max="12801" width="5.08203125" style="164" customWidth="1"/>
    <col min="12802" max="12803" width="9" style="164"/>
    <col min="12804" max="12804" width="5.08203125" style="164" customWidth="1"/>
    <col min="12805" max="12810" width="9" style="164"/>
    <col min="12811" max="12811" width="8.25" style="164" customWidth="1"/>
    <col min="12812" max="13056" width="9" style="164"/>
    <col min="13057" max="13057" width="5.08203125" style="164" customWidth="1"/>
    <col min="13058" max="13059" width="9" style="164"/>
    <col min="13060" max="13060" width="5.08203125" style="164" customWidth="1"/>
    <col min="13061" max="13066" width="9" style="164"/>
    <col min="13067" max="13067" width="8.25" style="164" customWidth="1"/>
    <col min="13068" max="13312" width="9" style="164"/>
    <col min="13313" max="13313" width="5.08203125" style="164" customWidth="1"/>
    <col min="13314" max="13315" width="9" style="164"/>
    <col min="13316" max="13316" width="5.08203125" style="164" customWidth="1"/>
    <col min="13317" max="13322" width="9" style="164"/>
    <col min="13323" max="13323" width="8.25" style="164" customWidth="1"/>
    <col min="13324" max="13568" width="9" style="164"/>
    <col min="13569" max="13569" width="5.08203125" style="164" customWidth="1"/>
    <col min="13570" max="13571" width="9" style="164"/>
    <col min="13572" max="13572" width="5.08203125" style="164" customWidth="1"/>
    <col min="13573" max="13578" width="9" style="164"/>
    <col min="13579" max="13579" width="8.25" style="164" customWidth="1"/>
    <col min="13580" max="13824" width="9" style="164"/>
    <col min="13825" max="13825" width="5.08203125" style="164" customWidth="1"/>
    <col min="13826" max="13827" width="9" style="164"/>
    <col min="13828" max="13828" width="5.08203125" style="164" customWidth="1"/>
    <col min="13829" max="13834" width="9" style="164"/>
    <col min="13835" max="13835" width="8.25" style="164" customWidth="1"/>
    <col min="13836" max="14080" width="9" style="164"/>
    <col min="14081" max="14081" width="5.08203125" style="164" customWidth="1"/>
    <col min="14082" max="14083" width="9" style="164"/>
    <col min="14084" max="14084" width="5.08203125" style="164" customWidth="1"/>
    <col min="14085" max="14090" width="9" style="164"/>
    <col min="14091" max="14091" width="8.25" style="164" customWidth="1"/>
    <col min="14092" max="14336" width="9" style="164"/>
    <col min="14337" max="14337" width="5.08203125" style="164" customWidth="1"/>
    <col min="14338" max="14339" width="9" style="164"/>
    <col min="14340" max="14340" width="5.08203125" style="164" customWidth="1"/>
    <col min="14341" max="14346" width="9" style="164"/>
    <col min="14347" max="14347" width="8.25" style="164" customWidth="1"/>
    <col min="14348" max="14592" width="9" style="164"/>
    <col min="14593" max="14593" width="5.08203125" style="164" customWidth="1"/>
    <col min="14594" max="14595" width="9" style="164"/>
    <col min="14596" max="14596" width="5.08203125" style="164" customWidth="1"/>
    <col min="14597" max="14602" width="9" style="164"/>
    <col min="14603" max="14603" width="8.25" style="164" customWidth="1"/>
    <col min="14604" max="14848" width="9" style="164"/>
    <col min="14849" max="14849" width="5.08203125" style="164" customWidth="1"/>
    <col min="14850" max="14851" width="9" style="164"/>
    <col min="14852" max="14852" width="5.08203125" style="164" customWidth="1"/>
    <col min="14853" max="14858" width="9" style="164"/>
    <col min="14859" max="14859" width="8.25" style="164" customWidth="1"/>
    <col min="14860" max="15104" width="9" style="164"/>
    <col min="15105" max="15105" width="5.08203125" style="164" customWidth="1"/>
    <col min="15106" max="15107" width="9" style="164"/>
    <col min="15108" max="15108" width="5.08203125" style="164" customWidth="1"/>
    <col min="15109" max="15114" width="9" style="164"/>
    <col min="15115" max="15115" width="8.25" style="164" customWidth="1"/>
    <col min="15116" max="15360" width="9" style="164"/>
    <col min="15361" max="15361" width="5.08203125" style="164" customWidth="1"/>
    <col min="15362" max="15363" width="9" style="164"/>
    <col min="15364" max="15364" width="5.08203125" style="164" customWidth="1"/>
    <col min="15365" max="15370" width="9" style="164"/>
    <col min="15371" max="15371" width="8.25" style="164" customWidth="1"/>
    <col min="15372" max="15616" width="9" style="164"/>
    <col min="15617" max="15617" width="5.08203125" style="164" customWidth="1"/>
    <col min="15618" max="15619" width="9" style="164"/>
    <col min="15620" max="15620" width="5.08203125" style="164" customWidth="1"/>
    <col min="15621" max="15626" width="9" style="164"/>
    <col min="15627" max="15627" width="8.25" style="164" customWidth="1"/>
    <col min="15628" max="15872" width="9" style="164"/>
    <col min="15873" max="15873" width="5.08203125" style="164" customWidth="1"/>
    <col min="15874" max="15875" width="9" style="164"/>
    <col min="15876" max="15876" width="5.08203125" style="164" customWidth="1"/>
    <col min="15877" max="15882" width="9" style="164"/>
    <col min="15883" max="15883" width="8.25" style="164" customWidth="1"/>
    <col min="15884" max="16128" width="9" style="164"/>
    <col min="16129" max="16129" width="5.08203125" style="164" customWidth="1"/>
    <col min="16130" max="16131" width="9" style="164"/>
    <col min="16132" max="16132" width="5.08203125" style="164" customWidth="1"/>
    <col min="16133" max="16138" width="9" style="164"/>
    <col min="16139" max="16139" width="8.25" style="164" customWidth="1"/>
    <col min="16140" max="16384" width="9" style="164"/>
  </cols>
  <sheetData>
    <row r="1" spans="1:11" ht="30" customHeight="1">
      <c r="A1" s="712" t="s">
        <v>1946</v>
      </c>
      <c r="B1" s="712"/>
      <c r="C1" s="712"/>
      <c r="D1" s="712"/>
      <c r="E1" s="712"/>
      <c r="F1" s="712"/>
      <c r="G1" s="712"/>
      <c r="H1" s="712"/>
      <c r="I1" s="712"/>
      <c r="J1" s="712"/>
      <c r="K1" s="712"/>
    </row>
    <row r="2" spans="1:11" ht="23.25" customHeight="1" thickBot="1">
      <c r="A2" s="543"/>
      <c r="B2" s="543"/>
      <c r="C2" s="543"/>
      <c r="D2" s="543"/>
      <c r="E2" s="543"/>
      <c r="F2" s="543"/>
      <c r="G2" s="543"/>
      <c r="H2" s="543"/>
      <c r="I2" s="543"/>
      <c r="J2" s="543"/>
      <c r="K2" s="544" t="s">
        <v>2298</v>
      </c>
    </row>
    <row r="3" spans="1:11" ht="212.25" customHeight="1" thickTop="1" thickBot="1">
      <c r="A3" s="713" t="s">
        <v>1947</v>
      </c>
      <c r="B3" s="713"/>
      <c r="C3" s="713"/>
      <c r="D3" s="713"/>
      <c r="E3" s="713"/>
      <c r="F3" s="713"/>
      <c r="G3" s="713"/>
      <c r="H3" s="713"/>
      <c r="I3" s="713"/>
      <c r="J3" s="713"/>
      <c r="K3" s="713"/>
    </row>
    <row r="4" spans="1:11" ht="159" hidden="1" customHeight="1" thickTop="1" thickBot="1">
      <c r="A4" s="713" t="s">
        <v>1948</v>
      </c>
      <c r="B4" s="713"/>
      <c r="C4" s="713"/>
      <c r="D4" s="713"/>
      <c r="E4" s="713"/>
      <c r="F4" s="713"/>
      <c r="G4" s="713"/>
      <c r="H4" s="713"/>
      <c r="I4" s="713"/>
      <c r="J4" s="713"/>
      <c r="K4" s="713"/>
    </row>
    <row r="5" spans="1:11" ht="3.75" customHeight="1" thickTop="1">
      <c r="A5" s="545"/>
      <c r="B5" s="545"/>
      <c r="C5" s="545"/>
      <c r="D5" s="545"/>
      <c r="E5" s="545"/>
      <c r="F5" s="545"/>
      <c r="G5" s="545"/>
      <c r="H5" s="545"/>
      <c r="I5" s="545"/>
      <c r="J5" s="545"/>
      <c r="K5" s="545"/>
    </row>
    <row r="6" spans="1:11" ht="33.75" customHeight="1">
      <c r="A6" s="692" t="s">
        <v>410</v>
      </c>
      <c r="B6" s="692"/>
      <c r="C6" s="692"/>
      <c r="D6" s="692"/>
      <c r="E6" s="692"/>
      <c r="F6" s="692"/>
      <c r="G6" s="166"/>
      <c r="H6" s="166"/>
      <c r="I6" s="166"/>
      <c r="J6" s="166"/>
      <c r="K6" s="166"/>
    </row>
    <row r="7" spans="1:11" ht="5.15" customHeight="1">
      <c r="A7" s="166"/>
      <c r="B7" s="166"/>
      <c r="C7" s="166"/>
      <c r="D7" s="166"/>
      <c r="E7" s="166"/>
      <c r="F7" s="166"/>
      <c r="G7" s="166"/>
      <c r="H7" s="166"/>
      <c r="I7" s="166"/>
      <c r="J7" s="166"/>
      <c r="K7" s="166"/>
    </row>
    <row r="8" spans="1:11" ht="37.5" customHeight="1">
      <c r="A8" s="492"/>
      <c r="B8" s="493"/>
      <c r="C8" s="722" t="s">
        <v>1949</v>
      </c>
      <c r="D8" s="723"/>
      <c r="E8" s="723"/>
      <c r="F8" s="723"/>
      <c r="G8" s="723"/>
      <c r="H8" s="723"/>
      <c r="I8" s="723"/>
      <c r="J8" s="723"/>
      <c r="K8" s="723"/>
    </row>
    <row r="9" spans="1:11" ht="5.15" customHeight="1">
      <c r="A9" s="166"/>
      <c r="B9" s="166"/>
      <c r="C9" s="166"/>
      <c r="D9" s="166"/>
      <c r="E9" s="166"/>
      <c r="F9" s="166"/>
      <c r="G9" s="166"/>
      <c r="H9" s="166"/>
      <c r="I9" s="166"/>
      <c r="J9" s="166"/>
      <c r="K9" s="166"/>
    </row>
    <row r="10" spans="1:11" ht="20.149999999999999" customHeight="1">
      <c r="A10" s="494"/>
      <c r="B10" s="495"/>
      <c r="C10" s="693" t="s">
        <v>1885</v>
      </c>
      <c r="D10" s="693"/>
      <c r="E10" s="693"/>
      <c r="F10" s="693"/>
      <c r="G10" s="693"/>
      <c r="H10" s="693"/>
      <c r="I10" s="693"/>
      <c r="J10" s="693"/>
      <c r="K10" s="693"/>
    </row>
    <row r="11" spans="1:11" ht="51.75" customHeight="1">
      <c r="A11" s="166"/>
      <c r="B11" s="166"/>
      <c r="C11" s="693"/>
      <c r="D11" s="693"/>
      <c r="E11" s="693"/>
      <c r="F11" s="693"/>
      <c r="G11" s="693"/>
      <c r="H11" s="693"/>
      <c r="I11" s="693"/>
      <c r="J11" s="693"/>
      <c r="K11" s="693"/>
    </row>
    <row r="12" spans="1:11" ht="20.25" hidden="1" customHeight="1">
      <c r="A12" s="714" t="s">
        <v>1950</v>
      </c>
      <c r="B12" s="714"/>
      <c r="C12" s="714"/>
      <c r="D12" s="714"/>
      <c r="E12" s="714"/>
      <c r="F12" s="714"/>
      <c r="G12" s="714"/>
      <c r="H12" s="714"/>
      <c r="I12" s="714"/>
      <c r="J12" s="714"/>
      <c r="K12" s="166"/>
    </row>
    <row r="13" spans="1:11" ht="5.15" customHeight="1">
      <c r="A13" s="166"/>
      <c r="B13" s="166"/>
      <c r="C13" s="166"/>
      <c r="D13" s="166"/>
      <c r="E13" s="166"/>
      <c r="F13" s="166"/>
      <c r="G13" s="166"/>
      <c r="H13" s="166"/>
      <c r="I13" s="166"/>
      <c r="J13" s="166"/>
      <c r="K13" s="166"/>
    </row>
    <row r="14" spans="1:11" ht="30.75" customHeight="1">
      <c r="A14" s="692" t="s">
        <v>1887</v>
      </c>
      <c r="B14" s="692"/>
      <c r="C14" s="692"/>
      <c r="D14" s="692"/>
      <c r="E14" s="692"/>
      <c r="F14" s="692"/>
      <c r="G14" s="166"/>
      <c r="H14" s="166"/>
      <c r="I14" s="166"/>
      <c r="J14" s="166"/>
      <c r="K14" s="166"/>
    </row>
    <row r="15" spans="1:11" ht="51.75" customHeight="1">
      <c r="A15" s="695" t="s">
        <v>1888</v>
      </c>
      <c r="B15" s="695"/>
      <c r="C15" s="695"/>
      <c r="D15" s="695"/>
      <c r="E15" s="695"/>
      <c r="F15" s="695"/>
      <c r="G15" s="695"/>
      <c r="H15" s="695"/>
      <c r="I15" s="695"/>
      <c r="J15" s="695"/>
      <c r="K15" s="695"/>
    </row>
    <row r="16" spans="1:11" ht="12" customHeight="1">
      <c r="A16" s="166"/>
      <c r="B16" s="166"/>
      <c r="C16" s="166"/>
      <c r="D16" s="166"/>
      <c r="E16" s="166"/>
      <c r="F16" s="166"/>
      <c r="G16" s="166"/>
      <c r="H16" s="166"/>
      <c r="I16" s="166"/>
      <c r="J16" s="166"/>
      <c r="K16" s="166"/>
    </row>
    <row r="17" spans="1:11" ht="33.75" customHeight="1">
      <c r="A17" s="715" t="s">
        <v>1889</v>
      </c>
      <c r="B17" s="715"/>
      <c r="C17" s="715"/>
      <c r="D17" s="715"/>
      <c r="E17" s="715"/>
      <c r="F17" s="715"/>
      <c r="G17" s="715"/>
      <c r="H17" s="715"/>
      <c r="I17" s="715"/>
      <c r="J17" s="715"/>
      <c r="K17" s="166"/>
    </row>
    <row r="18" spans="1:11" ht="23.25" customHeight="1">
      <c r="A18" s="699" t="s">
        <v>411</v>
      </c>
      <c r="B18" s="699"/>
      <c r="C18" s="699"/>
      <c r="D18" s="699"/>
      <c r="E18" s="699"/>
      <c r="F18" s="699"/>
      <c r="G18" s="699"/>
      <c r="H18" s="699"/>
      <c r="I18" s="699"/>
      <c r="J18" s="699"/>
      <c r="K18" s="166"/>
    </row>
    <row r="19" spans="1:11" ht="20.149999999999999" customHeight="1">
      <c r="A19" s="696" t="s">
        <v>2299</v>
      </c>
      <c r="B19" s="696"/>
      <c r="C19" s="696"/>
      <c r="D19" s="696"/>
      <c r="E19" s="696"/>
      <c r="F19" s="696"/>
      <c r="G19" s="463" t="s">
        <v>412</v>
      </c>
      <c r="H19" s="710" t="s">
        <v>416</v>
      </c>
      <c r="I19" s="698"/>
      <c r="J19" s="698"/>
      <c r="K19" s="698"/>
    </row>
    <row r="20" spans="1:11" ht="8.25" customHeight="1">
      <c r="A20" s="166"/>
      <c r="B20" s="166"/>
      <c r="C20" s="166"/>
      <c r="D20" s="166"/>
      <c r="E20" s="166"/>
      <c r="F20" s="166"/>
      <c r="G20" s="166"/>
      <c r="H20" s="166"/>
      <c r="I20" s="166"/>
      <c r="J20" s="166"/>
      <c r="K20" s="166"/>
    </row>
    <row r="21" spans="1:11" ht="19.5" customHeight="1">
      <c r="A21" s="699" t="s">
        <v>1951</v>
      </c>
      <c r="B21" s="699"/>
      <c r="C21" s="699"/>
      <c r="D21" s="699"/>
      <c r="E21" s="699"/>
      <c r="F21" s="699"/>
      <c r="G21" s="699"/>
      <c r="H21" s="699"/>
      <c r="I21" s="699"/>
      <c r="J21" s="699"/>
      <c r="K21" s="699"/>
    </row>
    <row r="22" spans="1:11" ht="9" customHeight="1">
      <c r="A22" s="166"/>
      <c r="B22" s="166"/>
      <c r="C22" s="166"/>
      <c r="D22" s="166"/>
      <c r="E22" s="166"/>
      <c r="F22" s="166"/>
      <c r="G22" s="166"/>
      <c r="H22" s="166"/>
      <c r="I22" s="166"/>
      <c r="J22" s="166"/>
      <c r="K22" s="166"/>
    </row>
    <row r="23" spans="1:11" ht="23.25" customHeight="1">
      <c r="A23" s="699" t="s">
        <v>1853</v>
      </c>
      <c r="B23" s="699"/>
      <c r="C23" s="699"/>
      <c r="D23" s="699"/>
      <c r="E23" s="699"/>
      <c r="F23" s="699"/>
      <c r="G23" s="699"/>
      <c r="H23" s="699"/>
      <c r="I23" s="699"/>
      <c r="J23" s="699"/>
      <c r="K23" s="166"/>
    </row>
    <row r="24" spans="1:11" ht="54" customHeight="1">
      <c r="A24" s="711" t="s">
        <v>1854</v>
      </c>
      <c r="B24" s="711"/>
      <c r="C24" s="711"/>
      <c r="D24" s="711"/>
      <c r="E24" s="711"/>
      <c r="F24" s="711"/>
      <c r="G24" s="711"/>
      <c r="H24" s="711"/>
      <c r="I24" s="711"/>
      <c r="J24" s="711"/>
      <c r="K24" s="711"/>
    </row>
    <row r="25" spans="1:11" ht="28.5" hidden="1" customHeight="1">
      <c r="A25" s="716" t="s">
        <v>1952</v>
      </c>
      <c r="B25" s="716"/>
      <c r="C25" s="716"/>
      <c r="D25" s="716"/>
      <c r="E25" s="716"/>
      <c r="F25" s="716"/>
      <c r="G25" s="716"/>
      <c r="H25" s="716"/>
      <c r="I25" s="716"/>
      <c r="J25" s="716"/>
      <c r="K25" s="716"/>
    </row>
    <row r="26" spans="1:11" ht="20.25" hidden="1" customHeight="1">
      <c r="A26" s="717" t="s">
        <v>1953</v>
      </c>
      <c r="B26" s="717"/>
      <c r="C26" s="717"/>
      <c r="D26" s="717"/>
      <c r="E26" s="717"/>
      <c r="F26" s="717"/>
      <c r="G26" s="717"/>
      <c r="H26" s="717"/>
      <c r="I26" s="717"/>
      <c r="J26" s="717"/>
      <c r="K26" s="717"/>
    </row>
    <row r="27" spans="1:11" ht="28.5" customHeight="1" thickBot="1">
      <c r="A27" s="718" t="s">
        <v>1891</v>
      </c>
      <c r="B27" s="718"/>
      <c r="C27" s="718"/>
      <c r="D27" s="718"/>
      <c r="E27" s="718"/>
      <c r="F27" s="718"/>
      <c r="G27" s="718"/>
      <c r="H27" s="718"/>
      <c r="I27" s="718"/>
      <c r="J27" s="718"/>
      <c r="K27" s="718"/>
    </row>
    <row r="28" spans="1:11" ht="99" customHeight="1" thickBot="1">
      <c r="A28" s="719" t="s">
        <v>1954</v>
      </c>
      <c r="B28" s="720"/>
      <c r="C28" s="720"/>
      <c r="D28" s="720"/>
      <c r="E28" s="720"/>
      <c r="F28" s="720"/>
      <c r="G28" s="720"/>
      <c r="H28" s="720"/>
      <c r="I28" s="720"/>
      <c r="J28" s="720"/>
      <c r="K28" s="721"/>
    </row>
    <row r="29" spans="1:11" ht="7.5" customHeight="1">
      <c r="A29" s="699"/>
      <c r="B29" s="699"/>
      <c r="C29" s="699"/>
      <c r="D29" s="699"/>
      <c r="E29" s="699"/>
      <c r="F29" s="699"/>
      <c r="G29" s="699"/>
      <c r="H29" s="699"/>
      <c r="I29" s="699"/>
      <c r="J29" s="699"/>
      <c r="K29" s="699"/>
    </row>
    <row r="30" spans="1:11" ht="33.75" customHeight="1">
      <c r="A30" s="715" t="s">
        <v>2342</v>
      </c>
      <c r="B30" s="715"/>
      <c r="C30" s="715"/>
      <c r="D30" s="715"/>
      <c r="E30" s="715"/>
      <c r="F30" s="715"/>
      <c r="G30" s="715"/>
      <c r="H30" s="715"/>
      <c r="I30" s="715"/>
      <c r="J30" s="715"/>
      <c r="K30" s="166"/>
    </row>
    <row r="31" spans="1:11" ht="27" customHeight="1">
      <c r="A31" s="709" t="s">
        <v>2347</v>
      </c>
      <c r="B31" s="709"/>
      <c r="C31" s="709"/>
      <c r="D31" s="709"/>
      <c r="E31" s="709"/>
      <c r="F31" s="709"/>
      <c r="G31" s="709"/>
      <c r="H31" s="709"/>
      <c r="I31" s="709"/>
      <c r="J31" s="709"/>
      <c r="K31" s="709"/>
    </row>
    <row r="32" spans="1:11" ht="27" customHeight="1">
      <c r="A32" s="709"/>
      <c r="B32" s="709"/>
      <c r="C32" s="709"/>
      <c r="D32" s="709"/>
      <c r="E32" s="709"/>
      <c r="F32" s="709"/>
      <c r="G32" s="709"/>
      <c r="H32" s="709"/>
      <c r="I32" s="709"/>
      <c r="J32" s="709"/>
      <c r="K32" s="709"/>
    </row>
    <row r="33" spans="1:11" ht="27" customHeight="1">
      <c r="A33" s="709"/>
      <c r="B33" s="709"/>
      <c r="C33" s="709"/>
      <c r="D33" s="709"/>
      <c r="E33" s="709"/>
      <c r="F33" s="709"/>
      <c r="G33" s="709"/>
      <c r="H33" s="709"/>
      <c r="I33" s="709"/>
      <c r="J33" s="709"/>
      <c r="K33" s="709"/>
    </row>
    <row r="34" spans="1:11" ht="11.25" customHeight="1">
      <c r="A34" s="166"/>
      <c r="B34" s="166"/>
      <c r="C34" s="166"/>
      <c r="D34" s="166"/>
      <c r="E34" s="166"/>
      <c r="F34" s="166"/>
      <c r="G34" s="166"/>
      <c r="H34" s="166"/>
      <c r="I34" s="166"/>
      <c r="J34" s="166"/>
      <c r="K34" s="166"/>
    </row>
    <row r="35" spans="1:11" ht="21.75" customHeight="1">
      <c r="A35" s="166"/>
      <c r="B35" s="166"/>
      <c r="C35" s="699" t="s">
        <v>2300</v>
      </c>
      <c r="D35" s="699"/>
      <c r="E35" s="699"/>
      <c r="F35" s="699"/>
      <c r="G35" s="699"/>
      <c r="H35" s="699"/>
      <c r="I35" s="699"/>
      <c r="J35" s="699"/>
      <c r="K35" s="699"/>
    </row>
    <row r="36" spans="1:11" ht="21.75" customHeight="1">
      <c r="A36" s="166"/>
      <c r="B36" s="166"/>
      <c r="C36" s="699" t="s">
        <v>2272</v>
      </c>
      <c r="D36" s="699"/>
      <c r="E36" s="699"/>
      <c r="F36" s="699"/>
      <c r="G36" s="699"/>
      <c r="H36" s="699"/>
      <c r="I36" s="699"/>
      <c r="J36" s="699"/>
      <c r="K36" s="699"/>
    </row>
    <row r="37" spans="1:11" ht="21.75" customHeight="1">
      <c r="A37" s="166"/>
      <c r="B37" s="166"/>
      <c r="C37" s="166" t="s">
        <v>2273</v>
      </c>
      <c r="D37" s="166"/>
      <c r="E37" s="166"/>
      <c r="F37" s="166"/>
      <c r="G37" s="166"/>
      <c r="H37" s="165"/>
      <c r="I37" s="165"/>
      <c r="J37" s="165"/>
      <c r="K37" s="166"/>
    </row>
    <row r="38" spans="1:11" ht="21.75" customHeight="1">
      <c r="A38" s="166"/>
      <c r="B38" s="166"/>
      <c r="C38" s="699" t="s">
        <v>414</v>
      </c>
      <c r="D38" s="699"/>
      <c r="E38" s="699"/>
      <c r="F38" s="699"/>
      <c r="G38" s="699"/>
      <c r="H38" s="699"/>
      <c r="I38" s="699"/>
      <c r="J38" s="699"/>
      <c r="K38" s="699"/>
    </row>
    <row r="39" spans="1:11" ht="21.75" customHeight="1">
      <c r="A39" s="166"/>
      <c r="B39" s="166"/>
      <c r="C39" s="167" t="s">
        <v>417</v>
      </c>
      <c r="D39" s="700" t="s">
        <v>416</v>
      </c>
      <c r="E39" s="700"/>
      <c r="F39" s="700"/>
      <c r="G39" s="700"/>
      <c r="H39" s="700"/>
      <c r="I39" s="700"/>
      <c r="J39" s="700"/>
      <c r="K39" s="700"/>
    </row>
    <row r="40" spans="1:11" ht="21.75" customHeight="1"/>
    <row r="41" spans="1:11" ht="20.149999999999999" customHeight="1"/>
    <row r="42" spans="1:11" ht="20.149999999999999" customHeight="1"/>
    <row r="43" spans="1:11" ht="20.149999999999999" customHeight="1"/>
    <row r="44" spans="1:11" ht="20.149999999999999" customHeight="1"/>
  </sheetData>
  <mergeCells count="27">
    <mergeCell ref="D39:K39"/>
    <mergeCell ref="A21:K21"/>
    <mergeCell ref="A23:J23"/>
    <mergeCell ref="A24:K24"/>
    <mergeCell ref="A25:K25"/>
    <mergeCell ref="A26:K26"/>
    <mergeCell ref="A27:K27"/>
    <mergeCell ref="A28:K28"/>
    <mergeCell ref="A29:K29"/>
    <mergeCell ref="C35:K35"/>
    <mergeCell ref="C36:K36"/>
    <mergeCell ref="C38:K38"/>
    <mergeCell ref="A31:K33"/>
    <mergeCell ref="A30:J30"/>
    <mergeCell ref="A19:F19"/>
    <mergeCell ref="H19:K19"/>
    <mergeCell ref="A1:K1"/>
    <mergeCell ref="A3:K3"/>
    <mergeCell ref="A4:K4"/>
    <mergeCell ref="A6:F6"/>
    <mergeCell ref="C8:K8"/>
    <mergeCell ref="C10:K11"/>
    <mergeCell ref="A12:J12"/>
    <mergeCell ref="A14:F14"/>
    <mergeCell ref="A15:K15"/>
    <mergeCell ref="A17:J17"/>
    <mergeCell ref="A18:J18"/>
  </mergeCells>
  <phoneticPr fontId="1"/>
  <hyperlinks>
    <hyperlink ref="H19" r:id="rId1" xr:uid="{4A2C1271-CDEE-40E5-8FC1-75A412904201}"/>
    <hyperlink ref="D39" r:id="rId2" xr:uid="{D8B23257-B378-4FA5-8469-A7687C691728}"/>
  </hyperlinks>
  <printOptions horizontalCentered="1"/>
  <pageMargins left="0.59055118110236227" right="0.59055118110236227" top="0.98425196850393704" bottom="0.98425196850393704" header="0.51181102362204722" footer="0.51181102362204722"/>
  <pageSetup paperSize="9" scale="62" orientation="portrait" r:id="rId3"/>
  <headerFooter alignWithMargins="0"/>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37</vt:i4>
      </vt:variant>
      <vt:variant>
        <vt:lpstr>名前付き一覧</vt:lpstr>
      </vt:variant>
      <vt:variant>
        <vt:i4>59</vt:i4>
      </vt:variant>
    </vt:vector>
  </HeadingPairs>
  <TitlesOfParts>
    <vt:vector size="96" baseType="lpstr">
      <vt:lpstr>リスト</vt:lpstr>
      <vt:lpstr>補助金用基本データ</vt:lpstr>
      <vt:lpstr>個別データ</vt:lpstr>
      <vt:lpstr>修正等箇所</vt:lpstr>
      <vt:lpstr>補助転記</vt:lpstr>
      <vt:lpstr>⓪ファイルの説明（実績）</vt:lpstr>
      <vt:lpstr>⓪ファイルの説明 （2回目分割請求用）</vt:lpstr>
      <vt:lpstr>⓪ファイルの説明（第二期分割請求）</vt:lpstr>
      <vt:lpstr>⓪ファイルの説明（当初）</vt:lpstr>
      <vt:lpstr>⓪ファイルの説明（第二期当初交付）</vt:lpstr>
      <vt:lpstr>①基本情報</vt:lpstr>
      <vt:lpstr>②-1職員名簿</vt:lpstr>
      <vt:lpstr>②-2勤務時間数入力</vt:lpstr>
      <vt:lpstr>③児童数及び保育士定数 (2)-(1)</vt:lpstr>
      <vt:lpstr>④-1月別配置内訳書(2)-(2)-(A)</vt:lpstr>
      <vt:lpstr>④-2月別配置内訳書(2)-(2)-(B)</vt:lpstr>
      <vt:lpstr>④-3月別配置内訳書(2)-(2)-(C)・(D)</vt:lpstr>
      <vt:lpstr>④-４月別配置内訳書(2)-(2)-(E)</vt:lpstr>
      <vt:lpstr>判定</vt:lpstr>
      <vt:lpstr>⑤基本加算１</vt:lpstr>
      <vt:lpstr>⑥基本加算２</vt:lpstr>
      <vt:lpstr>⑦基本加算３</vt:lpstr>
      <vt:lpstr>⑧一般加算１</vt:lpstr>
      <vt:lpstr>⑨一般加算２</vt:lpstr>
      <vt:lpstr>⑩特定加算１</vt:lpstr>
      <vt:lpstr>⑪特定加算２</vt:lpstr>
      <vt:lpstr>様式１（第二期当初交付）</vt:lpstr>
      <vt:lpstr>様式１</vt:lpstr>
      <vt:lpstr>様式３</vt:lpstr>
      <vt:lpstr>⑫公定価格加算分</vt:lpstr>
      <vt:lpstr>様式４</vt:lpstr>
      <vt:lpstr>様式６</vt:lpstr>
      <vt:lpstr>様式８</vt:lpstr>
      <vt:lpstr>精算書</vt:lpstr>
      <vt:lpstr>様式３(第二期)</vt:lpstr>
      <vt:lpstr>Sheet1</vt:lpstr>
      <vt:lpstr>Sheet2</vt:lpstr>
      <vt:lpstr>'⓪ファイルの説明 （2回目分割請求用）'!Print_Area</vt:lpstr>
      <vt:lpstr>'⓪ファイルの説明（実績）'!Print_Area</vt:lpstr>
      <vt:lpstr>'⓪ファイルの説明（第二期当初交付）'!Print_Area</vt:lpstr>
      <vt:lpstr>'⓪ファイルの説明（第二期分割請求）'!Print_Area</vt:lpstr>
      <vt:lpstr>'⓪ファイルの説明（当初）'!Print_Area</vt:lpstr>
      <vt:lpstr>①基本情報!Print_Area</vt:lpstr>
      <vt:lpstr>'②-1職員名簿'!Print_Area</vt:lpstr>
      <vt:lpstr>'②-2勤務時間数入力'!Print_Area</vt:lpstr>
      <vt:lpstr>'③児童数及び保育士定数 (2)-(1)'!Print_Area</vt:lpstr>
      <vt:lpstr>'④-1月別配置内訳書(2)-(2)-(A)'!Print_Area</vt:lpstr>
      <vt:lpstr>'④-2月別配置内訳書(2)-(2)-(B)'!Print_Area</vt:lpstr>
      <vt:lpstr>'④-3月別配置内訳書(2)-(2)-(C)・(D)'!Print_Area</vt:lpstr>
      <vt:lpstr>'④-４月別配置内訳書(2)-(2)-(E)'!Print_Area</vt:lpstr>
      <vt:lpstr>⑤基本加算１!Print_Area</vt:lpstr>
      <vt:lpstr>⑥基本加算２!Print_Area</vt:lpstr>
      <vt:lpstr>⑦基本加算３!Print_Area</vt:lpstr>
      <vt:lpstr>⑧一般加算１!Print_Area</vt:lpstr>
      <vt:lpstr>⑨一般加算２!Print_Area</vt:lpstr>
      <vt:lpstr>⑩特定加算１!Print_Area</vt:lpstr>
      <vt:lpstr>⑪特定加算２!Print_Area</vt:lpstr>
      <vt:lpstr>⑫公定価格加算分!Print_Area</vt:lpstr>
      <vt:lpstr>修正等箇所!Print_Area</vt:lpstr>
      <vt:lpstr>精算書!Print_Area</vt:lpstr>
      <vt:lpstr>補助金用基本データ!Print_Area</vt:lpstr>
      <vt:lpstr>補助転記!Print_Area</vt:lpstr>
      <vt:lpstr>様式１!Print_Area</vt:lpstr>
      <vt:lpstr>'様式１（第二期当初交付）'!Print_Area</vt:lpstr>
      <vt:lpstr>様式３!Print_Area</vt:lpstr>
      <vt:lpstr>'様式３(第二期)'!Print_Area</vt:lpstr>
      <vt:lpstr>様式４!Print_Area</vt:lpstr>
      <vt:lpstr>様式６!Print_Area</vt:lpstr>
      <vt:lpstr>様式８!Print_Area</vt:lpstr>
      <vt:lpstr>'②-1職員名簿'!Print_Titles</vt:lpstr>
      <vt:lpstr>'②-2勤務時間数入力'!Print_Titles</vt:lpstr>
      <vt:lpstr>'③児童数及び保育士定数 (2)-(1)'!Print_Titles</vt:lpstr>
      <vt:lpstr>稲毛区</vt:lpstr>
      <vt:lpstr>稲毛区保育園</vt:lpstr>
      <vt:lpstr>稲毛区幼稚園型認定こども園</vt:lpstr>
      <vt:lpstr>稲毛区幼保連携型認定こども園</vt:lpstr>
      <vt:lpstr>花見川区</vt:lpstr>
      <vt:lpstr>花見川区保育園</vt:lpstr>
      <vt:lpstr>花見川区幼稚園型認定こども園</vt:lpstr>
      <vt:lpstr>若葉区</vt:lpstr>
      <vt:lpstr>若葉区保育園</vt:lpstr>
      <vt:lpstr>若葉区幼稚園型認定こども園</vt:lpstr>
      <vt:lpstr>中央区</vt:lpstr>
      <vt:lpstr>中央区保育園</vt:lpstr>
      <vt:lpstr>中央区幼稚園型認定こども園</vt:lpstr>
      <vt:lpstr>中央区幼保連携型認定こども園</vt:lpstr>
      <vt:lpstr>美浜区</vt:lpstr>
      <vt:lpstr>美浜区保育園</vt:lpstr>
      <vt:lpstr>美浜区幼稚園型認定こども園</vt:lpstr>
      <vt:lpstr>美浜区幼保連携型認定こども園</vt:lpstr>
      <vt:lpstr>緑区</vt:lpstr>
      <vt:lpstr>緑区地方裁量型認定こども園</vt:lpstr>
      <vt:lpstr>緑区保育園</vt:lpstr>
      <vt:lpstr>緑区保育所型認定こども園</vt:lpstr>
      <vt:lpstr>緑区幼稚園型認定こども園</vt:lpstr>
      <vt:lpstr>緑区幼保連携型認定こども園</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川口　理</dc:creator>
  <cp:lastModifiedBy>髙木　章友</cp:lastModifiedBy>
  <cp:lastPrinted>2025-01-30T05:21:11Z</cp:lastPrinted>
  <dcterms:created xsi:type="dcterms:W3CDTF">2020-01-30T01:50:13Z</dcterms:created>
  <dcterms:modified xsi:type="dcterms:W3CDTF">2025-02-18T09:14:09Z</dcterms:modified>
</cp:coreProperties>
</file>